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comments5.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GT WORK @\GT Work\far-automation\Testing Dataset\Testing_FAR\"/>
    </mc:Choice>
  </mc:AlternateContent>
  <xr:revisionPtr revIDLastSave="0" documentId="8_{7BF8D55E-EEAA-4A78-95D5-CE8EE0BDDA61}" xr6:coauthVersionLast="47" xr6:coauthVersionMax="47" xr10:uidLastSave="{00000000-0000-0000-0000-000000000000}"/>
  <bookViews>
    <workbookView xWindow="-108" yWindow="-108" windowWidth="23256" windowHeight="12456" tabRatio="938" firstSheet="4" activeTab="22" xr2:uid="{00000000-000D-0000-FFFF-FFFF00000000}"/>
  </bookViews>
  <sheets>
    <sheet name="Master" sheetId="1" state="hidden" r:id="rId1"/>
    <sheet name="Cover page" sheetId="29" state="hidden" r:id="rId2"/>
    <sheet name="Index" sheetId="30" state="hidden" r:id="rId3"/>
    <sheet name="Restatement" sheetId="31" state="hidden" r:id="rId4"/>
    <sheet name="BS" sheetId="2" r:id="rId5"/>
    <sheet name="Sheet1" sheetId="40" state="hidden" r:id="rId6"/>
    <sheet name="BS Gr" sheetId="14" state="hidden" r:id="rId7"/>
    <sheet name="PL" sheetId="3" r:id="rId8"/>
    <sheet name="PL Gr" sheetId="17" state="hidden" r:id="rId9"/>
    <sheet name="Macro1" sheetId="36" state="hidden" r:id="rId10"/>
    <sheet name="Sch - PL" sheetId="18" state="hidden" r:id="rId11"/>
    <sheet name="Sch - BS" sheetId="15" state="hidden" r:id="rId12"/>
    <sheet name="TB for financial" sheetId="24" state="hidden" r:id="rId13"/>
    <sheet name="CF" sheetId="5" state="hidden" r:id="rId14"/>
    <sheet name="Significant Accounting Poli New" sheetId="6" state="hidden" r:id="rId15"/>
    <sheet name="CF Working" sheetId="20" state="hidden" r:id="rId16"/>
    <sheet name="Statement of Equity " sheetId="4" state="hidden" r:id="rId17"/>
    <sheet name="Signi Acc Policy New" sheetId="28" state="hidden" r:id="rId18"/>
    <sheet name="3-4" sheetId="7" r:id="rId19"/>
    <sheet name="5-9" sheetId="8" r:id="rId20"/>
    <sheet name="Note 8 - Current Investment" sheetId="9" state="hidden" r:id="rId21"/>
    <sheet name="10-17" sheetId="10" r:id="rId22"/>
    <sheet name="18-26" sheetId="11" r:id="rId23"/>
    <sheet name="Note 27 Segment Reporting" sheetId="12" state="hidden" r:id="rId24"/>
    <sheet name="Notes 28-35" sheetId="13" state="hidden" r:id="rId25"/>
    <sheet name="Ratio Working" sheetId="35" state="hidden" r:id="rId26"/>
    <sheet name="Entries 24-25" sheetId="41" state="hidden" r:id="rId27"/>
    <sheet name="Entries' 23-24" sheetId="37" state="hidden" r:id="rId28"/>
    <sheet name="IND AS entries 24-25" sheetId="42" state="hidden" r:id="rId29"/>
    <sheet name="IND AS entries 23-24" sheetId="38" state="hidden" r:id="rId30"/>
    <sheet name="Rev Entries in FY 23-24" sheetId="39" state="hidden" r:id="rId31"/>
    <sheet name="Entries' 22-23" sheetId="16" state="hidden" r:id="rId32"/>
    <sheet name="People Soft to Nessie to IRIS" sheetId="33" state="hidden" r:id="rId33"/>
    <sheet name="OCI" sheetId="19" state="hidden" r:id="rId34"/>
    <sheet name="Sch - FA" sheetId="21" state="hidden" r:id="rId35"/>
    <sheet name="FA Working 21-22" sheetId="22" state="hidden" r:id="rId36"/>
    <sheet name="FA Working_20-21" sheetId="23" state="hidden" r:id="rId37"/>
    <sheet name="TB Download" sheetId="25" state="hidden" r:id="rId38"/>
    <sheet name="SAP TB" sheetId="34" state="hidden" r:id="rId39"/>
    <sheet name="BSPL Grouping" sheetId="32" state="hidden" r:id="rId40"/>
    <sheet name="IND AS entries 22-23" sheetId="26" state="hidden" r:id="rId41"/>
    <sheet name="IND AS_TB18-19" sheetId="27"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s>
  <definedNames>
    <definedName name="\0">[1]BS!#REF!</definedName>
    <definedName name="\a">#REF!</definedName>
    <definedName name="\B" localSheetId="32">#REF!</definedName>
    <definedName name="\b">#REF!</definedName>
    <definedName name="\c">#REF!</definedName>
    <definedName name="\d">#REF!</definedName>
    <definedName name="\E">#REF!</definedName>
    <definedName name="\f">#REF!</definedName>
    <definedName name="\i">#REF!</definedName>
    <definedName name="\m">#REF!</definedName>
    <definedName name="\N">#REF!</definedName>
    <definedName name="\P" localSheetId="32">#REF!</definedName>
    <definedName name="\P">#REF!</definedName>
    <definedName name="\Q" localSheetId="32">#REF!</definedName>
    <definedName name="\q">#REF!</definedName>
    <definedName name="\S" localSheetId="32">#REF!</definedName>
    <definedName name="\s">#REF!</definedName>
    <definedName name="____________DAT3">[3]depit!#REF!</definedName>
    <definedName name="___________DAT3">[3]depit!#REF!</definedName>
    <definedName name="__________DAT3">[3]depit!#REF!</definedName>
    <definedName name="_________DAT3">[3]depit!#REF!</definedName>
    <definedName name="________DAT3">[3]depit!#REF!</definedName>
    <definedName name="_______DAT3">[3]depit!#REF!</definedName>
    <definedName name="______8749600_Guj_State_energy">#REF!</definedName>
    <definedName name="______DAT3">[3]depit!#REF!</definedName>
    <definedName name="_____8749600_Guj_State_energy">#REF!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8749600_Guj_State_energy">#REF!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8749600_Guj_State_energy">#REF!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123Graph_A" hidden="1">[4]Accounts!#REF!</definedName>
    <definedName name="__123Graph_B" hidden="1">[4]Accounts!#REF!</definedName>
    <definedName name="__123Graph_C" hidden="1">[4]Accounts!#REF!</definedName>
    <definedName name="__123Graph_D" hidden="1">'[5]BALANCE SHEET'!$K$58:$K$67</definedName>
    <definedName name="__123Graph_E" hidden="1">'[5]BALANCE SHEET'!$L$58:$L$67</definedName>
    <definedName name="__123Graph_F" hidden="1">'[5]BALANCE SHEET'!$M$58:$M$67</definedName>
    <definedName name="__123Graph_X" hidden="1">[6]Accounts!#REF!</definedName>
    <definedName name="__8749600_Guj_State_energy">#REF!</definedName>
    <definedName name="__col1">#REF!</definedName>
    <definedName name="__col10">#REF!</definedName>
    <definedName name="__col11">#REF!</definedName>
    <definedName name="__col12">#REF!</definedName>
    <definedName name="__col13">#REF!</definedName>
    <definedName name="__col2">#REF!</definedName>
    <definedName name="__col3">#REF!</definedName>
    <definedName name="__col4">#REF!</definedName>
    <definedName name="__col5">#REF!</definedName>
    <definedName name="__col6">#REF!</definedName>
    <definedName name="__col7">#REF!</definedName>
    <definedName name="__col8">#REF!</definedName>
    <definedName name="__col9">#REF!</definedName>
    <definedName name="__Cur3">'[7]x-rate'!$A$2:$B$10</definedName>
    <definedName name="__DAT1">#REF!</definedName>
    <definedName name="__DAT10">[8]data!#REF!</definedName>
    <definedName name="__DAT11">#REF!</definedName>
    <definedName name="__DAT12">#REF!</definedName>
    <definedName name="__DAT13">[8]data!#REF!</definedName>
    <definedName name="__DAT14">[8]data!#REF!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b1">#REF!</definedName>
    <definedName name="__DET1">[9]FOIL!#REF!</definedName>
    <definedName name="__fcl1">#REF!</definedName>
    <definedName name="__Grp12">#REF!</definedName>
    <definedName name="__Grp13">#REF!</definedName>
    <definedName name="__Grp14">#REF!</definedName>
    <definedName name="__Grp15">#REF!</definedName>
    <definedName name="__Grp2">#REF!</definedName>
    <definedName name="__MAR9091">'[10]TRIAL BALANCE'!#REF!</definedName>
    <definedName name="__PLN1">'[11]HBI NCD'!#REF!</definedName>
    <definedName name="__PLN2">'[12]HBI NCD'!#REF!</definedName>
    <definedName name="__ret2">'[11]HBI NCD'!#REF!</definedName>
    <definedName name="__rtl1">[13]fcl!#REF!</definedName>
    <definedName name="__RTL2">'[14]HBI NCD'!#REF!</definedName>
    <definedName name="__rtl21">'[14]HBI NCD'!#REF!</definedName>
    <definedName name="__rtl3">'[14]HBI NCD'!#REF!</definedName>
    <definedName name="__Sch10">'[15]Schedules PL'!#REF!</definedName>
    <definedName name="__Sch11">'[15]Schedules PL'!#REF!</definedName>
    <definedName name="__Sch12">'[15]Schedules PL'!#REF!</definedName>
    <definedName name="__Sch13">'[15]Schedules PL'!#REF!</definedName>
    <definedName name="__Sch14">'[15]Schedules PL'!#REF!</definedName>
    <definedName name="__Sch15">'[15]Schedules PL'!#REF!</definedName>
    <definedName name="__Sch2">'[15]Schedules PL'!#REF!</definedName>
    <definedName name="__Sch4">'[15]Schedules PL'!#REF!</definedName>
    <definedName name="__Sch5">'[15]Schedules PL'!#REF!</definedName>
    <definedName name="__Sch6">'[15]Schedules PL'!#REF!</definedName>
    <definedName name="__Sch7">'[15]Schedules PL'!#REF!</definedName>
    <definedName name="__Sch8">'[15]Schedules PL'!#REF!</definedName>
    <definedName name="__Sch9">'[15]Schedules BS'!#REF!</definedName>
    <definedName name="__sec3" hidden="1">#REF!</definedName>
    <definedName name="__VAL3">'[16]x-rate'!$A$2:$B$11</definedName>
    <definedName name="_2B_9">#REF!</definedName>
    <definedName name="_35BB0" localSheetId="14">+#REF!+#REF!+#REF!+#REF!+#REF!+#REF!+#REF!+#REF!+#REF!+#REF!+#REF!+#REF!+#REF!+#REF!+#REF!+#REF!+#REF!+#REF!+#REF!+#REF!+#REF!+#REF!+#REF!+#REF!+#REF!+#REF!+#REF!+#REF!</definedName>
    <definedName name="_35BB0">+#REF!+#REF!+#REF!+#REF!+#REF!+#REF!+#REF!+#REF!+#REF!+#REF!+#REF!+#REF!+#REF!+#REF!+#REF!+#REF!+#REF!+#REF!+#REF!+#REF!+#REF!+#REF!+#REF!+#REF!+#REF!+#REF!+#REF!+#REF!</definedName>
    <definedName name="_3D340">+#REF!+#REF!+#REF!+#REF!+#REF!+#REF!+#REF!+#REF!+#REF!+#REF!+#REF!+#REF!+#REF!+#REF!+#REF!+#REF!+#REF!+#REF!+#REF!+#REF!+#REF!+#REF!+#REF!+#REF!+#REF!+#REF!+#REF!+#REF!</definedName>
    <definedName name="_3D571">+#REF!+#REF!+#REF!+#REF!+#REF!+#REF!+#REF!+#REF!+#REF!+#REF!+#REF!+#REF!+#REF!+#REF!+#REF!+#REF!+#REF!+#REF!+#REF!+#REF!+#REF!+#REF!+#REF!+#REF!+#REF!+#REF!+#REF!+#REF!</definedName>
    <definedName name="_3D762">+#REF!+#REF!+#REF!+#REF!+#REF!+#REF!+#REF!+#REF!+#REF!+#REF!+#REF!+#REF!+#REF!+#REF!+#REF!+#REF!+#REF!+#REF!+#REF!+#REF!+#REF!+#REF!+#REF!+#REF!+#REF!+#REF!+#REF!+#REF!</definedName>
    <definedName name="_3EA20">+#REF!+#REF!+#REF!+#REF!+#REF!+#REF!+#REF!+#REF!+#REF!+#REF!+#REF!+#REF!+#REF!+#REF!+#REF!+#REF!+#REF!+#REF!+#REF!+#REF!+#REF!+#REF!+#REF!+#REF!+#REF!+#REF!+#REF!+#REF!</definedName>
    <definedName name="_3EE10">+#REF!+#REF!+#REF!+#REF!+#REF!+#REF!+#REF!+#REF!+#REF!+#REF!+#REF!+#REF!+#REF!+#REF!+#REF!+#REF!+#REF!+#REF!+#REF!+#REF!+#REF!+#REF!+#REF!+#REF!+#REF!+#REF!+#REF!+#REF!</definedName>
    <definedName name="_3F041">+#REF!+#REF!+#REF!+#REF!+#REF!+#REF!+#REF!+#REF!+#REF!+#REF!+#REF!+#REF!+#REF!+#REF!+#REF!+#REF!+#REF!+#REF!+#REF!+#REF!+#REF!+#REF!+#REF!+#REF!+#REF!+#REF!+#REF!+#REF!</definedName>
    <definedName name="_3F540">+#REF!+#REF!+#REF!+#REF!+#REF!+#REF!+#REF!+#REF!+#REF!+#REF!+#REF!+#REF!+#REF!+#REF!+#REF!+#REF!+#REF!+#REF!+#REF!+#REF!+#REF!+#REF!+#REF!+#REF!+#REF!+#REF!+#REF!+#REF!</definedName>
    <definedName name="_8749600_Guj_State_energy">#REF!</definedName>
    <definedName name="_99_00">[18]QTY!#REF!</definedName>
    <definedName name="_C">#REF!</definedName>
    <definedName name="_col1">#REF!</definedName>
    <definedName name="_col10">#REF!</definedName>
    <definedName name="_col11">#REF!</definedName>
    <definedName name="_col12">#REF!</definedName>
    <definedName name="_col13">#REF!</definedName>
    <definedName name="_col2">#REF!</definedName>
    <definedName name="_col3">#REF!</definedName>
    <definedName name="_col4">#REF!</definedName>
    <definedName name="_col5">#REF!</definedName>
    <definedName name="_col6">#REF!</definedName>
    <definedName name="_col7">#REF!</definedName>
    <definedName name="_col8">#REF!</definedName>
    <definedName name="_col9">#REF!</definedName>
    <definedName name="_Cur3">'[7]x-rate'!$A$2:$B$10</definedName>
    <definedName name="_DAT1">#REF!</definedName>
    <definedName name="_DAT10">[19]data!#REF!</definedName>
    <definedName name="_DAT11">#REF!</definedName>
    <definedName name="_DAT12">#REF!</definedName>
    <definedName name="_DAT13">[19]data!#REF!</definedName>
    <definedName name="_DAT14">[19]data!#REF!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b1">#REF!</definedName>
    <definedName name="_DET1">[9]FOIL!#REF!</definedName>
    <definedName name="_Dist_Values" hidden="1">[1]BS!#REF!</definedName>
    <definedName name="_fcl1">#REF!</definedName>
    <definedName name="_Fill" hidden="1">#REF!</definedName>
    <definedName name="_xlnm._FilterDatabase" localSheetId="21" hidden="1">'10-17'!#REF!</definedName>
    <definedName name="_xlnm._FilterDatabase" localSheetId="22" hidden="1">'18-26'!#REF!</definedName>
    <definedName name="_xlnm._FilterDatabase" localSheetId="18" hidden="1">'3-4'!#REF!</definedName>
    <definedName name="_xlnm._FilterDatabase" localSheetId="19" hidden="1">'5-9'!#REF!</definedName>
    <definedName name="_xlnm._FilterDatabase" localSheetId="4" hidden="1">BS!$A$1:$A$84</definedName>
    <definedName name="_xlnm._FilterDatabase" localSheetId="6" hidden="1">'BS Gr'!$A$4:$AH$1002</definedName>
    <definedName name="_xlnm._FilterDatabase" localSheetId="13" hidden="1">CF!$B$1:$B$97</definedName>
    <definedName name="_xlnm._FilterDatabase" localSheetId="31" hidden="1">'Entries'' 22-23'!$A$4:$J$1367</definedName>
    <definedName name="_xlnm._FilterDatabase" localSheetId="27" hidden="1">'Entries'' 23-24'!$A$4:$J$1421</definedName>
    <definedName name="_xlnm._FilterDatabase" localSheetId="26" hidden="1">'Entries 24-25'!$A$4:$J$213</definedName>
    <definedName name="_xlnm._FilterDatabase" localSheetId="40" hidden="1">'IND AS entries 22-23'!$A$4:$E$134</definedName>
    <definedName name="_xlnm._FilterDatabase" localSheetId="23" hidden="1">'Note 27 Segment Reporting'!#REF!</definedName>
    <definedName name="_xlnm._FilterDatabase" localSheetId="24" hidden="1">'Notes 28-35'!$A$196:$O$247</definedName>
    <definedName name="_xlnm._FilterDatabase" localSheetId="32" hidden="1">'People Soft to Nessie to IRIS'!$A$5:$H$87</definedName>
    <definedName name="_xlnm._FilterDatabase" localSheetId="7" hidden="1">PL!$A$1:$A$67</definedName>
    <definedName name="_xlnm._FilterDatabase" localSheetId="8" hidden="1">'PL Gr'!$A$4:$G$457</definedName>
    <definedName name="_xlnm._FilterDatabase" localSheetId="30" hidden="1">'Rev Entries in FY 23-24'!$A$2:$J$221</definedName>
    <definedName name="_xlnm._FilterDatabase" localSheetId="14" hidden="1">'Significant Accounting Poli New'!#REF!</definedName>
    <definedName name="_xlnm._FilterDatabase" localSheetId="37" hidden="1">'TB Download'!$A$4:$L$258</definedName>
    <definedName name="_xlnm._FilterDatabase" localSheetId="12" hidden="1">'TB for financial'!$A$4:$N$1105</definedName>
    <definedName name="_FR">#REF!</definedName>
    <definedName name="_FS_R">#REF!</definedName>
    <definedName name="_Grp12">#REF!</definedName>
    <definedName name="_Grp13">#REF!</definedName>
    <definedName name="_Grp14">#REF!</definedName>
    <definedName name="_Grp15">#REF!</definedName>
    <definedName name="_Grp2">#REF!</definedName>
    <definedName name="_Key1" localSheetId="32" hidden="1">#REF!</definedName>
    <definedName name="_Key1" hidden="1">#REF!</definedName>
    <definedName name="_Key2" hidden="1">[1]BS!#REF!</definedName>
    <definedName name="_MAR9091">'[10]TRIAL BALANCE'!#REF!</definedName>
    <definedName name="_Order1" localSheetId="32" hidden="1">0</definedName>
    <definedName name="_Order1" localSheetId="25" hidden="1">0</definedName>
    <definedName name="_Order1" hidden="1">255</definedName>
    <definedName name="_Order2" hidden="1">0</definedName>
    <definedName name="_PLN1">'[11]HBI NCD'!#REF!</definedName>
    <definedName name="_PLN2">'[12]HBI NCD'!#REF!</definedName>
    <definedName name="_Q">#REF!</definedName>
    <definedName name="_QY">#REF!</definedName>
    <definedName name="_ret2">'[11]HBI NCD'!#REF!</definedName>
    <definedName name="_RNLR">#REF!</definedName>
    <definedName name="_rtl1">[13]fcl!#REF!</definedName>
    <definedName name="_RTL2">'[14]HBI NCD'!#REF!</definedName>
    <definedName name="_rtl21">'[14]HBI NCD'!#REF!</definedName>
    <definedName name="_rtl3">'[14]HBI NCD'!#REF!</definedName>
    <definedName name="_Sch10">'[15]Schedules PL'!#REF!</definedName>
    <definedName name="_Sch11">'[15]Schedules PL'!#REF!</definedName>
    <definedName name="_Sch12">'[15]Schedules PL'!#REF!</definedName>
    <definedName name="_Sch13">'[15]Schedules PL'!#REF!</definedName>
    <definedName name="_Sch14">'[15]Schedules PL'!#REF!</definedName>
    <definedName name="_Sch15">'[15]Schedules PL'!#REF!</definedName>
    <definedName name="_Sch2">'[15]Schedules PL'!#REF!</definedName>
    <definedName name="_Sch4">'[15]Schedules PL'!#REF!</definedName>
    <definedName name="_Sch5">'[15]Schedules PL'!#REF!</definedName>
    <definedName name="_Sch6">'[15]Schedules PL'!#REF!</definedName>
    <definedName name="_Sch7">'[15]Schedules PL'!#REF!</definedName>
    <definedName name="_Sch8">'[15]Schedules PL'!#REF!</definedName>
    <definedName name="_Sch9">'[15]Schedules BS'!#REF!</definedName>
    <definedName name="_sec3" hidden="1">#REF!</definedName>
    <definedName name="_Sort" localSheetId="32" hidden="1">#REF!</definedName>
    <definedName name="_Sort" hidden="1">#REF!</definedName>
    <definedName name="_Table1_In1" hidden="1">#REF!</definedName>
    <definedName name="_Table1_Out" hidden="1">#REF!</definedName>
    <definedName name="_Table2_In1" hidden="1">#REF!</definedName>
    <definedName name="_Table2_In2" hidden="1">#REF!</definedName>
    <definedName name="_VAL3">'[16]x-rate'!$A$2:$B$11</definedName>
    <definedName name="_WDR">#REF!</definedName>
    <definedName name="_WIR">#REF!</definedName>
    <definedName name="a">'[20]4.Grouping - Balance Sheet(mio)'!#REF!</definedName>
    <definedName name="AA">#REF!</definedName>
    <definedName name="aaa">#REF!</definedName>
    <definedName name="ABB_CHF_rate">'[21]Interest 30-11-01 not PA 7%'!#REF!</definedName>
    <definedName name="ABB_DEM_rate">'[21]Interest 30-11-01 not PA 7%'!#REF!</definedName>
    <definedName name="ABB_FRF_rate">'[21]Interest 30-11-01 not PA 7%'!#REF!</definedName>
    <definedName name="ABB_GBP_rate">'[21]Interest 30-11-01 not PA 7%'!#REF!</definedName>
    <definedName name="ABB_NLG_rate">'[21]Interest 30-11-01 not PA 7%'!#REF!</definedName>
    <definedName name="ABB_USD_rate">'[21]Interest 30-11-01 not PA 7%'!#REF!</definedName>
    <definedName name="ABC">'[22]1612.01AN(7) - Niep Tds Summary'!$H$13</definedName>
    <definedName name="AC">[23]Details!$D$187</definedName>
    <definedName name="Account_Balance">#REF!</definedName>
    <definedName name="Additions_Acc">#REF!</definedName>
    <definedName name="Additions_Building">#REF!</definedName>
    <definedName name="Additions_Computers">#REF!</definedName>
    <definedName name="ADDITIONS_fURNITURE">#REF!</definedName>
    <definedName name="Additions_Office">#REF!</definedName>
    <definedName name="adfad">'[24]Instruction Sheet'!$E$35</definedName>
    <definedName name="ADTL">[15]BS!$A$1</definedName>
    <definedName name="Ageinganalysis">#REF!</definedName>
    <definedName name="agreed_scope_changes">#REF!</definedName>
    <definedName name="anand">[25]Sheet3!$D$7</definedName>
    <definedName name="ANNEXIII">#REF!</definedName>
    <definedName name="ANNEXIV">#REF!</definedName>
    <definedName name="anx">'[26]Clause 9'!$A$1</definedName>
    <definedName name="aps">'[27]a-4'!$E$38</definedName>
    <definedName name="ARA_Threshold">#REF!</definedName>
    <definedName name="AS2DocOpenMode" hidden="1">"AS2DocumentEdit"</definedName>
    <definedName name="AS2NamedRange" hidden="1">2</definedName>
    <definedName name="AS2ReportLS" hidden="1">1</definedName>
    <definedName name="AS2SyncStepLS" hidden="1">0</definedName>
    <definedName name="AS2TickmarkLS" hidden="1">#REF!</definedName>
    <definedName name="AS2VersionLS" hidden="1">300</definedName>
    <definedName name="ASIA_PLASTIC_in_KUSD">#REF!</definedName>
    <definedName name="asset">[28]Title!$C$10</definedName>
    <definedName name="asset1">[29]Sheet2!$A$2:$AH$1408</definedName>
    <definedName name="assets">#REF!</definedName>
    <definedName name="AsstYr">[30]Masters!$C$34</definedName>
    <definedName name="au">'[99]Ind AS entries'!#REF!</definedName>
    <definedName name="axedoc">#REF!</definedName>
    <definedName name="ay">'[26]Clause 9'!$A$4</definedName>
    <definedName name="azad">#REF!</definedName>
    <definedName name="b">'[20]4.Grouping - Balance Sheet(mio)'!#REF!</definedName>
    <definedName name="BABL">[31]TB!#REF!</definedName>
    <definedName name="Bal.Sheet">#REF!</definedName>
    <definedName name="Balance_sheet">#REF!</definedName>
    <definedName name="Balancesheet">#REF!</definedName>
    <definedName name="bankch">#REF!</definedName>
    <definedName name="bb">[32]Variables!$B$4</definedName>
    <definedName name="bfstat">#REF!</definedName>
    <definedName name="BG_Del" hidden="1">15</definedName>
    <definedName name="BG_Ins" hidden="1">4</definedName>
    <definedName name="BG_Mod" hidden="1">6</definedName>
    <definedName name="Billsdiscounted">#REF!</definedName>
    <definedName name="bpstat">#REF!</definedName>
    <definedName name="BreakupDBothBnkComp">#REF!</definedName>
    <definedName name="BreakupDPothBanks">#REF!</definedName>
    <definedName name="BreakupDPSBI">#REF!</definedName>
    <definedName name="BreakupDPSBIcompare">#REF!</definedName>
    <definedName name="BS">#REF!</definedName>
    <definedName name="BS_calc_2003">#REF!</definedName>
    <definedName name="BSDateSF">[30]Masters!$C$28</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[33]PNB40!#REF!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Titles">#REF!</definedName>
    <definedName name="BuiltIn_Print_Titles___0">#REF!</definedName>
    <definedName name="BUV">#REF!</definedName>
    <definedName name="Capital_contribution">#REF!</definedName>
    <definedName name="CASH">'[34]Balance Sheet'!$J$62</definedName>
    <definedName name="CashandBank">#REF!</definedName>
    <definedName name="cashbreak">#REF!</definedName>
    <definedName name="CCR">[23]REFNCOMPARE!#REF!</definedName>
    <definedName name="CCRFIN">[23]REFNCOMPARE!#REF!</definedName>
    <definedName name="ChartingArea">'[35]PL6-Revenue Bridge'!$A$6:$A$21,'[35]PL6-Revenue Bridge'!$E$6:$K$21</definedName>
    <definedName name="checkarea">[36]Settings!$E:$E</definedName>
    <definedName name="CHF_payments">'[21]Interest 30-11-01 not PA 7%'!#REF!</definedName>
    <definedName name="CHINA_PLASTIC_in_KUSD">#REF!</definedName>
    <definedName name="CI">#REF!</definedName>
    <definedName name="clause2.7togo">#REF!</definedName>
    <definedName name="cmb_Per10080G.StateCode">'[37]80G'!$B$84:$B$119</definedName>
    <definedName name="CMH"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o">'[26]Clause 9'!$A$2</definedName>
    <definedName name="CoAdd">[30]Masters!$C$4</definedName>
    <definedName name="collateral_payments">#REF!</definedName>
    <definedName name="CoName">[30]Masters!$C$3</definedName>
    <definedName name="conf_balamended" localSheetId="14" hidden="1">{#N/A,#N/A,FALSE,"PMTABB";#N/A,#N/A,FALSE,"PMTABB"}</definedName>
    <definedName name="conf_balamended" hidden="1">{#N/A,#N/A,FALSE,"PMTABB";#N/A,#N/A,FALSE,"PMTABB"}</definedName>
    <definedName name="COP">'[38]Cancel &amp; Rollover'!#REF!</definedName>
    <definedName name="COST">#REF!</definedName>
    <definedName name="cost_calcn">#REF!</definedName>
    <definedName name="CoStatus">[30]Masters!$C$7</definedName>
    <definedName name="curra">[39]Title!$G$11</definedName>
    <definedName name="CURRAPPLI">[36]Settings!$E$9</definedName>
    <definedName name="Currency">'[7]x-rate'!$A$2:$B$10</definedName>
    <definedName name="current_liability">#REF!</definedName>
    <definedName name="CurrentLiabilty">#REF!</definedName>
    <definedName name="CWIP">#REF!</definedName>
    <definedName name="CY_Accounts_Receivable">#REF!</definedName>
    <definedName name="CY_Cash">#REF!</definedName>
    <definedName name="CY_Common_Equity">#REF!</definedName>
    <definedName name="CY_Cost_of_Sales">#REF!</definedName>
    <definedName name="CY_Current_Liabilities">#REF!</definedName>
    <definedName name="CY_Depreciation">#REF!</definedName>
    <definedName name="CY_Gross_Profit">#REF!</definedName>
    <definedName name="CY_Inc_Bef_Tax">#REF!</definedName>
    <definedName name="CY_Intangible_Assets">#REF!</definedName>
    <definedName name="CY_Interest_Expense">#REF!</definedName>
    <definedName name="CY_Inventory">#REF!</definedName>
    <definedName name="CY_LIABIL_EQUITY">#REF!</definedName>
    <definedName name="CY_lik_Equity">#REF!</definedName>
    <definedName name="CY_lik_Income">#REF!</definedName>
    <definedName name="CY_lik_Liabs">#REF!</definedName>
    <definedName name="CY_lik_RetEarn_bf">#REF!</definedName>
    <definedName name="CY_LT_Debt">#REF!</definedName>
    <definedName name="CY_Market_Value_of_Equity">#REF!</definedName>
    <definedName name="CY_Marketable_Sec">#REF!</definedName>
    <definedName name="CY_NET_PROFIT">#REF!</definedName>
    <definedName name="CY_Net_Revenue">#REF!</definedName>
    <definedName name="CY_Operating_Income">#REF!</definedName>
    <definedName name="CY_Other_Curr_Assets">#REF!</definedName>
    <definedName name="CY_Other_LT_Assets">#REF!</definedName>
    <definedName name="CY_Other_LT_Liabilities">#REF!</definedName>
    <definedName name="CY_Preferred_Stock">#REF!</definedName>
    <definedName name="CY_QUICK_ASSETS">#REF!</definedName>
    <definedName name="CY_Retained_Earnings">#REF!</definedName>
    <definedName name="CY_Tangible_Assets">#REF!</definedName>
    <definedName name="CY_Tangible_Net_Worth">#REF!</definedName>
    <definedName name="CY_Taxes">#REF!</definedName>
    <definedName name="CY_TOTAL_ASSETS">#REF!</definedName>
    <definedName name="CY_TOTAL_CURR_ASSETS">#REF!</definedName>
    <definedName name="CY_TOTAL_DEBT">#REF!</definedName>
    <definedName name="CY_TOTAL_EQUITY">#REF!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CY_Working_Capital">#REF!</definedName>
    <definedName name="d" localSheetId="32">"%,FPROJECT_ID,V71821"</definedName>
    <definedName name="d" localSheetId="25">"%,FPROJECT_ID,V71821"</definedName>
    <definedName name="d">'[20]4.Grouping - Balance Sheet(mio)'!#REF!</definedName>
    <definedName name="DAMTM">'[38]Cancel &amp; Rollover'!#REF!</definedName>
    <definedName name="DAO">[38]Report!#REF!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'[40]zpctb-dta'!#REF!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7">#REF!</definedName>
    <definedName name="DATA8">#REF!</definedName>
    <definedName name="DATA9">#REF!</definedName>
    <definedName name="_xlnm.Database">#REF!</definedName>
    <definedName name="Database_MI">[1]BS!#REF!</definedName>
    <definedName name="Date">[15]BS!$C$1</definedName>
    <definedName name="DB">#REF!</definedName>
    <definedName name="dd">'[41]Main Bs'!$M$3</definedName>
    <definedName name="deb">#REF!</definedName>
    <definedName name="DEBEN">#REF!</definedName>
    <definedName name="Debtors">#REF!</definedName>
    <definedName name="dec01SchV">[42]sep01!$A$1:$L$51</definedName>
    <definedName name="DEDUCTION">[43]deduction!$B$1:$I$87</definedName>
    <definedName name="DEM">'[21]Interest 30-11-01 not PA 7%'!#REF!</definedName>
    <definedName name="DEM_payments">'[21]Interest 30-11-01 not PA 7%'!#REF!</definedName>
    <definedName name="Dep.calculation">#REF!</definedName>
    <definedName name="Depreciation" localSheetId="14" hidden="1">{"'Detail Summary'!$A$1:$F$83"}</definedName>
    <definedName name="Depreciation" hidden="1">{"'Detail Summary'!$A$1:$F$83"}</definedName>
    <definedName name="DET">[9]FOIL!#REF!</definedName>
    <definedName name="dif">[44]fcl!#REF!</definedName>
    <definedName name="diff">[45]fcl!#REF!</definedName>
    <definedName name="Difference">#REF!</definedName>
    <definedName name="direct_cost">#REF!</definedName>
    <definedName name="Disaggregations">#REF!</definedName>
    <definedName name="disputed_scope_changes">#REF!</definedName>
    <definedName name="dm">#REF!</definedName>
    <definedName name="Dollar_Threshold">#REF!</definedName>
    <definedName name="dp">[46]sum!#REF!</definedName>
    <definedName name="DPotherbanks">#REF!</definedName>
    <definedName name="DPSBI">#REF!</definedName>
    <definedName name="DRUCKBEREI03">#REF!</definedName>
    <definedName name="Dutiestaxes">#REF!</definedName>
    <definedName name="e" localSheetId="14" hidden="1">{"'Detail Summary'!$A$1:$F$83"}</definedName>
    <definedName name="e" hidden="1">{"'Detail Summary'!$A$1:$F$83"}</definedName>
    <definedName name="earning">#REF!</definedName>
    <definedName name="Elim">#REF!</definedName>
    <definedName name="End_Bal">#REF!</definedName>
    <definedName name="Entities">'[100]SGA Template'!$A$102:$A$103</definedName>
    <definedName name="estimate_to_complete">#REF!</definedName>
    <definedName name="EURO_payments_fpcms">'[21]Interest 30-11-01 not PA 7%'!#REF!</definedName>
    <definedName name="EV__EVCOM_OPTIONS__" hidden="1">8</definedName>
    <definedName name="EV__EXPOPTIONS__" hidden="1">0</definedName>
    <definedName name="EV__LASTREFTIME__" hidden="1">"(GMT+05:30)5/14/2016 12:27:02 PM"</definedName>
    <definedName name="EV__MAXEXPCOLS__" hidden="1">100</definedName>
    <definedName name="EV__MAXEXPROWS__" hidden="1">1000</definedName>
    <definedName name="EV__MEMORYCVW__" hidden="1">0</definedName>
    <definedName name="EV__WBEVMODE__" hidden="1">0</definedName>
    <definedName name="EV__WBREFOPTIONS__" hidden="1">134217732</definedName>
    <definedName name="EV__WBVERSION__" hidden="1">0</definedName>
    <definedName name="exc" localSheetId="14" hidden="1">{"'Sheet1'!$A$4386:$N$4591"}</definedName>
    <definedName name="exc" hidden="1">{"'Sheet1'!$A$4386:$N$4591"}</definedName>
    <definedName name="Excel_BuiltIn_Print_Area_2">#REF!</definedName>
    <definedName name="Expected_balance">#REF!</definedName>
    <definedName name="expenses">#REF!</definedName>
    <definedName name="ExportAdvance">#REF!</definedName>
    <definedName name="f">#REF!</definedName>
    <definedName name="FA_KG_Block">[47]Branch!#REF!</definedName>
    <definedName name="FA_Schedule">#REF!</definedName>
    <definedName name="fcl">#REF!</definedName>
    <definedName name="final">'[14]HBI NCD'!#REF!</definedName>
    <definedName name="final_milestone_payment">#REF!</definedName>
    <definedName name="Fintotalline">#REF!</definedName>
    <definedName name="Fixed_Assets">#REF!</definedName>
    <definedName name="FIXEDASSETS">[48]Cons!$B$2:$L$33</definedName>
    <definedName name="fixedassetss">#REF!</definedName>
    <definedName name="foex">#REF!</definedName>
    <definedName name="forex">#REF!</definedName>
    <definedName name="FRF">'[21]Interest 30-11-01 not PA 7%'!#REF!</definedName>
    <definedName name="FRF_payments">'[21]Interest 30-11-01 not PA 7%'!#REF!</definedName>
    <definedName name="Full_Print">#REF!</definedName>
    <definedName name="G">[23]Details!$D$205</definedName>
    <definedName name="GBP">'[21]Interest 30-11-01 not PA 7%'!#REF!</definedName>
    <definedName name="GBP_payments">'[21]Interest 30-11-01 not PA 7%'!#REF!</definedName>
    <definedName name="gk0901int" localSheetId="14" hidden="1">{#N/A,#N/A,FALSE,"PMTABB";#N/A,#N/A,FALSE,"PMTABB"}</definedName>
    <definedName name="gk0901int" hidden="1">{#N/A,#N/A,FALSE,"PMTABB";#N/A,#N/A,FALSE,"PMTABB"}</definedName>
    <definedName name="Gross_Margin___Rs_M">#REF!</definedName>
    <definedName name="GrossBlock">#REF!</definedName>
    <definedName name="GrossTB">#REF!</definedName>
    <definedName name="h">[49]depit!#REF!</definedName>
    <definedName name="hbi4stat">#REF!</definedName>
    <definedName name="Head_office">#REF!</definedName>
    <definedName name="Header_Row">ROW(#REF!)</definedName>
    <definedName name="Headerline">#REF!</definedName>
    <definedName name="HEADING">#REF!</definedName>
    <definedName name="hh" localSheetId="14" hidden="1">{"'Detail Summary'!$A$1:$F$83"}</definedName>
    <definedName name="hh" hidden="1">{"'Detail Summary'!$A$1:$F$83"}</definedName>
    <definedName name="hhh">#REF!</definedName>
    <definedName name="hold_confirmed_cost">#REF!</definedName>
    <definedName name="hold_estimated_cost">#REF!</definedName>
    <definedName name="HTML_CodePage" hidden="1">1252</definedName>
    <definedName name="HTML_Control" localSheetId="14" hidden="1">{"'Sheet1'!$A$4386:$N$4591"}</definedName>
    <definedName name="HTML_Control"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ICRP">'[50]16.IC-RP list'!$C$6:$C$524</definedName>
    <definedName name="icrplist">'[51]IC-RP list'!$C$4:$C$500</definedName>
    <definedName name="idbi">#REF!</definedName>
    <definedName name="INDIA_PLASTIC_in_KUSD">#REF!</definedName>
    <definedName name="Insurance_money_received">SUM('[21]Interest 30-11-01 not PA 7%'!$E$151:$E$152)</definedName>
    <definedName name="INT">#REF!</definedName>
    <definedName name="Interest_Rate">#REF!</definedName>
    <definedName name="interwisesept02">'[52]HBI NCD'!#REF!</definedName>
    <definedName name="Inventory">#REF!</definedName>
    <definedName name="iti">[53]sum!#REF!</definedName>
    <definedName name="j">#REF!</definedName>
    <definedName name="JA">#REF!</definedName>
    <definedName name="JDCL_MISC">#REF!</definedName>
    <definedName name="JVTB">#REF!</definedName>
    <definedName name="k">#REF!</definedName>
    <definedName name="king">'[21]Interest 30-11-01 not PA 7%'!#REF!</definedName>
    <definedName name="kjhg">'[54]HBI NCD'!#REF!</definedName>
    <definedName name="KOREA_PLASTIC_in_KUSD">#REF!</definedName>
    <definedName name="L_Adjust">[55]Links!$H$1:$H$65536</definedName>
    <definedName name="L_AJE_Tot">[55]Links!$G$1:$G$65536</definedName>
    <definedName name="L_CY_Beg">[55]Links!$F$1:$F$65536</definedName>
    <definedName name="L_CY_End">[55]Links!$J$1:$J$65536</definedName>
    <definedName name="L_PY_End">[55]Links!$K$1:$K$65536</definedName>
    <definedName name="L_RJE_Tot">[55]Links!$I$1:$I$65536</definedName>
    <definedName name="LAC">'[56]Trial Balance - MARCH 2006'!$I$2</definedName>
    <definedName name="Last_Row">#N/A</definedName>
    <definedName name="liebherr_risk">#REF!</definedName>
    <definedName name="loan">#REF!</definedName>
    <definedName name="Loan_Amount">#REF!</definedName>
    <definedName name="Loan_Start">#REF!</definedName>
    <definedName name="Loan_Years">#REF!</definedName>
    <definedName name="LoansandAdvances">#REF!</definedName>
    <definedName name="LYN">#REF!</definedName>
    <definedName name="m">'[57]3.Grouping - Profit &amp; Loss(mio)'!$C$1</definedName>
    <definedName name="man">#REF!</definedName>
    <definedName name="mani">#REF!</definedName>
    <definedName name="Materiality">#REF!</definedName>
    <definedName name="mbn">'[58]HBI NCD'!#REF!</definedName>
    <definedName name="mc">'[59]Clause 9'!$A$4</definedName>
    <definedName name="MDEVISES">#REF!,#REF!,#REF!</definedName>
    <definedName name="MethodAcc">[30]Masters!$C$46</definedName>
    <definedName name="MFRF">#REF!,#REF!,#REF!,#REF!,#REF!</definedName>
    <definedName name="mh">#REF!</definedName>
    <definedName name="MHM">[23]Details!$D$156</definedName>
    <definedName name="Monetary_Precision">#REF!</definedName>
    <definedName name="month">[60]Ref!#REF!</definedName>
    <definedName name="MStVal">[30]Masters!$C$47</definedName>
    <definedName name="name">[61]Params!$B$1</definedName>
    <definedName name="name1">#REF!</definedName>
    <definedName name="NatureBusiness">[30]Masters!$C$45</definedName>
    <definedName name="Niko_Block">#REF!</definedName>
    <definedName name="NLG">'[21]Interest 30-11-01 not PA 7%'!#REF!</definedName>
    <definedName name="NLG_payments">'[21]Interest 30-11-01 not PA 7%'!#REF!</definedName>
    <definedName name="North_zone">#REF!</definedName>
    <definedName name="Number_of_Payments">#N/A</definedName>
    <definedName name="NvsASD" localSheetId="25">"V2003-10-31"</definedName>
    <definedName name="NvsASD">"V2013-06-30"</definedName>
    <definedName name="NvsAutoDrillOk">"VN"</definedName>
    <definedName name="NvsElapsedTime" localSheetId="25">0.0000355324082192965</definedName>
    <definedName name="NvsElapsedTime">0.0000694444461259991</definedName>
    <definedName name="NvsEndTime" localSheetId="25">37932.7452731481</definedName>
    <definedName name="NvsEndTime">41456.5096643519</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definedName>
    <definedName name="NvsPanelBusUnit">"V"</definedName>
    <definedName name="NvsPanelEffdt">"V1900-01-01"</definedName>
    <definedName name="NvsPanelSetid">"VSYNTL"</definedName>
    <definedName name="NvsParentRef">[96]BALANCE!$C$163</definedName>
    <definedName name="NvsReqBU">"VUS001"</definedName>
    <definedName name="NvsReqBUOnly">"VY"</definedName>
    <definedName name="NvsTransLed">"VN"</definedName>
    <definedName name="NvsTreeASD" localSheetId="25">"V2003-10-31"</definedName>
    <definedName name="NvsTreeASD">"V2013-06-30"</definedName>
    <definedName name="NvsValTbl.ACCOUNT">"GL_ACCOUNT_TBL"</definedName>
    <definedName name="NvsValTbl.CURRENCY_CD">"CURRENCY_CD_TBL"</definedName>
    <definedName name="NvsValTbl.PROJECT_ID">"PROJECT"</definedName>
    <definedName name="o">'[62]Main Bs Cr'!$N$1</definedName>
    <definedName name="OBC">'[38]Cancel &amp; Rollover'!#REF!</definedName>
    <definedName name="officeq">[43]addition!$A$1:$G$220</definedName>
    <definedName name="Offshore_Efforts_For_Canada_Systems">[97]Title!$B$37</definedName>
    <definedName name="Offshore_Efforts_For_GPOP">[97]Title!$B$35</definedName>
    <definedName name="operations">#REF!</definedName>
    <definedName name="OtherCurrentAssets">#REF!</definedName>
    <definedName name="oxybel_interest">SUM('[27]a-4'!$E$99:$E$102)</definedName>
    <definedName name="p">#REF!</definedName>
    <definedName name="P___L___Statement">#REF!</definedName>
    <definedName name="p2stat">#REF!</definedName>
    <definedName name="PA_PAF">#REF!+#REF!</definedName>
    <definedName name="pacf">'[27]a-4'!$E$77</definedName>
    <definedName name="PAGE1">#REF!</definedName>
    <definedName name="page2">#REF!</definedName>
    <definedName name="page3">#REF!</definedName>
    <definedName name="paidadams">SUM('[63]pa-mtly'!$O$8:$S$8)</definedName>
    <definedName name="paidchemineer">SUM('[63]pa-mtly'!$O$17:$S$17)</definedName>
    <definedName name="paidcopes">SUM('[63]pa-mtly'!$O$18:$S$18)</definedName>
    <definedName name="paiddba">SUM('[63]pa-mtly'!$O$22:$S$22)</definedName>
    <definedName name="paiddelavan">SUM('[63]pa-mtly'!$O$20:$S$20)</definedName>
    <definedName name="paiddkm51">SUM('[63]pa-mtly'!$O$24:$S$24)</definedName>
    <definedName name="paiddkm52">SUM('[63]pa-mtly'!$O$25:$S$25)</definedName>
    <definedName name="paidemba">SUM('[63]pa-mtly'!$O$30:$S$30)</definedName>
    <definedName name="paidenviro">SUM('[63]pa-mtly'!$O$31:$S$31)</definedName>
    <definedName name="paidflowserve">SUM('[63]pa-mtly'!$O$36:$S$36)</definedName>
    <definedName name="paidfmc">SUM('[63]pa-mtly'!$O$37:$S$37)</definedName>
    <definedName name="paidgeveke149">SUM('[63]pa-mtly'!$O$40:$S$40)</definedName>
    <definedName name="paidgeveke80">SUM('[63]pa-mtly'!$O$39:$S$39)</definedName>
    <definedName name="paidgeveke81">SUM('[63]pa-mtly'!$O$41:$S$41)</definedName>
    <definedName name="paidghhb">SUM('[63]pa-mtly'!$O$42:$S$42)</definedName>
    <definedName name="paidgutor110">SUM('[63]pa-mtly'!$O$46:$S$46)</definedName>
    <definedName name="paidgutor96">SUM('[63]pa-mtly'!$O$45:$S$45)</definedName>
    <definedName name="paidhamw">SUM('[63]pa-mtly'!$O$47:$S$47)</definedName>
    <definedName name="paidheurtey">SUM('[63]pa-mtly'!$O$47:$S$47)</definedName>
    <definedName name="paidhmd">SUM('[63]pa-mtly'!$O$50:$S$50)</definedName>
    <definedName name="paidhydro">SUM('[63]pa-mtly'!$O$54:$S$54)</definedName>
    <definedName name="paidimi">SUM(#REF!)</definedName>
    <definedName name="paidkerp">SUM('[63]pa-mtly'!$O$61:$S$61)</definedName>
    <definedName name="paidkiekens">SUM('[63]pa-mtly'!$O$62:$S$62)</definedName>
    <definedName name="paidklinger">SUM('[63]pa-mtly'!$O$63:$S$63)</definedName>
    <definedName name="paidkoch">SUM('[63]pa-mtly'!$O$64:$S$64)</definedName>
    <definedName name="paidkuervers">SUM('[63]pa-mtly'!$O$72:$S$72)</definedName>
    <definedName name="paidliebert">SUM('[63]pa-mtly'!$O$76:$S$76)</definedName>
    <definedName name="paidliebherr">SUM('[63]pa-mtly'!$O$75:$S$75)</definedName>
    <definedName name="paidmann">SUM('[63]pa-mtly'!$P$80:$S$80)</definedName>
    <definedName name="paidmrm">SUM('[63]pa-mtly'!$O$88:$S$88)</definedName>
    <definedName name="paidnat">SUM('[63]pa-mtly'!$O$89:$S$89)</definedName>
    <definedName name="paidnp">SUM('[63]pa-mtly'!$O$95:$S$95)</definedName>
    <definedName name="paidods">SUM('[63]pa-mtly'!$O$109:$S$109)</definedName>
    <definedName name="paidoxybel951">SUM('[63]pa-mtly'!$O$118:$S$118)</definedName>
    <definedName name="paidoxybel952">SUM('[63]pa-mtly'!$O$119:$S$119)</definedName>
    <definedName name="paidpirelli">SUM('[63]pa-mtly'!$O$126:$S$126)</definedName>
    <definedName name="paidsafex">SUM('[63]pa-mtly'!$O$130:$S$130)</definedName>
    <definedName name="paidschulz">SUM('[63]pa-mtly'!$O$132:$S$132)</definedName>
    <definedName name="paidsirco">SUM('[63]pa-mtly'!$O$140:$S$140)</definedName>
    <definedName name="paidtaprogge">SUM('[63]pa-mtly'!$O$145:$S$145)</definedName>
    <definedName name="paidthermoheat165">SUM('[63]pa-mtly'!$O$148:$S$148)</definedName>
    <definedName name="paidthermoheat175">SUM('[63]pa-mtly'!$O$149:$S$149)</definedName>
    <definedName name="paidyokogawa">SUM('[63]pa-mtly'!$O$161:$S$161)</definedName>
    <definedName name="paidyork">SUM('[63]pa-mtly'!$O$162:$S$162)</definedName>
    <definedName name="PAN">#REF!</definedName>
    <definedName name="PartDesignation">[30]Masters!$C$16</definedName>
    <definedName name="pas">'[27]a-4'!$E$35</definedName>
    <definedName name="Payment_by_ABB_LGN">'[21]Interest 30-11-01 not PA 7%'!#REF!</definedName>
    <definedName name="Payment_by_ABB_LGN_EURO">'[21]Interest 30-11-01 not PA 7%'!#REF!</definedName>
    <definedName name="payments_PA">#REF!</definedName>
    <definedName name="Percent_Threshold">#REF!</definedName>
    <definedName name="periodicity">[60]Ref!#REF!</definedName>
    <definedName name="pic">#REF!</definedName>
    <definedName name="pickling">#REF!</definedName>
    <definedName name="pl">#REF!</definedName>
    <definedName name="PL_Statement">#REF!</definedName>
    <definedName name="pln">'[11]HBI NCD'!#REF!</definedName>
    <definedName name="pln.xls">'[12]HBI NCD'!#REF!</definedName>
    <definedName name="pmts">'[64]HBI NCD'!#REF!</definedName>
    <definedName name="pnt">'[11]HBI NCD'!#REF!</definedName>
    <definedName name="PO_to_GO_excl_CC_and_ABB_payments">#REF!</definedName>
    <definedName name="poadams">#REF!</definedName>
    <definedName name="pochemineer">#REF!</definedName>
    <definedName name="pocopes">#REF!</definedName>
    <definedName name="podba">#REF!</definedName>
    <definedName name="podelavan">#REF!</definedName>
    <definedName name="podkm51">#REF!</definedName>
    <definedName name="podkm52">#REF!</definedName>
    <definedName name="poemba">#REF!</definedName>
    <definedName name="poenviro">#REF!</definedName>
    <definedName name="poflowserve">#REF!</definedName>
    <definedName name="pofmc">#REF!</definedName>
    <definedName name="pogeveke149">#REF!</definedName>
    <definedName name="pogeveke80">#REF!</definedName>
    <definedName name="pogeveke81">#REF!</definedName>
    <definedName name="poghhb">#REF!</definedName>
    <definedName name="pogutor110">#REF!</definedName>
    <definedName name="pogutor96">#REF!</definedName>
    <definedName name="pohamw">#REF!</definedName>
    <definedName name="poheurtey">#REF!</definedName>
    <definedName name="pohmd">#REF!</definedName>
    <definedName name="pohydro">#REF!</definedName>
    <definedName name="poimi">#REF!</definedName>
    <definedName name="poinprogress">#REF!</definedName>
    <definedName name="poissued">#REF!</definedName>
    <definedName name="pokerp">#REF!</definedName>
    <definedName name="pokiekens">#REF!</definedName>
    <definedName name="poklinger">#REF!</definedName>
    <definedName name="pokoch">#REF!</definedName>
    <definedName name="pokuervers">#REF!</definedName>
    <definedName name="poliebert">#REF!</definedName>
    <definedName name="poliebherr">#REF!</definedName>
    <definedName name="pomann">#REF!</definedName>
    <definedName name="pomrm">#REF!</definedName>
    <definedName name="ponat">#REF!</definedName>
    <definedName name="ponp">#REF!</definedName>
    <definedName name="poods">#REF!</definedName>
    <definedName name="pooxybel">#REF!</definedName>
    <definedName name="pooxybel951">#REF!</definedName>
    <definedName name="pooxybel952">#REF!</definedName>
    <definedName name="popirelli">#REF!</definedName>
    <definedName name="posafex">#REF!</definedName>
    <definedName name="poschulz">#REF!</definedName>
    <definedName name="posirco">#REF!</definedName>
    <definedName name="posuppl">#REF!</definedName>
    <definedName name="potaprogge">#REF!</definedName>
    <definedName name="potential_exposure">#REF!</definedName>
    <definedName name="pothermoheat165">#REF!</definedName>
    <definedName name="pothermoheat175">#REF!</definedName>
    <definedName name="poyokogawa">#REF!</definedName>
    <definedName name="poyork">#REF!</definedName>
    <definedName name="Pre_tax_materiality">#REF!</definedName>
    <definedName name="Price_structure">#REF!</definedName>
    <definedName name="_xlnm.Print_Area" localSheetId="21">'10-17'!$A$1:$L$374</definedName>
    <definedName name="_xlnm.Print_Area" localSheetId="22">'18-26'!$A$1:$J$427</definedName>
    <definedName name="_xlnm.Print_Area" localSheetId="18">'3-4'!$A$1:$J$89</definedName>
    <definedName name="_xlnm.Print_Area" localSheetId="19">'5-9'!$A$1:$K$215</definedName>
    <definedName name="_xlnm.Print_Area" localSheetId="4">BS!$A$1:$I$84</definedName>
    <definedName name="_xlnm.Print_Area" localSheetId="13">CF!$A$1:$H$99</definedName>
    <definedName name="_xlnm.Print_Area" localSheetId="1">'Cover page'!$A$1:$H$29</definedName>
    <definedName name="_xlnm.Print_Area" localSheetId="2">Index!$A$1:$I$45</definedName>
    <definedName name="_xlnm.Print_Area" localSheetId="23">'Note 27 Segment Reporting'!$A$1:$J$71</definedName>
    <definedName name="_xlnm.Print_Area" localSheetId="20">'Note 8 - Current Investment'!$A$1:$I$23</definedName>
    <definedName name="_xlnm.Print_Area" localSheetId="24">'Notes 28-35'!$A$1:$K$650</definedName>
    <definedName name="_xlnm.Print_Area" localSheetId="7">PL!$A$1:$H$67</definedName>
    <definedName name="_xlnm.Print_Area" localSheetId="11">'Sch - BS'!$A$1:$I$317</definedName>
    <definedName name="_xlnm.Print_Area" localSheetId="34">'Sch - FA'!$A$1:$M$41</definedName>
    <definedName name="_xlnm.Print_Area" localSheetId="10">'Sch - PL'!$A$1:$G$133</definedName>
    <definedName name="_xlnm.Print_Area" localSheetId="17">'Signi Acc Policy New'!$A$1:$K$305</definedName>
    <definedName name="_xlnm.Print_Area" localSheetId="14">'Significant Accounting Poli New'!$A$1:$L$246</definedName>
    <definedName name="_xlnm.Print_Area" localSheetId="16">'Statement of Equity '!$A$1:$H$103</definedName>
    <definedName name="_xlnm.Print_Area">'[5]BALANCE SHEET'!$A$1:$S$66</definedName>
    <definedName name="Print_Area_MI">#REF!</definedName>
    <definedName name="_xlnm.Print_Titles" localSheetId="21">'10-17'!$1:$6</definedName>
    <definedName name="_xlnm.Print_Titles" localSheetId="22">'18-26'!$1:$5</definedName>
    <definedName name="_xlnm.Print_Titles" localSheetId="18">'3-4'!$1:$5</definedName>
    <definedName name="_xlnm.Print_Titles" localSheetId="19">'5-9'!$1:$5</definedName>
    <definedName name="_xlnm.Print_Titles" localSheetId="6">'BS Gr'!$1:$5</definedName>
    <definedName name="_xlnm.Print_Titles" localSheetId="23">'Note 27 Segment Reporting'!$1:$6</definedName>
    <definedName name="_xlnm.Print_Titles" localSheetId="24">'Notes 28-35'!$1:$6</definedName>
    <definedName name="_xlnm.Print_Titles" localSheetId="8">'PL Gr'!$1:$4</definedName>
    <definedName name="_xlnm.Print_Titles" localSheetId="11">'Sch - BS'!$1:$5</definedName>
    <definedName name="_xlnm.Print_Titles" localSheetId="10">'Sch - PL'!$1:$5</definedName>
    <definedName name="_xlnm.Print_Titles" localSheetId="17">'Signi Acc Policy New'!$1:$4</definedName>
    <definedName name="_xlnm.Print_Titles" localSheetId="14">'Significant Accounting Poli New'!$1:$4</definedName>
    <definedName name="_xlnm.Print_Titles" localSheetId="37">'TB Download'!$1:$4</definedName>
    <definedName name="_xlnm.Print_Titles">#REF!</definedName>
    <definedName name="PRINT_TITLES_MI">[23]REFNCOMPARE!#REF!</definedName>
    <definedName name="Production_facility">#REF!</definedName>
    <definedName name="Productioncost">#REF!</definedName>
    <definedName name="Prof_Loss">#REF!</definedName>
    <definedName name="Profit_Loss">#REF!</definedName>
    <definedName name="ProfitLossaccount">#REF!</definedName>
    <definedName name="PY_Accounts_Receivable">#REF!</definedName>
    <definedName name="PY_all_Equity">#REF!</definedName>
    <definedName name="PY_all_Income">#REF!</definedName>
    <definedName name="PY_all_RetEarn">#REF!</definedName>
    <definedName name="PY_Cash">#REF!</definedName>
    <definedName name="PY_Common_Equity">#REF!</definedName>
    <definedName name="PY_Cost_of_Sales">#REF!</definedName>
    <definedName name="PY_Current_Liabilities">#REF!</definedName>
    <definedName name="PY_Depreciation">#REF!</definedName>
    <definedName name="PY_Gross_Profit">#REF!</definedName>
    <definedName name="PY_Inc_Bef_Tax">#REF!</definedName>
    <definedName name="PY_Intangible_Assets">#REF!</definedName>
    <definedName name="PY_Interest_Expense">#REF!</definedName>
    <definedName name="PY_Inventory">#REF!</definedName>
    <definedName name="PY_knw_Income">#REF!</definedName>
    <definedName name="PY_knw_RetEarn">#REF!</definedName>
    <definedName name="PY_LIABIL_EQUITY">#REF!</definedName>
    <definedName name="PY_lik_Income">#REF!</definedName>
    <definedName name="PY_lik_RetEarn">#REF!</definedName>
    <definedName name="PY_LT_Debt">#REF!</definedName>
    <definedName name="PY_Market_Value_of_Equity">#REF!</definedName>
    <definedName name="PY_Marketable_Sec">#REF!</definedName>
    <definedName name="PY_NET_PROFIT">#REF!</definedName>
    <definedName name="PY_Net_Revenue">#REF!</definedName>
    <definedName name="PY_Operating_Inc">#REF!</definedName>
    <definedName name="PY_Operating_Income">#REF!</definedName>
    <definedName name="PY_Other_Curr_Assets">#REF!</definedName>
    <definedName name="PY_Other_LT_Assets">#REF!</definedName>
    <definedName name="PY_Other_LT_Liabilities">#REF!</definedName>
    <definedName name="PY_Preferred_Stock">#REF!</definedName>
    <definedName name="PY_QUICK_ASSETS">#REF!</definedName>
    <definedName name="PY_Retained_Earnings">#REF!</definedName>
    <definedName name="PY_Tangible_Assets">#REF!</definedName>
    <definedName name="PY_Tangible_Net_Worth">#REF!</definedName>
    <definedName name="PY_Taxes">#REF!</definedName>
    <definedName name="PY_tot_knw_Xfoot">#REF!</definedName>
    <definedName name="PY_tot_lik_Xfoot">#REF!</definedName>
    <definedName name="PY_TOTAL_ASSETS">#REF!</definedName>
    <definedName name="PY_TOTAL_CURR_ASSETS">#REF!</definedName>
    <definedName name="PY_TOTAL_DEBT">#REF!</definedName>
    <definedName name="PY_TOTAL_EQUITY">#REF!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Y_Working_Capital">#REF!</definedName>
    <definedName name="PY2_Accounts_Receivable">#REF!</definedName>
    <definedName name="PY2_Cash">#REF!</definedName>
    <definedName name="PY2_Common_Equity">#REF!</definedName>
    <definedName name="PY2_Cost_of_Sales">#REF!</definedName>
    <definedName name="PY2_Current_Liabilities">#REF!</definedName>
    <definedName name="PY2_Depreciation">#REF!</definedName>
    <definedName name="PY2_Gross_Profit">#REF!</definedName>
    <definedName name="PY2_Inc_Bef_Tax">#REF!</definedName>
    <definedName name="PY2_Intangible_Assets">#REF!</definedName>
    <definedName name="PY2_Interest_Expense">#REF!</definedName>
    <definedName name="PY2_Inventory">#REF!</definedName>
    <definedName name="PY2_LIABIL_EQUITY">#REF!</definedName>
    <definedName name="PY2_LT_Debt">#REF!</definedName>
    <definedName name="PY2_Marketable_Sec">#REF!</definedName>
    <definedName name="PY2_NET_PROFIT">#REF!</definedName>
    <definedName name="PY2_Net_Revenue">#REF!</definedName>
    <definedName name="PY2_Operating_Inc">#REF!</definedName>
    <definedName name="PY2_Operating_Income">#REF!</definedName>
    <definedName name="PY2_Other_Curr_Assets">#REF!</definedName>
    <definedName name="PY2_Other_LT_Assets">#REF!</definedName>
    <definedName name="PY2_Other_LT_Liabilities">#REF!</definedName>
    <definedName name="PY2_Preferred_Stock">#REF!</definedName>
    <definedName name="PY2_QUICK_ASSETS">#REF!</definedName>
    <definedName name="PY2_Retained_Earnings">#REF!</definedName>
    <definedName name="PY2_Tangible_Assets">#REF!</definedName>
    <definedName name="PY2_Tangible_Net_Worth">#REF!</definedName>
    <definedName name="PY2_Taxes">#REF!</definedName>
    <definedName name="PY2_TOTAL_ASSETS">#REF!</definedName>
    <definedName name="PY2_TOTAL_CURR_ASSETS">#REF!</definedName>
    <definedName name="PY2_TOTAL_DEBT">#REF!</definedName>
    <definedName name="PY2_TOTAL_EQUITY">#REF!</definedName>
    <definedName name="PY2_Working_Capital">#REF!</definedName>
    <definedName name="q" localSheetId="14" hidden="1">{"'Sheet1'!$A$4386:$N$4591"}</definedName>
    <definedName name="q" hidden="1">{"'Sheet1'!$A$4386:$N$4591"}</definedName>
    <definedName name="QTY">'[65]QTY. PROV.LAB'!#REF!</definedName>
    <definedName name="R_Factor">#REF!</definedName>
    <definedName name="range">#REF!</definedName>
    <definedName name="RATE">#REF!</definedName>
    <definedName name="re">#REF!</definedName>
    <definedName name="Realisations_salevalue">#REF!</definedName>
    <definedName name="Ref_1">[66]PyrllDeduc!#REF!</definedName>
    <definedName name="Ref_2">[67]Year_End!#REF!</definedName>
    <definedName name="Ref_3">#REF!</definedName>
    <definedName name="Ref_4">'[68]Price Testing - Used - 1'!#REF!</definedName>
    <definedName name="Ref_5">'[68]Price Testing - Used - 1'!#REF!</definedName>
    <definedName name="Ref_6">'[68]Price Testing - Used - 1'!#REF!</definedName>
    <definedName name="Reference">#REF!</definedName>
    <definedName name="repcurr">[60]Ref!#REF!</definedName>
    <definedName name="Residual_difference">#REF!</definedName>
    <definedName name="RID">#REF!</definedName>
    <definedName name="rmannex">#REF!</definedName>
    <definedName name="RMB">[69]Data!$D$10</definedName>
    <definedName name="ROff">'[70]Instruction Sheet'!$D$33</definedName>
    <definedName name="rrt">'[11]HBI NCD'!#REF!</definedName>
    <definedName name="rrtl">'[11]HBI NCD'!#REF!</definedName>
    <definedName name="rrtl1">'[11]HBI NCD'!#REF!</definedName>
    <definedName name="RSIN">[25]Sheet3!$D$3</definedName>
    <definedName name="rtl">'[71]HBI NCD'!#REF!</definedName>
    <definedName name="rtl2.xls">'[12]HBI NCD'!#REF!</definedName>
    <definedName name="rtlMar03">'[72]HBI NCD'!#REF!</definedName>
    <definedName name="rtlpmt">'[73]HBI NCD'!#REF!</definedName>
    <definedName name="RUPEE">#REF!</definedName>
    <definedName name="S_AcctNum">#REF!</definedName>
    <definedName name="S_Adjust">'[74]Lead COC'!#REF!</definedName>
    <definedName name="S_Adjust_Data">'[74]Lead COC'!#REF!</definedName>
    <definedName name="S_Adjust_GT">'[74]Lead COC'!#REF!</definedName>
    <definedName name="S_AJE_Tot">'[74]Lead COC'!#REF!</definedName>
    <definedName name="S_AJE_Tot_Data">'[74]Lead COC'!#REF!</definedName>
    <definedName name="S_AJE_Tot_GT">'[74]Lead COC'!#REF!</definedName>
    <definedName name="S_CompNum">'[74]Lead COC'!#REF!</definedName>
    <definedName name="S_CY_Beg">'[74]Lead COC'!#REF!</definedName>
    <definedName name="S_CY_Beg_Data">'[74]Lead COC'!#REF!</definedName>
    <definedName name="S_CY_Beg_GT">'[74]Lead COC'!#REF!</definedName>
    <definedName name="S_CY_End_Data">[75]Lead!$F$1:$F$490</definedName>
    <definedName name="S_GrpNum">'[74]Lead COC'!#REF!</definedName>
    <definedName name="S_KeyValue">'[74]Lead COC'!#REF!</definedName>
    <definedName name="S_LSRange1">#REF!</definedName>
    <definedName name="S_LSRange1Balance">#REF!</definedName>
    <definedName name="S_LSRange1Balance1">#REF!</definedName>
    <definedName name="S_LSRange1Balance2">#REF!</definedName>
    <definedName name="S_LSRange1Balance3">#REF!</definedName>
    <definedName name="S_LSRange2">#REF!</definedName>
    <definedName name="S_LSRange2Balance">#REF!</definedName>
    <definedName name="S_LSRange2Balance1">#REF!</definedName>
    <definedName name="S_LSRange2Balance2">#REF!</definedName>
    <definedName name="S_LSRange2Balance3">#REF!</definedName>
    <definedName name="S_LSRange3">#REF!</definedName>
    <definedName name="S_LSRange3Balance">#REF!</definedName>
    <definedName name="S_LSRange3Balance1">#REF!</definedName>
    <definedName name="S_LSRange3Balance2">#REF!</definedName>
    <definedName name="S_LSRange3Balance3">#REF!</definedName>
    <definedName name="S_LSRange4">#REF!</definedName>
    <definedName name="S_LSRange4Balance">#REF!</definedName>
    <definedName name="S_LSRange4Balance1">#REF!</definedName>
    <definedName name="S_LSRange4Balance2">#REF!</definedName>
    <definedName name="S_LSRange4Balance3">#REF!</definedName>
    <definedName name="S_LSRange5">#REF!</definedName>
    <definedName name="S_LSRange5Balance">#REF!</definedName>
    <definedName name="S_LSRange5Balance1">#REF!</definedName>
    <definedName name="S_LSRange5Balance2">#REF!</definedName>
    <definedName name="S_LSRange5Balance3">#REF!</definedName>
    <definedName name="S_LSRange6">#REF!</definedName>
    <definedName name="S_LSRange6Balance">#REF!</definedName>
    <definedName name="S_LSRange6Balance1">#REF!</definedName>
    <definedName name="S_LSRange6Balance2">#REF!</definedName>
    <definedName name="S_LSRange6Balance3">#REF!</definedName>
    <definedName name="S_LSRange7">#REF!</definedName>
    <definedName name="S_LSRange7Balance">#REF!</definedName>
    <definedName name="S_LSRange7Balance1">#REF!</definedName>
    <definedName name="S_LSRange7Balance2">#REF!</definedName>
    <definedName name="S_LSRange7Balance3">#REF!</definedName>
    <definedName name="S_LSRange8">#REF!</definedName>
    <definedName name="S_LSRange8Balance">#REF!</definedName>
    <definedName name="S_LSRange8Balance1">#REF!</definedName>
    <definedName name="S_LSRange8Balance2">#REF!</definedName>
    <definedName name="S_LSRange8Balance3">#REF!</definedName>
    <definedName name="S_RJE_Tot">'[74]Lead COC'!#REF!</definedName>
    <definedName name="S_RJE_Tot_Data">'[74]Lead COC'!#REF!</definedName>
    <definedName name="S_RJE_Tot_GT">'[74]Lead COC'!#REF!</definedName>
    <definedName name="S_Total">#REF!</definedName>
    <definedName name="S_Total1">#REF!</definedName>
    <definedName name="S_Total2">#REF!</definedName>
    <definedName name="S_Total3">#REF!</definedName>
    <definedName name="SALES">#REF!</definedName>
    <definedName name="Sales_MiscIncome">#REF!</definedName>
    <definedName name="Sales_otherincome">#REF!</definedName>
    <definedName name="salescollection">#REF!</definedName>
    <definedName name="sam">#REF!</definedName>
    <definedName name="SANAND" localSheetId="14" hidden="1">{"'Sheet1'!$A$4386:$N$4591"}</definedName>
    <definedName name="SANAND" hidden="1">{"'Sheet1'!$A$4386:$N$4591"}</definedName>
    <definedName name="scale">[60]Ref!#REF!</definedName>
    <definedName name="Sch_B">#REF!</definedName>
    <definedName name="SCH_D">#REF!</definedName>
    <definedName name="Sch_E">'[76]JV''2004 (Final)'!#REF!</definedName>
    <definedName name="sch4.1">'[77]Instruction Sheet'!$D$31</definedName>
    <definedName name="Sched_F">#REF!</definedName>
    <definedName name="Schedule_E">'[76]JV''2004 (Final)'!#REF!</definedName>
    <definedName name="scheduleA">#REF!</definedName>
    <definedName name="ScheduleBC">#REF!</definedName>
    <definedName name="ScheduleC">#REF!</definedName>
    <definedName name="ScheduleCD">#REF!</definedName>
    <definedName name="ScheduleD">#REF!</definedName>
    <definedName name="ScheduleE">#REF!</definedName>
    <definedName name="SCHv">[43]sep01!$A$1:$L$51</definedName>
    <definedName name="sec">#REF!</definedName>
    <definedName name="secln">#REF!</definedName>
    <definedName name="secloan3">#REF!</definedName>
    <definedName name="Sept2" hidden="1">#REF!</definedName>
    <definedName name="Service_expense">#REF!</definedName>
    <definedName name="sf">#REF!</definedName>
    <definedName name="Share_Capital">#REF!</definedName>
    <definedName name="sheet">#REF!</definedName>
    <definedName name="SL">[23]Details!$D$195</definedName>
    <definedName name="south_zone">#REF!</definedName>
    <definedName name="spcl">[78]deb!$A$45:$G$49</definedName>
    <definedName name="spcl1">[78]deb!$A$45:$G$49</definedName>
    <definedName name="States">[79]Codes!$C$20:$C$55</definedName>
    <definedName name="STK">'[80]wip FG'!#REF!</definedName>
    <definedName name="Stocks">#REF!</definedName>
    <definedName name="storage_and_interest">#REF!</definedName>
    <definedName name="STX">[15]BS!$A$1</definedName>
    <definedName name="sum">#REF!</definedName>
    <definedName name="Summary">#REF!</definedName>
    <definedName name="swdw">'[98]BS COA'!#REF!</definedName>
    <definedName name="TAFName">[30]Masters!$C$19</definedName>
    <definedName name="TAMNo">[30]Masters!$C$23</definedName>
    <definedName name="TAName">[30]Masters!$C$20</definedName>
    <definedName name="TAPlace">[30]Masters!$C$43</definedName>
    <definedName name="Tax_Effect_Income">#REF!</definedName>
    <definedName name="Tax_Effect_Liabs">#REF!</definedName>
    <definedName name="Tax_Effect_RetEarn">#REF!</definedName>
    <definedName name="Tax_Rate">#REF!</definedName>
    <definedName name="TaxAudAdd">[30]Masters!$C$24</definedName>
    <definedName name="TaxAuditDate">[30]Masters!$C$40</definedName>
    <definedName name="TaxTV">10%</definedName>
    <definedName name="TaxXL">5%</definedName>
    <definedName name="tb">[81]TRIALBALANCE!$A$5:$H$255</definedName>
    <definedName name="TEMP">'[80]wip FG'!#REF!</definedName>
    <definedName name="term">#REF!</definedName>
    <definedName name="termination_cost">#REF!</definedName>
    <definedName name="TEST0">#REF!</definedName>
    <definedName name="TEST1">#REF!</definedName>
    <definedName name="TEST10">#REF!</definedName>
    <definedName name="TEST100">#REF!</definedName>
    <definedName name="TEST101">#REF!</definedName>
    <definedName name="TEST102">#REF!</definedName>
    <definedName name="TEST103">#REF!</definedName>
    <definedName name="TEST104">#REF!</definedName>
    <definedName name="TEST105">#REF!</definedName>
    <definedName name="TEST106">#REF!</definedName>
    <definedName name="TEST107">#REF!</definedName>
    <definedName name="TEST108">#REF!</definedName>
    <definedName name="TEST109">#REF!</definedName>
    <definedName name="TEST11">#REF!</definedName>
    <definedName name="TEST110">#REF!</definedName>
    <definedName name="TEST111">#REF!</definedName>
    <definedName name="TEST112">#REF!</definedName>
    <definedName name="TEST113">#REF!</definedName>
    <definedName name="TEST114">#REF!</definedName>
    <definedName name="TEST115">#REF!</definedName>
    <definedName name="TEST116">#REF!</definedName>
    <definedName name="TEST117">#REF!</definedName>
    <definedName name="TEST118">#REF!</definedName>
    <definedName name="TEST119">#REF!</definedName>
    <definedName name="TEST12">#REF!</definedName>
    <definedName name="TEST120">#REF!</definedName>
    <definedName name="TEST121">#REF!</definedName>
    <definedName name="TEST122">#REF!</definedName>
    <definedName name="TEST123">#REF!</definedName>
    <definedName name="TEST124">#REF!</definedName>
    <definedName name="TEST125">#REF!</definedName>
    <definedName name="TEST126">#REF!</definedName>
    <definedName name="TEST127">#REF!</definedName>
    <definedName name="TEST128">#REF!</definedName>
    <definedName name="TEST129">#REF!</definedName>
    <definedName name="TEST13">#REF!</definedName>
    <definedName name="TEST130">#REF!</definedName>
    <definedName name="TEST131">#REF!</definedName>
    <definedName name="TEST132">#REF!</definedName>
    <definedName name="TEST133">#REF!</definedName>
    <definedName name="TEST134">#REF!</definedName>
    <definedName name="TEST135">#REF!</definedName>
    <definedName name="TEST136">#REF!</definedName>
    <definedName name="TEST137">#REF!</definedName>
    <definedName name="TEST138">#REF!</definedName>
    <definedName name="TEST139">#REF!</definedName>
    <definedName name="TEST14">#REF!</definedName>
    <definedName name="TEST140">#REF!</definedName>
    <definedName name="TEST141">#REF!</definedName>
    <definedName name="TEST142">#REF!</definedName>
    <definedName name="TEST143">#REF!</definedName>
    <definedName name="TEST144">#REF!</definedName>
    <definedName name="TEST145">#REF!</definedName>
    <definedName name="TEST146">#REF!</definedName>
    <definedName name="TEST147">#REF!</definedName>
    <definedName name="TEST148">#REF!</definedName>
    <definedName name="TEST149">#REF!</definedName>
    <definedName name="TEST15">#REF!</definedName>
    <definedName name="TEST150">#REF!</definedName>
    <definedName name="TEST151">#REF!</definedName>
    <definedName name="TEST152">#REF!</definedName>
    <definedName name="TEST153">#REF!</definedName>
    <definedName name="TEST154">#REF!</definedName>
    <definedName name="TEST155">#REF!</definedName>
    <definedName name="TEST156">#REF!</definedName>
    <definedName name="TEST157">#REF!</definedName>
    <definedName name="TEST158">#REF!</definedName>
    <definedName name="TEST159">#REF!</definedName>
    <definedName name="TEST16">#REF!</definedName>
    <definedName name="TEST160">#REF!</definedName>
    <definedName name="TEST161">#REF!</definedName>
    <definedName name="TEST162">#REF!</definedName>
    <definedName name="TEST163">#REF!</definedName>
    <definedName name="TEST164">#REF!</definedName>
    <definedName name="TEST17">[82]Vendors!#REF!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40">#REF!</definedName>
    <definedName name="TEST41">#REF!</definedName>
    <definedName name="TEST42">#REF!</definedName>
    <definedName name="TEST43">#REF!</definedName>
    <definedName name="TEST44">#REF!</definedName>
    <definedName name="TEST45">#REF!</definedName>
    <definedName name="TEST46">#REF!</definedName>
    <definedName name="TEST47">#REF!</definedName>
    <definedName name="TEST48">#REF!</definedName>
    <definedName name="TEST49">#REF!</definedName>
    <definedName name="TEST5">#REF!</definedName>
    <definedName name="TEST50">#REF!</definedName>
    <definedName name="TEST51">#REF!</definedName>
    <definedName name="TEST52">#REF!</definedName>
    <definedName name="TEST53">#REF!</definedName>
    <definedName name="TEST54">#REF!</definedName>
    <definedName name="TEST55">#REF!</definedName>
    <definedName name="TEST56">#REF!</definedName>
    <definedName name="TEST57">#REF!</definedName>
    <definedName name="TEST58">#REF!</definedName>
    <definedName name="TEST59">#REF!</definedName>
    <definedName name="TEST6">#REF!</definedName>
    <definedName name="TEST60">#REF!</definedName>
    <definedName name="TEST61">#REF!</definedName>
    <definedName name="TEST62">#REF!</definedName>
    <definedName name="TEST63">#REF!</definedName>
    <definedName name="TEST64">#REF!</definedName>
    <definedName name="TEST65">#REF!</definedName>
    <definedName name="TEST66">#REF!</definedName>
    <definedName name="TEST67">#REF!</definedName>
    <definedName name="TEST68">#REF!</definedName>
    <definedName name="TEST69">#REF!</definedName>
    <definedName name="TEST7">#REF!</definedName>
    <definedName name="TEST70">#REF!</definedName>
    <definedName name="TEST71">#REF!</definedName>
    <definedName name="TEST72">#REF!</definedName>
    <definedName name="TEST73">#REF!</definedName>
    <definedName name="TEST74">#REF!</definedName>
    <definedName name="TEST75">#REF!</definedName>
    <definedName name="TEST76">#REF!</definedName>
    <definedName name="TEST77">#REF!</definedName>
    <definedName name="TEST78">#REF!</definedName>
    <definedName name="TEST79">#REF!</definedName>
    <definedName name="TEST8">#REF!</definedName>
    <definedName name="TEST80">#REF!</definedName>
    <definedName name="TEST81">#REF!</definedName>
    <definedName name="TEST82">#REF!</definedName>
    <definedName name="TEST83">#REF!</definedName>
    <definedName name="TEST84">#REF!</definedName>
    <definedName name="TEST85">#REF!</definedName>
    <definedName name="TEST86">#REF!</definedName>
    <definedName name="TEST87">#REF!</definedName>
    <definedName name="TEST88">#REF!</definedName>
    <definedName name="TEST89">#REF!</definedName>
    <definedName name="TEST9">#REF!</definedName>
    <definedName name="TEST90">#REF!</definedName>
    <definedName name="TEST91">#REF!</definedName>
    <definedName name="TEST92">#REF!</definedName>
    <definedName name="TEST93">#REF!</definedName>
    <definedName name="TEST94">#REF!</definedName>
    <definedName name="TEST95">#REF!</definedName>
    <definedName name="TEST96">#REF!</definedName>
    <definedName name="TEST97">#REF!</definedName>
    <definedName name="TEST98">#REF!</definedName>
    <definedName name="TEST99">#REF!</definedName>
    <definedName name="TESTHKEY">#REF!</definedName>
    <definedName name="TESTKEYS">#REF!</definedName>
    <definedName name="TESTVKEY">#REF!</definedName>
    <definedName name="TextRefCopy1">#REF!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9">'[83]2.1. Claimed Not Ack as debts'!#REF!</definedName>
    <definedName name="TextRefCopy2">#REF!</definedName>
    <definedName name="TextRefCopy20">'[83]2.2. Unitech Contingent'!#REF!</definedName>
    <definedName name="TextRefCopy21">'[83]2.4. Service Tax Contingent'!#REF!</definedName>
    <definedName name="TextRefCopy22">'[84]1612.01AL - INT AM&amp;NIEP'!#REF!</definedName>
    <definedName name="TextRefCopy26">#REF!</definedName>
    <definedName name="TextRefCopy27">#REF!</definedName>
    <definedName name="TextRefCopy28">#REF!</definedName>
    <definedName name="TextRefCopy29">'[83]6. Auditor Payment'!#REF!</definedName>
    <definedName name="TextRefCopy3">#REF!</definedName>
    <definedName name="TextRefCopy30">'[83]7. Pauling Joint Venture'!#REF!</definedName>
    <definedName name="TextRefCopy31">'[83]8. Non Provision'!#REF!</definedName>
    <definedName name="TextRefCopy32">'[83]5. MR'!#REF!</definedName>
    <definedName name="TextRefCopy36">'[83]31. EPS'!#REF!</definedName>
    <definedName name="TextRefCopy37">'[83]13. Finance Lease'!#REF!</definedName>
    <definedName name="TextRefCopy38">'[83]18. Earnings'!#REF!</definedName>
    <definedName name="TextRefCopy39">'[83]8. Non Provision'!#REF!</definedName>
    <definedName name="TextRefCopy4">#REF!</definedName>
    <definedName name="TextRefCopy5">#REF!</definedName>
    <definedName name="TextRefCopy6">#REF!</definedName>
    <definedName name="TextRefCopy7">#REF!</definedName>
    <definedName name="TextRefCopy8">#REF!</definedName>
    <definedName name="TextRefCopy9">#REF!</definedName>
    <definedName name="TextRefCopyRangeCount" hidden="1">1</definedName>
    <definedName name="THAI_PLASTIC_in_KUSD">#REF!</definedName>
    <definedName name="Threshold">#REF!</definedName>
    <definedName name="Tot_knw_Xfoot">#REF!</definedName>
    <definedName name="Tot_lik_Xfoot">#REF!</definedName>
    <definedName name="Total_Acc">#REF!</definedName>
    <definedName name="total_arbitration">#REF!</definedName>
    <definedName name="Total_Building">#REF!</definedName>
    <definedName name="Total_computer">#REF!</definedName>
    <definedName name="Total_contract_Value">[97]Title!$B$30</definedName>
    <definedName name="Total_Elec">#REF!</definedName>
    <definedName name="total_exposure_curr_rate">'[85]po-log - curr. rate'!$AH$91</definedName>
    <definedName name="total_exposure_proj_rate">#REF!</definedName>
    <definedName name="Total_Furniture">#REF!</definedName>
    <definedName name="Total_Office">#REF!</definedName>
    <definedName name="unnamed">#REF!</definedName>
    <definedName name="unnamed_0">#REF!</definedName>
    <definedName name="unsec">#REF!</definedName>
    <definedName name="USD">'[21]Interest 30-11-01 not PA 7%'!#REF!</definedName>
    <definedName name="USD.A">#REF!</definedName>
    <definedName name="USD.E">#REF!</definedName>
    <definedName name="USD_B">#REF!</definedName>
    <definedName name="USD_payments">'[21]Interest 30-11-01 not PA 7%'!#REF!</definedName>
    <definedName name="V">#REF!</definedName>
    <definedName name="values">'[86]Determination of Threshold'!$B$3,'[86]Determination of Threshold'!$B$4,'[86]Determination of Threshold'!$B$15</definedName>
    <definedName name="VALuta">'[21]x-rate'!$A$2:$B$11</definedName>
    <definedName name="wcl">#REF!</definedName>
    <definedName name="West_zone">#REF!</definedName>
    <definedName name="working">#REF!</definedName>
    <definedName name="Workoverexpenses">#REF!</definedName>
    <definedName name="wrn.AA." localSheetId="14" hidden="1">{#N/A,#N/A,FALSE,"PMTABB";#N/A,#N/A,FALSE,"PMTABB"}</definedName>
    <definedName name="wrn.AA." hidden="1">{#N/A,#N/A,FALSE,"PMTABB";#N/A,#N/A,FALSE,"PMTABB"}</definedName>
    <definedName name="wrn.Aging._.and._.Trend._.Analysis." localSheetId="14"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Budget2000." localSheetId="14" hidden="1">{#N/A,#N/A,FALSE,"Title";#N/A,#N/A,FALSE,"Corp b sheet";#N/A,#N/A,FALSE,"MODIFIED Pl";#N/A,#N/A,FALSE,"Balance Sheet";#N/A,#N/A,FALSE,"Profit and Loss";#N/A,#N/A,FALSE,"Supplement info";#N/A,#N/A,FALSE,"Cashflow";#N/A,#N/A,FALSE,"Asspc Co - Inv Schedule";#N/A,#N/A,FALSE,"kpi"}</definedName>
    <definedName name="wrn.Budget2000." hidden="1">{#N/A,#N/A,FALSE,"Title";#N/A,#N/A,FALSE,"Corp b sheet";#N/A,#N/A,FALSE,"MODIFIED Pl";#N/A,#N/A,FALSE,"Balance Sheet";#N/A,#N/A,FALSE,"Profit and Loss";#N/A,#N/A,FALSE,"Supplement info";#N/A,#N/A,FALSE,"Cashflow";#N/A,#N/A,FALSE,"Asspc Co - Inv Schedule";#N/A,#N/A,FALSE,"kpi"}</definedName>
    <definedName name="wrn.imprim."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x">#REF!</definedName>
    <definedName name="XREF_COLUMN_1" hidden="1">#REF!</definedName>
    <definedName name="XREF_COLUMN_10" hidden="1">#REF!</definedName>
    <definedName name="XREF_COLUMN_11" hidden="1">'[87]Inventory Count Sheet '!#REF!</definedName>
    <definedName name="XREF_COLUMN_12" hidden="1">'[87]Inventory Count Sheet '!#REF!</definedName>
    <definedName name="XREF_COLUMN_13" hidden="1">'[87]Inventory Count Sheet '!#REF!</definedName>
    <definedName name="XREF_COLUMN_14" hidden="1">#REF!</definedName>
    <definedName name="XREF_COLUMN_2" hidden="1">#REF!</definedName>
    <definedName name="XREF_COLUMN_28" hidden="1">'[88]TAB 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definedName>
    <definedName name="XRefCopy10" hidden="1">#REF!</definedName>
    <definedName name="XRefCopy100Row" hidden="1">#REF!</definedName>
    <definedName name="XRefCopy101Row" hidden="1">#REF!</definedName>
    <definedName name="XRefCopy102Row" hidden="1">#REF!</definedName>
    <definedName name="XRefCopy103Row" hidden="1">#REF!</definedName>
    <definedName name="XRefCopy104Row" hidden="1">#REF!</definedName>
    <definedName name="XRefCopy105Row" hidden="1">#REF!</definedName>
    <definedName name="XRefCopy106Row" hidden="1">#REF!</definedName>
    <definedName name="XRefCopy107Row" hidden="1">#REF!</definedName>
    <definedName name="XRefCopy108Row" hidden="1">#REF!</definedName>
    <definedName name="XRefCopy109Row" hidden="1">#REF!</definedName>
    <definedName name="XRefCopy10Row" hidden="1">#REF!</definedName>
    <definedName name="XRefCopy11" hidden="1">#REF!</definedName>
    <definedName name="XRefCopy110Row"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5" hidden="1">#REF!</definedName>
    <definedName name="XRefCopy15Row" hidden="1">#REF!</definedName>
    <definedName name="XRefCopy16" hidden="1">'[89]5.Crs. TB'!#REF!</definedName>
    <definedName name="XRefCopy16Row" hidden="1">[89]XREF!#REF!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5Row" hidden="1">#REF!</definedName>
    <definedName name="XRefCopy26Row" hidden="1">#REF!</definedName>
    <definedName name="XRefCopy27Row" hidden="1">#REF!</definedName>
    <definedName name="XRefCopy28Row" hidden="1">[90]XREF!#REF!</definedName>
    <definedName name="XRefCopy29Row" hidden="1">#REF!</definedName>
    <definedName name="XRefCopy30Row" hidden="1">#REF!</definedName>
    <definedName name="XRefCopy31" hidden="1">'[87]Inventory Count Sheet '!#REF!</definedName>
    <definedName name="XRefCopy31Row" hidden="1">#REF!</definedName>
    <definedName name="XRefCopy32" hidden="1">#REF!</definedName>
    <definedName name="XRefCopy32Row" hidden="1">#REF!</definedName>
    <definedName name="XRefCopy33"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40" hidden="1">#REF!</definedName>
    <definedName name="XRefCopy40Row" hidden="1">#REF!</definedName>
    <definedName name="XRefCopy41" hidden="1">#REF!</definedName>
    <definedName name="XRefCopy4Row" hidden="1">#REF!</definedName>
    <definedName name="XRefCopy5" hidden="1">#REF!</definedName>
    <definedName name="XRefCopy5Row" hidden="1">[91]XREF!#REF!</definedName>
    <definedName name="XRefCopy6" hidden="1">#REF!</definedName>
    <definedName name="XRefCopy6Row" hidden="1">[74]XREF!#REF!</definedName>
    <definedName name="XRefCopy7" hidden="1">#REF!</definedName>
    <definedName name="XRefCopy8" hidden="1">#REF!</definedName>
    <definedName name="XRefCopy88Row" hidden="1">#REF!</definedName>
    <definedName name="XRefCopy89Row" hidden="1">#REF!</definedName>
    <definedName name="XRefCopy8Row" hidden="1">#REF!</definedName>
    <definedName name="XRefCopy9" hidden="1">#REF!</definedName>
    <definedName name="XRefCopy90Row" hidden="1">#REF!</definedName>
    <definedName name="XRefCopy91Row" hidden="1">#REF!</definedName>
    <definedName name="XRefCopy92Row" hidden="1">#REF!</definedName>
    <definedName name="XRefCopy93Row" hidden="1">#REF!</definedName>
    <definedName name="XRefCopy94Row" hidden="1">#REF!</definedName>
    <definedName name="XRefCopy95Row" hidden="1">#REF!</definedName>
    <definedName name="XRefCopy96Row" hidden="1">#REF!</definedName>
    <definedName name="XRefCopy97Row" hidden="1">#REF!</definedName>
    <definedName name="XRefCopy98Row" hidden="1">#REF!</definedName>
    <definedName name="XRefCopy99Row" hidden="1">#REF!</definedName>
    <definedName name="XRefCopy9Row" hidden="1">#REF!</definedName>
    <definedName name="XRefCopyRangeCount" hidden="1">2</definedName>
    <definedName name="XRefPaste10" hidden="1">#REF!</definedName>
    <definedName name="XRefPaste100Row" hidden="1">#REF!</definedName>
    <definedName name="XRefPaste101Row" hidden="1">#REF!</definedName>
    <definedName name="XRefPaste102Row" hidden="1">#REF!</definedName>
    <definedName name="XRefPaste103Row" hidden="1">#REF!</definedName>
    <definedName name="XRefPaste104Row" hidden="1">#REF!</definedName>
    <definedName name="XRefPaste105Row" hidden="1">#REF!</definedName>
    <definedName name="XRefPaste106Row" hidden="1">#REF!</definedName>
    <definedName name="XRefPaste107Row" hidden="1">#REF!</definedName>
    <definedName name="XRefPaste108Row" hidden="1">#REF!</definedName>
    <definedName name="XRefPaste109Row" hidden="1">#REF!</definedName>
    <definedName name="XRefPaste10Row" hidden="1">#REF!</definedName>
    <definedName name="XRefPaste11" hidden="1">#REF!</definedName>
    <definedName name="XRefPaste110Row" hidden="1">#REF!</definedName>
    <definedName name="XRefPaste111Row" hidden="1">#REF!</definedName>
    <definedName name="XRefPaste112Row" hidden="1">#REF!</definedName>
    <definedName name="XRefPaste113Row" hidden="1">#REF!</definedName>
    <definedName name="XRefPaste114Row" hidden="1">#REF!</definedName>
    <definedName name="XRefPaste115Row" hidden="1">#REF!</definedName>
    <definedName name="XRefPaste116Row" hidden="1">#REF!</definedName>
    <definedName name="XRefPaste117Row" hidden="1">#REF!</definedName>
    <definedName name="XRefPaste118Row" hidden="1">#REF!</definedName>
    <definedName name="XRefPaste119Row" hidden="1">#REF!</definedName>
    <definedName name="XRefPaste11Row" hidden="1">#REF!</definedName>
    <definedName name="XRefPaste12" hidden="1">#REF!</definedName>
    <definedName name="XRefPaste120Row" hidden="1">#REF!</definedName>
    <definedName name="XRefPaste121Row" hidden="1">#REF!</definedName>
    <definedName name="XRefPaste122Row" hidden="1">#REF!</definedName>
    <definedName name="XRefPaste123Row" hidden="1">#REF!</definedName>
    <definedName name="XRefPaste124Row" hidden="1">#REF!</definedName>
    <definedName name="XRefPaste125Row" hidden="1">#REF!</definedName>
    <definedName name="XRefPaste126Row" hidden="1">#REF!</definedName>
    <definedName name="XRefPaste127Row" hidden="1">#REF!</definedName>
    <definedName name="XRefPaste128Row" hidden="1">#REF!</definedName>
    <definedName name="XRefPaste129Row" hidden="1">#REF!</definedName>
    <definedName name="XRefPaste12Row" hidden="1">#REF!</definedName>
    <definedName name="XRefPaste13" hidden="1">#REF!</definedName>
    <definedName name="XRefPaste130Row" hidden="1">#REF!</definedName>
    <definedName name="XRefPaste131Row" hidden="1">#REF!</definedName>
    <definedName name="XRefPaste132Row" hidden="1">#REF!</definedName>
    <definedName name="XRefPaste133Row" hidden="1">#REF!</definedName>
    <definedName name="XRefPaste134Row" hidden="1">#REF!</definedName>
    <definedName name="XRefPaste135Row"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[90]XREF!#REF!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[92]XREF!#REF!</definedName>
    <definedName name="XRefPaste30" hidden="1">#REF!</definedName>
    <definedName name="XRefPaste30Row" hidden="1">#REF!</definedName>
    <definedName name="XRefPaste31Row" hidden="1">#REF!</definedName>
    <definedName name="XRefPaste32Row" hidden="1">#REF!</definedName>
    <definedName name="XRefPaste33Row" hidden="1">#REF!</definedName>
    <definedName name="XRefPaste34Row" hidden="1">#REF!</definedName>
    <definedName name="XRefPaste35" hidden="1">'[87]Inventory Count Sheet '!#REF!</definedName>
    <definedName name="XRefPaste35Row" hidden="1">#REF!</definedName>
    <definedName name="XRefPaste36" hidden="1">'[87]Inventory Count Sheet '!#REF!</definedName>
    <definedName name="XRefPaste36Row" hidden="1">#REF!</definedName>
    <definedName name="XRefPaste37" hidden="1">'[87]Inventory Count Sheet '!#REF!</definedName>
    <definedName name="XRefPaste37Row" hidden="1">#REF!</definedName>
    <definedName name="XRefPaste38" hidden="1">'[87]Inventory Count Sheet '!#REF!</definedName>
    <definedName name="XRefPaste38Row" hidden="1">#REF!</definedName>
    <definedName name="XRefPaste39" hidden="1">#REF!</definedName>
    <definedName name="XRefPaste39Row"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Row" hidden="1">#REF!</definedName>
    <definedName name="XRefPaste46Row" hidden="1">#REF!</definedName>
    <definedName name="XRefPaste47" hidden="1">'[88]2.Control Sheet'!#REF!</definedName>
    <definedName name="XRefPaste47Row" hidden="1">#REF!</definedName>
    <definedName name="XRefPaste48Row" hidden="1">#REF!</definedName>
    <definedName name="XRefPaste49Row" hidden="1">#REF!</definedName>
    <definedName name="XRefPaste5" hidden="1">#REF!</definedName>
    <definedName name="XRefPaste50Row" hidden="1">#REF!</definedName>
    <definedName name="XRefPaste51Row" hidden="1">#REF!</definedName>
    <definedName name="XRefPaste52Row" hidden="1">#REF!</definedName>
    <definedName name="XRefPaste53Row" hidden="1">#REF!</definedName>
    <definedName name="XRefPaste54Row" hidden="1">#REF!</definedName>
    <definedName name="XRefPaste55Row" hidden="1">#REF!</definedName>
    <definedName name="XRefPaste56Row" hidden="1">#REF!</definedName>
    <definedName name="XRefPaste57Row" hidden="1">#REF!</definedName>
    <definedName name="XRefPaste58Row" hidden="1">#REF!</definedName>
    <definedName name="XRefPaste59Row" hidden="1">#REF!</definedName>
    <definedName name="XRefPaste5Row" hidden="1">[74]XREF!#REF!</definedName>
    <definedName name="XRefPaste6" hidden="1">#REF!</definedName>
    <definedName name="XRefPaste60Row" hidden="1">#REF!</definedName>
    <definedName name="XRefPaste61Row" hidden="1">#REF!</definedName>
    <definedName name="XRefPaste62Row" hidden="1">#REF!</definedName>
    <definedName name="XRefPaste63Row" hidden="1">#REF!</definedName>
    <definedName name="XRefPaste64Row" hidden="1">#REF!</definedName>
    <definedName name="XRefPaste65Row" hidden="1">#REF!</definedName>
    <definedName name="XRefPaste66Row" hidden="1">#REF!</definedName>
    <definedName name="XRefPaste67Row" hidden="1">#REF!</definedName>
    <definedName name="XRefPaste68Row" hidden="1">#REF!</definedName>
    <definedName name="XRefPaste69Row" hidden="1">#REF!</definedName>
    <definedName name="XRefPaste6Row" hidden="1">#REF!</definedName>
    <definedName name="XRefPaste7" hidden="1">#REF!</definedName>
    <definedName name="XRefPaste70Row" hidden="1">#REF!</definedName>
    <definedName name="XRefPaste71Row" hidden="1">#REF!</definedName>
    <definedName name="XRefPaste72Row" hidden="1">#REF!</definedName>
    <definedName name="XRefPaste73Row" hidden="1">#REF!</definedName>
    <definedName name="XRefPaste74Row" hidden="1">#REF!</definedName>
    <definedName name="XRefPaste76Row" hidden="1">#REF!</definedName>
    <definedName name="XRefPaste77Row" hidden="1">#REF!</definedName>
    <definedName name="XRefPaste79Row" hidden="1">#REF!</definedName>
    <definedName name="XRefPaste7Row" hidden="1">#REF!</definedName>
    <definedName name="XRefPaste8" hidden="1">#REF!</definedName>
    <definedName name="XRefPaste80Row" hidden="1">#REF!</definedName>
    <definedName name="XRefPaste81Row" hidden="1">#REF!</definedName>
    <definedName name="XRefPaste82Row" hidden="1">#REF!</definedName>
    <definedName name="XRefPaste83Row" hidden="1">#REF!</definedName>
    <definedName name="XRefPaste85Row" hidden="1">#REF!</definedName>
    <definedName name="XRefPaste86Row" hidden="1">#REF!</definedName>
    <definedName name="XRefPaste87Row" hidden="1">#REF!</definedName>
    <definedName name="XRefPaste88Row" hidden="1">#REF!</definedName>
    <definedName name="XRefPaste89Row" hidden="1">#REF!</definedName>
    <definedName name="XRefPaste8Row" hidden="1">#REF!</definedName>
    <definedName name="XRefPaste9" hidden="1">#REF!</definedName>
    <definedName name="XRefPaste90Row" hidden="1">#REF!</definedName>
    <definedName name="XRefPaste91Row" hidden="1">#REF!</definedName>
    <definedName name="XRefPaste92Row" hidden="1">#REF!</definedName>
    <definedName name="XRefPaste93Row" hidden="1">#REF!</definedName>
    <definedName name="XRefPaste94Row" hidden="1">#REF!</definedName>
    <definedName name="XRefPaste95Row" hidden="1">#REF!</definedName>
    <definedName name="XRefPaste96Row" hidden="1">#REF!</definedName>
    <definedName name="XRefPaste97Row" hidden="1">#REF!</definedName>
    <definedName name="XRefPaste98Row" hidden="1">#REF!</definedName>
    <definedName name="XRefPaste99Row" hidden="1">#REF!</definedName>
    <definedName name="XRefPaste9Row" hidden="1">#REF!</definedName>
    <definedName name="XRefPasteRangeCount" hidden="1">2</definedName>
    <definedName name="xsxa" localSheetId="14" hidden="1">{"'Sheet1'!$A$4386:$N$4591"}</definedName>
    <definedName name="xsxa" hidden="1">{"'Sheet1'!$A$4386:$N$4591"}</definedName>
    <definedName name="xx">'[93]TRIAL BALANCE'!#REF!</definedName>
    <definedName name="xy">'[14]HBI NCD'!#REF!</definedName>
    <definedName name="xyz" hidden="1">#REF!</definedName>
    <definedName name="ye">'[26]Clause 9'!$A$3</definedName>
    <definedName name="YearStart10">'[94]PL6-Revenue Bridge'!#REF!</definedName>
    <definedName name="YearStart2">'[94]PL6-Revenue Bridge'!$B$14</definedName>
    <definedName name="YearStart3">'[94]PL6-Revenue Bridge'!$B$21</definedName>
    <definedName name="YearStart4">'[94]PL6-Revenue Bridge'!#REF!</definedName>
    <definedName name="YearStart5">'[94]PL6-Revenue Bridge'!#REF!</definedName>
    <definedName name="YearStart6">'[94]PL6-Revenue Bridge'!#REF!</definedName>
    <definedName name="YearStart7">'[94]PL6-Revenue Bridge'!#REF!</definedName>
    <definedName name="z">[23]Details!$C$5</definedName>
    <definedName name="Z_317BF6D7_5DAE_4CF0_B410_55B49A849653_.wvu.FilterData" localSheetId="21" hidden="1">'10-17'!#REF!</definedName>
    <definedName name="Z_317BF6D7_5DAE_4CF0_B410_55B49A849653_.wvu.FilterData" localSheetId="22" hidden="1">'18-26'!#REF!</definedName>
    <definedName name="Z_317BF6D7_5DAE_4CF0_B410_55B49A849653_.wvu.FilterData" localSheetId="18" hidden="1">'3-4'!#REF!</definedName>
    <definedName name="Z_317BF6D7_5DAE_4CF0_B410_55B49A849653_.wvu.FilterData" localSheetId="19" hidden="1">'5-9'!#REF!</definedName>
    <definedName name="Z_317BF6D7_5DAE_4CF0_B410_55B49A849653_.wvu.FilterData" localSheetId="23" hidden="1">'Note 27 Segment Reporting'!#REF!</definedName>
    <definedName name="Z_317BF6D7_5DAE_4CF0_B410_55B49A849653_.wvu.FilterData" localSheetId="24" hidden="1">'Notes 28-35'!$A$196:$O$247</definedName>
    <definedName name="Z_317BF6D7_5DAE_4CF0_B410_55B49A849653_.wvu.FilterData" localSheetId="14" hidden="1">'Significant Accounting Poli New'!#REF!</definedName>
    <definedName name="Z_527BB5FE_AF5E_4BD1_831A_B22DFEB009A3_.wvu.FilterData" localSheetId="21" hidden="1">'10-17'!#REF!</definedName>
    <definedName name="Z_527BB5FE_AF5E_4BD1_831A_B22DFEB009A3_.wvu.FilterData" localSheetId="22" hidden="1">'18-26'!#REF!</definedName>
    <definedName name="Z_527BB5FE_AF5E_4BD1_831A_B22DFEB009A3_.wvu.FilterData" localSheetId="18" hidden="1">'3-4'!#REF!</definedName>
    <definedName name="Z_527BB5FE_AF5E_4BD1_831A_B22DFEB009A3_.wvu.FilterData" localSheetId="19" hidden="1">'5-9'!#REF!</definedName>
    <definedName name="Z_527BB5FE_AF5E_4BD1_831A_B22DFEB009A3_.wvu.FilterData" localSheetId="23" hidden="1">'Note 27 Segment Reporting'!#REF!</definedName>
    <definedName name="Z_527BB5FE_AF5E_4BD1_831A_B22DFEB009A3_.wvu.FilterData" localSheetId="24" hidden="1">'Notes 28-35'!$A$196:$O$247</definedName>
    <definedName name="Z_527BB5FE_AF5E_4BD1_831A_B22DFEB009A3_.wvu.FilterData" localSheetId="14" hidden="1">'Significant Accounting Poli New'!#REF!</definedName>
    <definedName name="Z_5F6594D0_385C_42B7_BC61_BEEC8074C142_.wvu.FilterData" localSheetId="21" hidden="1">'10-17'!#REF!</definedName>
    <definedName name="Z_5F6594D0_385C_42B7_BC61_BEEC8074C142_.wvu.FilterData" localSheetId="22" hidden="1">'18-26'!#REF!</definedName>
    <definedName name="Z_5F6594D0_385C_42B7_BC61_BEEC8074C142_.wvu.FilterData" localSheetId="18" hidden="1">'3-4'!#REF!</definedName>
    <definedName name="Z_5F6594D0_385C_42B7_BC61_BEEC8074C142_.wvu.FilterData" localSheetId="19" hidden="1">'5-9'!#REF!</definedName>
    <definedName name="Z_5F6594D0_385C_42B7_BC61_BEEC8074C142_.wvu.FilterData" localSheetId="23" hidden="1">'Note 27 Segment Reporting'!#REF!</definedName>
    <definedName name="Z_5F6594D0_385C_42B7_BC61_BEEC8074C142_.wvu.FilterData" localSheetId="24" hidden="1">'Notes 28-35'!$A$196:$O$247</definedName>
    <definedName name="Z_5F6594D0_385C_42B7_BC61_BEEC8074C142_.wvu.FilterData" localSheetId="14" hidden="1">'Significant Accounting Poli New'!#REF!</definedName>
    <definedName name="Z_7AE8123B_D957_49CB_BA95_FC7485B9632C_.wvu.FilterData" localSheetId="21" hidden="1">'10-17'!#REF!</definedName>
    <definedName name="Z_7AE8123B_D957_49CB_BA95_FC7485B9632C_.wvu.FilterData" localSheetId="22" hidden="1">'18-26'!#REF!</definedName>
    <definedName name="Z_7AE8123B_D957_49CB_BA95_FC7485B9632C_.wvu.FilterData" localSheetId="18" hidden="1">'3-4'!#REF!</definedName>
    <definedName name="Z_7AE8123B_D957_49CB_BA95_FC7485B9632C_.wvu.FilterData" localSheetId="19" hidden="1">'5-9'!#REF!</definedName>
    <definedName name="Z_7AE8123B_D957_49CB_BA95_FC7485B9632C_.wvu.FilterData" localSheetId="23" hidden="1">'Note 27 Segment Reporting'!#REF!</definedName>
    <definedName name="Z_7AE8123B_D957_49CB_BA95_FC7485B9632C_.wvu.FilterData" localSheetId="24" hidden="1">'Notes 28-35'!$A$196:$O$247</definedName>
    <definedName name="Z_7AE8123B_D957_49CB_BA95_FC7485B9632C_.wvu.FilterData" localSheetId="14" hidden="1">'Significant Accounting Poli New'!#REF!</definedName>
    <definedName name="Z_7DE2E292_A31A_4EA1_9F1D_70BF4370541E_.wvu.FilterData" localSheetId="13" hidden="1">CF!$B$1:$B$97</definedName>
    <definedName name="Z_81407D0B_47F4_4029_9BED_1EA1C4864C4B_.wvu.FilterData" localSheetId="21" hidden="1">'10-17'!#REF!</definedName>
    <definedName name="Z_81407D0B_47F4_4029_9BED_1EA1C4864C4B_.wvu.FilterData" localSheetId="22" hidden="1">'18-26'!#REF!</definedName>
    <definedName name="Z_81407D0B_47F4_4029_9BED_1EA1C4864C4B_.wvu.FilterData" localSheetId="18" hidden="1">'3-4'!#REF!</definedName>
    <definedName name="Z_81407D0B_47F4_4029_9BED_1EA1C4864C4B_.wvu.FilterData" localSheetId="19" hidden="1">'5-9'!#REF!</definedName>
    <definedName name="Z_81407D0B_47F4_4029_9BED_1EA1C4864C4B_.wvu.FilterData" localSheetId="23" hidden="1">'Note 27 Segment Reporting'!#REF!</definedName>
    <definedName name="Z_81407D0B_47F4_4029_9BED_1EA1C4864C4B_.wvu.FilterData" localSheetId="24" hidden="1">'Notes 28-35'!$A$196:$O$247</definedName>
    <definedName name="Z_81407D0B_47F4_4029_9BED_1EA1C4864C4B_.wvu.FilterData" localSheetId="14" hidden="1">'Significant Accounting Poli New'!#REF!</definedName>
    <definedName name="Z_8E0C9CB1_9667_488C_9ADC_19D175BDA0CA_.wvu.FilterData" localSheetId="21" hidden="1">'10-17'!#REF!</definedName>
    <definedName name="Z_8E0C9CB1_9667_488C_9ADC_19D175BDA0CA_.wvu.FilterData" localSheetId="22" hidden="1">'18-26'!#REF!</definedName>
    <definedName name="Z_8E0C9CB1_9667_488C_9ADC_19D175BDA0CA_.wvu.FilterData" localSheetId="18" hidden="1">'3-4'!#REF!</definedName>
    <definedName name="Z_8E0C9CB1_9667_488C_9ADC_19D175BDA0CA_.wvu.FilterData" localSheetId="19" hidden="1">'5-9'!#REF!</definedName>
    <definedName name="Z_8E0C9CB1_9667_488C_9ADC_19D175BDA0CA_.wvu.FilterData" localSheetId="23" hidden="1">'Note 27 Segment Reporting'!#REF!</definedName>
    <definedName name="Z_8E0C9CB1_9667_488C_9ADC_19D175BDA0CA_.wvu.FilterData" localSheetId="24" hidden="1">'Notes 28-35'!$A$196:$O$247</definedName>
    <definedName name="Z_8E0C9CB1_9667_488C_9ADC_19D175BDA0CA_.wvu.FilterData" localSheetId="8" hidden="1">'PL Gr'!$A$4:$I$475</definedName>
    <definedName name="Z_8E0C9CB1_9667_488C_9ADC_19D175BDA0CA_.wvu.FilterData" localSheetId="14" hidden="1">'Significant Accounting Poli New'!#REF!</definedName>
    <definedName name="Z_955AE9A9_D3C8_4DA8_B800_DF67CA413CE1_.wvu.Cols" localSheetId="13" hidden="1">CF!$D:$D</definedName>
    <definedName name="Z_955AE9A9_D3C8_4DA8_B800_DF67CA413CE1_.wvu.Cols" localSheetId="11" hidden="1">'Sch - BS'!$B:$B</definedName>
    <definedName name="Z_955AE9A9_D3C8_4DA8_B800_DF67CA413CE1_.wvu.Cols" localSheetId="34" hidden="1">'Sch - FA'!$L:$L</definedName>
    <definedName name="Z_955AE9A9_D3C8_4DA8_B800_DF67CA413CE1_.wvu.FilterData" localSheetId="21" hidden="1">'10-17'!$A$1:$A$366</definedName>
    <definedName name="Z_955AE9A9_D3C8_4DA8_B800_DF67CA413CE1_.wvu.FilterData" localSheetId="22" hidden="1">'18-26'!$A$1:$A$419</definedName>
    <definedName name="Z_955AE9A9_D3C8_4DA8_B800_DF67CA413CE1_.wvu.FilterData" localSheetId="18" hidden="1">'3-4'!$A$1:$A$43</definedName>
    <definedName name="Z_955AE9A9_D3C8_4DA8_B800_DF67CA413CE1_.wvu.FilterData" localSheetId="19" hidden="1">'5-9'!$A$1:$A$215</definedName>
    <definedName name="Z_955AE9A9_D3C8_4DA8_B800_DF67CA413CE1_.wvu.FilterData" localSheetId="4" hidden="1">BS!$A$1:$A$84</definedName>
    <definedName name="Z_955AE9A9_D3C8_4DA8_B800_DF67CA413CE1_.wvu.FilterData" localSheetId="6" hidden="1">'BS Gr'!$A$5:$X$930</definedName>
    <definedName name="Z_955AE9A9_D3C8_4DA8_B800_DF67CA413CE1_.wvu.FilterData" localSheetId="13" hidden="1">CF!$B$1:$B$97</definedName>
    <definedName name="Z_955AE9A9_D3C8_4DA8_B800_DF67CA413CE1_.wvu.FilterData" localSheetId="31" hidden="1">'Entries'' 22-23'!$A$4:$I$1093</definedName>
    <definedName name="Z_955AE9A9_D3C8_4DA8_B800_DF67CA413CE1_.wvu.FilterData" localSheetId="23" hidden="1">'Note 27 Segment Reporting'!$A$1:$A$80</definedName>
    <definedName name="Z_955AE9A9_D3C8_4DA8_B800_DF67CA413CE1_.wvu.FilterData" localSheetId="24" hidden="1">'Notes 28-35'!$A$1:$A$645</definedName>
    <definedName name="Z_955AE9A9_D3C8_4DA8_B800_DF67CA413CE1_.wvu.FilterData" localSheetId="7" hidden="1">PL!$A$1:$A$67</definedName>
    <definedName name="Z_955AE9A9_D3C8_4DA8_B800_DF67CA413CE1_.wvu.FilterData" localSheetId="8" hidden="1">'PL Gr'!$A$4:$I$474</definedName>
    <definedName name="Z_955AE9A9_D3C8_4DA8_B800_DF67CA413CE1_.wvu.FilterData" localSheetId="14" hidden="1">'Significant Accounting Poli New'!$A$1:$A$229</definedName>
    <definedName name="Z_955AE9A9_D3C8_4DA8_B800_DF67CA413CE1_.wvu.FilterData" localSheetId="12" hidden="1">'TB for financial'!$A$4:$O$1108</definedName>
    <definedName name="Z_955AE9A9_D3C8_4DA8_B800_DF67CA413CE1_.wvu.PrintArea" localSheetId="21" hidden="1">'10-17'!$A$1:$J$366</definedName>
    <definedName name="Z_955AE9A9_D3C8_4DA8_B800_DF67CA413CE1_.wvu.PrintArea" localSheetId="22" hidden="1">'18-26'!$A$1:$K$419</definedName>
    <definedName name="Z_955AE9A9_D3C8_4DA8_B800_DF67CA413CE1_.wvu.PrintArea" localSheetId="18" hidden="1">'3-4'!$A$1:$I$43</definedName>
    <definedName name="Z_955AE9A9_D3C8_4DA8_B800_DF67CA413CE1_.wvu.PrintArea" localSheetId="19" hidden="1">'5-9'!$A$1:$K$215</definedName>
    <definedName name="Z_955AE9A9_D3C8_4DA8_B800_DF67CA413CE1_.wvu.PrintArea" localSheetId="4" hidden="1">BS!$A$1:$G$84</definedName>
    <definedName name="Z_955AE9A9_D3C8_4DA8_B800_DF67CA413CE1_.wvu.PrintArea" localSheetId="13" hidden="1">CF!$B$1:$H$97</definedName>
    <definedName name="Z_955AE9A9_D3C8_4DA8_B800_DF67CA413CE1_.wvu.PrintArea" localSheetId="23" hidden="1">'Note 27 Segment Reporting'!$A$1:$J$80</definedName>
    <definedName name="Z_955AE9A9_D3C8_4DA8_B800_DF67CA413CE1_.wvu.PrintArea" localSheetId="24" hidden="1">'Notes 28-35'!$A$1:$K$645</definedName>
    <definedName name="Z_955AE9A9_D3C8_4DA8_B800_DF67CA413CE1_.wvu.PrintArea" localSheetId="7" hidden="1">PL!$A$1:$H$67</definedName>
    <definedName name="Z_955AE9A9_D3C8_4DA8_B800_DF67CA413CE1_.wvu.PrintArea" localSheetId="11" hidden="1">'Sch - BS'!$A$1:$G$317</definedName>
    <definedName name="Z_955AE9A9_D3C8_4DA8_B800_DF67CA413CE1_.wvu.PrintArea" localSheetId="10" hidden="1">'Sch - PL'!$A$1:$G$131</definedName>
    <definedName name="Z_955AE9A9_D3C8_4DA8_B800_DF67CA413CE1_.wvu.PrintArea" localSheetId="14" hidden="1">'Significant Accounting Poli New'!$A$1:$K$229</definedName>
    <definedName name="Z_955AE9A9_D3C8_4DA8_B800_DF67CA413CE1_.wvu.PrintTitles" localSheetId="21" hidden="1">'10-17'!$1:$6</definedName>
    <definedName name="Z_955AE9A9_D3C8_4DA8_B800_DF67CA413CE1_.wvu.PrintTitles" localSheetId="22" hidden="1">'18-26'!$1:$5</definedName>
    <definedName name="Z_955AE9A9_D3C8_4DA8_B800_DF67CA413CE1_.wvu.PrintTitles" localSheetId="18" hidden="1">'3-4'!$1:$5</definedName>
    <definedName name="Z_955AE9A9_D3C8_4DA8_B800_DF67CA413CE1_.wvu.PrintTitles" localSheetId="19" hidden="1">'5-9'!$1:$5</definedName>
    <definedName name="Z_955AE9A9_D3C8_4DA8_B800_DF67CA413CE1_.wvu.PrintTitles" localSheetId="6" hidden="1">'BS Gr'!$1:$5</definedName>
    <definedName name="Z_955AE9A9_D3C8_4DA8_B800_DF67CA413CE1_.wvu.PrintTitles" localSheetId="23" hidden="1">'Note 27 Segment Reporting'!$1:$6</definedName>
    <definedName name="Z_955AE9A9_D3C8_4DA8_B800_DF67CA413CE1_.wvu.PrintTitles" localSheetId="24" hidden="1">'Notes 28-35'!$1:$6</definedName>
    <definedName name="Z_955AE9A9_D3C8_4DA8_B800_DF67CA413CE1_.wvu.PrintTitles" localSheetId="8" hidden="1">'PL Gr'!$1:$4</definedName>
    <definedName name="Z_955AE9A9_D3C8_4DA8_B800_DF67CA413CE1_.wvu.PrintTitles" localSheetId="11" hidden="1">'Sch - BS'!$1:$5</definedName>
    <definedName name="Z_955AE9A9_D3C8_4DA8_B800_DF67CA413CE1_.wvu.PrintTitles" localSheetId="10" hidden="1">'Sch - PL'!$1:$5</definedName>
    <definedName name="Z_955AE9A9_D3C8_4DA8_B800_DF67CA413CE1_.wvu.PrintTitles" localSheetId="14" hidden="1">'Significant Accounting Poli New'!$1:$5</definedName>
    <definedName name="Z_955AE9A9_D3C8_4DA8_B800_DF67CA413CE1_.wvu.PrintTitles" localSheetId="37" hidden="1">'TB Download'!$1:$4</definedName>
    <definedName name="Z_955AE9A9_D3C8_4DA8_B800_DF67CA413CE1_.wvu.Rows" localSheetId="21" hidden="1">'10-17'!#REF!,'10-17'!#REF!,'10-17'!#REF!,'10-17'!#REF!,'10-17'!#REF!,'10-17'!#REF!,'10-17'!#REF!,'10-17'!#REF!,'10-17'!#REF!,'10-17'!#REF!,'10-17'!#REF!,'10-17'!#REF!,'10-17'!#REF!,'10-17'!#REF!,'10-17'!#REF!,'10-17'!#REF!,'10-17'!#REF!,'10-17'!#REF!,'10-17'!#REF!,'10-17'!#REF!,'10-17'!#REF!,'10-17'!#REF!,'10-17'!#REF!,'10-17'!#REF!,'10-17'!#REF!,'10-17'!#REF!,'10-17'!#REF!,'10-17'!#REF!,'10-17'!#REF!,'10-17'!#REF!</definedName>
    <definedName name="Z_955AE9A9_D3C8_4DA8_B800_DF67CA413CE1_.wvu.Rows" localSheetId="22" hidden="1">'18-26'!#REF!,'18-26'!#REF!,'18-26'!#REF!,'18-26'!#REF!,'18-26'!#REF!,'18-26'!#REF!,'18-26'!#REF!,'18-26'!#REF!,'18-26'!#REF!,'18-26'!#REF!,'18-26'!#REF!,'18-26'!#REF!,'18-26'!#REF!,'18-26'!#REF!,'18-26'!#REF!,'18-26'!#REF!,'18-26'!#REF!,'18-26'!#REF!,'18-26'!#REF!,'18-26'!#REF!,'18-26'!#REF!,'18-26'!#REF!,'18-26'!$99:$99,'18-26'!$107:$107,'18-26'!#REF!,'18-26'!#REF!,'18-26'!#REF!,'18-26'!#REF!,'18-26'!#REF!,'18-26'!#REF!</definedName>
    <definedName name="Z_955AE9A9_D3C8_4DA8_B800_DF67CA413CE1_.wvu.Rows" localSheetId="18" hidden="1">'3-4'!#REF!,'3-4'!#REF!,'3-4'!$17:$18,'3-4'!$22:$22,'3-4'!$31:$32,'3-4'!$36:$36,'3-4'!#REF!,'3-4'!#REF!,'3-4'!#REF!,'3-4'!#REF!,'3-4'!#REF!,'3-4'!#REF!,'3-4'!#REF!,'3-4'!#REF!,'3-4'!#REF!,'3-4'!#REF!,'3-4'!#REF!,'3-4'!#REF!,'3-4'!#REF!,'3-4'!#REF!,'3-4'!#REF!,'3-4'!#REF!,'3-4'!#REF!,'3-4'!#REF!,'3-4'!#REF!,'3-4'!#REF!,'3-4'!#REF!,'3-4'!#REF!,'3-4'!#REF!,'3-4'!#REF!</definedName>
    <definedName name="Z_955AE9A9_D3C8_4DA8_B800_DF67CA413CE1_.wvu.Rows" localSheetId="19" hidden="1">'5-9'!#REF!,'5-9'!#REF!,'5-9'!#REF!,'5-9'!#REF!,'5-9'!#REF!,'5-9'!#REF!,'5-9'!$43:$43,'5-9'!#REF!,'5-9'!#REF!,'5-9'!#REF!,'5-9'!$44:$44,'5-9'!#REF!,'5-9'!#REF!,'5-9'!#REF!,'5-9'!#REF!,'5-9'!$132:$133,'5-9'!$164:$172,'5-9'!#REF!,'5-9'!#REF!,'5-9'!$173:$173,'5-9'!#REF!,'5-9'!#REF!,'5-9'!#REF!,'5-9'!#REF!,'5-9'!#REF!,'5-9'!#REF!,'5-9'!#REF!,'5-9'!#REF!,'5-9'!#REF!,'5-9'!#REF!</definedName>
    <definedName name="Z_955AE9A9_D3C8_4DA8_B800_DF67CA413CE1_.wvu.Rows" localSheetId="4" hidden="1">BS!$50:$50,BS!#REF!</definedName>
    <definedName name="Z_955AE9A9_D3C8_4DA8_B800_DF67CA413CE1_.wvu.Rows" localSheetId="13" hidden="1">CF!#REF!</definedName>
    <definedName name="Z_955AE9A9_D3C8_4DA8_B800_DF67CA413CE1_.wvu.Rows" localSheetId="23" hidden="1">'Note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Reporting'!#REF!,'Note 27 Segment Reporting'!#REF!</definedName>
    <definedName name="Z_955AE9A9_D3C8_4DA8_B800_DF67CA413CE1_.wvu.Rows" localSheetId="24" hidden="1">'Notes 28-35'!#REF!,'Notes 28-35'!#REF!,'Notes 28-35'!#REF!,'Notes 28-35'!#REF!,'Notes 28-35'!#REF!,'Notes 28-35'!#REF!,'Notes 28-35'!#REF!,'Notes 28-35'!#REF!,'Notes 28-35'!#REF!,'Notes 28-35'!#REF!,'Notes 28-35'!#REF!,'Notes 28-35'!#REF!,'Notes 28-35'!#REF!,'Notes 28-35'!#REF!,'Notes 28-35'!#REF!,'Notes 28-35'!#REF!,'Notes 28-35'!#REF!,'Notes 28-35'!#REF!,'Notes 28-35'!#REF!,'Notes 28-35'!#REF!,'Notes 28-35'!#REF!,'Notes 28-35'!#REF!,'Notes 28-35'!#REF!,'Notes 28-35'!#REF!,'Notes 28-35'!#REF!,'Notes 28-35'!$133:$133,'Notes 28-35'!$161:$162,'Notes 28-35'!$175:$175,'Notes 28-35'!#REF!,'Notes 28-35'!$185:$185</definedName>
    <definedName name="Z_955AE9A9_D3C8_4DA8_B800_DF67CA413CE1_.wvu.Rows" localSheetId="7" hidden="1">PL!#REF!,PL!#REF!,PL!$23:$25</definedName>
    <definedName name="Z_955AE9A9_D3C8_4DA8_B800_DF67CA413CE1_.wvu.Rows" localSheetId="11" hidden="1">'Sch - BS'!#REF!,'Sch - BS'!#REF!</definedName>
    <definedName name="Z_955AE9A9_D3C8_4DA8_B800_DF67CA413CE1_.wvu.Rows" localSheetId="14" hidden="1">'Significant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New'!#REF!,'Significant Accounting Poli New'!#REF!</definedName>
    <definedName name="Z_9F35D44A_11AD_46BF_9D57_07F4164EAA3B_.wvu.FilterData" localSheetId="6" hidden="1">'BS Gr'!$A$5:$X$930</definedName>
    <definedName name="Z_B75882E9_17F5_4F59_B102_E34C7F7C2C68_.wvu.FilterData" localSheetId="21" hidden="1">'10-17'!#REF!</definedName>
    <definedName name="Z_B75882E9_17F5_4F59_B102_E34C7F7C2C68_.wvu.FilterData" localSheetId="22" hidden="1">'18-26'!#REF!</definedName>
    <definedName name="Z_B75882E9_17F5_4F59_B102_E34C7F7C2C68_.wvu.FilterData" localSheetId="18" hidden="1">'3-4'!#REF!</definedName>
    <definedName name="Z_B75882E9_17F5_4F59_B102_E34C7F7C2C68_.wvu.FilterData" localSheetId="19" hidden="1">'5-9'!#REF!</definedName>
    <definedName name="Z_B75882E9_17F5_4F59_B102_E34C7F7C2C68_.wvu.FilterData" localSheetId="23" hidden="1">'Note 27 Segment Reporting'!#REF!</definedName>
    <definedName name="Z_B75882E9_17F5_4F59_B102_E34C7F7C2C68_.wvu.FilterData" localSheetId="24" hidden="1">'Notes 28-35'!$A$196:$O$247</definedName>
    <definedName name="Z_B75882E9_17F5_4F59_B102_E34C7F7C2C68_.wvu.FilterData" localSheetId="14" hidden="1">'Significant Accounting Poli New'!#REF!</definedName>
    <definedName name="Z_C89E0174_9AD8_469D_815F_0F908DB3290A_.wvu.Cols" localSheetId="21" hidden="1">'10-17'!$K:$K</definedName>
    <definedName name="Z_C89E0174_9AD8_469D_815F_0F908DB3290A_.wvu.Cols" localSheetId="22" hidden="1">'18-26'!$L:$L</definedName>
    <definedName name="Z_C89E0174_9AD8_469D_815F_0F908DB3290A_.wvu.Cols" localSheetId="18" hidden="1">'3-4'!$J:$J</definedName>
    <definedName name="Z_C89E0174_9AD8_469D_815F_0F908DB3290A_.wvu.Cols" localSheetId="19" hidden="1">'5-9'!$L:$L</definedName>
    <definedName name="Z_C89E0174_9AD8_469D_815F_0F908DB3290A_.wvu.Cols" localSheetId="4" hidden="1">BS!#REF!</definedName>
    <definedName name="Z_C89E0174_9AD8_469D_815F_0F908DB3290A_.wvu.Cols" localSheetId="13" hidden="1">CF!$C:$D,CF!$I:$S</definedName>
    <definedName name="Z_C89E0174_9AD8_469D_815F_0F908DB3290A_.wvu.Cols" localSheetId="23" hidden="1">'Note 27 Segment Reporting'!#REF!</definedName>
    <definedName name="Z_C89E0174_9AD8_469D_815F_0F908DB3290A_.wvu.Cols" localSheetId="24" hidden="1">'Notes 28-35'!#REF!</definedName>
    <definedName name="Z_C89E0174_9AD8_469D_815F_0F908DB3290A_.wvu.Cols" localSheetId="7" hidden="1">PL!#REF!</definedName>
    <definedName name="Z_C89E0174_9AD8_469D_815F_0F908DB3290A_.wvu.Cols" localSheetId="11" hidden="1">'Sch - BS'!$B:$B</definedName>
    <definedName name="Z_C89E0174_9AD8_469D_815F_0F908DB3290A_.wvu.Cols" localSheetId="34" hidden="1">'Sch - FA'!$L:$L</definedName>
    <definedName name="Z_C89E0174_9AD8_469D_815F_0F908DB3290A_.wvu.Cols" localSheetId="14" hidden="1">'Significant Accounting Poli New'!$L:$L</definedName>
    <definedName name="Z_C89E0174_9AD8_469D_815F_0F908DB3290A_.wvu.FilterData" localSheetId="21" hidden="1">'10-17'!#REF!</definedName>
    <definedName name="Z_C89E0174_9AD8_469D_815F_0F908DB3290A_.wvu.FilterData" localSheetId="22" hidden="1">'18-26'!#REF!</definedName>
    <definedName name="Z_C89E0174_9AD8_469D_815F_0F908DB3290A_.wvu.FilterData" localSheetId="18" hidden="1">'3-4'!#REF!</definedName>
    <definedName name="Z_C89E0174_9AD8_469D_815F_0F908DB3290A_.wvu.FilterData" localSheetId="19" hidden="1">'5-9'!#REF!</definedName>
    <definedName name="Z_C89E0174_9AD8_469D_815F_0F908DB3290A_.wvu.FilterData" localSheetId="4" hidden="1">BS!$A$1:$A$84</definedName>
    <definedName name="Z_C89E0174_9AD8_469D_815F_0F908DB3290A_.wvu.FilterData" localSheetId="6" hidden="1">'BS Gr'!$A$5:$X$930</definedName>
    <definedName name="Z_C89E0174_9AD8_469D_815F_0F908DB3290A_.wvu.FilterData" localSheetId="13" hidden="1">CF!$B$1:$B$97</definedName>
    <definedName name="Z_C89E0174_9AD8_469D_815F_0F908DB3290A_.wvu.FilterData" localSheetId="31" hidden="1">'Entries'' 22-23'!$A$4:$I$1093</definedName>
    <definedName name="Z_C89E0174_9AD8_469D_815F_0F908DB3290A_.wvu.FilterData" localSheetId="23" hidden="1">'Note 27 Segment Reporting'!#REF!</definedName>
    <definedName name="Z_C89E0174_9AD8_469D_815F_0F908DB3290A_.wvu.FilterData" localSheetId="24" hidden="1">'Notes 28-35'!$A$196:$O$247</definedName>
    <definedName name="Z_C89E0174_9AD8_469D_815F_0F908DB3290A_.wvu.FilterData" localSheetId="7" hidden="1">PL!$A$1:$A$67</definedName>
    <definedName name="Z_C89E0174_9AD8_469D_815F_0F908DB3290A_.wvu.FilterData" localSheetId="8" hidden="1">'PL Gr'!$A$4:$I$475</definedName>
    <definedName name="Z_C89E0174_9AD8_469D_815F_0F908DB3290A_.wvu.FilterData" localSheetId="14" hidden="1">'Significant Accounting Poli New'!#REF!</definedName>
    <definedName name="Z_C89E0174_9AD8_469D_815F_0F908DB3290A_.wvu.FilterData" localSheetId="37" hidden="1">'TB Download'!$A$4:$E$256</definedName>
    <definedName name="Z_C89E0174_9AD8_469D_815F_0F908DB3290A_.wvu.FilterData" localSheetId="12" hidden="1">'TB for financial'!$A$4:$O$1109</definedName>
    <definedName name="Z_C89E0174_9AD8_469D_815F_0F908DB3290A_.wvu.PrintArea" localSheetId="21" hidden="1">'10-17'!$A$1:$K$368</definedName>
    <definedName name="Z_C89E0174_9AD8_469D_815F_0F908DB3290A_.wvu.PrintArea" localSheetId="22" hidden="1">'18-26'!$A$1:$L$419</definedName>
    <definedName name="Z_C89E0174_9AD8_469D_815F_0F908DB3290A_.wvu.PrintArea" localSheetId="18" hidden="1">'3-4'!$A$1:$J$43</definedName>
    <definedName name="Z_C89E0174_9AD8_469D_815F_0F908DB3290A_.wvu.PrintArea" localSheetId="19" hidden="1">'5-9'!$A$1:$L$215</definedName>
    <definedName name="Z_C89E0174_9AD8_469D_815F_0F908DB3290A_.wvu.PrintArea" localSheetId="4" hidden="1">BS!$A$1:$G$84</definedName>
    <definedName name="Z_C89E0174_9AD8_469D_815F_0F908DB3290A_.wvu.PrintArea" localSheetId="13" hidden="1">CF!$B$1:$H$97</definedName>
    <definedName name="Z_C89E0174_9AD8_469D_815F_0F908DB3290A_.wvu.PrintArea" localSheetId="23" hidden="1">'Note 27 Segment Reporting'!$A$1:$J$82</definedName>
    <definedName name="Z_C89E0174_9AD8_469D_815F_0F908DB3290A_.wvu.PrintArea" localSheetId="24" hidden="1">'Notes 28-35'!$A$1:$K$649</definedName>
    <definedName name="Z_C89E0174_9AD8_469D_815F_0F908DB3290A_.wvu.PrintArea" localSheetId="7" hidden="1">PL!$A$1:$H$67</definedName>
    <definedName name="Z_C89E0174_9AD8_469D_815F_0F908DB3290A_.wvu.PrintArea" localSheetId="11" hidden="1">'Sch - BS'!$A$1:$G$317</definedName>
    <definedName name="Z_C89E0174_9AD8_469D_815F_0F908DB3290A_.wvu.PrintArea" localSheetId="34" hidden="1">'Sch - FA'!$A$1:$M$41</definedName>
    <definedName name="Z_C89E0174_9AD8_469D_815F_0F908DB3290A_.wvu.PrintArea" localSheetId="10" hidden="1">'Sch - PL'!$A$1:$G$131</definedName>
    <definedName name="Z_C89E0174_9AD8_469D_815F_0F908DB3290A_.wvu.PrintArea" localSheetId="14" hidden="1">'Significant Accounting Poli New'!$A$1:$L$264</definedName>
    <definedName name="Z_C89E0174_9AD8_469D_815F_0F908DB3290A_.wvu.PrintTitles" localSheetId="21" hidden="1">'10-17'!#REF!</definedName>
    <definedName name="Z_C89E0174_9AD8_469D_815F_0F908DB3290A_.wvu.PrintTitles" localSheetId="22" hidden="1">'18-26'!#REF!</definedName>
    <definedName name="Z_C89E0174_9AD8_469D_815F_0F908DB3290A_.wvu.PrintTitles" localSheetId="18" hidden="1">'3-4'!#REF!</definedName>
    <definedName name="Z_C89E0174_9AD8_469D_815F_0F908DB3290A_.wvu.PrintTitles" localSheetId="19" hidden="1">'5-9'!#REF!</definedName>
    <definedName name="Z_C89E0174_9AD8_469D_815F_0F908DB3290A_.wvu.PrintTitles" localSheetId="6" hidden="1">'BS Gr'!$1:$5</definedName>
    <definedName name="Z_C89E0174_9AD8_469D_815F_0F908DB3290A_.wvu.PrintTitles" localSheetId="23" hidden="1">'Note 27 Segment Reporting'!#REF!</definedName>
    <definedName name="Z_C89E0174_9AD8_469D_815F_0F908DB3290A_.wvu.PrintTitles" localSheetId="24" hidden="1">'Notes 28-35'!#REF!</definedName>
    <definedName name="Z_C89E0174_9AD8_469D_815F_0F908DB3290A_.wvu.PrintTitles" localSheetId="8" hidden="1">'PL Gr'!$1:$4</definedName>
    <definedName name="Z_C89E0174_9AD8_469D_815F_0F908DB3290A_.wvu.PrintTitles" localSheetId="11" hidden="1">'Sch - BS'!$1:$5</definedName>
    <definedName name="Z_C89E0174_9AD8_469D_815F_0F908DB3290A_.wvu.PrintTitles" localSheetId="10" hidden="1">'Sch - PL'!$1:$5</definedName>
    <definedName name="Z_C89E0174_9AD8_469D_815F_0F908DB3290A_.wvu.PrintTitles" localSheetId="14" hidden="1">'Significant Accounting Poli New'!#REF!</definedName>
    <definedName name="Z_C89E0174_9AD8_469D_815F_0F908DB3290A_.wvu.PrintTitles" localSheetId="37" hidden="1">'TB Download'!$1:$4</definedName>
    <definedName name="Z_C89E0174_9AD8_469D_815F_0F908DB3290A_.wvu.Rows" localSheetId="4" hidden="1">BS!$50:$50,BS!#REF!,BS!#REF!</definedName>
    <definedName name="Z_C89E0174_9AD8_469D_815F_0F908DB3290A_.wvu.Rows" localSheetId="13" hidden="1">CF!$3:$3,CF!#REF!,CF!#REF!,CF!$46:$46,CF!$61:$61,CF!$71:$71,CF!#REF!</definedName>
    <definedName name="Z_C89E0174_9AD8_469D_815F_0F908DB3290A_.wvu.Rows" localSheetId="7" hidden="1">PL!#REF!,PL!#REF!,PL!#REF!,PL!$19:$19,PL!$23:$25,PL!$55:$55</definedName>
    <definedName name="Z_C89E0174_9AD8_469D_815F_0F908DB3290A_.wvu.Rows" localSheetId="11" hidden="1">'Sch - BS'!#REF!,'Sch - BS'!#REF!</definedName>
    <definedName name="Z_CA7F3B66_CC12_4EEA_8216_7870C0632F19_.wvu.Cols" localSheetId="21" hidden="1">'10-17'!$K:$K</definedName>
    <definedName name="Z_CA7F3B66_CC12_4EEA_8216_7870C0632F19_.wvu.Cols" localSheetId="22" hidden="1">'18-26'!$L:$L</definedName>
    <definedName name="Z_CA7F3B66_CC12_4EEA_8216_7870C0632F19_.wvu.Cols" localSheetId="18" hidden="1">'3-4'!$J:$J</definedName>
    <definedName name="Z_CA7F3B66_CC12_4EEA_8216_7870C0632F19_.wvu.Cols" localSheetId="19" hidden="1">'5-9'!$L:$L</definedName>
    <definedName name="Z_CA7F3B66_CC12_4EEA_8216_7870C0632F19_.wvu.Cols" localSheetId="4" hidden="1">BS!#REF!</definedName>
    <definedName name="Z_CA7F3B66_CC12_4EEA_8216_7870C0632F19_.wvu.Cols" localSheetId="13" hidden="1">CF!$C:$D,CF!$I:$S</definedName>
    <definedName name="Z_CA7F3B66_CC12_4EEA_8216_7870C0632F19_.wvu.Cols" localSheetId="23" hidden="1">'Note 27 Segment Reporting'!#REF!</definedName>
    <definedName name="Z_CA7F3B66_CC12_4EEA_8216_7870C0632F19_.wvu.Cols" localSheetId="24" hidden="1">'Notes 28-35'!#REF!</definedName>
    <definedName name="Z_CA7F3B66_CC12_4EEA_8216_7870C0632F19_.wvu.Cols" localSheetId="7" hidden="1">PL!#REF!</definedName>
    <definedName name="Z_CA7F3B66_CC12_4EEA_8216_7870C0632F19_.wvu.Cols" localSheetId="11" hidden="1">'Sch - BS'!$B:$B</definedName>
    <definedName name="Z_CA7F3B66_CC12_4EEA_8216_7870C0632F19_.wvu.Cols" localSheetId="34" hidden="1">'Sch - FA'!$L:$L</definedName>
    <definedName name="Z_CA7F3B66_CC12_4EEA_8216_7870C0632F19_.wvu.Cols" localSheetId="14" hidden="1">'Significant Accounting Poli New'!$L:$L</definedName>
    <definedName name="Z_CA7F3B66_CC12_4EEA_8216_7870C0632F19_.wvu.FilterData" localSheetId="21" hidden="1">'10-17'!#REF!</definedName>
    <definedName name="Z_CA7F3B66_CC12_4EEA_8216_7870C0632F19_.wvu.FilterData" localSheetId="22" hidden="1">'18-26'!#REF!</definedName>
    <definedName name="Z_CA7F3B66_CC12_4EEA_8216_7870C0632F19_.wvu.FilterData" localSheetId="18" hidden="1">'3-4'!#REF!</definedName>
    <definedName name="Z_CA7F3B66_CC12_4EEA_8216_7870C0632F19_.wvu.FilterData" localSheetId="19" hidden="1">'5-9'!#REF!</definedName>
    <definedName name="Z_CA7F3B66_CC12_4EEA_8216_7870C0632F19_.wvu.FilterData" localSheetId="4" hidden="1">BS!$A$1:$A$84</definedName>
    <definedName name="Z_CA7F3B66_CC12_4EEA_8216_7870C0632F19_.wvu.FilterData" localSheetId="6" hidden="1">'BS Gr'!$A$5:$X$930</definedName>
    <definedName name="Z_CA7F3B66_CC12_4EEA_8216_7870C0632F19_.wvu.FilterData" localSheetId="13" hidden="1">CF!$B$1:$B$97</definedName>
    <definedName name="Z_CA7F3B66_CC12_4EEA_8216_7870C0632F19_.wvu.FilterData" localSheetId="31" hidden="1">'Entries'' 22-23'!$A$4:$I$1093</definedName>
    <definedName name="Z_CA7F3B66_CC12_4EEA_8216_7870C0632F19_.wvu.FilterData" localSheetId="23" hidden="1">'Note 27 Segment Reporting'!#REF!</definedName>
    <definedName name="Z_CA7F3B66_CC12_4EEA_8216_7870C0632F19_.wvu.FilterData" localSheetId="24" hidden="1">'Notes 28-35'!$A$196:$O$247</definedName>
    <definedName name="Z_CA7F3B66_CC12_4EEA_8216_7870C0632F19_.wvu.FilterData" localSheetId="7" hidden="1">PL!$A$1:$A$67</definedName>
    <definedName name="Z_CA7F3B66_CC12_4EEA_8216_7870C0632F19_.wvu.FilterData" localSheetId="8" hidden="1">'PL Gr'!$A$4:$I$475</definedName>
    <definedName name="Z_CA7F3B66_CC12_4EEA_8216_7870C0632F19_.wvu.FilterData" localSheetId="14" hidden="1">'Significant Accounting Poli New'!#REF!</definedName>
    <definedName name="Z_CA7F3B66_CC12_4EEA_8216_7870C0632F19_.wvu.FilterData" localSheetId="37" hidden="1">'TB Download'!$A$4:$E$256</definedName>
    <definedName name="Z_CA7F3B66_CC12_4EEA_8216_7870C0632F19_.wvu.FilterData" localSheetId="12" hidden="1">'TB for financial'!$A$4:$O$1109</definedName>
    <definedName name="Z_CA7F3B66_CC12_4EEA_8216_7870C0632F19_.wvu.PrintArea" localSheetId="21" hidden="1">'10-17'!$A$1:$J$368</definedName>
    <definedName name="Z_CA7F3B66_CC12_4EEA_8216_7870C0632F19_.wvu.PrintArea" localSheetId="22" hidden="1">'18-26'!$A$1:$K$419</definedName>
    <definedName name="Z_CA7F3B66_CC12_4EEA_8216_7870C0632F19_.wvu.PrintArea" localSheetId="18" hidden="1">'3-4'!$A$1:$I$43</definedName>
    <definedName name="Z_CA7F3B66_CC12_4EEA_8216_7870C0632F19_.wvu.PrintArea" localSheetId="19" hidden="1">'5-9'!$A$1:$K$215</definedName>
    <definedName name="Z_CA7F3B66_CC12_4EEA_8216_7870C0632F19_.wvu.PrintArea" localSheetId="4" hidden="1">BS!$A$1:$G$84</definedName>
    <definedName name="Z_CA7F3B66_CC12_4EEA_8216_7870C0632F19_.wvu.PrintArea" localSheetId="13" hidden="1">CF!$B$1:$H$97</definedName>
    <definedName name="Z_CA7F3B66_CC12_4EEA_8216_7870C0632F19_.wvu.PrintArea" localSheetId="23" hidden="1">'Note 27 Segment Reporting'!$A$1:$J$82</definedName>
    <definedName name="Z_CA7F3B66_CC12_4EEA_8216_7870C0632F19_.wvu.PrintArea" localSheetId="24" hidden="1">'Notes 28-35'!$A$1:$K$649</definedName>
    <definedName name="Z_CA7F3B66_CC12_4EEA_8216_7870C0632F19_.wvu.PrintArea" localSheetId="7" hidden="1">PL!$A$1:$H$67</definedName>
    <definedName name="Z_CA7F3B66_CC12_4EEA_8216_7870C0632F19_.wvu.PrintArea" localSheetId="11" hidden="1">'Sch - BS'!$A$1:$G$317</definedName>
    <definedName name="Z_CA7F3B66_CC12_4EEA_8216_7870C0632F19_.wvu.PrintArea" localSheetId="34" hidden="1">'Sch - FA'!$A$1:$M$41</definedName>
    <definedName name="Z_CA7F3B66_CC12_4EEA_8216_7870C0632F19_.wvu.PrintArea" localSheetId="10" hidden="1">'Sch - PL'!$A$1:$G$131</definedName>
    <definedName name="Z_CA7F3B66_CC12_4EEA_8216_7870C0632F19_.wvu.PrintArea" localSheetId="14" hidden="1">'Significant Accounting Poli New'!$A$1:$K$229</definedName>
    <definedName name="Z_CA7F3B66_CC12_4EEA_8216_7870C0632F19_.wvu.PrintTitles" localSheetId="21" hidden="1">'10-17'!#REF!</definedName>
    <definedName name="Z_CA7F3B66_CC12_4EEA_8216_7870C0632F19_.wvu.PrintTitles" localSheetId="22" hidden="1">'18-26'!#REF!</definedName>
    <definedName name="Z_CA7F3B66_CC12_4EEA_8216_7870C0632F19_.wvu.PrintTitles" localSheetId="18" hidden="1">'3-4'!#REF!</definedName>
    <definedName name="Z_CA7F3B66_CC12_4EEA_8216_7870C0632F19_.wvu.PrintTitles" localSheetId="19" hidden="1">'5-9'!#REF!</definedName>
    <definedName name="Z_CA7F3B66_CC12_4EEA_8216_7870C0632F19_.wvu.PrintTitles" localSheetId="6" hidden="1">'BS Gr'!$1:$5</definedName>
    <definedName name="Z_CA7F3B66_CC12_4EEA_8216_7870C0632F19_.wvu.PrintTitles" localSheetId="23" hidden="1">'Note 27 Segment Reporting'!#REF!</definedName>
    <definedName name="Z_CA7F3B66_CC12_4EEA_8216_7870C0632F19_.wvu.PrintTitles" localSheetId="24" hidden="1">'Notes 28-35'!#REF!</definedName>
    <definedName name="Z_CA7F3B66_CC12_4EEA_8216_7870C0632F19_.wvu.PrintTitles" localSheetId="8" hidden="1">'PL Gr'!$1:$4</definedName>
    <definedName name="Z_CA7F3B66_CC12_4EEA_8216_7870C0632F19_.wvu.PrintTitles" localSheetId="11" hidden="1">'Sch - BS'!$1:$5</definedName>
    <definedName name="Z_CA7F3B66_CC12_4EEA_8216_7870C0632F19_.wvu.PrintTitles" localSheetId="10" hidden="1">'Sch - PL'!$1:$5</definedName>
    <definedName name="Z_CA7F3B66_CC12_4EEA_8216_7870C0632F19_.wvu.PrintTitles" localSheetId="14" hidden="1">'Significant Accounting Poli New'!#REF!</definedName>
    <definedName name="Z_CA7F3B66_CC12_4EEA_8216_7870C0632F19_.wvu.PrintTitles" localSheetId="37" hidden="1">'TB Download'!$1:$4</definedName>
    <definedName name="Z_CA7F3B66_CC12_4EEA_8216_7870C0632F19_.wvu.Rows" localSheetId="4" hidden="1">BS!$50:$50,BS!#REF!,BS!#REF!</definedName>
    <definedName name="Z_CA7F3B66_CC12_4EEA_8216_7870C0632F19_.wvu.Rows" localSheetId="13" hidden="1">CF!$3:$3,CF!#REF!,CF!#REF!,CF!$46:$46,CF!$61:$61,CF!$71:$71,CF!#REF!</definedName>
    <definedName name="Z_CA7F3B66_CC12_4EEA_8216_7870C0632F19_.wvu.Rows" localSheetId="7" hidden="1">PL!#REF!,PL!#REF!,PL!#REF!,PL!$19:$19,PL!$23:$25,PL!$51:$51,PL!$55:$55</definedName>
    <definedName name="Z_CA7F3B66_CC12_4EEA_8216_7870C0632F19_.wvu.Rows" localSheetId="11" hidden="1">'Sch - BS'!#REF!,'Sch - BS'!#REF!</definedName>
    <definedName name="Z_FDB3AB4D_7482_4712_BBC4_87BF4450FDE8_.wvu.FilterData" localSheetId="21" hidden="1">'10-17'!#REF!</definedName>
    <definedName name="Z_FDB3AB4D_7482_4712_BBC4_87BF4450FDE8_.wvu.FilterData" localSheetId="22" hidden="1">'18-26'!#REF!</definedName>
    <definedName name="Z_FDB3AB4D_7482_4712_BBC4_87BF4450FDE8_.wvu.FilterData" localSheetId="18" hidden="1">'3-4'!#REF!</definedName>
    <definedName name="Z_FDB3AB4D_7482_4712_BBC4_87BF4450FDE8_.wvu.FilterData" localSheetId="19" hidden="1">'5-9'!#REF!</definedName>
    <definedName name="Z_FDB3AB4D_7482_4712_BBC4_87BF4450FDE8_.wvu.FilterData" localSheetId="23" hidden="1">'Note 27 Segment Reporting'!#REF!</definedName>
    <definedName name="Z_FDB3AB4D_7482_4712_BBC4_87BF4450FDE8_.wvu.FilterData" localSheetId="24" hidden="1">'Notes 28-35'!$A$196:$O$247</definedName>
    <definedName name="Z_FDB3AB4D_7482_4712_BBC4_87BF4450FDE8_.wvu.FilterData" localSheetId="14" hidden="1">'Significant Accounting Poli New'!#REF!</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1" i="3" l="1"/>
  <c r="E58" i="2"/>
  <c r="E57" i="2"/>
  <c r="E15" i="2"/>
  <c r="J57" i="7" l="1"/>
  <c r="I232" i="11" l="1"/>
  <c r="I237" i="11"/>
  <c r="I235" i="11"/>
  <c r="I229" i="11"/>
  <c r="C236" i="41" l="1"/>
  <c r="C235" i="41"/>
  <c r="C232" i="41"/>
  <c r="C231" i="41"/>
  <c r="E218" i="41"/>
  <c r="E220" i="41"/>
  <c r="D219" i="41"/>
  <c r="D217" i="41"/>
  <c r="E216" i="41"/>
  <c r="D215" i="41"/>
  <c r="C228" i="41" l="1"/>
  <c r="C227" i="41"/>
  <c r="E196" i="41"/>
  <c r="D195" i="41"/>
  <c r="H19" i="35" l="1"/>
  <c r="H16" i="35"/>
  <c r="H13" i="35"/>
  <c r="I71" i="11"/>
  <c r="K318" i="10"/>
  <c r="J314" i="10"/>
  <c r="H315" i="10"/>
  <c r="J315" i="10"/>
  <c r="H521" i="13"/>
  <c r="G521" i="13"/>
  <c r="H520" i="13"/>
  <c r="G520" i="13"/>
  <c r="H518" i="13"/>
  <c r="G518" i="13"/>
  <c r="N521" i="13"/>
  <c r="N520" i="13"/>
  <c r="N518" i="13"/>
  <c r="M520" i="13"/>
  <c r="M521" i="13"/>
  <c r="H462" i="13"/>
  <c r="H461" i="13"/>
  <c r="G464" i="13" l="1"/>
  <c r="G463" i="13"/>
  <c r="J460" i="13"/>
  <c r="G460" i="13"/>
  <c r="G459" i="13"/>
  <c r="J89" i="13" l="1"/>
  <c r="J88" i="13"/>
  <c r="J87" i="13"/>
  <c r="J85" i="13"/>
  <c r="J79" i="13"/>
  <c r="J83" i="13"/>
  <c r="J82" i="13"/>
  <c r="J81" i="13"/>
  <c r="J63" i="13"/>
  <c r="J53" i="13"/>
  <c r="J52" i="13"/>
  <c r="J51" i="13"/>
  <c r="N53" i="13"/>
  <c r="N52" i="13"/>
  <c r="J45" i="13"/>
  <c r="J43" i="13" l="1"/>
  <c r="J40" i="13"/>
  <c r="J39" i="13"/>
  <c r="J37" i="13"/>
  <c r="I53" i="12"/>
  <c r="I51" i="12"/>
  <c r="I48" i="12"/>
  <c r="J48" i="12"/>
  <c r="I37" i="12"/>
  <c r="I39" i="12"/>
  <c r="I38" i="12"/>
  <c r="J38" i="12"/>
  <c r="J26" i="12"/>
  <c r="I27" i="12"/>
  <c r="I25" i="12"/>
  <c r="I26" i="12"/>
  <c r="J417" i="11" l="1"/>
  <c r="I417" i="11"/>
  <c r="J416" i="11"/>
  <c r="I416" i="11"/>
  <c r="J395" i="11"/>
  <c r="J394" i="11"/>
  <c r="J393" i="11"/>
  <c r="J392" i="11"/>
  <c r="J391" i="11"/>
  <c r="J390" i="11"/>
  <c r="I353" i="11"/>
  <c r="I355" i="11"/>
  <c r="I352" i="11"/>
  <c r="I348" i="11"/>
  <c r="I347" i="11"/>
  <c r="J355" i="11"/>
  <c r="J346" i="11"/>
  <c r="J213" i="11"/>
  <c r="K251" i="10"/>
  <c r="J252" i="10"/>
  <c r="K254" i="10"/>
  <c r="J244" i="10"/>
  <c r="J241" i="10"/>
  <c r="I198" i="10"/>
  <c r="J206" i="10"/>
  <c r="I199" i="10"/>
  <c r="J199" i="10" l="1"/>
  <c r="J198" i="10"/>
  <c r="I205" i="11" l="1"/>
  <c r="J232" i="11"/>
  <c r="I97" i="10"/>
  <c r="R112" i="10"/>
  <c r="Q112" i="10"/>
  <c r="S112" i="10"/>
  <c r="S111" i="10"/>
  <c r="I233" i="11"/>
  <c r="J237" i="11" l="1"/>
  <c r="M200" i="11"/>
  <c r="I168" i="11"/>
  <c r="I167" i="11"/>
  <c r="C216" i="41" l="1"/>
  <c r="C215" i="41"/>
  <c r="I314" i="10" l="1"/>
  <c r="H314" i="10"/>
  <c r="I315" i="10"/>
  <c r="E208" i="41" l="1"/>
  <c r="D207" i="41"/>
  <c r="C212" i="41" l="1"/>
  <c r="C211" i="41"/>
  <c r="C208" i="41" l="1"/>
  <c r="C207" i="41"/>
  <c r="E204" i="41"/>
  <c r="C204" i="41"/>
  <c r="C203" i="41"/>
  <c r="D200" i="41"/>
  <c r="C200" i="41"/>
  <c r="C199" i="41"/>
  <c r="E186" i="41" l="1"/>
  <c r="G47" i="2" l="1"/>
  <c r="E47" i="2" s="1"/>
  <c r="D182" i="41" l="1"/>
  <c r="G13" i="42"/>
  <c r="I124" i="11" l="1"/>
  <c r="E165" i="41"/>
  <c r="D159" i="41"/>
  <c r="D20" i="42" l="1"/>
  <c r="E21" i="42" s="1"/>
  <c r="D5" i="42"/>
  <c r="E6" i="42" s="1"/>
  <c r="E152" i="41" l="1"/>
  <c r="T5" i="19"/>
  <c r="G66" i="15" l="1"/>
  <c r="C123" i="41" l="1"/>
  <c r="I27" i="11" l="1"/>
  <c r="E1049" i="24"/>
  <c r="F1049" i="24" s="1"/>
  <c r="E210" i="17" s="1"/>
  <c r="C37" i="41"/>
  <c r="C36" i="41"/>
  <c r="C34" i="41"/>
  <c r="C33" i="41"/>
  <c r="C31" i="41"/>
  <c r="C30" i="41"/>
  <c r="E1104" i="24" l="1"/>
  <c r="E1103" i="24"/>
  <c r="E1101" i="24"/>
  <c r="E1100" i="24"/>
  <c r="E1099" i="24"/>
  <c r="E1098" i="24"/>
  <c r="E1097" i="24"/>
  <c r="E1096" i="24"/>
  <c r="E1095" i="24"/>
  <c r="E1094" i="24"/>
  <c r="E1093" i="24"/>
  <c r="E1092" i="24"/>
  <c r="E1091" i="24"/>
  <c r="E1090" i="24"/>
  <c r="E1089" i="24"/>
  <c r="E1088" i="24"/>
  <c r="E1087" i="24"/>
  <c r="E1086" i="24"/>
  <c r="E1085" i="24"/>
  <c r="E1084" i="24"/>
  <c r="E1083" i="24"/>
  <c r="E1082" i="24"/>
  <c r="E1081" i="24"/>
  <c r="E1080" i="24"/>
  <c r="E1079" i="24"/>
  <c r="E1078" i="24"/>
  <c r="E1077" i="24"/>
  <c r="E1076" i="24"/>
  <c r="E1075" i="24"/>
  <c r="E1074" i="24"/>
  <c r="E1073" i="24"/>
  <c r="E1072" i="24"/>
  <c r="E1071" i="24"/>
  <c r="E1070" i="24"/>
  <c r="E1069" i="24"/>
  <c r="E1068" i="24"/>
  <c r="E1067" i="24"/>
  <c r="E1066" i="24"/>
  <c r="E1065" i="24"/>
  <c r="E1064" i="24"/>
  <c r="E1063" i="24"/>
  <c r="E1062" i="24"/>
  <c r="E1061" i="24"/>
  <c r="E1060" i="24"/>
  <c r="E1059" i="24"/>
  <c r="E1058" i="24"/>
  <c r="E1057" i="24"/>
  <c r="E1056" i="24"/>
  <c r="E1055" i="24"/>
  <c r="E1054" i="24"/>
  <c r="E1053" i="24"/>
  <c r="E1052" i="24"/>
  <c r="E1051" i="24"/>
  <c r="E1050" i="24"/>
  <c r="E1048" i="24"/>
  <c r="E1047" i="24"/>
  <c r="E1046" i="24"/>
  <c r="E1045" i="24"/>
  <c r="E1044" i="24"/>
  <c r="E1043" i="24"/>
  <c r="E1042" i="24"/>
  <c r="E1041" i="24"/>
  <c r="E1039" i="24"/>
  <c r="E1038" i="24"/>
  <c r="E1037" i="24"/>
  <c r="E1036" i="24"/>
  <c r="E1035" i="24"/>
  <c r="E1034" i="24"/>
  <c r="E1033" i="24"/>
  <c r="E1032" i="24"/>
  <c r="E1031" i="24"/>
  <c r="E1030" i="24"/>
  <c r="E1029" i="24"/>
  <c r="E1028" i="24"/>
  <c r="E1027" i="24"/>
  <c r="E1026" i="24"/>
  <c r="E1025" i="24"/>
  <c r="E1024" i="24"/>
  <c r="E1023" i="24"/>
  <c r="E1022" i="24"/>
  <c r="E1021" i="24"/>
  <c r="E1020" i="24"/>
  <c r="E1019" i="24"/>
  <c r="E1018" i="24"/>
  <c r="E1017" i="24"/>
  <c r="E1016" i="24"/>
  <c r="E1015" i="24"/>
  <c r="E1014" i="24"/>
  <c r="E1013" i="24"/>
  <c r="E1012" i="24"/>
  <c r="E1011" i="24"/>
  <c r="E1010" i="24"/>
  <c r="E1009" i="24"/>
  <c r="E1008" i="24"/>
  <c r="E1007" i="24"/>
  <c r="E1006" i="24"/>
  <c r="E1005" i="24"/>
  <c r="E1004" i="24"/>
  <c r="E1003" i="24"/>
  <c r="E1002" i="24"/>
  <c r="E1001" i="24"/>
  <c r="E1000" i="24"/>
  <c r="E999" i="24"/>
  <c r="E998" i="24"/>
  <c r="E997" i="24"/>
  <c r="E996" i="24"/>
  <c r="E995" i="24"/>
  <c r="E994" i="24"/>
  <c r="E993" i="24"/>
  <c r="E992" i="24"/>
  <c r="E991" i="24"/>
  <c r="E990" i="24"/>
  <c r="E989" i="24"/>
  <c r="E988" i="24"/>
  <c r="E987" i="24"/>
  <c r="E986" i="24"/>
  <c r="E985" i="24"/>
  <c r="E984" i="24"/>
  <c r="E983" i="24"/>
  <c r="E982" i="24"/>
  <c r="E981" i="24"/>
  <c r="E980" i="24"/>
  <c r="E979" i="24"/>
  <c r="E978" i="24"/>
  <c r="E977" i="24"/>
  <c r="E976" i="24"/>
  <c r="E975" i="24"/>
  <c r="E974" i="24"/>
  <c r="E973" i="24"/>
  <c r="E972" i="24"/>
  <c r="E971" i="24"/>
  <c r="E970" i="24"/>
  <c r="E969" i="24"/>
  <c r="E968" i="24"/>
  <c r="E967" i="24"/>
  <c r="E966" i="24"/>
  <c r="E965" i="24"/>
  <c r="E964" i="24"/>
  <c r="E963" i="24"/>
  <c r="E962" i="24"/>
  <c r="E961" i="24"/>
  <c r="E960" i="24"/>
  <c r="E959" i="24"/>
  <c r="E958" i="24"/>
  <c r="E957" i="24"/>
  <c r="E956" i="24"/>
  <c r="E955" i="24"/>
  <c r="E954" i="24"/>
  <c r="E953" i="24"/>
  <c r="E952" i="24"/>
  <c r="E951" i="24"/>
  <c r="E950" i="24"/>
  <c r="E949" i="24"/>
  <c r="E948" i="24"/>
  <c r="E947" i="24"/>
  <c r="E946" i="24"/>
  <c r="E945" i="24"/>
  <c r="E944" i="24"/>
  <c r="E943" i="24"/>
  <c r="E942" i="24"/>
  <c r="E941" i="24"/>
  <c r="E940" i="24"/>
  <c r="E939" i="24"/>
  <c r="E938" i="24"/>
  <c r="E937" i="24"/>
  <c r="E936" i="24"/>
  <c r="E935" i="24"/>
  <c r="E934" i="24"/>
  <c r="E933" i="24"/>
  <c r="E932" i="24"/>
  <c r="E931" i="24"/>
  <c r="E930" i="24"/>
  <c r="E929" i="24"/>
  <c r="E928" i="24"/>
  <c r="E927" i="24"/>
  <c r="E926" i="24"/>
  <c r="E925" i="24"/>
  <c r="E924" i="24"/>
  <c r="E923" i="24"/>
  <c r="E922" i="24"/>
  <c r="E921" i="24"/>
  <c r="E920" i="24"/>
  <c r="E919" i="24"/>
  <c r="E918" i="24"/>
  <c r="E917" i="24"/>
  <c r="E916" i="24"/>
  <c r="E915" i="24"/>
  <c r="E914" i="24"/>
  <c r="E913" i="24"/>
  <c r="E912" i="24"/>
  <c r="E911" i="24"/>
  <c r="E910" i="24"/>
  <c r="E909" i="24"/>
  <c r="E908" i="24"/>
  <c r="E907" i="24"/>
  <c r="E906" i="24"/>
  <c r="E905" i="24"/>
  <c r="E904" i="24"/>
  <c r="E903" i="24"/>
  <c r="E902" i="24"/>
  <c r="E901" i="24"/>
  <c r="E900" i="24"/>
  <c r="E899" i="24"/>
  <c r="E898" i="24"/>
  <c r="E897" i="24"/>
  <c r="E896" i="24"/>
  <c r="E895" i="24"/>
  <c r="E894" i="24"/>
  <c r="E893" i="24"/>
  <c r="E892" i="24"/>
  <c r="E891" i="24"/>
  <c r="E890" i="24"/>
  <c r="E889" i="24"/>
  <c r="E888" i="24"/>
  <c r="E887" i="24"/>
  <c r="E886" i="24"/>
  <c r="E885" i="24"/>
  <c r="E884" i="24"/>
  <c r="E883" i="24"/>
  <c r="E882" i="24"/>
  <c r="E881" i="24"/>
  <c r="E880" i="24"/>
  <c r="E879" i="24"/>
  <c r="E878" i="24"/>
  <c r="E877" i="24"/>
  <c r="E876" i="24"/>
  <c r="E875" i="24"/>
  <c r="E874" i="24"/>
  <c r="E873" i="24"/>
  <c r="E872" i="24"/>
  <c r="E871" i="24"/>
  <c r="E870" i="24"/>
  <c r="E869" i="24"/>
  <c r="E868" i="24"/>
  <c r="E867" i="24"/>
  <c r="E866" i="24"/>
  <c r="E865" i="24"/>
  <c r="E864" i="24"/>
  <c r="E863" i="24"/>
  <c r="E862" i="24"/>
  <c r="E861" i="24"/>
  <c r="E860" i="24"/>
  <c r="E859" i="24"/>
  <c r="E858" i="24"/>
  <c r="E857" i="24"/>
  <c r="E856" i="24"/>
  <c r="E855" i="24"/>
  <c r="E854" i="24"/>
  <c r="E853" i="24"/>
  <c r="E852" i="24"/>
  <c r="E851" i="24"/>
  <c r="E850" i="24"/>
  <c r="E849" i="24"/>
  <c r="E848" i="24"/>
  <c r="E847" i="24"/>
  <c r="E846" i="24"/>
  <c r="E845" i="24"/>
  <c r="E844" i="24"/>
  <c r="E843" i="24"/>
  <c r="E842" i="24"/>
  <c r="E841" i="24"/>
  <c r="E840" i="24"/>
  <c r="E839" i="24"/>
  <c r="E838" i="24"/>
  <c r="E837" i="24"/>
  <c r="E836" i="24"/>
  <c r="E835" i="24"/>
  <c r="E834" i="24"/>
  <c r="E833" i="24"/>
  <c r="E832" i="24"/>
  <c r="E831" i="24"/>
  <c r="E830" i="24"/>
  <c r="E829" i="24"/>
  <c r="E828" i="24"/>
  <c r="E827" i="24"/>
  <c r="E826" i="24"/>
  <c r="E825" i="24"/>
  <c r="E824" i="24"/>
  <c r="E823" i="24"/>
  <c r="E822" i="24"/>
  <c r="E821" i="24"/>
  <c r="E820" i="24"/>
  <c r="E819" i="24"/>
  <c r="E818" i="24"/>
  <c r="E817" i="24"/>
  <c r="E816" i="24"/>
  <c r="E815" i="24"/>
  <c r="E814" i="24"/>
  <c r="E813" i="24"/>
  <c r="E812" i="24"/>
  <c r="E811" i="24"/>
  <c r="E810" i="24"/>
  <c r="E809" i="24"/>
  <c r="E808" i="24"/>
  <c r="E807" i="24"/>
  <c r="E806" i="24"/>
  <c r="E805" i="24"/>
  <c r="E804" i="24"/>
  <c r="E803" i="24"/>
  <c r="E802" i="24"/>
  <c r="E801" i="24"/>
  <c r="E800" i="24"/>
  <c r="E799" i="24"/>
  <c r="E798" i="24"/>
  <c r="E797" i="24"/>
  <c r="E796" i="24"/>
  <c r="E795" i="24"/>
  <c r="E794" i="24"/>
  <c r="E793" i="24"/>
  <c r="E792" i="24"/>
  <c r="E791" i="24"/>
  <c r="E790" i="24"/>
  <c r="E789" i="24"/>
  <c r="E788" i="24"/>
  <c r="E787" i="24"/>
  <c r="E786" i="24"/>
  <c r="E785" i="24"/>
  <c r="E784" i="24"/>
  <c r="E783" i="24"/>
  <c r="E782" i="24"/>
  <c r="E781" i="24"/>
  <c r="E780" i="24"/>
  <c r="E779" i="24"/>
  <c r="E778" i="24"/>
  <c r="E777" i="24"/>
  <c r="E776" i="24"/>
  <c r="E775" i="24"/>
  <c r="E774" i="24"/>
  <c r="E773" i="24"/>
  <c r="E772" i="24"/>
  <c r="E771" i="24"/>
  <c r="E770" i="24"/>
  <c r="E769" i="24"/>
  <c r="E768" i="24"/>
  <c r="E767" i="24"/>
  <c r="E766" i="24"/>
  <c r="E765" i="24"/>
  <c r="E764" i="24"/>
  <c r="E763" i="24"/>
  <c r="E762" i="24"/>
  <c r="E761" i="24"/>
  <c r="E760" i="24"/>
  <c r="E759" i="24"/>
  <c r="E758" i="24"/>
  <c r="E757" i="24"/>
  <c r="E756" i="24"/>
  <c r="E755" i="24"/>
  <c r="E754" i="24"/>
  <c r="E753" i="24"/>
  <c r="E752" i="24"/>
  <c r="E751" i="24"/>
  <c r="E750" i="24"/>
  <c r="E749" i="24"/>
  <c r="E748" i="24"/>
  <c r="E747" i="24"/>
  <c r="E746" i="24"/>
  <c r="E745" i="24"/>
  <c r="E744" i="24"/>
  <c r="E743" i="24"/>
  <c r="E742" i="24"/>
  <c r="E741" i="24"/>
  <c r="E740" i="24"/>
  <c r="E739" i="24"/>
  <c r="E738" i="24"/>
  <c r="E737" i="24"/>
  <c r="E736" i="24"/>
  <c r="E735" i="24"/>
  <c r="E734" i="24"/>
  <c r="E733" i="24"/>
  <c r="E732" i="24"/>
  <c r="E731" i="24"/>
  <c r="E730" i="24"/>
  <c r="E729" i="24"/>
  <c r="E728" i="24"/>
  <c r="E727" i="24"/>
  <c r="E726" i="24"/>
  <c r="E725" i="24"/>
  <c r="E724" i="24"/>
  <c r="E723" i="24"/>
  <c r="E722" i="24"/>
  <c r="E721" i="24"/>
  <c r="E720" i="24"/>
  <c r="E719" i="24"/>
  <c r="E718" i="24"/>
  <c r="E717" i="24"/>
  <c r="E716" i="24"/>
  <c r="E715" i="24"/>
  <c r="E714" i="24"/>
  <c r="E713" i="24"/>
  <c r="E712" i="24"/>
  <c r="E711" i="24"/>
  <c r="E710" i="24"/>
  <c r="E709" i="24"/>
  <c r="E707" i="24"/>
  <c r="E706" i="24"/>
  <c r="E705" i="24"/>
  <c r="E704" i="24"/>
  <c r="E703" i="24"/>
  <c r="E702" i="24"/>
  <c r="E701" i="24"/>
  <c r="E700" i="24"/>
  <c r="E699" i="24"/>
  <c r="E698" i="24"/>
  <c r="E697" i="24"/>
  <c r="E696" i="24"/>
  <c r="E695" i="24"/>
  <c r="E694" i="24"/>
  <c r="E693" i="24"/>
  <c r="E692" i="24"/>
  <c r="E691" i="24"/>
  <c r="E690" i="24"/>
  <c r="E689" i="24"/>
  <c r="E688" i="24"/>
  <c r="E687" i="24"/>
  <c r="E686" i="24"/>
  <c r="E685" i="24"/>
  <c r="E684" i="24"/>
  <c r="E683" i="24"/>
  <c r="E682" i="24"/>
  <c r="E681" i="24"/>
  <c r="E680" i="24"/>
  <c r="E679" i="24"/>
  <c r="E678" i="24"/>
  <c r="E677" i="24"/>
  <c r="E676" i="24"/>
  <c r="E675" i="24"/>
  <c r="E674" i="24"/>
  <c r="E673" i="24"/>
  <c r="E672" i="24"/>
  <c r="E671" i="24"/>
  <c r="E670" i="24"/>
  <c r="E669" i="24"/>
  <c r="E668" i="24"/>
  <c r="E667" i="24"/>
  <c r="E666" i="24"/>
  <c r="E665" i="24"/>
  <c r="E664" i="24"/>
  <c r="E663" i="24"/>
  <c r="E662" i="24"/>
  <c r="E661" i="24"/>
  <c r="E660" i="24"/>
  <c r="E659" i="24"/>
  <c r="E658" i="24"/>
  <c r="E656" i="24"/>
  <c r="E655" i="24"/>
  <c r="E654" i="24"/>
  <c r="E653" i="24"/>
  <c r="E652" i="24"/>
  <c r="E651" i="24"/>
  <c r="E650" i="24"/>
  <c r="E649" i="24"/>
  <c r="E648" i="24"/>
  <c r="E647" i="24"/>
  <c r="E646" i="24"/>
  <c r="E645" i="24"/>
  <c r="E643" i="24"/>
  <c r="E642" i="24"/>
  <c r="E641" i="24"/>
  <c r="E640" i="24"/>
  <c r="E639" i="24"/>
  <c r="E638" i="24"/>
  <c r="E637" i="24"/>
  <c r="E636" i="24"/>
  <c r="E635" i="24"/>
  <c r="E634" i="24"/>
  <c r="E632" i="24"/>
  <c r="E631" i="24"/>
  <c r="E630" i="24"/>
  <c r="E629" i="24"/>
  <c r="E628" i="24"/>
  <c r="E627" i="24"/>
  <c r="E626" i="24"/>
  <c r="E625" i="24"/>
  <c r="E624" i="24"/>
  <c r="E623" i="24"/>
  <c r="E622" i="24"/>
  <c r="E621" i="24"/>
  <c r="E620" i="24"/>
  <c r="E619" i="24"/>
  <c r="E618" i="24"/>
  <c r="E617" i="24"/>
  <c r="E616" i="24"/>
  <c r="E615" i="24"/>
  <c r="E614" i="24"/>
  <c r="E613" i="24"/>
  <c r="E612" i="24"/>
  <c r="E611" i="24"/>
  <c r="E610" i="24"/>
  <c r="E609" i="24"/>
  <c r="E608" i="24"/>
  <c r="E607" i="24"/>
  <c r="E606" i="24"/>
  <c r="E605" i="24"/>
  <c r="E604" i="24"/>
  <c r="E603" i="24"/>
  <c r="E602" i="24"/>
  <c r="E601" i="24"/>
  <c r="E600" i="24"/>
  <c r="E599" i="24"/>
  <c r="E598" i="24"/>
  <c r="E597" i="24"/>
  <c r="E596" i="24"/>
  <c r="E595" i="24"/>
  <c r="E594" i="24"/>
  <c r="E593" i="24"/>
  <c r="E592" i="24"/>
  <c r="E591" i="24"/>
  <c r="E590" i="24"/>
  <c r="E589" i="24"/>
  <c r="E588" i="24"/>
  <c r="E587" i="24"/>
  <c r="E586" i="24"/>
  <c r="E585" i="24"/>
  <c r="E584" i="24"/>
  <c r="E583" i="24"/>
  <c r="E582" i="24"/>
  <c r="E581" i="24"/>
  <c r="E580" i="24"/>
  <c r="E579" i="24"/>
  <c r="E578" i="24"/>
  <c r="E577" i="24"/>
  <c r="E576" i="24"/>
  <c r="E575" i="24"/>
  <c r="E574" i="24"/>
  <c r="E573" i="24"/>
  <c r="E572" i="24"/>
  <c r="E571" i="24"/>
  <c r="E570" i="24"/>
  <c r="E569" i="24"/>
  <c r="E568" i="24"/>
  <c r="E567" i="24"/>
  <c r="E566" i="24"/>
  <c r="E565" i="24"/>
  <c r="E564" i="24"/>
  <c r="E563" i="24"/>
  <c r="E562" i="24"/>
  <c r="E561" i="24"/>
  <c r="E560" i="24"/>
  <c r="E559" i="24"/>
  <c r="E558" i="24"/>
  <c r="E557" i="24"/>
  <c r="E556" i="24"/>
  <c r="E555" i="24"/>
  <c r="E554" i="24"/>
  <c r="E553" i="24"/>
  <c r="E552" i="24"/>
  <c r="E551" i="24"/>
  <c r="E550" i="24"/>
  <c r="E549" i="24"/>
  <c r="E548" i="24"/>
  <c r="E547" i="24"/>
  <c r="E546" i="24"/>
  <c r="E545" i="24"/>
  <c r="E544" i="24"/>
  <c r="E543" i="24"/>
  <c r="E542" i="24"/>
  <c r="E541" i="24"/>
  <c r="E540" i="24"/>
  <c r="E539" i="24"/>
  <c r="E538" i="24"/>
  <c r="E537" i="24"/>
  <c r="E536" i="24"/>
  <c r="E535" i="24"/>
  <c r="E534" i="24"/>
  <c r="E533" i="24"/>
  <c r="E532" i="24"/>
  <c r="E531" i="24"/>
  <c r="E530" i="24"/>
  <c r="E529" i="24"/>
  <c r="E528" i="24"/>
  <c r="E527" i="24"/>
  <c r="E526" i="24"/>
  <c r="E525" i="24"/>
  <c r="E524" i="24"/>
  <c r="E523" i="24"/>
  <c r="E522" i="24"/>
  <c r="E521" i="24"/>
  <c r="E520" i="24"/>
  <c r="E519" i="24"/>
  <c r="E518" i="24"/>
  <c r="E517" i="24"/>
  <c r="E516" i="24"/>
  <c r="E515" i="24"/>
  <c r="E514" i="24"/>
  <c r="E513" i="24"/>
  <c r="E512" i="24"/>
  <c r="E511" i="24"/>
  <c r="E510" i="24"/>
  <c r="E509" i="24"/>
  <c r="E508" i="24"/>
  <c r="E507" i="24"/>
  <c r="E506" i="24"/>
  <c r="E505" i="24"/>
  <c r="E504" i="24"/>
  <c r="E503" i="24"/>
  <c r="E502" i="24"/>
  <c r="E501" i="24"/>
  <c r="E500" i="24"/>
  <c r="E499" i="24"/>
  <c r="E498" i="24"/>
  <c r="E497" i="24"/>
  <c r="E496" i="24"/>
  <c r="E495" i="24"/>
  <c r="E494" i="24"/>
  <c r="E493" i="24"/>
  <c r="E492" i="24"/>
  <c r="E491" i="24"/>
  <c r="E490" i="24"/>
  <c r="E489" i="24"/>
  <c r="E488" i="24"/>
  <c r="E487" i="24"/>
  <c r="E486" i="24"/>
  <c r="E485" i="24"/>
  <c r="E484" i="24"/>
  <c r="E483" i="24"/>
  <c r="E482" i="24"/>
  <c r="E481" i="24"/>
  <c r="E480" i="24"/>
  <c r="E479" i="24"/>
  <c r="E478" i="24"/>
  <c r="E477" i="24"/>
  <c r="E476" i="24"/>
  <c r="E475" i="24"/>
  <c r="E474" i="24"/>
  <c r="E473" i="24"/>
  <c r="E472" i="24"/>
  <c r="E471" i="24"/>
  <c r="E470" i="24"/>
  <c r="E469" i="24"/>
  <c r="E468" i="24"/>
  <c r="E467" i="24"/>
  <c r="E466" i="24"/>
  <c r="E465" i="24"/>
  <c r="E464" i="24"/>
  <c r="E463" i="24"/>
  <c r="E462" i="24"/>
  <c r="E461" i="24"/>
  <c r="E460" i="24"/>
  <c r="E459" i="24"/>
  <c r="E458" i="24"/>
  <c r="E457" i="24"/>
  <c r="E456" i="24"/>
  <c r="E455" i="24"/>
  <c r="E454" i="24"/>
  <c r="E453" i="24"/>
  <c r="E452" i="24"/>
  <c r="E451" i="24"/>
  <c r="E450" i="24"/>
  <c r="E449" i="24"/>
  <c r="E448" i="24"/>
  <c r="E447" i="24"/>
  <c r="E446" i="24"/>
  <c r="E445" i="24"/>
  <c r="E444" i="24"/>
  <c r="E443" i="24"/>
  <c r="E442" i="24"/>
  <c r="E441" i="24"/>
  <c r="E440" i="24"/>
  <c r="E439" i="24"/>
  <c r="E438" i="24"/>
  <c r="E437" i="24"/>
  <c r="E436" i="24"/>
  <c r="E435" i="24"/>
  <c r="E434" i="24"/>
  <c r="E433" i="24"/>
  <c r="E432" i="24"/>
  <c r="E431" i="24"/>
  <c r="E430" i="24"/>
  <c r="E429" i="24"/>
  <c r="E428" i="24"/>
  <c r="E427" i="24"/>
  <c r="E426" i="24"/>
  <c r="E425" i="24"/>
  <c r="E424" i="24"/>
  <c r="E423" i="24"/>
  <c r="E422" i="24"/>
  <c r="E421" i="24"/>
  <c r="E420" i="24"/>
  <c r="E419" i="24"/>
  <c r="E418" i="24"/>
  <c r="E417" i="24"/>
  <c r="E416" i="24"/>
  <c r="E415" i="24"/>
  <c r="E414" i="24"/>
  <c r="E413" i="24"/>
  <c r="E412" i="24"/>
  <c r="E411" i="24"/>
  <c r="E410" i="24"/>
  <c r="E409" i="24"/>
  <c r="E408" i="24"/>
  <c r="E407" i="24"/>
  <c r="E406" i="24"/>
  <c r="E405" i="24"/>
  <c r="E404" i="24"/>
  <c r="E403" i="24"/>
  <c r="E402" i="24"/>
  <c r="E401" i="24"/>
  <c r="E400" i="24"/>
  <c r="E399" i="24"/>
  <c r="E398" i="24"/>
  <c r="E397" i="24"/>
  <c r="E396" i="24"/>
  <c r="E395" i="24"/>
  <c r="E394" i="24"/>
  <c r="E393" i="24"/>
  <c r="E392" i="24"/>
  <c r="E391" i="24"/>
  <c r="E390" i="24"/>
  <c r="E389" i="24"/>
  <c r="E388" i="24"/>
  <c r="E387" i="24"/>
  <c r="E386" i="24"/>
  <c r="E385" i="24"/>
  <c r="E384" i="24"/>
  <c r="E383" i="24"/>
  <c r="E382" i="24"/>
  <c r="E381" i="24"/>
  <c r="E380" i="24"/>
  <c r="E379" i="24"/>
  <c r="E378" i="24"/>
  <c r="E377" i="24"/>
  <c r="E376" i="24"/>
  <c r="E375" i="24"/>
  <c r="E374" i="24"/>
  <c r="E373" i="24"/>
  <c r="E372" i="24"/>
  <c r="E371" i="24"/>
  <c r="E370" i="24"/>
  <c r="E369" i="24"/>
  <c r="E368" i="24"/>
  <c r="E367" i="24"/>
  <c r="E366" i="24"/>
  <c r="E365" i="24"/>
  <c r="E364" i="24"/>
  <c r="E363" i="24"/>
  <c r="E362" i="24"/>
  <c r="E361" i="24"/>
  <c r="E360" i="24"/>
  <c r="E359" i="24"/>
  <c r="E358" i="24"/>
  <c r="E357" i="24"/>
  <c r="E356" i="24"/>
  <c r="E355" i="24"/>
  <c r="E354" i="24"/>
  <c r="E353" i="24"/>
  <c r="E352" i="24"/>
  <c r="E351" i="24"/>
  <c r="E350" i="24"/>
  <c r="E349" i="24"/>
  <c r="E348" i="24"/>
  <c r="E347" i="24"/>
  <c r="E346" i="24"/>
  <c r="E345" i="24"/>
  <c r="E344" i="24"/>
  <c r="E343" i="24"/>
  <c r="E342" i="24"/>
  <c r="E341" i="24"/>
  <c r="E340" i="24"/>
  <c r="E339" i="24"/>
  <c r="E338" i="24"/>
  <c r="E337" i="24"/>
  <c r="E336" i="24"/>
  <c r="E335" i="24"/>
  <c r="E334" i="24"/>
  <c r="E333" i="24"/>
  <c r="E332" i="24"/>
  <c r="E331" i="24"/>
  <c r="E330" i="24"/>
  <c r="E329" i="24"/>
  <c r="E328" i="24"/>
  <c r="E327" i="24"/>
  <c r="E326" i="24"/>
  <c r="E325" i="24"/>
  <c r="E324" i="24"/>
  <c r="E323" i="24"/>
  <c r="E322" i="24"/>
  <c r="E321" i="24"/>
  <c r="E320" i="24"/>
  <c r="E319" i="24"/>
  <c r="E318" i="24"/>
  <c r="E317" i="24"/>
  <c r="E316" i="24"/>
  <c r="E315" i="24"/>
  <c r="E314" i="24"/>
  <c r="E313" i="24"/>
  <c r="E312" i="24"/>
  <c r="E311" i="24"/>
  <c r="E310" i="24"/>
  <c r="E309" i="24"/>
  <c r="E308" i="24"/>
  <c r="E307" i="24"/>
  <c r="E306" i="24"/>
  <c r="E305" i="24"/>
  <c r="E304" i="24"/>
  <c r="E303" i="24"/>
  <c r="E302" i="24"/>
  <c r="E301" i="24"/>
  <c r="E300" i="24"/>
  <c r="E299" i="24"/>
  <c r="E298" i="24"/>
  <c r="E297" i="24"/>
  <c r="E296" i="24"/>
  <c r="E295" i="24"/>
  <c r="E294" i="24"/>
  <c r="E293" i="24"/>
  <c r="E292" i="24"/>
  <c r="E291" i="24"/>
  <c r="E290" i="24"/>
  <c r="E289" i="24"/>
  <c r="E288" i="24"/>
  <c r="E287" i="24"/>
  <c r="E286" i="24"/>
  <c r="E285" i="24"/>
  <c r="E284" i="24"/>
  <c r="E283" i="24"/>
  <c r="E282" i="24"/>
  <c r="E281" i="24"/>
  <c r="E280" i="24"/>
  <c r="E279" i="24"/>
  <c r="E278" i="24"/>
  <c r="E277" i="24"/>
  <c r="E276" i="24"/>
  <c r="E275" i="24"/>
  <c r="E274" i="24"/>
  <c r="E273" i="24"/>
  <c r="E272" i="24"/>
  <c r="E271" i="24"/>
  <c r="E270" i="24"/>
  <c r="E269" i="24"/>
  <c r="E268" i="24"/>
  <c r="E267" i="24"/>
  <c r="E266" i="24"/>
  <c r="E265" i="24"/>
  <c r="E264" i="24"/>
  <c r="E263" i="24"/>
  <c r="E262" i="24"/>
  <c r="E261" i="24"/>
  <c r="E260" i="24"/>
  <c r="E259" i="24"/>
  <c r="E258" i="24"/>
  <c r="E257" i="24"/>
  <c r="E256" i="24"/>
  <c r="E255" i="24"/>
  <c r="E254" i="24"/>
  <c r="E253" i="24"/>
  <c r="E252" i="24"/>
  <c r="E251" i="24"/>
  <c r="E250" i="24"/>
  <c r="E249" i="24"/>
  <c r="E248" i="24"/>
  <c r="E247" i="24"/>
  <c r="E246" i="24"/>
  <c r="E245" i="24"/>
  <c r="E244" i="24"/>
  <c r="E243" i="24"/>
  <c r="E242" i="24"/>
  <c r="E241" i="24"/>
  <c r="E240" i="24"/>
  <c r="E239" i="24"/>
  <c r="E238" i="24"/>
  <c r="E237" i="24"/>
  <c r="E236" i="24"/>
  <c r="E235" i="24"/>
  <c r="E234" i="24"/>
  <c r="E233" i="24"/>
  <c r="E232" i="24"/>
  <c r="E231" i="24"/>
  <c r="E230" i="24"/>
  <c r="E229" i="24"/>
  <c r="E228" i="24"/>
  <c r="E227" i="24"/>
  <c r="E226" i="24"/>
  <c r="E225" i="24"/>
  <c r="E224" i="24"/>
  <c r="E223" i="24"/>
  <c r="E222" i="24"/>
  <c r="E221" i="24"/>
  <c r="E220" i="24"/>
  <c r="E219" i="24"/>
  <c r="E218" i="24"/>
  <c r="E217" i="24"/>
  <c r="E216" i="24"/>
  <c r="E215" i="24"/>
  <c r="E214" i="24"/>
  <c r="E213" i="24"/>
  <c r="E212" i="24"/>
  <c r="E211" i="24"/>
  <c r="E210" i="24"/>
  <c r="E209" i="24"/>
  <c r="E208" i="24"/>
  <c r="E207" i="24"/>
  <c r="E206" i="24"/>
  <c r="E205" i="24"/>
  <c r="E204" i="24"/>
  <c r="E203" i="24"/>
  <c r="E202" i="24"/>
  <c r="E201" i="24"/>
  <c r="E200" i="24"/>
  <c r="E199" i="24"/>
  <c r="E198" i="24"/>
  <c r="E197" i="24"/>
  <c r="E196" i="24"/>
  <c r="E195" i="24"/>
  <c r="E194" i="24"/>
  <c r="E193" i="24"/>
  <c r="E192" i="24"/>
  <c r="E191" i="24"/>
  <c r="E190" i="24"/>
  <c r="E189" i="24"/>
  <c r="E188" i="24"/>
  <c r="E187" i="24"/>
  <c r="E186" i="24"/>
  <c r="E185" i="24"/>
  <c r="E184" i="24"/>
  <c r="E183" i="24"/>
  <c r="E182" i="24"/>
  <c r="E181" i="24"/>
  <c r="E180" i="24"/>
  <c r="E179" i="24"/>
  <c r="E178" i="24"/>
  <c r="E177" i="24"/>
  <c r="E176" i="24"/>
  <c r="E175" i="24"/>
  <c r="E174" i="24"/>
  <c r="E173" i="24"/>
  <c r="E172" i="24"/>
  <c r="E171" i="24"/>
  <c r="E170" i="24"/>
  <c r="E169" i="24"/>
  <c r="E168" i="24"/>
  <c r="E167" i="24"/>
  <c r="E166" i="24"/>
  <c r="E165" i="24"/>
  <c r="E164" i="24"/>
  <c r="E163" i="24"/>
  <c r="E162" i="24"/>
  <c r="E161" i="24"/>
  <c r="E160" i="24"/>
  <c r="E159" i="24"/>
  <c r="E158" i="24"/>
  <c r="E157" i="24"/>
  <c r="E156" i="24"/>
  <c r="E155" i="24"/>
  <c r="E154" i="24"/>
  <c r="E153" i="24"/>
  <c r="E152" i="24"/>
  <c r="E151" i="24"/>
  <c r="E150" i="24"/>
  <c r="E149" i="24"/>
  <c r="E148" i="24"/>
  <c r="E147" i="24"/>
  <c r="E146" i="24"/>
  <c r="E145" i="24"/>
  <c r="E144" i="24"/>
  <c r="E143" i="24"/>
  <c r="E142" i="24"/>
  <c r="E141" i="24"/>
  <c r="E140" i="24"/>
  <c r="E139" i="24"/>
  <c r="E138" i="24"/>
  <c r="E137" i="24"/>
  <c r="E136" i="24"/>
  <c r="E135" i="24"/>
  <c r="E134" i="24"/>
  <c r="E133" i="24"/>
  <c r="E132" i="24"/>
  <c r="E131" i="24"/>
  <c r="E130" i="24"/>
  <c r="E129" i="24"/>
  <c r="E128" i="24"/>
  <c r="E127" i="24"/>
  <c r="E126" i="24"/>
  <c r="E125" i="24"/>
  <c r="E124" i="24"/>
  <c r="E123" i="24"/>
  <c r="E122" i="24"/>
  <c r="E121" i="24"/>
  <c r="E120" i="24"/>
  <c r="E119" i="24"/>
  <c r="E118" i="24"/>
  <c r="E117" i="24"/>
  <c r="E116" i="24"/>
  <c r="E115" i="24"/>
  <c r="E114" i="24"/>
  <c r="E113" i="24"/>
  <c r="E112" i="24"/>
  <c r="E111" i="24"/>
  <c r="E110" i="24"/>
  <c r="E109" i="24"/>
  <c r="E108" i="24"/>
  <c r="E107" i="24"/>
  <c r="E106" i="24"/>
  <c r="E105" i="24"/>
  <c r="E104" i="24"/>
  <c r="E103" i="24"/>
  <c r="E102" i="24"/>
  <c r="E101" i="24"/>
  <c r="E100" i="24"/>
  <c r="E99" i="24"/>
  <c r="E98" i="24"/>
  <c r="E97" i="24"/>
  <c r="E96" i="24"/>
  <c r="E95" i="24"/>
  <c r="E94" i="24"/>
  <c r="E93" i="24"/>
  <c r="E92" i="24"/>
  <c r="E91" i="24"/>
  <c r="E90" i="24"/>
  <c r="E89" i="24"/>
  <c r="E88" i="24"/>
  <c r="E87" i="24"/>
  <c r="E86" i="24"/>
  <c r="E85" i="24"/>
  <c r="E84" i="24"/>
  <c r="E83" i="24"/>
  <c r="E82" i="24"/>
  <c r="E81" i="24"/>
  <c r="E80" i="24"/>
  <c r="E79" i="24"/>
  <c r="E78" i="24"/>
  <c r="E77" i="24"/>
  <c r="E76" i="24"/>
  <c r="E75" i="24"/>
  <c r="E74" i="24"/>
  <c r="E73" i="24"/>
  <c r="E72" i="24"/>
  <c r="E71" i="24"/>
  <c r="E70" i="24"/>
  <c r="E69" i="24"/>
  <c r="E68" i="24"/>
  <c r="E67" i="24"/>
  <c r="E66" i="24"/>
  <c r="E65" i="24"/>
  <c r="E64" i="24"/>
  <c r="E63" i="24"/>
  <c r="E62" i="24"/>
  <c r="E61" i="24"/>
  <c r="E60" i="24"/>
  <c r="E59" i="24"/>
  <c r="E58" i="24"/>
  <c r="E57" i="24"/>
  <c r="E56" i="24"/>
  <c r="E55" i="24"/>
  <c r="E54" i="24"/>
  <c r="E53" i="24"/>
  <c r="E52" i="24"/>
  <c r="E51" i="24"/>
  <c r="E50" i="24"/>
  <c r="E49" i="24"/>
  <c r="E48" i="24"/>
  <c r="E47" i="24"/>
  <c r="E46" i="24"/>
  <c r="E45" i="24"/>
  <c r="E44" i="24"/>
  <c r="E43" i="24"/>
  <c r="E42" i="24"/>
  <c r="E41" i="24"/>
  <c r="E40" i="24"/>
  <c r="E39" i="24"/>
  <c r="E38" i="24"/>
  <c r="E37" i="24"/>
  <c r="E36" i="24"/>
  <c r="E35" i="24"/>
  <c r="E34" i="24"/>
  <c r="E33" i="24"/>
  <c r="E32" i="24"/>
  <c r="E31" i="24"/>
  <c r="E30" i="24"/>
  <c r="E29" i="24"/>
  <c r="E28" i="24"/>
  <c r="E27" i="24"/>
  <c r="E26" i="24"/>
  <c r="E25" i="24"/>
  <c r="E24" i="24"/>
  <c r="E23" i="24"/>
  <c r="E22" i="24"/>
  <c r="E21" i="24"/>
  <c r="E20" i="24"/>
  <c r="E19" i="24"/>
  <c r="E18" i="24"/>
  <c r="E17" i="24"/>
  <c r="E16" i="24"/>
  <c r="E15" i="24"/>
  <c r="E14" i="24"/>
  <c r="E13" i="24"/>
  <c r="E12" i="24"/>
  <c r="E11" i="24"/>
  <c r="E10" i="24"/>
  <c r="E9" i="24"/>
  <c r="E8" i="24"/>
  <c r="E7" i="24"/>
  <c r="E6" i="24"/>
  <c r="E5" i="24"/>
  <c r="G223" i="15" l="1"/>
  <c r="D1111" i="24"/>
  <c r="D667" i="24"/>
  <c r="D1060" i="24"/>
  <c r="D1103" i="24"/>
  <c r="D239" i="14" l="1"/>
  <c r="I110" i="10"/>
  <c r="J309" i="14"/>
  <c r="J280" i="14"/>
  <c r="J256" i="14"/>
  <c r="J240" i="14"/>
  <c r="J238" i="14"/>
  <c r="J237" i="14"/>
  <c r="J208" i="14"/>
  <c r="J137" i="14"/>
  <c r="J134" i="14"/>
  <c r="J130" i="14"/>
  <c r="J127" i="14"/>
  <c r="J126" i="14"/>
  <c r="J114" i="14"/>
  <c r="J91" i="14"/>
  <c r="J90" i="14"/>
  <c r="D238" i="14" l="1"/>
  <c r="C658" i="24" l="1"/>
  <c r="C654" i="24"/>
  <c r="C635" i="24"/>
  <c r="F635" i="24" l="1"/>
  <c r="F1088" i="24"/>
  <c r="F654" i="24"/>
  <c r="F628" i="24" l="1"/>
  <c r="F658" i="24" l="1"/>
  <c r="F1078" i="24"/>
  <c r="F629" i="24"/>
  <c r="F649" i="24"/>
  <c r="F1087" i="24" l="1"/>
  <c r="F1097" i="24"/>
  <c r="F1044" i="24" l="1"/>
  <c r="F1033" i="24"/>
  <c r="D1108" i="24"/>
  <c r="F1105" i="24" l="1"/>
  <c r="F1103" i="24"/>
  <c r="F1101" i="24"/>
  <c r="F1100" i="24"/>
  <c r="F1099" i="24"/>
  <c r="F1098" i="24"/>
  <c r="F1096" i="24"/>
  <c r="F1095" i="24"/>
  <c r="F1094" i="24"/>
  <c r="F1093" i="24"/>
  <c r="F1092" i="24"/>
  <c r="F1091" i="24"/>
  <c r="F1090" i="24"/>
  <c r="F1089" i="24"/>
  <c r="F1086" i="24"/>
  <c r="F1085" i="24"/>
  <c r="F1084" i="24"/>
  <c r="F1083" i="24"/>
  <c r="F1082" i="24"/>
  <c r="F1081" i="24"/>
  <c r="F1080" i="24"/>
  <c r="F1079" i="24"/>
  <c r="F1077" i="24"/>
  <c r="F1076" i="24"/>
  <c r="F1075" i="24"/>
  <c r="F1074" i="24"/>
  <c r="F1073" i="24"/>
  <c r="F1072" i="24"/>
  <c r="F1071" i="24"/>
  <c r="F1070" i="24"/>
  <c r="F1069" i="24"/>
  <c r="F1068" i="24"/>
  <c r="F1067" i="24"/>
  <c r="F1066" i="24"/>
  <c r="F1065" i="24"/>
  <c r="F1064" i="24"/>
  <c r="F1063" i="24"/>
  <c r="F1062" i="24"/>
  <c r="F1061" i="24"/>
  <c r="F1060" i="24"/>
  <c r="F1059" i="24"/>
  <c r="F1058" i="24"/>
  <c r="F1057" i="24"/>
  <c r="F1056" i="24"/>
  <c r="F1055" i="24"/>
  <c r="F1054" i="24"/>
  <c r="F1053" i="24"/>
  <c r="F1052" i="24"/>
  <c r="F1051" i="24"/>
  <c r="F1050" i="24"/>
  <c r="F1048" i="24"/>
  <c r="F1047" i="24"/>
  <c r="F1046" i="24"/>
  <c r="F1045" i="24"/>
  <c r="F1043" i="24"/>
  <c r="F1042" i="24"/>
  <c r="F1041" i="24"/>
  <c r="F1039" i="24"/>
  <c r="F1038" i="24"/>
  <c r="F1037" i="24"/>
  <c r="F1036" i="24"/>
  <c r="F1035" i="24"/>
  <c r="F1034" i="24"/>
  <c r="F751" i="24"/>
  <c r="F623" i="24"/>
  <c r="C1104" i="24"/>
  <c r="F1104" i="24" s="1"/>
  <c r="C1032" i="24"/>
  <c r="F1032" i="24" s="1"/>
  <c r="M430" i="14"/>
  <c r="A134" i="42" l="1"/>
  <c r="C133" i="42"/>
  <c r="A133" i="42"/>
  <c r="C132" i="42"/>
  <c r="A132" i="42"/>
  <c r="C131" i="42"/>
  <c r="A131" i="42"/>
  <c r="C130" i="42"/>
  <c r="A130" i="42"/>
  <c r="C129" i="42"/>
  <c r="A129" i="42"/>
  <c r="C128" i="42"/>
  <c r="A128" i="42"/>
  <c r="C127" i="42"/>
  <c r="A127" i="42"/>
  <c r="C126" i="42"/>
  <c r="A126" i="42"/>
  <c r="C125" i="42"/>
  <c r="A125" i="42"/>
  <c r="C124" i="42"/>
  <c r="A124" i="42"/>
  <c r="C123" i="42"/>
  <c r="A123" i="42"/>
  <c r="C122" i="42"/>
  <c r="A122" i="42"/>
  <c r="C121" i="42"/>
  <c r="A121" i="42"/>
  <c r="C120" i="42"/>
  <c r="A120" i="42"/>
  <c r="C119" i="42"/>
  <c r="A119" i="42"/>
  <c r="C118" i="42"/>
  <c r="A118" i="42"/>
  <c r="C117" i="42"/>
  <c r="A117" i="42"/>
  <c r="C116" i="42"/>
  <c r="A116" i="42"/>
  <c r="C115" i="42"/>
  <c r="A115" i="42"/>
  <c r="C114" i="42"/>
  <c r="A114" i="42"/>
  <c r="C113" i="42"/>
  <c r="A113" i="42"/>
  <c r="C112" i="42"/>
  <c r="A112" i="42"/>
  <c r="C111" i="42"/>
  <c r="A111" i="42"/>
  <c r="C110" i="42"/>
  <c r="A110" i="42"/>
  <c r="C109" i="42"/>
  <c r="A109" i="42"/>
  <c r="C108" i="42"/>
  <c r="A108" i="42"/>
  <c r="C107" i="42"/>
  <c r="A107" i="42"/>
  <c r="C106" i="42"/>
  <c r="A106" i="42"/>
  <c r="C105" i="42"/>
  <c r="A105" i="42"/>
  <c r="C104" i="42"/>
  <c r="A104" i="42"/>
  <c r="C103" i="42"/>
  <c r="A103" i="42"/>
  <c r="C102" i="42"/>
  <c r="A102" i="42"/>
  <c r="C101" i="42"/>
  <c r="A101" i="42"/>
  <c r="C100" i="42"/>
  <c r="A100" i="42"/>
  <c r="C99" i="42"/>
  <c r="A99" i="42"/>
  <c r="C98" i="42"/>
  <c r="A98" i="42"/>
  <c r="C97" i="42"/>
  <c r="A97" i="42"/>
  <c r="C96" i="42"/>
  <c r="A96" i="42"/>
  <c r="C95" i="42"/>
  <c r="A95" i="42"/>
  <c r="C94" i="42"/>
  <c r="A94" i="42"/>
  <c r="C93" i="42"/>
  <c r="A93" i="42"/>
  <c r="C92" i="42"/>
  <c r="A92" i="42"/>
  <c r="C91" i="42"/>
  <c r="A91" i="42"/>
  <c r="C90" i="42"/>
  <c r="A90" i="42"/>
  <c r="C89" i="42"/>
  <c r="A89" i="42"/>
  <c r="C88" i="42"/>
  <c r="A88" i="42"/>
  <c r="C87" i="42"/>
  <c r="A87" i="42"/>
  <c r="C86" i="42"/>
  <c r="A86" i="42"/>
  <c r="C85" i="42"/>
  <c r="A85" i="42"/>
  <c r="C84" i="42"/>
  <c r="A84" i="42"/>
  <c r="C83" i="42"/>
  <c r="A83" i="42"/>
  <c r="C82" i="42"/>
  <c r="A82" i="42"/>
  <c r="C81" i="42"/>
  <c r="A81" i="42"/>
  <c r="C80" i="42"/>
  <c r="A80" i="42"/>
  <c r="C79" i="42"/>
  <c r="A79" i="42"/>
  <c r="C78" i="42"/>
  <c r="A78" i="42"/>
  <c r="C77" i="42"/>
  <c r="A77" i="42"/>
  <c r="C76" i="42"/>
  <c r="A76" i="42"/>
  <c r="C75" i="42"/>
  <c r="A75" i="42"/>
  <c r="C74" i="42"/>
  <c r="A74" i="42"/>
  <c r="C73" i="42"/>
  <c r="A73" i="42"/>
  <c r="C72" i="42"/>
  <c r="A72" i="42"/>
  <c r="C71" i="42"/>
  <c r="A71" i="42"/>
  <c r="C70" i="42"/>
  <c r="A70" i="42"/>
  <c r="C69" i="42"/>
  <c r="A69" i="42"/>
  <c r="C68" i="42"/>
  <c r="A68" i="42"/>
  <c r="C67" i="42"/>
  <c r="A67" i="42"/>
  <c r="C66" i="42"/>
  <c r="A66" i="42"/>
  <c r="C65" i="42"/>
  <c r="A65" i="42"/>
  <c r="C64" i="42"/>
  <c r="A64" i="42"/>
  <c r="C63" i="42"/>
  <c r="A63" i="42"/>
  <c r="C62" i="42"/>
  <c r="A62" i="42"/>
  <c r="C61" i="42"/>
  <c r="A61" i="42"/>
  <c r="C60" i="42"/>
  <c r="A60" i="42"/>
  <c r="C59" i="42"/>
  <c r="A59" i="42"/>
  <c r="C58" i="42"/>
  <c r="A58" i="42"/>
  <c r="C57" i="42"/>
  <c r="A57" i="42"/>
  <c r="C56" i="42"/>
  <c r="A56" i="42"/>
  <c r="C55" i="42"/>
  <c r="A55" i="42"/>
  <c r="C54" i="42"/>
  <c r="A54" i="42"/>
  <c r="C53" i="42"/>
  <c r="A53" i="42"/>
  <c r="C52" i="42"/>
  <c r="A52" i="42"/>
  <c r="C51" i="42"/>
  <c r="A51" i="42"/>
  <c r="A50" i="42"/>
  <c r="C49" i="42"/>
  <c r="A49" i="42"/>
  <c r="C48" i="42"/>
  <c r="A48" i="42"/>
  <c r="C47" i="42"/>
  <c r="A47" i="42"/>
  <c r="C46" i="42"/>
  <c r="A46" i="42"/>
  <c r="C45" i="42"/>
  <c r="A45" i="42"/>
  <c r="C44" i="42"/>
  <c r="A44" i="42"/>
  <c r="C43" i="42"/>
  <c r="A43" i="42"/>
  <c r="C42" i="42"/>
  <c r="A42" i="42"/>
  <c r="C41" i="42"/>
  <c r="A41" i="42"/>
  <c r="C40" i="42"/>
  <c r="A40" i="42"/>
  <c r="C39" i="42"/>
  <c r="A39" i="42"/>
  <c r="C38" i="42"/>
  <c r="A38" i="42"/>
  <c r="C37" i="42"/>
  <c r="A37" i="42"/>
  <c r="A36" i="42"/>
  <c r="F35" i="42"/>
  <c r="C34" i="42"/>
  <c r="A34" i="42"/>
  <c r="F33" i="42"/>
  <c r="A33" i="42"/>
  <c r="C31" i="42"/>
  <c r="A31" i="42"/>
  <c r="F30" i="42"/>
  <c r="A30" i="42"/>
  <c r="F29" i="42"/>
  <c r="C28" i="42"/>
  <c r="A28" i="42"/>
  <c r="A27" i="42"/>
  <c r="C25" i="42"/>
  <c r="A25" i="42"/>
  <c r="E24" i="42"/>
  <c r="E644" i="24" s="1"/>
  <c r="A24" i="42"/>
  <c r="C22" i="42"/>
  <c r="A22" i="42"/>
  <c r="A21" i="42"/>
  <c r="E708" i="24"/>
  <c r="C19" i="42"/>
  <c r="A19" i="42"/>
  <c r="E18" i="42"/>
  <c r="E633" i="24" s="1"/>
  <c r="A18" i="42"/>
  <c r="C16" i="42"/>
  <c r="A16" i="42"/>
  <c r="E15" i="42"/>
  <c r="E1040" i="24" s="1"/>
  <c r="F1040" i="24" s="1"/>
  <c r="A15" i="42"/>
  <c r="C13" i="42"/>
  <c r="A13" i="42"/>
  <c r="E12" i="42"/>
  <c r="E1102" i="24" s="1"/>
  <c r="F1102" i="24" s="1"/>
  <c r="A12" i="42"/>
  <c r="F11" i="42"/>
  <c r="C10" i="42"/>
  <c r="A10" i="42"/>
  <c r="F9" i="42"/>
  <c r="A9" i="42"/>
  <c r="C7" i="42"/>
  <c r="A7" i="42"/>
  <c r="A6" i="42"/>
  <c r="F5" i="42"/>
  <c r="A5" i="42"/>
  <c r="A1" i="42"/>
  <c r="E2" i="41"/>
  <c r="D2" i="41"/>
  <c r="A2" i="41"/>
  <c r="A1" i="41"/>
  <c r="J53" i="12"/>
  <c r="J51" i="12"/>
  <c r="J40" i="12"/>
  <c r="J39" i="12"/>
  <c r="J37" i="12"/>
  <c r="J27" i="12"/>
  <c r="J25" i="12"/>
  <c r="H426" i="11"/>
  <c r="H423" i="11"/>
  <c r="I426" i="11"/>
  <c r="I423" i="11"/>
  <c r="G426" i="11"/>
  <c r="J426" i="11"/>
  <c r="J423" i="11"/>
  <c r="J354" i="11"/>
  <c r="I354" i="11"/>
  <c r="J353" i="11"/>
  <c r="J352" i="11"/>
  <c r="J348" i="11"/>
  <c r="J347" i="11"/>
  <c r="F2" i="41" l="1"/>
  <c r="F6" i="42"/>
  <c r="J6" i="42" s="1"/>
  <c r="E657" i="24"/>
  <c r="A8" i="42"/>
  <c r="J288" i="11"/>
  <c r="J235" i="11"/>
  <c r="J233" i="11"/>
  <c r="J168" i="11"/>
  <c r="J124" i="11"/>
  <c r="J127" i="11"/>
  <c r="I127" i="11"/>
  <c r="K329" i="10"/>
  <c r="J326" i="10"/>
  <c r="H326" i="10"/>
  <c r="H325" i="10"/>
  <c r="J325" i="10"/>
  <c r="I325" i="10"/>
  <c r="A11" i="42" l="1"/>
  <c r="A14" i="42" l="1"/>
  <c r="A17" i="42" s="1"/>
  <c r="A20" i="42"/>
  <c r="A26" i="42" l="1"/>
  <c r="A29" i="42" s="1"/>
  <c r="A23" i="42"/>
  <c r="A32" i="42" l="1"/>
  <c r="A35" i="42" s="1"/>
  <c r="K521" i="13" l="1"/>
  <c r="K520" i="13"/>
  <c r="K519" i="13"/>
  <c r="K518" i="13"/>
  <c r="J521" i="13"/>
  <c r="J520" i="13"/>
  <c r="J519" i="13"/>
  <c r="J518" i="13"/>
  <c r="J476" i="13"/>
  <c r="J475" i="13"/>
  <c r="J474" i="13"/>
  <c r="J473" i="13"/>
  <c r="J470" i="13"/>
  <c r="J469" i="13"/>
  <c r="H476" i="13"/>
  <c r="H475" i="13"/>
  <c r="H474" i="13"/>
  <c r="H473" i="13"/>
  <c r="H470" i="13"/>
  <c r="H469" i="13"/>
  <c r="G476" i="13"/>
  <c r="G475" i="13"/>
  <c r="G474" i="13"/>
  <c r="G473" i="13"/>
  <c r="G470" i="13"/>
  <c r="G469" i="13"/>
  <c r="K89" i="13"/>
  <c r="K88" i="13"/>
  <c r="K87" i="13"/>
  <c r="K85" i="13"/>
  <c r="K83" i="13"/>
  <c r="K82" i="13"/>
  <c r="K81" i="13"/>
  <c r="K80" i="13"/>
  <c r="J80" i="13"/>
  <c r="K79" i="13"/>
  <c r="K63" i="13"/>
  <c r="K53" i="13" l="1"/>
  <c r="K52" i="13"/>
  <c r="K51" i="13"/>
  <c r="K45" i="13"/>
  <c r="K43" i="13"/>
  <c r="K41" i="13"/>
  <c r="J41" i="13"/>
  <c r="K40" i="13"/>
  <c r="K39" i="13"/>
  <c r="K37" i="13"/>
  <c r="K255" i="10"/>
  <c r="K252" i="10"/>
  <c r="K245" i="10"/>
  <c r="J245" i="10"/>
  <c r="K244" i="10"/>
  <c r="K241" i="10"/>
  <c r="J207" i="10"/>
  <c r="I207" i="10"/>
  <c r="I206" i="10"/>
  <c r="K158" i="10"/>
  <c r="J54" i="7"/>
  <c r="D70" i="4"/>
  <c r="C70" i="4"/>
  <c r="E67" i="4"/>
  <c r="G58" i="4"/>
  <c r="G50" i="4"/>
  <c r="F56" i="4"/>
  <c r="F48" i="4"/>
  <c r="E70" i="4" l="1"/>
  <c r="F67" i="4"/>
  <c r="H67" i="4" l="1"/>
  <c r="H199" i="20" l="1"/>
  <c r="H112" i="20"/>
  <c r="H98" i="20"/>
  <c r="H93" i="20"/>
  <c r="H86" i="20"/>
  <c r="H70" i="20"/>
  <c r="H63" i="20"/>
  <c r="F223" i="20"/>
  <c r="H222" i="20"/>
  <c r="J112" i="10" l="1"/>
  <c r="K110" i="10"/>
  <c r="K105" i="10"/>
  <c r="I223" i="15"/>
  <c r="I222" i="15"/>
  <c r="I189" i="15"/>
  <c r="J62" i="7"/>
  <c r="J55" i="7"/>
  <c r="T6" i="19"/>
  <c r="U6" i="19" s="1"/>
  <c r="F42" i="3" s="1"/>
  <c r="E42" i="3" s="1"/>
  <c r="U5" i="19" l="1"/>
  <c r="F41" i="3" s="1"/>
  <c r="E300" i="11" l="1"/>
  <c r="F300" i="11" s="1"/>
  <c r="E41" i="3"/>
  <c r="E43" i="3" s="1"/>
  <c r="K1103" i="24"/>
  <c r="K1102" i="24"/>
  <c r="K1101" i="24"/>
  <c r="K1100" i="24"/>
  <c r="K1099" i="24"/>
  <c r="K1098" i="24"/>
  <c r="K1096" i="24"/>
  <c r="K1095" i="24"/>
  <c r="K1094" i="24"/>
  <c r="K1093" i="24"/>
  <c r="K1092" i="24"/>
  <c r="K1091" i="24"/>
  <c r="K1090" i="24"/>
  <c r="K1089" i="24"/>
  <c r="K1086" i="24"/>
  <c r="K1085" i="24"/>
  <c r="K1084" i="24"/>
  <c r="K1083" i="24"/>
  <c r="K1082" i="24"/>
  <c r="K1081" i="24"/>
  <c r="K1080" i="24"/>
  <c r="K1079" i="24"/>
  <c r="K1077" i="24"/>
  <c r="K1076" i="24"/>
  <c r="K1075" i="24"/>
  <c r="K1074" i="24"/>
  <c r="K1073" i="24"/>
  <c r="K1072" i="24"/>
  <c r="K1071" i="24"/>
  <c r="K1070" i="24"/>
  <c r="K1069" i="24"/>
  <c r="K1068" i="24"/>
  <c r="K1067" i="24"/>
  <c r="K1066" i="24"/>
  <c r="K1065" i="24"/>
  <c r="K1064" i="24"/>
  <c r="K1063" i="24"/>
  <c r="K1062" i="24"/>
  <c r="K1061" i="24"/>
  <c r="K1060" i="24"/>
  <c r="K1059" i="24"/>
  <c r="K1058" i="24"/>
  <c r="K1057" i="24"/>
  <c r="K1056" i="24"/>
  <c r="K1055" i="24"/>
  <c r="K1054" i="24"/>
  <c r="K1053" i="24"/>
  <c r="K1052" i="24"/>
  <c r="K1051" i="24"/>
  <c r="K1050" i="24"/>
  <c r="K1048" i="24"/>
  <c r="K1047" i="24"/>
  <c r="K1046" i="24"/>
  <c r="K1045" i="24"/>
  <c r="K1043" i="24"/>
  <c r="K1042" i="24"/>
  <c r="K1041" i="24"/>
  <c r="K1040" i="24"/>
  <c r="K1039" i="24"/>
  <c r="K1038" i="24"/>
  <c r="K1037" i="24"/>
  <c r="K1036" i="24"/>
  <c r="K1035" i="24"/>
  <c r="K1034" i="24"/>
  <c r="K1031" i="24"/>
  <c r="C1031" i="24" s="1"/>
  <c r="F1031" i="24" s="1"/>
  <c r="K1030" i="24"/>
  <c r="C1030" i="24" s="1"/>
  <c r="F1030" i="24" s="1"/>
  <c r="K1029" i="24"/>
  <c r="C1029" i="24" s="1"/>
  <c r="F1029" i="24" s="1"/>
  <c r="K1028" i="24"/>
  <c r="C1028" i="24" s="1"/>
  <c r="F1028" i="24" s="1"/>
  <c r="K1027" i="24"/>
  <c r="C1027" i="24" s="1"/>
  <c r="F1027" i="24" s="1"/>
  <c r="K1026" i="24"/>
  <c r="C1026" i="24" s="1"/>
  <c r="F1026" i="24" s="1"/>
  <c r="K1025" i="24"/>
  <c r="C1025" i="24" s="1"/>
  <c r="F1025" i="24" s="1"/>
  <c r="K1024" i="24"/>
  <c r="C1024" i="24" s="1"/>
  <c r="F1024" i="24" s="1"/>
  <c r="K1023" i="24"/>
  <c r="C1023" i="24" s="1"/>
  <c r="F1023" i="24" s="1"/>
  <c r="K1022" i="24"/>
  <c r="C1022" i="24" s="1"/>
  <c r="F1022" i="24" s="1"/>
  <c r="K1021" i="24"/>
  <c r="C1021" i="24" s="1"/>
  <c r="F1021" i="24" s="1"/>
  <c r="K1020" i="24"/>
  <c r="C1020" i="24" s="1"/>
  <c r="F1020" i="24" s="1"/>
  <c r="K1019" i="24"/>
  <c r="C1019" i="24" s="1"/>
  <c r="F1019" i="24" s="1"/>
  <c r="K1018" i="24"/>
  <c r="C1018" i="24" s="1"/>
  <c r="F1018" i="24" s="1"/>
  <c r="K1017" i="24"/>
  <c r="C1017" i="24" s="1"/>
  <c r="F1017" i="24" s="1"/>
  <c r="K1016" i="24"/>
  <c r="C1016" i="24" s="1"/>
  <c r="F1016" i="24" s="1"/>
  <c r="K1015" i="24"/>
  <c r="C1015" i="24" s="1"/>
  <c r="F1015" i="24" s="1"/>
  <c r="K1014" i="24"/>
  <c r="C1014" i="24" s="1"/>
  <c r="F1014" i="24" s="1"/>
  <c r="K1013" i="24"/>
  <c r="C1013" i="24" s="1"/>
  <c r="F1013" i="24" s="1"/>
  <c r="K1012" i="24"/>
  <c r="C1012" i="24" s="1"/>
  <c r="F1012" i="24" s="1"/>
  <c r="K1011" i="24"/>
  <c r="C1011" i="24" s="1"/>
  <c r="F1011" i="24" s="1"/>
  <c r="K1010" i="24"/>
  <c r="C1010" i="24" s="1"/>
  <c r="F1010" i="24" s="1"/>
  <c r="K1009" i="24"/>
  <c r="C1009" i="24" s="1"/>
  <c r="F1009" i="24" s="1"/>
  <c r="K1008" i="24"/>
  <c r="C1008" i="24" s="1"/>
  <c r="F1008" i="24" s="1"/>
  <c r="K1007" i="24"/>
  <c r="C1007" i="24" s="1"/>
  <c r="F1007" i="24" s="1"/>
  <c r="K1006" i="24"/>
  <c r="C1006" i="24" s="1"/>
  <c r="F1006" i="24" s="1"/>
  <c r="K1005" i="24"/>
  <c r="C1005" i="24" s="1"/>
  <c r="F1005" i="24" s="1"/>
  <c r="K1004" i="24"/>
  <c r="C1004" i="24" s="1"/>
  <c r="F1004" i="24" s="1"/>
  <c r="K1003" i="24"/>
  <c r="C1003" i="24" s="1"/>
  <c r="F1003" i="24" s="1"/>
  <c r="K1002" i="24"/>
  <c r="C1002" i="24" s="1"/>
  <c r="F1002" i="24" s="1"/>
  <c r="K1001" i="24"/>
  <c r="C1001" i="24" s="1"/>
  <c r="F1001" i="24" s="1"/>
  <c r="K1000" i="24"/>
  <c r="C1000" i="24" s="1"/>
  <c r="F1000" i="24" s="1"/>
  <c r="K999" i="24"/>
  <c r="C999" i="24" s="1"/>
  <c r="F999" i="24" s="1"/>
  <c r="K998" i="24"/>
  <c r="C998" i="24" s="1"/>
  <c r="F998" i="24" s="1"/>
  <c r="K997" i="24"/>
  <c r="C997" i="24" s="1"/>
  <c r="F997" i="24" s="1"/>
  <c r="K996" i="24"/>
  <c r="C996" i="24" s="1"/>
  <c r="F996" i="24" s="1"/>
  <c r="K995" i="24"/>
  <c r="C995" i="24" s="1"/>
  <c r="F995" i="24" s="1"/>
  <c r="K994" i="24"/>
  <c r="C994" i="24" s="1"/>
  <c r="F994" i="24" s="1"/>
  <c r="K993" i="24"/>
  <c r="C993" i="24" s="1"/>
  <c r="F993" i="24" s="1"/>
  <c r="K992" i="24"/>
  <c r="C992" i="24" s="1"/>
  <c r="F992" i="24" s="1"/>
  <c r="K991" i="24"/>
  <c r="C991" i="24" s="1"/>
  <c r="F991" i="24" s="1"/>
  <c r="K990" i="24"/>
  <c r="C990" i="24" s="1"/>
  <c r="F990" i="24" s="1"/>
  <c r="K989" i="24"/>
  <c r="C989" i="24" s="1"/>
  <c r="F989" i="24" s="1"/>
  <c r="K988" i="24"/>
  <c r="C988" i="24" s="1"/>
  <c r="F988" i="24" s="1"/>
  <c r="K987" i="24"/>
  <c r="C987" i="24" s="1"/>
  <c r="F987" i="24" s="1"/>
  <c r="K986" i="24"/>
  <c r="C986" i="24" s="1"/>
  <c r="F986" i="24" s="1"/>
  <c r="K985" i="24"/>
  <c r="C985" i="24" s="1"/>
  <c r="F985" i="24" s="1"/>
  <c r="K984" i="24"/>
  <c r="C984" i="24" s="1"/>
  <c r="F984" i="24" s="1"/>
  <c r="K983" i="24"/>
  <c r="C983" i="24" s="1"/>
  <c r="F983" i="24" s="1"/>
  <c r="K982" i="24"/>
  <c r="C982" i="24" s="1"/>
  <c r="F982" i="24" s="1"/>
  <c r="K981" i="24"/>
  <c r="C981" i="24" s="1"/>
  <c r="F981" i="24" s="1"/>
  <c r="K980" i="24"/>
  <c r="C980" i="24" s="1"/>
  <c r="F980" i="24" s="1"/>
  <c r="K979" i="24"/>
  <c r="C979" i="24" s="1"/>
  <c r="F979" i="24" s="1"/>
  <c r="K978" i="24"/>
  <c r="C978" i="24" s="1"/>
  <c r="F978" i="24" s="1"/>
  <c r="K977" i="24"/>
  <c r="C977" i="24" s="1"/>
  <c r="F977" i="24" s="1"/>
  <c r="K976" i="24"/>
  <c r="C976" i="24" s="1"/>
  <c r="F976" i="24" s="1"/>
  <c r="K975" i="24"/>
  <c r="C975" i="24" s="1"/>
  <c r="F975" i="24" s="1"/>
  <c r="K974" i="24"/>
  <c r="C974" i="24" s="1"/>
  <c r="F974" i="24" s="1"/>
  <c r="K973" i="24"/>
  <c r="C973" i="24" s="1"/>
  <c r="F973" i="24" s="1"/>
  <c r="K972" i="24"/>
  <c r="C972" i="24" s="1"/>
  <c r="F972" i="24" s="1"/>
  <c r="K971" i="24"/>
  <c r="C971" i="24" s="1"/>
  <c r="F971" i="24" s="1"/>
  <c r="K970" i="24"/>
  <c r="C970" i="24" s="1"/>
  <c r="F970" i="24" s="1"/>
  <c r="K969" i="24"/>
  <c r="C969" i="24" s="1"/>
  <c r="F969" i="24" s="1"/>
  <c r="K968" i="24"/>
  <c r="C968" i="24" s="1"/>
  <c r="F968" i="24" s="1"/>
  <c r="K967" i="24"/>
  <c r="C967" i="24" s="1"/>
  <c r="F967" i="24" s="1"/>
  <c r="K966" i="24"/>
  <c r="C966" i="24" s="1"/>
  <c r="F966" i="24" s="1"/>
  <c r="K965" i="24"/>
  <c r="C965" i="24" s="1"/>
  <c r="F965" i="24" s="1"/>
  <c r="K964" i="24"/>
  <c r="C964" i="24" s="1"/>
  <c r="F964" i="24" s="1"/>
  <c r="K963" i="24"/>
  <c r="C963" i="24" s="1"/>
  <c r="F963" i="24" s="1"/>
  <c r="K962" i="24"/>
  <c r="C962" i="24" s="1"/>
  <c r="F962" i="24" s="1"/>
  <c r="K961" i="24"/>
  <c r="C961" i="24" s="1"/>
  <c r="F961" i="24" s="1"/>
  <c r="K960" i="24"/>
  <c r="C960" i="24" s="1"/>
  <c r="F960" i="24" s="1"/>
  <c r="K959" i="24"/>
  <c r="C959" i="24" s="1"/>
  <c r="F959" i="24" s="1"/>
  <c r="K958" i="24"/>
  <c r="C958" i="24" s="1"/>
  <c r="F958" i="24" s="1"/>
  <c r="K957" i="24"/>
  <c r="C957" i="24" s="1"/>
  <c r="F957" i="24" s="1"/>
  <c r="K956" i="24"/>
  <c r="C956" i="24" s="1"/>
  <c r="F956" i="24" s="1"/>
  <c r="K955" i="24"/>
  <c r="C955" i="24" s="1"/>
  <c r="F955" i="24" s="1"/>
  <c r="K954" i="24"/>
  <c r="C954" i="24" s="1"/>
  <c r="F954" i="24" s="1"/>
  <c r="K953" i="24"/>
  <c r="C953" i="24" s="1"/>
  <c r="F953" i="24" s="1"/>
  <c r="K952" i="24"/>
  <c r="C952" i="24" s="1"/>
  <c r="F952" i="24" s="1"/>
  <c r="K951" i="24"/>
  <c r="C951" i="24" s="1"/>
  <c r="F951" i="24" s="1"/>
  <c r="K950" i="24"/>
  <c r="C950" i="24" s="1"/>
  <c r="F950" i="24" s="1"/>
  <c r="K949" i="24"/>
  <c r="C949" i="24" s="1"/>
  <c r="F949" i="24" s="1"/>
  <c r="K948" i="24"/>
  <c r="C948" i="24" s="1"/>
  <c r="F948" i="24" s="1"/>
  <c r="K947" i="24"/>
  <c r="C947" i="24" s="1"/>
  <c r="F947" i="24" s="1"/>
  <c r="K946" i="24"/>
  <c r="C946" i="24" s="1"/>
  <c r="F946" i="24" s="1"/>
  <c r="K945" i="24"/>
  <c r="C945" i="24" s="1"/>
  <c r="F945" i="24" s="1"/>
  <c r="K944" i="24"/>
  <c r="C944" i="24" s="1"/>
  <c r="F944" i="24" s="1"/>
  <c r="K943" i="24"/>
  <c r="C943" i="24" s="1"/>
  <c r="F943" i="24" s="1"/>
  <c r="K942" i="24"/>
  <c r="C942" i="24" s="1"/>
  <c r="F942" i="24" s="1"/>
  <c r="K941" i="24"/>
  <c r="C941" i="24" s="1"/>
  <c r="F941" i="24" s="1"/>
  <c r="K940" i="24"/>
  <c r="C940" i="24" s="1"/>
  <c r="F940" i="24" s="1"/>
  <c r="K939" i="24"/>
  <c r="C939" i="24" s="1"/>
  <c r="F939" i="24" s="1"/>
  <c r="K938" i="24"/>
  <c r="C938" i="24" s="1"/>
  <c r="F938" i="24" s="1"/>
  <c r="K937" i="24"/>
  <c r="C937" i="24" s="1"/>
  <c r="F937" i="24" s="1"/>
  <c r="K936" i="24"/>
  <c r="C936" i="24" s="1"/>
  <c r="F936" i="24" s="1"/>
  <c r="K935" i="24"/>
  <c r="C935" i="24" s="1"/>
  <c r="F935" i="24" s="1"/>
  <c r="K934" i="24"/>
  <c r="C934" i="24" s="1"/>
  <c r="F934" i="24" s="1"/>
  <c r="K933" i="24"/>
  <c r="C933" i="24" s="1"/>
  <c r="F933" i="24" s="1"/>
  <c r="K932" i="24"/>
  <c r="C932" i="24" s="1"/>
  <c r="F932" i="24" s="1"/>
  <c r="K931" i="24"/>
  <c r="C931" i="24" s="1"/>
  <c r="F931" i="24" s="1"/>
  <c r="K930" i="24"/>
  <c r="C930" i="24" s="1"/>
  <c r="F930" i="24" s="1"/>
  <c r="K929" i="24"/>
  <c r="C929" i="24" s="1"/>
  <c r="F929" i="24" s="1"/>
  <c r="K928" i="24"/>
  <c r="C928" i="24" s="1"/>
  <c r="F928" i="24" s="1"/>
  <c r="K927" i="24"/>
  <c r="C927" i="24" s="1"/>
  <c r="F927" i="24" s="1"/>
  <c r="K926" i="24"/>
  <c r="C926" i="24" s="1"/>
  <c r="F926" i="24" s="1"/>
  <c r="K925" i="24"/>
  <c r="C925" i="24" s="1"/>
  <c r="F925" i="24" s="1"/>
  <c r="K924" i="24"/>
  <c r="C924" i="24" s="1"/>
  <c r="F924" i="24" s="1"/>
  <c r="K923" i="24"/>
  <c r="C923" i="24" s="1"/>
  <c r="F923" i="24" s="1"/>
  <c r="K922" i="24"/>
  <c r="C922" i="24" s="1"/>
  <c r="F922" i="24" s="1"/>
  <c r="K921" i="24"/>
  <c r="C921" i="24" s="1"/>
  <c r="F921" i="24" s="1"/>
  <c r="K920" i="24"/>
  <c r="C920" i="24" s="1"/>
  <c r="F920" i="24" s="1"/>
  <c r="K919" i="24"/>
  <c r="C919" i="24" s="1"/>
  <c r="F919" i="24" s="1"/>
  <c r="K918" i="24"/>
  <c r="C918" i="24" s="1"/>
  <c r="F918" i="24" s="1"/>
  <c r="K917" i="24"/>
  <c r="C917" i="24" s="1"/>
  <c r="F917" i="24" s="1"/>
  <c r="K916" i="24"/>
  <c r="C916" i="24" s="1"/>
  <c r="F916" i="24" s="1"/>
  <c r="K915" i="24"/>
  <c r="C915" i="24" s="1"/>
  <c r="F915" i="24" s="1"/>
  <c r="K914" i="24"/>
  <c r="C914" i="24" s="1"/>
  <c r="F914" i="24" s="1"/>
  <c r="K913" i="24"/>
  <c r="C913" i="24" s="1"/>
  <c r="F913" i="24" s="1"/>
  <c r="K912" i="24"/>
  <c r="C912" i="24" s="1"/>
  <c r="F912" i="24" s="1"/>
  <c r="K911" i="24"/>
  <c r="C911" i="24" s="1"/>
  <c r="F911" i="24" s="1"/>
  <c r="K910" i="24"/>
  <c r="C910" i="24" s="1"/>
  <c r="F910" i="24" s="1"/>
  <c r="K909" i="24"/>
  <c r="C909" i="24" s="1"/>
  <c r="F909" i="24" s="1"/>
  <c r="K908" i="24"/>
  <c r="C908" i="24" s="1"/>
  <c r="F908" i="24" s="1"/>
  <c r="K907" i="24"/>
  <c r="C907" i="24" s="1"/>
  <c r="F907" i="24" s="1"/>
  <c r="K906" i="24"/>
  <c r="C906" i="24" s="1"/>
  <c r="F906" i="24" s="1"/>
  <c r="K905" i="24"/>
  <c r="C905" i="24" s="1"/>
  <c r="F905" i="24" s="1"/>
  <c r="K904" i="24"/>
  <c r="C904" i="24" s="1"/>
  <c r="F904" i="24" s="1"/>
  <c r="K903" i="24"/>
  <c r="C903" i="24" s="1"/>
  <c r="F903" i="24" s="1"/>
  <c r="K902" i="24"/>
  <c r="C902" i="24" s="1"/>
  <c r="F902" i="24" s="1"/>
  <c r="K901" i="24"/>
  <c r="C901" i="24" s="1"/>
  <c r="F901" i="24" s="1"/>
  <c r="K900" i="24"/>
  <c r="C900" i="24" s="1"/>
  <c r="F900" i="24" s="1"/>
  <c r="K899" i="24"/>
  <c r="C899" i="24" s="1"/>
  <c r="F899" i="24" s="1"/>
  <c r="K898" i="24"/>
  <c r="C898" i="24" s="1"/>
  <c r="F898" i="24" s="1"/>
  <c r="K897" i="24"/>
  <c r="C897" i="24" s="1"/>
  <c r="F897" i="24" s="1"/>
  <c r="K896" i="24"/>
  <c r="C896" i="24" s="1"/>
  <c r="F896" i="24" s="1"/>
  <c r="K895" i="24"/>
  <c r="C895" i="24" s="1"/>
  <c r="F895" i="24" s="1"/>
  <c r="K894" i="24"/>
  <c r="C894" i="24" s="1"/>
  <c r="F894" i="24" s="1"/>
  <c r="K893" i="24"/>
  <c r="C893" i="24" s="1"/>
  <c r="F893" i="24" s="1"/>
  <c r="K892" i="24"/>
  <c r="C892" i="24" s="1"/>
  <c r="F892" i="24" s="1"/>
  <c r="K891" i="24"/>
  <c r="C891" i="24" s="1"/>
  <c r="F891" i="24" s="1"/>
  <c r="K890" i="24"/>
  <c r="C890" i="24" s="1"/>
  <c r="F890" i="24" s="1"/>
  <c r="K889" i="24"/>
  <c r="C889" i="24" s="1"/>
  <c r="F889" i="24" s="1"/>
  <c r="K888" i="24"/>
  <c r="C888" i="24" s="1"/>
  <c r="F888" i="24" s="1"/>
  <c r="K887" i="24"/>
  <c r="C887" i="24" s="1"/>
  <c r="F887" i="24" s="1"/>
  <c r="K886" i="24"/>
  <c r="C886" i="24" s="1"/>
  <c r="F886" i="24" s="1"/>
  <c r="K885" i="24"/>
  <c r="C885" i="24" s="1"/>
  <c r="F885" i="24" s="1"/>
  <c r="K884" i="24"/>
  <c r="C884" i="24" s="1"/>
  <c r="F884" i="24" s="1"/>
  <c r="K883" i="24"/>
  <c r="C883" i="24" s="1"/>
  <c r="F883" i="24" s="1"/>
  <c r="K882" i="24"/>
  <c r="C882" i="24" s="1"/>
  <c r="F882" i="24" s="1"/>
  <c r="K881" i="24"/>
  <c r="C881" i="24" s="1"/>
  <c r="F881" i="24" s="1"/>
  <c r="K880" i="24"/>
  <c r="C880" i="24" s="1"/>
  <c r="F880" i="24" s="1"/>
  <c r="K879" i="24"/>
  <c r="C879" i="24" s="1"/>
  <c r="F879" i="24" s="1"/>
  <c r="K878" i="24"/>
  <c r="C878" i="24" s="1"/>
  <c r="F878" i="24" s="1"/>
  <c r="K877" i="24"/>
  <c r="C877" i="24" s="1"/>
  <c r="F877" i="24" s="1"/>
  <c r="K876" i="24"/>
  <c r="C876" i="24" s="1"/>
  <c r="F876" i="24" s="1"/>
  <c r="K875" i="24"/>
  <c r="C875" i="24" s="1"/>
  <c r="F875" i="24" s="1"/>
  <c r="K874" i="24"/>
  <c r="C874" i="24" s="1"/>
  <c r="F874" i="24" s="1"/>
  <c r="K873" i="24"/>
  <c r="C873" i="24" s="1"/>
  <c r="F873" i="24" s="1"/>
  <c r="K872" i="24"/>
  <c r="C872" i="24" s="1"/>
  <c r="F872" i="24" s="1"/>
  <c r="K871" i="24"/>
  <c r="C871" i="24" s="1"/>
  <c r="F871" i="24" s="1"/>
  <c r="K870" i="24"/>
  <c r="C870" i="24" s="1"/>
  <c r="F870" i="24" s="1"/>
  <c r="K869" i="24"/>
  <c r="C869" i="24" s="1"/>
  <c r="F869" i="24" s="1"/>
  <c r="K868" i="24"/>
  <c r="C868" i="24" s="1"/>
  <c r="F868" i="24" s="1"/>
  <c r="K867" i="24"/>
  <c r="C867" i="24" s="1"/>
  <c r="F867" i="24" s="1"/>
  <c r="K866" i="24"/>
  <c r="C866" i="24" s="1"/>
  <c r="F866" i="24" s="1"/>
  <c r="K865" i="24"/>
  <c r="C865" i="24" s="1"/>
  <c r="F865" i="24" s="1"/>
  <c r="K864" i="24"/>
  <c r="C864" i="24" s="1"/>
  <c r="F864" i="24" s="1"/>
  <c r="K863" i="24"/>
  <c r="C863" i="24" s="1"/>
  <c r="F863" i="24" s="1"/>
  <c r="K862" i="24"/>
  <c r="C862" i="24" s="1"/>
  <c r="F862" i="24" s="1"/>
  <c r="K861" i="24"/>
  <c r="C861" i="24" s="1"/>
  <c r="F861" i="24" s="1"/>
  <c r="K860" i="24"/>
  <c r="C860" i="24" s="1"/>
  <c r="F860" i="24" s="1"/>
  <c r="K859" i="24"/>
  <c r="C859" i="24" s="1"/>
  <c r="F859" i="24" s="1"/>
  <c r="K858" i="24"/>
  <c r="C858" i="24" s="1"/>
  <c r="F858" i="24" s="1"/>
  <c r="K857" i="24"/>
  <c r="C857" i="24" s="1"/>
  <c r="F857" i="24" s="1"/>
  <c r="K856" i="24"/>
  <c r="C856" i="24" s="1"/>
  <c r="F856" i="24" s="1"/>
  <c r="K855" i="24"/>
  <c r="C855" i="24" s="1"/>
  <c r="F855" i="24" s="1"/>
  <c r="K854" i="24"/>
  <c r="C854" i="24" s="1"/>
  <c r="F854" i="24" s="1"/>
  <c r="K853" i="24"/>
  <c r="C853" i="24" s="1"/>
  <c r="F853" i="24" s="1"/>
  <c r="K852" i="24"/>
  <c r="C852" i="24" s="1"/>
  <c r="F852" i="24" s="1"/>
  <c r="K851" i="24"/>
  <c r="C851" i="24" s="1"/>
  <c r="F851" i="24" s="1"/>
  <c r="K850" i="24"/>
  <c r="C850" i="24" s="1"/>
  <c r="F850" i="24" s="1"/>
  <c r="K849" i="24"/>
  <c r="C849" i="24" s="1"/>
  <c r="F849" i="24" s="1"/>
  <c r="K848" i="24"/>
  <c r="C848" i="24" s="1"/>
  <c r="F848" i="24" s="1"/>
  <c r="K847" i="24"/>
  <c r="C847" i="24" s="1"/>
  <c r="F847" i="24" s="1"/>
  <c r="K846" i="24"/>
  <c r="C846" i="24" s="1"/>
  <c r="F846" i="24" s="1"/>
  <c r="K845" i="24"/>
  <c r="C845" i="24" s="1"/>
  <c r="F845" i="24" s="1"/>
  <c r="K844" i="24"/>
  <c r="C844" i="24" s="1"/>
  <c r="F844" i="24" s="1"/>
  <c r="K843" i="24"/>
  <c r="C843" i="24" s="1"/>
  <c r="F843" i="24" s="1"/>
  <c r="K842" i="24"/>
  <c r="C842" i="24" s="1"/>
  <c r="F842" i="24" s="1"/>
  <c r="K841" i="24"/>
  <c r="C841" i="24" s="1"/>
  <c r="F841" i="24" s="1"/>
  <c r="K840" i="24"/>
  <c r="C840" i="24" s="1"/>
  <c r="F840" i="24" s="1"/>
  <c r="K839" i="24"/>
  <c r="C839" i="24" s="1"/>
  <c r="F839" i="24" s="1"/>
  <c r="K838" i="24"/>
  <c r="C838" i="24" s="1"/>
  <c r="F838" i="24" s="1"/>
  <c r="K837" i="24"/>
  <c r="C837" i="24" s="1"/>
  <c r="F837" i="24" s="1"/>
  <c r="K836" i="24"/>
  <c r="C836" i="24" s="1"/>
  <c r="F836" i="24" s="1"/>
  <c r="K835" i="24"/>
  <c r="C835" i="24" s="1"/>
  <c r="F835" i="24" s="1"/>
  <c r="K834" i="24"/>
  <c r="C834" i="24" s="1"/>
  <c r="F834" i="24" s="1"/>
  <c r="K833" i="24"/>
  <c r="C833" i="24" s="1"/>
  <c r="F833" i="24" s="1"/>
  <c r="K832" i="24"/>
  <c r="C832" i="24" s="1"/>
  <c r="F832" i="24" s="1"/>
  <c r="K831" i="24"/>
  <c r="C831" i="24" s="1"/>
  <c r="F831" i="24" s="1"/>
  <c r="K830" i="24"/>
  <c r="C830" i="24" s="1"/>
  <c r="F830" i="24" s="1"/>
  <c r="K829" i="24"/>
  <c r="C829" i="24" s="1"/>
  <c r="F829" i="24" s="1"/>
  <c r="K828" i="24"/>
  <c r="C828" i="24" s="1"/>
  <c r="F828" i="24" s="1"/>
  <c r="K827" i="24"/>
  <c r="C827" i="24" s="1"/>
  <c r="F827" i="24" s="1"/>
  <c r="K826" i="24"/>
  <c r="C826" i="24" s="1"/>
  <c r="F826" i="24" s="1"/>
  <c r="K825" i="24"/>
  <c r="C825" i="24" s="1"/>
  <c r="F825" i="24" s="1"/>
  <c r="K824" i="24"/>
  <c r="C824" i="24" s="1"/>
  <c r="F824" i="24" s="1"/>
  <c r="K823" i="24"/>
  <c r="C823" i="24" s="1"/>
  <c r="F823" i="24" s="1"/>
  <c r="K822" i="24"/>
  <c r="C822" i="24" s="1"/>
  <c r="F822" i="24" s="1"/>
  <c r="K821" i="24"/>
  <c r="C821" i="24" s="1"/>
  <c r="F821" i="24" s="1"/>
  <c r="K820" i="24"/>
  <c r="C820" i="24" s="1"/>
  <c r="F820" i="24" s="1"/>
  <c r="K819" i="24"/>
  <c r="C819" i="24" s="1"/>
  <c r="F819" i="24" s="1"/>
  <c r="K818" i="24"/>
  <c r="C818" i="24" s="1"/>
  <c r="F818" i="24" s="1"/>
  <c r="K817" i="24"/>
  <c r="C817" i="24" s="1"/>
  <c r="F817" i="24" s="1"/>
  <c r="K816" i="24"/>
  <c r="C816" i="24" s="1"/>
  <c r="F816" i="24" s="1"/>
  <c r="K815" i="24"/>
  <c r="C815" i="24" s="1"/>
  <c r="F815" i="24" s="1"/>
  <c r="K814" i="24"/>
  <c r="C814" i="24" s="1"/>
  <c r="F814" i="24" s="1"/>
  <c r="K813" i="24"/>
  <c r="C813" i="24" s="1"/>
  <c r="F813" i="24" s="1"/>
  <c r="K812" i="24"/>
  <c r="C812" i="24" s="1"/>
  <c r="F812" i="24" s="1"/>
  <c r="K811" i="24"/>
  <c r="C811" i="24" s="1"/>
  <c r="F811" i="24" s="1"/>
  <c r="K810" i="24"/>
  <c r="C810" i="24" s="1"/>
  <c r="F810" i="24" s="1"/>
  <c r="K809" i="24"/>
  <c r="C809" i="24" s="1"/>
  <c r="F809" i="24" s="1"/>
  <c r="K808" i="24"/>
  <c r="C808" i="24" s="1"/>
  <c r="F808" i="24" s="1"/>
  <c r="K807" i="24"/>
  <c r="C807" i="24" s="1"/>
  <c r="F807" i="24" s="1"/>
  <c r="K806" i="24"/>
  <c r="C806" i="24" s="1"/>
  <c r="F806" i="24" s="1"/>
  <c r="K805" i="24"/>
  <c r="C805" i="24" s="1"/>
  <c r="F805" i="24" s="1"/>
  <c r="K804" i="24"/>
  <c r="C804" i="24" s="1"/>
  <c r="F804" i="24" s="1"/>
  <c r="K803" i="24"/>
  <c r="C803" i="24" s="1"/>
  <c r="F803" i="24" s="1"/>
  <c r="K802" i="24"/>
  <c r="C802" i="24" s="1"/>
  <c r="F802" i="24" s="1"/>
  <c r="K801" i="24"/>
  <c r="C801" i="24" s="1"/>
  <c r="F801" i="24" s="1"/>
  <c r="K800" i="24"/>
  <c r="C800" i="24" s="1"/>
  <c r="F800" i="24" s="1"/>
  <c r="K799" i="24"/>
  <c r="C799" i="24" s="1"/>
  <c r="F799" i="24" s="1"/>
  <c r="K798" i="24"/>
  <c r="C798" i="24" s="1"/>
  <c r="F798" i="24" s="1"/>
  <c r="K797" i="24"/>
  <c r="C797" i="24" s="1"/>
  <c r="F797" i="24" s="1"/>
  <c r="K796" i="24"/>
  <c r="C796" i="24" s="1"/>
  <c r="F796" i="24" s="1"/>
  <c r="K795" i="24"/>
  <c r="C795" i="24" s="1"/>
  <c r="F795" i="24" s="1"/>
  <c r="K794" i="24"/>
  <c r="C794" i="24" s="1"/>
  <c r="F794" i="24" s="1"/>
  <c r="K793" i="24"/>
  <c r="C793" i="24" s="1"/>
  <c r="F793" i="24" s="1"/>
  <c r="K792" i="24"/>
  <c r="C792" i="24" s="1"/>
  <c r="F792" i="24" s="1"/>
  <c r="K791" i="24"/>
  <c r="C791" i="24" s="1"/>
  <c r="F791" i="24" s="1"/>
  <c r="K790" i="24"/>
  <c r="C790" i="24" s="1"/>
  <c r="F790" i="24" s="1"/>
  <c r="K789" i="24"/>
  <c r="C789" i="24" s="1"/>
  <c r="F789" i="24" s="1"/>
  <c r="K788" i="24"/>
  <c r="C788" i="24" s="1"/>
  <c r="F788" i="24" s="1"/>
  <c r="K787" i="24"/>
  <c r="C787" i="24" s="1"/>
  <c r="F787" i="24" s="1"/>
  <c r="K786" i="24"/>
  <c r="C786" i="24" s="1"/>
  <c r="F786" i="24" s="1"/>
  <c r="K785" i="24"/>
  <c r="C785" i="24" s="1"/>
  <c r="F785" i="24" s="1"/>
  <c r="K784" i="24"/>
  <c r="C784" i="24" s="1"/>
  <c r="F784" i="24" s="1"/>
  <c r="K783" i="24"/>
  <c r="C783" i="24" s="1"/>
  <c r="F783" i="24" s="1"/>
  <c r="K782" i="24"/>
  <c r="C782" i="24" s="1"/>
  <c r="F782" i="24" s="1"/>
  <c r="K781" i="24"/>
  <c r="C781" i="24" s="1"/>
  <c r="F781" i="24" s="1"/>
  <c r="K780" i="24"/>
  <c r="C780" i="24" s="1"/>
  <c r="F780" i="24" s="1"/>
  <c r="K779" i="24"/>
  <c r="C779" i="24" s="1"/>
  <c r="F779" i="24" s="1"/>
  <c r="K778" i="24"/>
  <c r="C778" i="24" s="1"/>
  <c r="F778" i="24" s="1"/>
  <c r="K777" i="24"/>
  <c r="C777" i="24" s="1"/>
  <c r="F777" i="24" s="1"/>
  <c r="K776" i="24"/>
  <c r="C776" i="24" s="1"/>
  <c r="F776" i="24" s="1"/>
  <c r="K775" i="24"/>
  <c r="C775" i="24" s="1"/>
  <c r="F775" i="24" s="1"/>
  <c r="K774" i="24"/>
  <c r="C774" i="24" s="1"/>
  <c r="F774" i="24" s="1"/>
  <c r="K773" i="24"/>
  <c r="C773" i="24" s="1"/>
  <c r="F773" i="24" s="1"/>
  <c r="K772" i="24"/>
  <c r="C772" i="24" s="1"/>
  <c r="F772" i="24" s="1"/>
  <c r="K771" i="24"/>
  <c r="C771" i="24" s="1"/>
  <c r="F771" i="24" s="1"/>
  <c r="K770" i="24"/>
  <c r="C770" i="24" s="1"/>
  <c r="F770" i="24" s="1"/>
  <c r="K769" i="24"/>
  <c r="C769" i="24" s="1"/>
  <c r="F769" i="24" s="1"/>
  <c r="K768" i="24"/>
  <c r="C768" i="24" s="1"/>
  <c r="F768" i="24" s="1"/>
  <c r="K767" i="24"/>
  <c r="C767" i="24" s="1"/>
  <c r="F767" i="24" s="1"/>
  <c r="K766" i="24"/>
  <c r="C766" i="24" s="1"/>
  <c r="F766" i="24" s="1"/>
  <c r="K765" i="24"/>
  <c r="C765" i="24" s="1"/>
  <c r="F765" i="24" s="1"/>
  <c r="K764" i="24"/>
  <c r="C764" i="24" s="1"/>
  <c r="F764" i="24" s="1"/>
  <c r="K763" i="24"/>
  <c r="C763" i="24" s="1"/>
  <c r="F763" i="24" s="1"/>
  <c r="K762" i="24"/>
  <c r="C762" i="24" s="1"/>
  <c r="F762" i="24" s="1"/>
  <c r="K761" i="24"/>
  <c r="C761" i="24" s="1"/>
  <c r="F761" i="24" s="1"/>
  <c r="K760" i="24"/>
  <c r="C760" i="24" s="1"/>
  <c r="F760" i="24" s="1"/>
  <c r="K759" i="24"/>
  <c r="C759" i="24" s="1"/>
  <c r="F759" i="24" s="1"/>
  <c r="K758" i="24"/>
  <c r="C758" i="24" s="1"/>
  <c r="F758" i="24" s="1"/>
  <c r="K757" i="24"/>
  <c r="C757" i="24" s="1"/>
  <c r="F757" i="24" s="1"/>
  <c r="K756" i="24"/>
  <c r="C756" i="24" s="1"/>
  <c r="F756" i="24" s="1"/>
  <c r="K755" i="24"/>
  <c r="C755" i="24" s="1"/>
  <c r="F755" i="24" s="1"/>
  <c r="K754" i="24"/>
  <c r="C754" i="24" s="1"/>
  <c r="F754" i="24" s="1"/>
  <c r="K753" i="24"/>
  <c r="C753" i="24" s="1"/>
  <c r="F753" i="24" s="1"/>
  <c r="K752" i="24"/>
  <c r="C752" i="24" s="1"/>
  <c r="K750" i="24"/>
  <c r="C750" i="24" s="1"/>
  <c r="F750" i="24" s="1"/>
  <c r="K749" i="24"/>
  <c r="C749" i="24" s="1"/>
  <c r="F749" i="24" s="1"/>
  <c r="K748" i="24"/>
  <c r="C748" i="24" s="1"/>
  <c r="F748" i="24" s="1"/>
  <c r="K747" i="24"/>
  <c r="C747" i="24" s="1"/>
  <c r="F747" i="24" s="1"/>
  <c r="K746" i="24"/>
  <c r="C746" i="24" s="1"/>
  <c r="F746" i="24" s="1"/>
  <c r="K745" i="24"/>
  <c r="C745" i="24" s="1"/>
  <c r="F745" i="24" s="1"/>
  <c r="K744" i="24"/>
  <c r="C744" i="24" s="1"/>
  <c r="F744" i="24" s="1"/>
  <c r="K743" i="24"/>
  <c r="C743" i="24" s="1"/>
  <c r="F743" i="24" s="1"/>
  <c r="K742" i="24"/>
  <c r="C742" i="24" s="1"/>
  <c r="F742" i="24" s="1"/>
  <c r="K741" i="24"/>
  <c r="C741" i="24" s="1"/>
  <c r="F741" i="24" s="1"/>
  <c r="K740" i="24"/>
  <c r="C740" i="24" s="1"/>
  <c r="F740" i="24" s="1"/>
  <c r="K739" i="24"/>
  <c r="C739" i="24" s="1"/>
  <c r="F739" i="24" s="1"/>
  <c r="K738" i="24"/>
  <c r="C738" i="24" s="1"/>
  <c r="F738" i="24" s="1"/>
  <c r="K737" i="24"/>
  <c r="C737" i="24" s="1"/>
  <c r="F737" i="24" s="1"/>
  <c r="K736" i="24"/>
  <c r="C736" i="24" s="1"/>
  <c r="F736" i="24" s="1"/>
  <c r="K735" i="24"/>
  <c r="C735" i="24" s="1"/>
  <c r="F735" i="24" s="1"/>
  <c r="K734" i="24"/>
  <c r="C734" i="24" s="1"/>
  <c r="F734" i="24" s="1"/>
  <c r="K733" i="24"/>
  <c r="C733" i="24" s="1"/>
  <c r="F733" i="24" s="1"/>
  <c r="K732" i="24"/>
  <c r="C732" i="24" s="1"/>
  <c r="F732" i="24" s="1"/>
  <c r="K731" i="24"/>
  <c r="C731" i="24" s="1"/>
  <c r="F731" i="24" s="1"/>
  <c r="K730" i="24"/>
  <c r="C730" i="24" s="1"/>
  <c r="F730" i="24" s="1"/>
  <c r="K729" i="24"/>
  <c r="C729" i="24" s="1"/>
  <c r="F729" i="24" s="1"/>
  <c r="K728" i="24"/>
  <c r="C728" i="24" s="1"/>
  <c r="F728" i="24" s="1"/>
  <c r="K727" i="24"/>
  <c r="C727" i="24" s="1"/>
  <c r="F727" i="24" s="1"/>
  <c r="K726" i="24"/>
  <c r="C726" i="24" s="1"/>
  <c r="F726" i="24" s="1"/>
  <c r="K725" i="24"/>
  <c r="C725" i="24" s="1"/>
  <c r="F725" i="24" s="1"/>
  <c r="K724" i="24"/>
  <c r="C724" i="24" s="1"/>
  <c r="F724" i="24" s="1"/>
  <c r="K723" i="24"/>
  <c r="C723" i="24" s="1"/>
  <c r="F723" i="24" s="1"/>
  <c r="K722" i="24"/>
  <c r="C722" i="24" s="1"/>
  <c r="F722" i="24" s="1"/>
  <c r="K721" i="24"/>
  <c r="C721" i="24" s="1"/>
  <c r="F721" i="24" s="1"/>
  <c r="K720" i="24"/>
  <c r="C720" i="24" s="1"/>
  <c r="F720" i="24" s="1"/>
  <c r="K719" i="24"/>
  <c r="C719" i="24" s="1"/>
  <c r="F719" i="24" s="1"/>
  <c r="K718" i="24"/>
  <c r="C718" i="24" s="1"/>
  <c r="F718" i="24" s="1"/>
  <c r="K717" i="24"/>
  <c r="C717" i="24" s="1"/>
  <c r="F717" i="24" s="1"/>
  <c r="K716" i="24"/>
  <c r="C716" i="24" s="1"/>
  <c r="F716" i="24" s="1"/>
  <c r="K715" i="24"/>
  <c r="C715" i="24" s="1"/>
  <c r="F715" i="24" s="1"/>
  <c r="K714" i="24"/>
  <c r="C714" i="24" s="1"/>
  <c r="F714" i="24" s="1"/>
  <c r="K713" i="24"/>
  <c r="C713" i="24" s="1"/>
  <c r="F713" i="24" s="1"/>
  <c r="K712" i="24"/>
  <c r="C712" i="24" s="1"/>
  <c r="F712" i="24" s="1"/>
  <c r="K711" i="24"/>
  <c r="C711" i="24" s="1"/>
  <c r="F711" i="24" s="1"/>
  <c r="K710" i="24"/>
  <c r="C710" i="24" s="1"/>
  <c r="F710" i="24" s="1"/>
  <c r="K709" i="24"/>
  <c r="C709" i="24" s="1"/>
  <c r="F709" i="24" s="1"/>
  <c r="K708" i="24"/>
  <c r="C708" i="24" s="1"/>
  <c r="F708" i="24" s="1"/>
  <c r="K707" i="24"/>
  <c r="C707" i="24" s="1"/>
  <c r="F707" i="24" s="1"/>
  <c r="K706" i="24"/>
  <c r="C706" i="24" s="1"/>
  <c r="F706" i="24" s="1"/>
  <c r="K705" i="24"/>
  <c r="C705" i="24" s="1"/>
  <c r="F705" i="24" s="1"/>
  <c r="K704" i="24"/>
  <c r="C704" i="24" s="1"/>
  <c r="F704" i="24" s="1"/>
  <c r="K703" i="24"/>
  <c r="C703" i="24" s="1"/>
  <c r="F703" i="24" s="1"/>
  <c r="K702" i="24"/>
  <c r="C702" i="24" s="1"/>
  <c r="F702" i="24" s="1"/>
  <c r="K701" i="24"/>
  <c r="C701" i="24" s="1"/>
  <c r="F701" i="24" s="1"/>
  <c r="K700" i="24"/>
  <c r="C700" i="24" s="1"/>
  <c r="F700" i="24" s="1"/>
  <c r="K699" i="24"/>
  <c r="C699" i="24" s="1"/>
  <c r="F699" i="24" s="1"/>
  <c r="K698" i="24"/>
  <c r="C698" i="24" s="1"/>
  <c r="F698" i="24" s="1"/>
  <c r="K697" i="24"/>
  <c r="C697" i="24" s="1"/>
  <c r="F697" i="24" s="1"/>
  <c r="K696" i="24"/>
  <c r="C696" i="24" s="1"/>
  <c r="F696" i="24" s="1"/>
  <c r="K695" i="24"/>
  <c r="C695" i="24" s="1"/>
  <c r="F695" i="24" s="1"/>
  <c r="K694" i="24"/>
  <c r="C694" i="24" s="1"/>
  <c r="F694" i="24" s="1"/>
  <c r="K693" i="24"/>
  <c r="C693" i="24" s="1"/>
  <c r="F693" i="24" s="1"/>
  <c r="K692" i="24"/>
  <c r="C692" i="24" s="1"/>
  <c r="F692" i="24" s="1"/>
  <c r="K691" i="24"/>
  <c r="C691" i="24" s="1"/>
  <c r="F691" i="24" s="1"/>
  <c r="K690" i="24"/>
  <c r="C690" i="24" s="1"/>
  <c r="F690" i="24" s="1"/>
  <c r="K689" i="24"/>
  <c r="C689" i="24" s="1"/>
  <c r="F689" i="24" s="1"/>
  <c r="K688" i="24"/>
  <c r="C688" i="24" s="1"/>
  <c r="F688" i="24" s="1"/>
  <c r="K687" i="24"/>
  <c r="C687" i="24" s="1"/>
  <c r="F687" i="24" s="1"/>
  <c r="K686" i="24"/>
  <c r="C686" i="24" s="1"/>
  <c r="F686" i="24" s="1"/>
  <c r="K685" i="24"/>
  <c r="C685" i="24" s="1"/>
  <c r="F685" i="24" s="1"/>
  <c r="K684" i="24"/>
  <c r="C684" i="24" s="1"/>
  <c r="F684" i="24" s="1"/>
  <c r="K683" i="24"/>
  <c r="C683" i="24" s="1"/>
  <c r="F683" i="24" s="1"/>
  <c r="K682" i="24"/>
  <c r="C682" i="24" s="1"/>
  <c r="F682" i="24" s="1"/>
  <c r="K681" i="24"/>
  <c r="C681" i="24" s="1"/>
  <c r="F681" i="24" s="1"/>
  <c r="K680" i="24"/>
  <c r="C680" i="24" s="1"/>
  <c r="F680" i="24" s="1"/>
  <c r="K679" i="24"/>
  <c r="C679" i="24" s="1"/>
  <c r="F679" i="24" s="1"/>
  <c r="K678" i="24"/>
  <c r="C678" i="24" s="1"/>
  <c r="F678" i="24" s="1"/>
  <c r="K677" i="24"/>
  <c r="C677" i="24" s="1"/>
  <c r="F677" i="24" s="1"/>
  <c r="K676" i="24"/>
  <c r="C676" i="24" s="1"/>
  <c r="F676" i="24" s="1"/>
  <c r="K675" i="24"/>
  <c r="C675" i="24" s="1"/>
  <c r="F675" i="24" s="1"/>
  <c r="K674" i="24"/>
  <c r="C674" i="24" s="1"/>
  <c r="F674" i="24" s="1"/>
  <c r="K673" i="24"/>
  <c r="C673" i="24" s="1"/>
  <c r="F673" i="24" s="1"/>
  <c r="K672" i="24"/>
  <c r="C672" i="24" s="1"/>
  <c r="F672" i="24" s="1"/>
  <c r="K671" i="24"/>
  <c r="C671" i="24" s="1"/>
  <c r="F671" i="24" s="1"/>
  <c r="K670" i="24"/>
  <c r="C670" i="24" s="1"/>
  <c r="F670" i="24" s="1"/>
  <c r="K669" i="24"/>
  <c r="C669" i="24" s="1"/>
  <c r="F669" i="24" s="1"/>
  <c r="K668" i="24"/>
  <c r="C668" i="24" s="1"/>
  <c r="F668" i="24" s="1"/>
  <c r="K667" i="24"/>
  <c r="C667" i="24" s="1"/>
  <c r="F667" i="24" s="1"/>
  <c r="K666" i="24"/>
  <c r="C666" i="24" s="1"/>
  <c r="F666" i="24" s="1"/>
  <c r="K665" i="24"/>
  <c r="C665" i="24" s="1"/>
  <c r="F665" i="24" s="1"/>
  <c r="K664" i="24"/>
  <c r="C664" i="24" s="1"/>
  <c r="F664" i="24" s="1"/>
  <c r="K663" i="24"/>
  <c r="C663" i="24" s="1"/>
  <c r="F663" i="24" s="1"/>
  <c r="K662" i="24"/>
  <c r="C662" i="24" s="1"/>
  <c r="F662" i="24" s="1"/>
  <c r="K661" i="24"/>
  <c r="C661" i="24" s="1"/>
  <c r="F661" i="24" s="1"/>
  <c r="K660" i="24"/>
  <c r="C660" i="24" s="1"/>
  <c r="F660" i="24" s="1"/>
  <c r="K659" i="24"/>
  <c r="C659" i="24" s="1"/>
  <c r="F659" i="24" s="1"/>
  <c r="K657" i="24"/>
  <c r="C657" i="24" s="1"/>
  <c r="F657" i="24" s="1"/>
  <c r="K656" i="24"/>
  <c r="C656" i="24" s="1"/>
  <c r="F656" i="24" s="1"/>
  <c r="K655" i="24"/>
  <c r="C655" i="24" s="1"/>
  <c r="F655" i="24" s="1"/>
  <c r="K653" i="24"/>
  <c r="C653" i="24" s="1"/>
  <c r="F653" i="24" s="1"/>
  <c r="K652" i="24"/>
  <c r="C652" i="24" s="1"/>
  <c r="F652" i="24" s="1"/>
  <c r="K651" i="24"/>
  <c r="C651" i="24" s="1"/>
  <c r="F651" i="24" s="1"/>
  <c r="K650" i="24"/>
  <c r="C650" i="24" s="1"/>
  <c r="F650" i="24" s="1"/>
  <c r="K648" i="24"/>
  <c r="C648" i="24" s="1"/>
  <c r="F648" i="24" s="1"/>
  <c r="K647" i="24"/>
  <c r="C647" i="24" s="1"/>
  <c r="F647" i="24" s="1"/>
  <c r="K646" i="24"/>
  <c r="C646" i="24" s="1"/>
  <c r="F646" i="24" s="1"/>
  <c r="K645" i="24"/>
  <c r="C645" i="24" s="1"/>
  <c r="F645" i="24" s="1"/>
  <c r="K644" i="24"/>
  <c r="C644" i="24" s="1"/>
  <c r="F644" i="24" s="1"/>
  <c r="K643" i="24"/>
  <c r="C643" i="24" s="1"/>
  <c r="F643" i="24" s="1"/>
  <c r="K642" i="24"/>
  <c r="C642" i="24" s="1"/>
  <c r="F642" i="24" s="1"/>
  <c r="K641" i="24"/>
  <c r="C641" i="24" s="1"/>
  <c r="F641" i="24" s="1"/>
  <c r="K640" i="24"/>
  <c r="C640" i="24" s="1"/>
  <c r="F640" i="24" s="1"/>
  <c r="K639" i="24"/>
  <c r="C639" i="24" s="1"/>
  <c r="F639" i="24" s="1"/>
  <c r="K638" i="24"/>
  <c r="C638" i="24" s="1"/>
  <c r="F638" i="24" s="1"/>
  <c r="K637" i="24"/>
  <c r="C637" i="24" s="1"/>
  <c r="F637" i="24" s="1"/>
  <c r="K636" i="24"/>
  <c r="C636" i="24" s="1"/>
  <c r="F636" i="24" s="1"/>
  <c r="K634" i="24"/>
  <c r="C634" i="24" s="1"/>
  <c r="F634" i="24" s="1"/>
  <c r="K633" i="24"/>
  <c r="C633" i="24" s="1"/>
  <c r="F633" i="24" s="1"/>
  <c r="K632" i="24"/>
  <c r="C632" i="24" s="1"/>
  <c r="F632" i="24" s="1"/>
  <c r="K631" i="24"/>
  <c r="C631" i="24" s="1"/>
  <c r="F631" i="24" s="1"/>
  <c r="K630" i="24"/>
  <c r="C630" i="24" s="1"/>
  <c r="F630" i="24" s="1"/>
  <c r="K627" i="24"/>
  <c r="C627" i="24" s="1"/>
  <c r="F627" i="24" s="1"/>
  <c r="K626" i="24"/>
  <c r="C626" i="24" s="1"/>
  <c r="F626" i="24" s="1"/>
  <c r="K625" i="24"/>
  <c r="C625" i="24" s="1"/>
  <c r="F625" i="24" s="1"/>
  <c r="K624" i="24"/>
  <c r="C624" i="24" s="1"/>
  <c r="F624" i="24" s="1"/>
  <c r="K622" i="24"/>
  <c r="C622" i="24" s="1"/>
  <c r="F622" i="24" s="1"/>
  <c r="K621" i="24"/>
  <c r="C621" i="24" s="1"/>
  <c r="F621" i="24" s="1"/>
  <c r="K620" i="24"/>
  <c r="C620" i="24" s="1"/>
  <c r="F620" i="24" s="1"/>
  <c r="K619" i="24"/>
  <c r="C619" i="24" s="1"/>
  <c r="F619" i="24" s="1"/>
  <c r="K618" i="24"/>
  <c r="C618" i="24" s="1"/>
  <c r="F618" i="24" s="1"/>
  <c r="K617" i="24"/>
  <c r="C617" i="24" s="1"/>
  <c r="F617" i="24" s="1"/>
  <c r="K616" i="24"/>
  <c r="C616" i="24" s="1"/>
  <c r="F616" i="24" s="1"/>
  <c r="K615" i="24"/>
  <c r="C615" i="24" s="1"/>
  <c r="F615" i="24" s="1"/>
  <c r="K614" i="24"/>
  <c r="C614" i="24" s="1"/>
  <c r="F614" i="24" s="1"/>
  <c r="K613" i="24"/>
  <c r="C613" i="24" s="1"/>
  <c r="F613" i="24" s="1"/>
  <c r="K612" i="24"/>
  <c r="C612" i="24" s="1"/>
  <c r="F612" i="24" s="1"/>
  <c r="K611" i="24"/>
  <c r="C611" i="24" s="1"/>
  <c r="F611" i="24" s="1"/>
  <c r="K610" i="24"/>
  <c r="C610" i="24" s="1"/>
  <c r="F610" i="24" s="1"/>
  <c r="K609" i="24"/>
  <c r="C609" i="24" s="1"/>
  <c r="F609" i="24" s="1"/>
  <c r="K608" i="24"/>
  <c r="C608" i="24" s="1"/>
  <c r="F608" i="24" s="1"/>
  <c r="K607" i="24"/>
  <c r="C607" i="24" s="1"/>
  <c r="F607" i="24" s="1"/>
  <c r="K606" i="24"/>
  <c r="C606" i="24" s="1"/>
  <c r="F606" i="24" s="1"/>
  <c r="K605" i="24"/>
  <c r="C605" i="24" s="1"/>
  <c r="F605" i="24" s="1"/>
  <c r="K604" i="24"/>
  <c r="C604" i="24" s="1"/>
  <c r="F604" i="24" s="1"/>
  <c r="K603" i="24"/>
  <c r="C603" i="24" s="1"/>
  <c r="F603" i="24" s="1"/>
  <c r="K602" i="24"/>
  <c r="C602" i="24" s="1"/>
  <c r="F602" i="24" s="1"/>
  <c r="K601" i="24"/>
  <c r="C601" i="24" s="1"/>
  <c r="F601" i="24" s="1"/>
  <c r="K600" i="24"/>
  <c r="C600" i="24" s="1"/>
  <c r="F600" i="24" s="1"/>
  <c r="K599" i="24"/>
  <c r="C599" i="24" s="1"/>
  <c r="F599" i="24" s="1"/>
  <c r="K598" i="24"/>
  <c r="C598" i="24" s="1"/>
  <c r="F598" i="24" s="1"/>
  <c r="K597" i="24"/>
  <c r="C597" i="24" s="1"/>
  <c r="F597" i="24" s="1"/>
  <c r="K596" i="24"/>
  <c r="C596" i="24" s="1"/>
  <c r="F596" i="24" s="1"/>
  <c r="K595" i="24"/>
  <c r="C595" i="24" s="1"/>
  <c r="F595" i="24" s="1"/>
  <c r="K594" i="24"/>
  <c r="C594" i="24" s="1"/>
  <c r="F594" i="24" s="1"/>
  <c r="K593" i="24"/>
  <c r="C593" i="24" s="1"/>
  <c r="F593" i="24" s="1"/>
  <c r="K592" i="24"/>
  <c r="C592" i="24" s="1"/>
  <c r="F592" i="24" s="1"/>
  <c r="K591" i="24"/>
  <c r="C591" i="24" s="1"/>
  <c r="F591" i="24" s="1"/>
  <c r="K590" i="24"/>
  <c r="C590" i="24" s="1"/>
  <c r="F590" i="24" s="1"/>
  <c r="K589" i="24"/>
  <c r="C589" i="24" s="1"/>
  <c r="F589" i="24" s="1"/>
  <c r="K588" i="24"/>
  <c r="C588" i="24" s="1"/>
  <c r="F588" i="24" s="1"/>
  <c r="K587" i="24"/>
  <c r="C587" i="24" s="1"/>
  <c r="F587" i="24" s="1"/>
  <c r="K586" i="24"/>
  <c r="C586" i="24" s="1"/>
  <c r="F586" i="24" s="1"/>
  <c r="K585" i="24"/>
  <c r="C585" i="24" s="1"/>
  <c r="F585" i="24" s="1"/>
  <c r="K584" i="24"/>
  <c r="C584" i="24" s="1"/>
  <c r="F584" i="24" s="1"/>
  <c r="K583" i="24"/>
  <c r="C583" i="24" s="1"/>
  <c r="F583" i="24" s="1"/>
  <c r="K582" i="24"/>
  <c r="C582" i="24" s="1"/>
  <c r="F582" i="24" s="1"/>
  <c r="K581" i="24"/>
  <c r="C581" i="24" s="1"/>
  <c r="F581" i="24" s="1"/>
  <c r="K580" i="24"/>
  <c r="C580" i="24" s="1"/>
  <c r="F580" i="24" s="1"/>
  <c r="K579" i="24"/>
  <c r="C579" i="24" s="1"/>
  <c r="F579" i="24" s="1"/>
  <c r="K578" i="24"/>
  <c r="C578" i="24" s="1"/>
  <c r="F578" i="24" s="1"/>
  <c r="K577" i="24"/>
  <c r="C577" i="24" s="1"/>
  <c r="F577" i="24" s="1"/>
  <c r="K576" i="24"/>
  <c r="C576" i="24" s="1"/>
  <c r="F576" i="24" s="1"/>
  <c r="K575" i="24"/>
  <c r="C575" i="24" s="1"/>
  <c r="F575" i="24" s="1"/>
  <c r="K574" i="24"/>
  <c r="C574" i="24" s="1"/>
  <c r="F574" i="24" s="1"/>
  <c r="K573" i="24"/>
  <c r="C573" i="24" s="1"/>
  <c r="F573" i="24" s="1"/>
  <c r="K572" i="24"/>
  <c r="C572" i="24" s="1"/>
  <c r="F572" i="24" s="1"/>
  <c r="K571" i="24"/>
  <c r="C571" i="24" s="1"/>
  <c r="F571" i="24" s="1"/>
  <c r="K570" i="24"/>
  <c r="C570" i="24" s="1"/>
  <c r="F570" i="24" s="1"/>
  <c r="K569" i="24"/>
  <c r="C569" i="24" s="1"/>
  <c r="F569" i="24" s="1"/>
  <c r="K568" i="24"/>
  <c r="C568" i="24" s="1"/>
  <c r="F568" i="24" s="1"/>
  <c r="K567" i="24"/>
  <c r="C567" i="24" s="1"/>
  <c r="F567" i="24" s="1"/>
  <c r="K566" i="24"/>
  <c r="C566" i="24" s="1"/>
  <c r="F566" i="24" s="1"/>
  <c r="K565" i="24"/>
  <c r="C565" i="24" s="1"/>
  <c r="F565" i="24" s="1"/>
  <c r="K564" i="24"/>
  <c r="C564" i="24" s="1"/>
  <c r="F564" i="24" s="1"/>
  <c r="K563" i="24"/>
  <c r="C563" i="24" s="1"/>
  <c r="F563" i="24" s="1"/>
  <c r="K562" i="24"/>
  <c r="C562" i="24" s="1"/>
  <c r="F562" i="24" s="1"/>
  <c r="K561" i="24"/>
  <c r="C561" i="24" s="1"/>
  <c r="F561" i="24" s="1"/>
  <c r="K560" i="24"/>
  <c r="C560" i="24" s="1"/>
  <c r="F560" i="24" s="1"/>
  <c r="K559" i="24"/>
  <c r="C559" i="24" s="1"/>
  <c r="F559" i="24" s="1"/>
  <c r="K558" i="24"/>
  <c r="C558" i="24" s="1"/>
  <c r="F558" i="24" s="1"/>
  <c r="K557" i="24"/>
  <c r="C557" i="24" s="1"/>
  <c r="F557" i="24" s="1"/>
  <c r="K556" i="24"/>
  <c r="C556" i="24" s="1"/>
  <c r="F556" i="24" s="1"/>
  <c r="K555" i="24"/>
  <c r="C555" i="24" s="1"/>
  <c r="F555" i="24" s="1"/>
  <c r="K554" i="24"/>
  <c r="C554" i="24" s="1"/>
  <c r="F554" i="24" s="1"/>
  <c r="K553" i="24"/>
  <c r="C553" i="24" s="1"/>
  <c r="F553" i="24" s="1"/>
  <c r="K552" i="24"/>
  <c r="C552" i="24" s="1"/>
  <c r="F552" i="24" s="1"/>
  <c r="K551" i="24"/>
  <c r="C551" i="24" s="1"/>
  <c r="F551" i="24" s="1"/>
  <c r="K550" i="24"/>
  <c r="C550" i="24" s="1"/>
  <c r="F550" i="24" s="1"/>
  <c r="K549" i="24"/>
  <c r="C549" i="24" s="1"/>
  <c r="F549" i="24" s="1"/>
  <c r="K548" i="24"/>
  <c r="C548" i="24" s="1"/>
  <c r="F548" i="24" s="1"/>
  <c r="K547" i="24"/>
  <c r="C547" i="24" s="1"/>
  <c r="F547" i="24" s="1"/>
  <c r="K546" i="24"/>
  <c r="C546" i="24" s="1"/>
  <c r="F546" i="24" s="1"/>
  <c r="K545" i="24"/>
  <c r="C545" i="24" s="1"/>
  <c r="F545" i="24" s="1"/>
  <c r="K544" i="24"/>
  <c r="C544" i="24" s="1"/>
  <c r="F544" i="24" s="1"/>
  <c r="K543" i="24"/>
  <c r="C543" i="24" s="1"/>
  <c r="F543" i="24" s="1"/>
  <c r="K542" i="24"/>
  <c r="C542" i="24" s="1"/>
  <c r="F542" i="24" s="1"/>
  <c r="K541" i="24"/>
  <c r="C541" i="24" s="1"/>
  <c r="F541" i="24" s="1"/>
  <c r="K540" i="24"/>
  <c r="C540" i="24" s="1"/>
  <c r="F540" i="24" s="1"/>
  <c r="K539" i="24"/>
  <c r="C539" i="24" s="1"/>
  <c r="F539" i="24" s="1"/>
  <c r="K538" i="24"/>
  <c r="C538" i="24" s="1"/>
  <c r="F538" i="24" s="1"/>
  <c r="K537" i="24"/>
  <c r="C537" i="24" s="1"/>
  <c r="F537" i="24" s="1"/>
  <c r="K536" i="24"/>
  <c r="C536" i="24" s="1"/>
  <c r="F536" i="24" s="1"/>
  <c r="K535" i="24"/>
  <c r="C535" i="24" s="1"/>
  <c r="F535" i="24" s="1"/>
  <c r="K534" i="24"/>
  <c r="C534" i="24" s="1"/>
  <c r="F534" i="24" s="1"/>
  <c r="K533" i="24"/>
  <c r="C533" i="24" s="1"/>
  <c r="F533" i="24" s="1"/>
  <c r="K532" i="24"/>
  <c r="C532" i="24" s="1"/>
  <c r="F532" i="24" s="1"/>
  <c r="K531" i="24"/>
  <c r="C531" i="24" s="1"/>
  <c r="F531" i="24" s="1"/>
  <c r="K530" i="24"/>
  <c r="C530" i="24" s="1"/>
  <c r="F530" i="24" s="1"/>
  <c r="K529" i="24"/>
  <c r="C529" i="24" s="1"/>
  <c r="F529" i="24" s="1"/>
  <c r="K528" i="24"/>
  <c r="C528" i="24" s="1"/>
  <c r="F528" i="24" s="1"/>
  <c r="K527" i="24"/>
  <c r="C527" i="24" s="1"/>
  <c r="F527" i="24" s="1"/>
  <c r="K526" i="24"/>
  <c r="C526" i="24" s="1"/>
  <c r="F526" i="24" s="1"/>
  <c r="K525" i="24"/>
  <c r="C525" i="24" s="1"/>
  <c r="F525" i="24" s="1"/>
  <c r="K524" i="24"/>
  <c r="C524" i="24" s="1"/>
  <c r="F524" i="24" s="1"/>
  <c r="K523" i="24"/>
  <c r="C523" i="24" s="1"/>
  <c r="F523" i="24" s="1"/>
  <c r="K522" i="24"/>
  <c r="C522" i="24" s="1"/>
  <c r="F522" i="24" s="1"/>
  <c r="K521" i="24"/>
  <c r="C521" i="24" s="1"/>
  <c r="F521" i="24" s="1"/>
  <c r="K520" i="24"/>
  <c r="C520" i="24" s="1"/>
  <c r="F520" i="24" s="1"/>
  <c r="K519" i="24"/>
  <c r="C519" i="24" s="1"/>
  <c r="F519" i="24" s="1"/>
  <c r="K518" i="24"/>
  <c r="C518" i="24" s="1"/>
  <c r="F518" i="24" s="1"/>
  <c r="K517" i="24"/>
  <c r="C517" i="24" s="1"/>
  <c r="F517" i="24" s="1"/>
  <c r="K516" i="24"/>
  <c r="C516" i="24" s="1"/>
  <c r="F516" i="24" s="1"/>
  <c r="K515" i="24"/>
  <c r="C515" i="24" s="1"/>
  <c r="F515" i="24" s="1"/>
  <c r="K514" i="24"/>
  <c r="C514" i="24" s="1"/>
  <c r="F514" i="24" s="1"/>
  <c r="K513" i="24"/>
  <c r="C513" i="24" s="1"/>
  <c r="F513" i="24" s="1"/>
  <c r="K512" i="24"/>
  <c r="C512" i="24" s="1"/>
  <c r="F512" i="24" s="1"/>
  <c r="K511" i="24"/>
  <c r="C511" i="24" s="1"/>
  <c r="F511" i="24" s="1"/>
  <c r="K510" i="24"/>
  <c r="C510" i="24" s="1"/>
  <c r="F510" i="24" s="1"/>
  <c r="K509" i="24"/>
  <c r="C509" i="24" s="1"/>
  <c r="F509" i="24" s="1"/>
  <c r="K508" i="24"/>
  <c r="C508" i="24" s="1"/>
  <c r="F508" i="24" s="1"/>
  <c r="K507" i="24"/>
  <c r="C507" i="24" s="1"/>
  <c r="F507" i="24" s="1"/>
  <c r="K506" i="24"/>
  <c r="C506" i="24" s="1"/>
  <c r="F506" i="24" s="1"/>
  <c r="K505" i="24"/>
  <c r="C505" i="24" s="1"/>
  <c r="F505" i="24" s="1"/>
  <c r="K504" i="24"/>
  <c r="C504" i="24" s="1"/>
  <c r="F504" i="24" s="1"/>
  <c r="K503" i="24"/>
  <c r="C503" i="24" s="1"/>
  <c r="F503" i="24" s="1"/>
  <c r="K502" i="24"/>
  <c r="C502" i="24" s="1"/>
  <c r="F502" i="24" s="1"/>
  <c r="K501" i="24"/>
  <c r="C501" i="24" s="1"/>
  <c r="F501" i="24" s="1"/>
  <c r="K500" i="24"/>
  <c r="C500" i="24" s="1"/>
  <c r="F500" i="24" s="1"/>
  <c r="K499" i="24"/>
  <c r="C499" i="24" s="1"/>
  <c r="F499" i="24" s="1"/>
  <c r="K498" i="24"/>
  <c r="C498" i="24" s="1"/>
  <c r="F498" i="24" s="1"/>
  <c r="K497" i="24"/>
  <c r="C497" i="24" s="1"/>
  <c r="F497" i="24" s="1"/>
  <c r="K496" i="24"/>
  <c r="C496" i="24" s="1"/>
  <c r="F496" i="24" s="1"/>
  <c r="K495" i="24"/>
  <c r="C495" i="24" s="1"/>
  <c r="F495" i="24" s="1"/>
  <c r="K494" i="24"/>
  <c r="C494" i="24" s="1"/>
  <c r="F494" i="24" s="1"/>
  <c r="K493" i="24"/>
  <c r="C493" i="24" s="1"/>
  <c r="F493" i="24" s="1"/>
  <c r="K492" i="24"/>
  <c r="C492" i="24" s="1"/>
  <c r="F492" i="24" s="1"/>
  <c r="K491" i="24"/>
  <c r="C491" i="24" s="1"/>
  <c r="F491" i="24" s="1"/>
  <c r="K490" i="24"/>
  <c r="C490" i="24" s="1"/>
  <c r="F490" i="24" s="1"/>
  <c r="K489" i="24"/>
  <c r="C489" i="24" s="1"/>
  <c r="F489" i="24" s="1"/>
  <c r="K488" i="24"/>
  <c r="C488" i="24" s="1"/>
  <c r="F488" i="24" s="1"/>
  <c r="K487" i="24"/>
  <c r="C487" i="24" s="1"/>
  <c r="F487" i="24" s="1"/>
  <c r="K486" i="24"/>
  <c r="C486" i="24" s="1"/>
  <c r="F486" i="24" s="1"/>
  <c r="K485" i="24"/>
  <c r="C485" i="24" s="1"/>
  <c r="F485" i="24" s="1"/>
  <c r="K484" i="24"/>
  <c r="C484" i="24" s="1"/>
  <c r="F484" i="24" s="1"/>
  <c r="K483" i="24"/>
  <c r="C483" i="24" s="1"/>
  <c r="F483" i="24" s="1"/>
  <c r="K482" i="24"/>
  <c r="C482" i="24" s="1"/>
  <c r="F482" i="24" s="1"/>
  <c r="K481" i="24"/>
  <c r="C481" i="24" s="1"/>
  <c r="F481" i="24" s="1"/>
  <c r="K480" i="24"/>
  <c r="C480" i="24" s="1"/>
  <c r="F480" i="24" s="1"/>
  <c r="K479" i="24"/>
  <c r="C479" i="24" s="1"/>
  <c r="F479" i="24" s="1"/>
  <c r="K478" i="24"/>
  <c r="C478" i="24" s="1"/>
  <c r="F478" i="24" s="1"/>
  <c r="K477" i="24"/>
  <c r="C477" i="24" s="1"/>
  <c r="F477" i="24" s="1"/>
  <c r="K476" i="24"/>
  <c r="C476" i="24" s="1"/>
  <c r="F476" i="24" s="1"/>
  <c r="K475" i="24"/>
  <c r="C475" i="24" s="1"/>
  <c r="F475" i="24" s="1"/>
  <c r="K474" i="24"/>
  <c r="C474" i="24" s="1"/>
  <c r="F474" i="24" s="1"/>
  <c r="K473" i="24"/>
  <c r="C473" i="24" s="1"/>
  <c r="F473" i="24" s="1"/>
  <c r="K472" i="24"/>
  <c r="C472" i="24" s="1"/>
  <c r="F472" i="24" s="1"/>
  <c r="K471" i="24"/>
  <c r="C471" i="24" s="1"/>
  <c r="F471" i="24" s="1"/>
  <c r="K470" i="24"/>
  <c r="C470" i="24" s="1"/>
  <c r="F470" i="24" s="1"/>
  <c r="K469" i="24"/>
  <c r="C469" i="24" s="1"/>
  <c r="F469" i="24" s="1"/>
  <c r="K468" i="24"/>
  <c r="C468" i="24" s="1"/>
  <c r="F468" i="24" s="1"/>
  <c r="K467" i="24"/>
  <c r="C467" i="24" s="1"/>
  <c r="F467" i="24" s="1"/>
  <c r="K466" i="24"/>
  <c r="C466" i="24" s="1"/>
  <c r="F466" i="24" s="1"/>
  <c r="K465" i="24"/>
  <c r="C465" i="24" s="1"/>
  <c r="F465" i="24" s="1"/>
  <c r="K464" i="24"/>
  <c r="C464" i="24" s="1"/>
  <c r="F464" i="24" s="1"/>
  <c r="K463" i="24"/>
  <c r="C463" i="24" s="1"/>
  <c r="F463" i="24" s="1"/>
  <c r="K462" i="24"/>
  <c r="C462" i="24" s="1"/>
  <c r="F462" i="24" s="1"/>
  <c r="K461" i="24"/>
  <c r="C461" i="24" s="1"/>
  <c r="F461" i="24" s="1"/>
  <c r="K460" i="24"/>
  <c r="C460" i="24" s="1"/>
  <c r="F460" i="24" s="1"/>
  <c r="K459" i="24"/>
  <c r="C459" i="24" s="1"/>
  <c r="F459" i="24" s="1"/>
  <c r="K458" i="24"/>
  <c r="C458" i="24" s="1"/>
  <c r="F458" i="24" s="1"/>
  <c r="K457" i="24"/>
  <c r="C457" i="24" s="1"/>
  <c r="F457" i="24" s="1"/>
  <c r="K456" i="24"/>
  <c r="C456" i="24" s="1"/>
  <c r="F456" i="24" s="1"/>
  <c r="K455" i="24"/>
  <c r="C455" i="24" s="1"/>
  <c r="F455" i="24" s="1"/>
  <c r="K454" i="24"/>
  <c r="C454" i="24" s="1"/>
  <c r="F454" i="24" s="1"/>
  <c r="K453" i="24"/>
  <c r="C453" i="24" s="1"/>
  <c r="F453" i="24" s="1"/>
  <c r="K452" i="24"/>
  <c r="C452" i="24" s="1"/>
  <c r="F452" i="24" s="1"/>
  <c r="K451" i="24"/>
  <c r="C451" i="24" s="1"/>
  <c r="F451" i="24" s="1"/>
  <c r="K450" i="24"/>
  <c r="C450" i="24" s="1"/>
  <c r="F450" i="24" s="1"/>
  <c r="K449" i="24"/>
  <c r="C449" i="24" s="1"/>
  <c r="F449" i="24" s="1"/>
  <c r="K448" i="24"/>
  <c r="C448" i="24" s="1"/>
  <c r="F448" i="24" s="1"/>
  <c r="K447" i="24"/>
  <c r="C447" i="24" s="1"/>
  <c r="F447" i="24" s="1"/>
  <c r="K446" i="24"/>
  <c r="C446" i="24" s="1"/>
  <c r="F446" i="24" s="1"/>
  <c r="K445" i="24"/>
  <c r="C445" i="24" s="1"/>
  <c r="F445" i="24" s="1"/>
  <c r="K444" i="24"/>
  <c r="C444" i="24" s="1"/>
  <c r="F444" i="24" s="1"/>
  <c r="K443" i="24"/>
  <c r="C443" i="24" s="1"/>
  <c r="F443" i="24" s="1"/>
  <c r="K442" i="24"/>
  <c r="C442" i="24" s="1"/>
  <c r="F442" i="24" s="1"/>
  <c r="K441" i="24"/>
  <c r="C441" i="24" s="1"/>
  <c r="F441" i="24" s="1"/>
  <c r="K440" i="24"/>
  <c r="C440" i="24" s="1"/>
  <c r="F440" i="24" s="1"/>
  <c r="K439" i="24"/>
  <c r="C439" i="24" s="1"/>
  <c r="F439" i="24" s="1"/>
  <c r="K438" i="24"/>
  <c r="C438" i="24" s="1"/>
  <c r="F438" i="24" s="1"/>
  <c r="K437" i="24"/>
  <c r="C437" i="24" s="1"/>
  <c r="F437" i="24" s="1"/>
  <c r="K436" i="24"/>
  <c r="C436" i="24" s="1"/>
  <c r="F436" i="24" s="1"/>
  <c r="K435" i="24"/>
  <c r="C435" i="24" s="1"/>
  <c r="F435" i="24" s="1"/>
  <c r="K434" i="24"/>
  <c r="C434" i="24" s="1"/>
  <c r="F434" i="24" s="1"/>
  <c r="K433" i="24"/>
  <c r="C433" i="24" s="1"/>
  <c r="F433" i="24" s="1"/>
  <c r="K432" i="24"/>
  <c r="C432" i="24" s="1"/>
  <c r="F432" i="24" s="1"/>
  <c r="K431" i="24"/>
  <c r="C431" i="24" s="1"/>
  <c r="F431" i="24" s="1"/>
  <c r="K430" i="24"/>
  <c r="C430" i="24" s="1"/>
  <c r="F430" i="24" s="1"/>
  <c r="K429" i="24"/>
  <c r="C429" i="24" s="1"/>
  <c r="F429" i="24" s="1"/>
  <c r="K428" i="24"/>
  <c r="C428" i="24" s="1"/>
  <c r="F428" i="24" s="1"/>
  <c r="K427" i="24"/>
  <c r="C427" i="24" s="1"/>
  <c r="F427" i="24" s="1"/>
  <c r="K426" i="24"/>
  <c r="C426" i="24" s="1"/>
  <c r="F426" i="24" s="1"/>
  <c r="K425" i="24"/>
  <c r="C425" i="24" s="1"/>
  <c r="F425" i="24" s="1"/>
  <c r="K424" i="24"/>
  <c r="C424" i="24" s="1"/>
  <c r="F424" i="24" s="1"/>
  <c r="K423" i="24"/>
  <c r="C423" i="24" s="1"/>
  <c r="F423" i="24" s="1"/>
  <c r="K422" i="24"/>
  <c r="C422" i="24" s="1"/>
  <c r="F422" i="24" s="1"/>
  <c r="K421" i="24"/>
  <c r="C421" i="24" s="1"/>
  <c r="F421" i="24" s="1"/>
  <c r="K420" i="24"/>
  <c r="C420" i="24" s="1"/>
  <c r="F420" i="24" s="1"/>
  <c r="K419" i="24"/>
  <c r="C419" i="24" s="1"/>
  <c r="F419" i="24" s="1"/>
  <c r="K418" i="24"/>
  <c r="C418" i="24" s="1"/>
  <c r="F418" i="24" s="1"/>
  <c r="K417" i="24"/>
  <c r="C417" i="24" s="1"/>
  <c r="F417" i="24" s="1"/>
  <c r="K416" i="24"/>
  <c r="C416" i="24" s="1"/>
  <c r="F416" i="24" s="1"/>
  <c r="K415" i="24"/>
  <c r="C415" i="24" s="1"/>
  <c r="F415" i="24" s="1"/>
  <c r="K414" i="24"/>
  <c r="C414" i="24" s="1"/>
  <c r="F414" i="24" s="1"/>
  <c r="K413" i="24"/>
  <c r="C413" i="24" s="1"/>
  <c r="F413" i="24" s="1"/>
  <c r="K412" i="24"/>
  <c r="C412" i="24" s="1"/>
  <c r="F412" i="24" s="1"/>
  <c r="K411" i="24"/>
  <c r="C411" i="24" s="1"/>
  <c r="F411" i="24" s="1"/>
  <c r="K410" i="24"/>
  <c r="C410" i="24" s="1"/>
  <c r="F410" i="24" s="1"/>
  <c r="K409" i="24"/>
  <c r="C409" i="24" s="1"/>
  <c r="F409" i="24" s="1"/>
  <c r="K408" i="24"/>
  <c r="C408" i="24" s="1"/>
  <c r="F408" i="24" s="1"/>
  <c r="K407" i="24"/>
  <c r="C407" i="24" s="1"/>
  <c r="F407" i="24" s="1"/>
  <c r="K406" i="24"/>
  <c r="C406" i="24" s="1"/>
  <c r="F406" i="24" s="1"/>
  <c r="K405" i="24"/>
  <c r="C405" i="24" s="1"/>
  <c r="F405" i="24" s="1"/>
  <c r="K404" i="24"/>
  <c r="C404" i="24" s="1"/>
  <c r="F404" i="24" s="1"/>
  <c r="K403" i="24"/>
  <c r="C403" i="24" s="1"/>
  <c r="F403" i="24" s="1"/>
  <c r="K402" i="24"/>
  <c r="C402" i="24" s="1"/>
  <c r="F402" i="24" s="1"/>
  <c r="K401" i="24"/>
  <c r="C401" i="24" s="1"/>
  <c r="F401" i="24" s="1"/>
  <c r="K400" i="24"/>
  <c r="C400" i="24" s="1"/>
  <c r="F400" i="24" s="1"/>
  <c r="K399" i="24"/>
  <c r="C399" i="24" s="1"/>
  <c r="F399" i="24" s="1"/>
  <c r="K398" i="24"/>
  <c r="C398" i="24" s="1"/>
  <c r="F398" i="24" s="1"/>
  <c r="K397" i="24"/>
  <c r="C397" i="24" s="1"/>
  <c r="F397" i="24" s="1"/>
  <c r="K396" i="24"/>
  <c r="C396" i="24" s="1"/>
  <c r="F396" i="24" s="1"/>
  <c r="K395" i="24"/>
  <c r="C395" i="24" s="1"/>
  <c r="F395" i="24" s="1"/>
  <c r="K394" i="24"/>
  <c r="C394" i="24" s="1"/>
  <c r="F394" i="24" s="1"/>
  <c r="K393" i="24"/>
  <c r="C393" i="24" s="1"/>
  <c r="F393" i="24" s="1"/>
  <c r="K392" i="24"/>
  <c r="C392" i="24" s="1"/>
  <c r="F392" i="24" s="1"/>
  <c r="K391" i="24"/>
  <c r="C391" i="24" s="1"/>
  <c r="F391" i="24" s="1"/>
  <c r="K390" i="24"/>
  <c r="C390" i="24" s="1"/>
  <c r="F390" i="24" s="1"/>
  <c r="K389" i="24"/>
  <c r="C389" i="24" s="1"/>
  <c r="F389" i="24" s="1"/>
  <c r="K388" i="24"/>
  <c r="C388" i="24" s="1"/>
  <c r="F388" i="24" s="1"/>
  <c r="K387" i="24"/>
  <c r="C387" i="24" s="1"/>
  <c r="F387" i="24" s="1"/>
  <c r="K386" i="24"/>
  <c r="C386" i="24" s="1"/>
  <c r="F386" i="24" s="1"/>
  <c r="K385" i="24"/>
  <c r="C385" i="24" s="1"/>
  <c r="F385" i="24" s="1"/>
  <c r="K384" i="24"/>
  <c r="C384" i="24" s="1"/>
  <c r="F384" i="24" s="1"/>
  <c r="K383" i="24"/>
  <c r="C383" i="24" s="1"/>
  <c r="F383" i="24" s="1"/>
  <c r="K382" i="24"/>
  <c r="C382" i="24" s="1"/>
  <c r="F382" i="24" s="1"/>
  <c r="K381" i="24"/>
  <c r="C381" i="24" s="1"/>
  <c r="F381" i="24" s="1"/>
  <c r="K380" i="24"/>
  <c r="C380" i="24" s="1"/>
  <c r="F380" i="24" s="1"/>
  <c r="K379" i="24"/>
  <c r="C379" i="24" s="1"/>
  <c r="F379" i="24" s="1"/>
  <c r="K378" i="24"/>
  <c r="C378" i="24" s="1"/>
  <c r="F378" i="24" s="1"/>
  <c r="K377" i="24"/>
  <c r="C377" i="24" s="1"/>
  <c r="F377" i="24" s="1"/>
  <c r="K376" i="24"/>
  <c r="C376" i="24" s="1"/>
  <c r="F376" i="24" s="1"/>
  <c r="K375" i="24"/>
  <c r="C375" i="24" s="1"/>
  <c r="F375" i="24" s="1"/>
  <c r="K374" i="24"/>
  <c r="C374" i="24" s="1"/>
  <c r="F374" i="24" s="1"/>
  <c r="K373" i="24"/>
  <c r="C373" i="24" s="1"/>
  <c r="F373" i="24" s="1"/>
  <c r="K372" i="24"/>
  <c r="C372" i="24" s="1"/>
  <c r="F372" i="24" s="1"/>
  <c r="K371" i="24"/>
  <c r="C371" i="24" s="1"/>
  <c r="F371" i="24" s="1"/>
  <c r="K370" i="24"/>
  <c r="C370" i="24" s="1"/>
  <c r="F370" i="24" s="1"/>
  <c r="K369" i="24"/>
  <c r="C369" i="24" s="1"/>
  <c r="F369" i="24" s="1"/>
  <c r="K368" i="24"/>
  <c r="C368" i="24" s="1"/>
  <c r="F368" i="24" s="1"/>
  <c r="K367" i="24"/>
  <c r="C367" i="24" s="1"/>
  <c r="F367" i="24" s="1"/>
  <c r="K366" i="24"/>
  <c r="C366" i="24" s="1"/>
  <c r="F366" i="24" s="1"/>
  <c r="K365" i="24"/>
  <c r="C365" i="24" s="1"/>
  <c r="F365" i="24" s="1"/>
  <c r="K364" i="24"/>
  <c r="C364" i="24" s="1"/>
  <c r="F364" i="24" s="1"/>
  <c r="K363" i="24"/>
  <c r="C363" i="24" s="1"/>
  <c r="F363" i="24" s="1"/>
  <c r="K362" i="24"/>
  <c r="C362" i="24" s="1"/>
  <c r="F362" i="24" s="1"/>
  <c r="K361" i="24"/>
  <c r="C361" i="24" s="1"/>
  <c r="F361" i="24" s="1"/>
  <c r="K360" i="24"/>
  <c r="C360" i="24" s="1"/>
  <c r="F360" i="24" s="1"/>
  <c r="K359" i="24"/>
  <c r="C359" i="24" s="1"/>
  <c r="F359" i="24" s="1"/>
  <c r="K358" i="24"/>
  <c r="C358" i="24" s="1"/>
  <c r="F358" i="24" s="1"/>
  <c r="K357" i="24"/>
  <c r="C357" i="24" s="1"/>
  <c r="F357" i="24" s="1"/>
  <c r="K356" i="24"/>
  <c r="C356" i="24" s="1"/>
  <c r="F356" i="24" s="1"/>
  <c r="K355" i="24"/>
  <c r="C355" i="24" s="1"/>
  <c r="F355" i="24" s="1"/>
  <c r="K354" i="24"/>
  <c r="C354" i="24" s="1"/>
  <c r="F354" i="24" s="1"/>
  <c r="K353" i="24"/>
  <c r="C353" i="24" s="1"/>
  <c r="F353" i="24" s="1"/>
  <c r="K352" i="24"/>
  <c r="C352" i="24" s="1"/>
  <c r="F352" i="24" s="1"/>
  <c r="K351" i="24"/>
  <c r="C351" i="24" s="1"/>
  <c r="F351" i="24" s="1"/>
  <c r="K350" i="24"/>
  <c r="C350" i="24" s="1"/>
  <c r="F350" i="24" s="1"/>
  <c r="K349" i="24"/>
  <c r="C349" i="24" s="1"/>
  <c r="F349" i="24" s="1"/>
  <c r="K348" i="24"/>
  <c r="C348" i="24" s="1"/>
  <c r="F348" i="24" s="1"/>
  <c r="K347" i="24"/>
  <c r="C347" i="24" s="1"/>
  <c r="F347" i="24" s="1"/>
  <c r="K346" i="24"/>
  <c r="C346" i="24" s="1"/>
  <c r="F346" i="24" s="1"/>
  <c r="K345" i="24"/>
  <c r="C345" i="24" s="1"/>
  <c r="F345" i="24" s="1"/>
  <c r="K344" i="24"/>
  <c r="C344" i="24" s="1"/>
  <c r="F344" i="24" s="1"/>
  <c r="K343" i="24"/>
  <c r="C343" i="24" s="1"/>
  <c r="F343" i="24" s="1"/>
  <c r="K342" i="24"/>
  <c r="C342" i="24" s="1"/>
  <c r="F342" i="24" s="1"/>
  <c r="K341" i="24"/>
  <c r="C341" i="24" s="1"/>
  <c r="F341" i="24" s="1"/>
  <c r="K340" i="24"/>
  <c r="C340" i="24" s="1"/>
  <c r="F340" i="24" s="1"/>
  <c r="K339" i="24"/>
  <c r="C339" i="24" s="1"/>
  <c r="F339" i="24" s="1"/>
  <c r="K338" i="24"/>
  <c r="C338" i="24" s="1"/>
  <c r="F338" i="24" s="1"/>
  <c r="K337" i="24"/>
  <c r="C337" i="24" s="1"/>
  <c r="F337" i="24" s="1"/>
  <c r="K336" i="24"/>
  <c r="C336" i="24" s="1"/>
  <c r="F336" i="24" s="1"/>
  <c r="K335" i="24"/>
  <c r="C335" i="24" s="1"/>
  <c r="F335" i="24" s="1"/>
  <c r="K334" i="24"/>
  <c r="C334" i="24" s="1"/>
  <c r="F334" i="24" s="1"/>
  <c r="K333" i="24"/>
  <c r="C333" i="24" s="1"/>
  <c r="F333" i="24" s="1"/>
  <c r="K332" i="24"/>
  <c r="C332" i="24" s="1"/>
  <c r="F332" i="24" s="1"/>
  <c r="K331" i="24"/>
  <c r="C331" i="24" s="1"/>
  <c r="F331" i="24" s="1"/>
  <c r="K330" i="24"/>
  <c r="C330" i="24" s="1"/>
  <c r="F330" i="24" s="1"/>
  <c r="K329" i="24"/>
  <c r="C329" i="24" s="1"/>
  <c r="F329" i="24" s="1"/>
  <c r="K328" i="24"/>
  <c r="C328" i="24" s="1"/>
  <c r="F328" i="24" s="1"/>
  <c r="K327" i="24"/>
  <c r="C327" i="24" s="1"/>
  <c r="F327" i="24" s="1"/>
  <c r="K326" i="24"/>
  <c r="C326" i="24" s="1"/>
  <c r="F326" i="24" s="1"/>
  <c r="K325" i="24"/>
  <c r="C325" i="24" s="1"/>
  <c r="F325" i="24" s="1"/>
  <c r="K324" i="24"/>
  <c r="C324" i="24" s="1"/>
  <c r="F324" i="24" s="1"/>
  <c r="K323" i="24"/>
  <c r="C323" i="24" s="1"/>
  <c r="F323" i="24" s="1"/>
  <c r="K322" i="24"/>
  <c r="C322" i="24" s="1"/>
  <c r="F322" i="24" s="1"/>
  <c r="K321" i="24"/>
  <c r="C321" i="24" s="1"/>
  <c r="F321" i="24" s="1"/>
  <c r="K320" i="24"/>
  <c r="C320" i="24" s="1"/>
  <c r="F320" i="24" s="1"/>
  <c r="K319" i="24"/>
  <c r="C319" i="24" s="1"/>
  <c r="F319" i="24" s="1"/>
  <c r="K318" i="24"/>
  <c r="C318" i="24" s="1"/>
  <c r="F318" i="24" s="1"/>
  <c r="K317" i="24"/>
  <c r="C317" i="24" s="1"/>
  <c r="F317" i="24" s="1"/>
  <c r="K316" i="24"/>
  <c r="C316" i="24" s="1"/>
  <c r="F316" i="24" s="1"/>
  <c r="K315" i="24"/>
  <c r="C315" i="24" s="1"/>
  <c r="F315" i="24" s="1"/>
  <c r="K314" i="24"/>
  <c r="C314" i="24" s="1"/>
  <c r="F314" i="24" s="1"/>
  <c r="K313" i="24"/>
  <c r="C313" i="24" s="1"/>
  <c r="F313" i="24" s="1"/>
  <c r="K312" i="24"/>
  <c r="C312" i="24" s="1"/>
  <c r="F312" i="24" s="1"/>
  <c r="K311" i="24"/>
  <c r="C311" i="24" s="1"/>
  <c r="F311" i="24" s="1"/>
  <c r="K310" i="24"/>
  <c r="C310" i="24" s="1"/>
  <c r="F310" i="24" s="1"/>
  <c r="K309" i="24"/>
  <c r="C309" i="24" s="1"/>
  <c r="F309" i="24" s="1"/>
  <c r="K308" i="24"/>
  <c r="C308" i="24" s="1"/>
  <c r="F308" i="24" s="1"/>
  <c r="K307" i="24"/>
  <c r="C307" i="24" s="1"/>
  <c r="F307" i="24" s="1"/>
  <c r="K306" i="24"/>
  <c r="C306" i="24" s="1"/>
  <c r="F306" i="24" s="1"/>
  <c r="K305" i="24"/>
  <c r="C305" i="24" s="1"/>
  <c r="F305" i="24" s="1"/>
  <c r="K304" i="24"/>
  <c r="C304" i="24" s="1"/>
  <c r="F304" i="24" s="1"/>
  <c r="K303" i="24"/>
  <c r="C303" i="24" s="1"/>
  <c r="F303" i="24" s="1"/>
  <c r="K302" i="24"/>
  <c r="C302" i="24" s="1"/>
  <c r="F302" i="24" s="1"/>
  <c r="K301" i="24"/>
  <c r="C301" i="24" s="1"/>
  <c r="F301" i="24" s="1"/>
  <c r="K300" i="24"/>
  <c r="C300" i="24" s="1"/>
  <c r="F300" i="24" s="1"/>
  <c r="K299" i="24"/>
  <c r="C299" i="24" s="1"/>
  <c r="F299" i="24" s="1"/>
  <c r="K298" i="24"/>
  <c r="C298" i="24" s="1"/>
  <c r="F298" i="24" s="1"/>
  <c r="K297" i="24"/>
  <c r="C297" i="24" s="1"/>
  <c r="F297" i="24" s="1"/>
  <c r="K296" i="24"/>
  <c r="C296" i="24" s="1"/>
  <c r="F296" i="24" s="1"/>
  <c r="K295" i="24"/>
  <c r="C295" i="24" s="1"/>
  <c r="F295" i="24" s="1"/>
  <c r="K294" i="24"/>
  <c r="C294" i="24" s="1"/>
  <c r="F294" i="24" s="1"/>
  <c r="K293" i="24"/>
  <c r="C293" i="24" s="1"/>
  <c r="F293" i="24" s="1"/>
  <c r="K292" i="24"/>
  <c r="C292" i="24" s="1"/>
  <c r="F292" i="24" s="1"/>
  <c r="K291" i="24"/>
  <c r="C291" i="24" s="1"/>
  <c r="F291" i="24" s="1"/>
  <c r="K290" i="24"/>
  <c r="C290" i="24" s="1"/>
  <c r="F290" i="24" s="1"/>
  <c r="K289" i="24"/>
  <c r="C289" i="24" s="1"/>
  <c r="F289" i="24" s="1"/>
  <c r="K288" i="24"/>
  <c r="C288" i="24" s="1"/>
  <c r="F288" i="24" s="1"/>
  <c r="K287" i="24"/>
  <c r="C287" i="24" s="1"/>
  <c r="F287" i="24" s="1"/>
  <c r="K286" i="24"/>
  <c r="C286" i="24" s="1"/>
  <c r="F286" i="24" s="1"/>
  <c r="K285" i="24"/>
  <c r="C285" i="24" s="1"/>
  <c r="F285" i="24" s="1"/>
  <c r="K284" i="24"/>
  <c r="C284" i="24" s="1"/>
  <c r="F284" i="24" s="1"/>
  <c r="K283" i="24"/>
  <c r="C283" i="24" s="1"/>
  <c r="F283" i="24" s="1"/>
  <c r="K282" i="24"/>
  <c r="C282" i="24" s="1"/>
  <c r="F282" i="24" s="1"/>
  <c r="K281" i="24"/>
  <c r="C281" i="24" s="1"/>
  <c r="F281" i="24" s="1"/>
  <c r="K280" i="24"/>
  <c r="C280" i="24" s="1"/>
  <c r="F280" i="24" s="1"/>
  <c r="K279" i="24"/>
  <c r="C279" i="24" s="1"/>
  <c r="F279" i="24" s="1"/>
  <c r="K278" i="24"/>
  <c r="C278" i="24" s="1"/>
  <c r="F278" i="24" s="1"/>
  <c r="K277" i="24"/>
  <c r="C277" i="24" s="1"/>
  <c r="F277" i="24" s="1"/>
  <c r="K276" i="24"/>
  <c r="C276" i="24" s="1"/>
  <c r="F276" i="24" s="1"/>
  <c r="K275" i="24"/>
  <c r="C275" i="24" s="1"/>
  <c r="F275" i="24" s="1"/>
  <c r="K274" i="24"/>
  <c r="C274" i="24" s="1"/>
  <c r="F274" i="24" s="1"/>
  <c r="K273" i="24"/>
  <c r="C273" i="24" s="1"/>
  <c r="F273" i="24" s="1"/>
  <c r="K272" i="24"/>
  <c r="C272" i="24" s="1"/>
  <c r="F272" i="24" s="1"/>
  <c r="K271" i="24"/>
  <c r="C271" i="24" s="1"/>
  <c r="F271" i="24" s="1"/>
  <c r="K270" i="24"/>
  <c r="C270" i="24" s="1"/>
  <c r="F270" i="24" s="1"/>
  <c r="K269" i="24"/>
  <c r="C269" i="24" s="1"/>
  <c r="F269" i="24" s="1"/>
  <c r="K268" i="24"/>
  <c r="C268" i="24" s="1"/>
  <c r="F268" i="24" s="1"/>
  <c r="K267" i="24"/>
  <c r="C267" i="24" s="1"/>
  <c r="F267" i="24" s="1"/>
  <c r="K266" i="24"/>
  <c r="C266" i="24" s="1"/>
  <c r="F266" i="24" s="1"/>
  <c r="K265" i="24"/>
  <c r="C265" i="24" s="1"/>
  <c r="F265" i="24" s="1"/>
  <c r="K264" i="24"/>
  <c r="C264" i="24" s="1"/>
  <c r="F264" i="24" s="1"/>
  <c r="K263" i="24"/>
  <c r="C263" i="24" s="1"/>
  <c r="F263" i="24" s="1"/>
  <c r="K262" i="24"/>
  <c r="C262" i="24" s="1"/>
  <c r="F262" i="24" s="1"/>
  <c r="K261" i="24"/>
  <c r="C261" i="24" s="1"/>
  <c r="F261" i="24" s="1"/>
  <c r="K260" i="24"/>
  <c r="C260" i="24" s="1"/>
  <c r="F260" i="24" s="1"/>
  <c r="K259" i="24"/>
  <c r="C259" i="24" s="1"/>
  <c r="F259" i="24" s="1"/>
  <c r="K258" i="24"/>
  <c r="C258" i="24" s="1"/>
  <c r="F258" i="24" s="1"/>
  <c r="K257" i="24"/>
  <c r="C257" i="24" s="1"/>
  <c r="F257" i="24" s="1"/>
  <c r="K256" i="24"/>
  <c r="C256" i="24" s="1"/>
  <c r="F256" i="24" s="1"/>
  <c r="K255" i="24"/>
  <c r="C255" i="24" s="1"/>
  <c r="F255" i="24" s="1"/>
  <c r="K254" i="24"/>
  <c r="C254" i="24" s="1"/>
  <c r="F254" i="24" s="1"/>
  <c r="K253" i="24"/>
  <c r="C253" i="24" s="1"/>
  <c r="F253" i="24" s="1"/>
  <c r="K252" i="24"/>
  <c r="C252" i="24" s="1"/>
  <c r="F252" i="24" s="1"/>
  <c r="K251" i="24"/>
  <c r="C251" i="24" s="1"/>
  <c r="F251" i="24" s="1"/>
  <c r="K250" i="24"/>
  <c r="C250" i="24" s="1"/>
  <c r="F250" i="24" s="1"/>
  <c r="K249" i="24"/>
  <c r="C249" i="24" s="1"/>
  <c r="F249" i="24" s="1"/>
  <c r="K248" i="24"/>
  <c r="C248" i="24" s="1"/>
  <c r="F248" i="24" s="1"/>
  <c r="K247" i="24"/>
  <c r="C247" i="24" s="1"/>
  <c r="F247" i="24" s="1"/>
  <c r="K246" i="24"/>
  <c r="C246" i="24" s="1"/>
  <c r="F246" i="24" s="1"/>
  <c r="K245" i="24"/>
  <c r="C245" i="24" s="1"/>
  <c r="F245" i="24" s="1"/>
  <c r="K244" i="24"/>
  <c r="C244" i="24" s="1"/>
  <c r="F244" i="24" s="1"/>
  <c r="K243" i="24"/>
  <c r="C243" i="24" s="1"/>
  <c r="F243" i="24" s="1"/>
  <c r="K242" i="24"/>
  <c r="C242" i="24" s="1"/>
  <c r="F242" i="24" s="1"/>
  <c r="K241" i="24"/>
  <c r="C241" i="24" s="1"/>
  <c r="F241" i="24" s="1"/>
  <c r="K240" i="24"/>
  <c r="C240" i="24" s="1"/>
  <c r="F240" i="24" s="1"/>
  <c r="K239" i="24"/>
  <c r="C239" i="24" s="1"/>
  <c r="F239" i="24" s="1"/>
  <c r="K238" i="24"/>
  <c r="C238" i="24" s="1"/>
  <c r="F238" i="24" s="1"/>
  <c r="K237" i="24"/>
  <c r="C237" i="24" s="1"/>
  <c r="F237" i="24" s="1"/>
  <c r="K236" i="24"/>
  <c r="C236" i="24" s="1"/>
  <c r="F236" i="24" s="1"/>
  <c r="K235" i="24"/>
  <c r="C235" i="24" s="1"/>
  <c r="F235" i="24" s="1"/>
  <c r="K234" i="24"/>
  <c r="C234" i="24" s="1"/>
  <c r="F234" i="24" s="1"/>
  <c r="K233" i="24"/>
  <c r="C233" i="24" s="1"/>
  <c r="F233" i="24" s="1"/>
  <c r="K232" i="24"/>
  <c r="C232" i="24" s="1"/>
  <c r="F232" i="24" s="1"/>
  <c r="K231" i="24"/>
  <c r="C231" i="24" s="1"/>
  <c r="F231" i="24" s="1"/>
  <c r="K230" i="24"/>
  <c r="C230" i="24" s="1"/>
  <c r="F230" i="24" s="1"/>
  <c r="K229" i="24"/>
  <c r="C229" i="24" s="1"/>
  <c r="F229" i="24" s="1"/>
  <c r="K228" i="24"/>
  <c r="C228" i="24" s="1"/>
  <c r="F228" i="24" s="1"/>
  <c r="K227" i="24"/>
  <c r="C227" i="24" s="1"/>
  <c r="F227" i="24" s="1"/>
  <c r="K226" i="24"/>
  <c r="C226" i="24" s="1"/>
  <c r="F226" i="24" s="1"/>
  <c r="K225" i="24"/>
  <c r="C225" i="24" s="1"/>
  <c r="F225" i="24" s="1"/>
  <c r="K224" i="24"/>
  <c r="C224" i="24" s="1"/>
  <c r="F224" i="24" s="1"/>
  <c r="K223" i="24"/>
  <c r="C223" i="24" s="1"/>
  <c r="F223" i="24" s="1"/>
  <c r="K222" i="24"/>
  <c r="C222" i="24" s="1"/>
  <c r="F222" i="24" s="1"/>
  <c r="K221" i="24"/>
  <c r="C221" i="24" s="1"/>
  <c r="F221" i="24" s="1"/>
  <c r="K220" i="24"/>
  <c r="C220" i="24" s="1"/>
  <c r="F220" i="24" s="1"/>
  <c r="K219" i="24"/>
  <c r="C219" i="24" s="1"/>
  <c r="F219" i="24" s="1"/>
  <c r="K218" i="24"/>
  <c r="C218" i="24" s="1"/>
  <c r="F218" i="24" s="1"/>
  <c r="K217" i="24"/>
  <c r="C217" i="24" s="1"/>
  <c r="F217" i="24" s="1"/>
  <c r="K216" i="24"/>
  <c r="C216" i="24" s="1"/>
  <c r="F216" i="24" s="1"/>
  <c r="K215" i="24"/>
  <c r="C215" i="24" s="1"/>
  <c r="F215" i="24" s="1"/>
  <c r="K214" i="24"/>
  <c r="C214" i="24" s="1"/>
  <c r="F214" i="24" s="1"/>
  <c r="K213" i="24"/>
  <c r="C213" i="24" s="1"/>
  <c r="F213" i="24" s="1"/>
  <c r="K212" i="24"/>
  <c r="C212" i="24" s="1"/>
  <c r="F212" i="24" s="1"/>
  <c r="K211" i="24"/>
  <c r="C211" i="24" s="1"/>
  <c r="F211" i="24" s="1"/>
  <c r="K210" i="24"/>
  <c r="C210" i="24" s="1"/>
  <c r="F210" i="24" s="1"/>
  <c r="K209" i="24"/>
  <c r="C209" i="24" s="1"/>
  <c r="F209" i="24" s="1"/>
  <c r="K208" i="24"/>
  <c r="C208" i="24" s="1"/>
  <c r="F208" i="24" s="1"/>
  <c r="K207" i="24"/>
  <c r="C207" i="24" s="1"/>
  <c r="F207" i="24" s="1"/>
  <c r="K206" i="24"/>
  <c r="C206" i="24" s="1"/>
  <c r="F206" i="24" s="1"/>
  <c r="K205" i="24"/>
  <c r="C205" i="24" s="1"/>
  <c r="F205" i="24" s="1"/>
  <c r="K204" i="24"/>
  <c r="C204" i="24" s="1"/>
  <c r="F204" i="24" s="1"/>
  <c r="K203" i="24"/>
  <c r="C203" i="24" s="1"/>
  <c r="F203" i="24" s="1"/>
  <c r="K202" i="24"/>
  <c r="C202" i="24" s="1"/>
  <c r="F202" i="24" s="1"/>
  <c r="K201" i="24"/>
  <c r="C201" i="24" s="1"/>
  <c r="F201" i="24" s="1"/>
  <c r="K200" i="24"/>
  <c r="C200" i="24" s="1"/>
  <c r="F200" i="24" s="1"/>
  <c r="K199" i="24"/>
  <c r="C199" i="24" s="1"/>
  <c r="F199" i="24" s="1"/>
  <c r="K198" i="24"/>
  <c r="C198" i="24" s="1"/>
  <c r="F198" i="24" s="1"/>
  <c r="K197" i="24"/>
  <c r="C197" i="24" s="1"/>
  <c r="F197" i="24" s="1"/>
  <c r="K196" i="24"/>
  <c r="C196" i="24" s="1"/>
  <c r="F196" i="24" s="1"/>
  <c r="K195" i="24"/>
  <c r="C195" i="24" s="1"/>
  <c r="F195" i="24" s="1"/>
  <c r="K194" i="24"/>
  <c r="C194" i="24" s="1"/>
  <c r="F194" i="24" s="1"/>
  <c r="K193" i="24"/>
  <c r="C193" i="24" s="1"/>
  <c r="F193" i="24" s="1"/>
  <c r="K192" i="24"/>
  <c r="C192" i="24" s="1"/>
  <c r="F192" i="24" s="1"/>
  <c r="K191" i="24"/>
  <c r="C191" i="24" s="1"/>
  <c r="F191" i="24" s="1"/>
  <c r="K190" i="24"/>
  <c r="C190" i="24" s="1"/>
  <c r="F190" i="24" s="1"/>
  <c r="K189" i="24"/>
  <c r="C189" i="24" s="1"/>
  <c r="F189" i="24" s="1"/>
  <c r="K188" i="24"/>
  <c r="C188" i="24" s="1"/>
  <c r="F188" i="24" s="1"/>
  <c r="K187" i="24"/>
  <c r="C187" i="24" s="1"/>
  <c r="F187" i="24" s="1"/>
  <c r="K186" i="24"/>
  <c r="C186" i="24" s="1"/>
  <c r="F186" i="24" s="1"/>
  <c r="K185" i="24"/>
  <c r="C185" i="24" s="1"/>
  <c r="F185" i="24" s="1"/>
  <c r="K184" i="24"/>
  <c r="C184" i="24" s="1"/>
  <c r="F184" i="24" s="1"/>
  <c r="K183" i="24"/>
  <c r="C183" i="24" s="1"/>
  <c r="F183" i="24" s="1"/>
  <c r="K182" i="24"/>
  <c r="C182" i="24" s="1"/>
  <c r="F182" i="24" s="1"/>
  <c r="K181" i="24"/>
  <c r="C181" i="24" s="1"/>
  <c r="F181" i="24" s="1"/>
  <c r="K180" i="24"/>
  <c r="C180" i="24" s="1"/>
  <c r="F180" i="24" s="1"/>
  <c r="K179" i="24"/>
  <c r="C179" i="24" s="1"/>
  <c r="F179" i="24" s="1"/>
  <c r="K178" i="24"/>
  <c r="C178" i="24" s="1"/>
  <c r="F178" i="24" s="1"/>
  <c r="K177" i="24"/>
  <c r="C177" i="24" s="1"/>
  <c r="F177" i="24" s="1"/>
  <c r="K176" i="24"/>
  <c r="C176" i="24" s="1"/>
  <c r="F176" i="24" s="1"/>
  <c r="K175" i="24"/>
  <c r="C175" i="24" s="1"/>
  <c r="F175" i="24" s="1"/>
  <c r="K174" i="24"/>
  <c r="C174" i="24" s="1"/>
  <c r="F174" i="24" s="1"/>
  <c r="K173" i="24"/>
  <c r="C173" i="24" s="1"/>
  <c r="F173" i="24" s="1"/>
  <c r="K172" i="24"/>
  <c r="C172" i="24" s="1"/>
  <c r="F172" i="24" s="1"/>
  <c r="K171" i="24"/>
  <c r="C171" i="24" s="1"/>
  <c r="F171" i="24" s="1"/>
  <c r="K170" i="24"/>
  <c r="C170" i="24" s="1"/>
  <c r="F170" i="24" s="1"/>
  <c r="K169" i="24"/>
  <c r="C169" i="24" s="1"/>
  <c r="F169" i="24" s="1"/>
  <c r="K168" i="24"/>
  <c r="C168" i="24" s="1"/>
  <c r="F168" i="24" s="1"/>
  <c r="K167" i="24"/>
  <c r="C167" i="24" s="1"/>
  <c r="F167" i="24" s="1"/>
  <c r="K166" i="24"/>
  <c r="C166" i="24" s="1"/>
  <c r="F166" i="24" s="1"/>
  <c r="K165" i="24"/>
  <c r="C165" i="24" s="1"/>
  <c r="F165" i="24" s="1"/>
  <c r="K164" i="24"/>
  <c r="C164" i="24" s="1"/>
  <c r="F164" i="24" s="1"/>
  <c r="K163" i="24"/>
  <c r="C163" i="24" s="1"/>
  <c r="F163" i="24" s="1"/>
  <c r="K162" i="24"/>
  <c r="C162" i="24" s="1"/>
  <c r="F162" i="24" s="1"/>
  <c r="K161" i="24"/>
  <c r="C161" i="24" s="1"/>
  <c r="F161" i="24" s="1"/>
  <c r="K160" i="24"/>
  <c r="C160" i="24" s="1"/>
  <c r="F160" i="24" s="1"/>
  <c r="K159" i="24"/>
  <c r="C159" i="24" s="1"/>
  <c r="F159" i="24" s="1"/>
  <c r="K158" i="24"/>
  <c r="C158" i="24" s="1"/>
  <c r="F158" i="24" s="1"/>
  <c r="K157" i="24"/>
  <c r="C157" i="24" s="1"/>
  <c r="F157" i="24" s="1"/>
  <c r="K156" i="24"/>
  <c r="C156" i="24" s="1"/>
  <c r="F156" i="24" s="1"/>
  <c r="K155" i="24"/>
  <c r="C155" i="24" s="1"/>
  <c r="F155" i="24" s="1"/>
  <c r="K154" i="24"/>
  <c r="C154" i="24" s="1"/>
  <c r="F154" i="24" s="1"/>
  <c r="K153" i="24"/>
  <c r="C153" i="24" s="1"/>
  <c r="F153" i="24" s="1"/>
  <c r="K152" i="24"/>
  <c r="C152" i="24" s="1"/>
  <c r="F152" i="24" s="1"/>
  <c r="K151" i="24"/>
  <c r="C151" i="24" s="1"/>
  <c r="F151" i="24" s="1"/>
  <c r="K150" i="24"/>
  <c r="C150" i="24" s="1"/>
  <c r="F150" i="24" s="1"/>
  <c r="K149" i="24"/>
  <c r="C149" i="24" s="1"/>
  <c r="F149" i="24" s="1"/>
  <c r="K148" i="24"/>
  <c r="C148" i="24" s="1"/>
  <c r="F148" i="24" s="1"/>
  <c r="K147" i="24"/>
  <c r="C147" i="24" s="1"/>
  <c r="F147" i="24" s="1"/>
  <c r="K146" i="24"/>
  <c r="C146" i="24" s="1"/>
  <c r="F146" i="24" s="1"/>
  <c r="K145" i="24"/>
  <c r="C145" i="24" s="1"/>
  <c r="F145" i="24" s="1"/>
  <c r="K144" i="24"/>
  <c r="C144" i="24" s="1"/>
  <c r="F144" i="24" s="1"/>
  <c r="K143" i="24"/>
  <c r="C143" i="24" s="1"/>
  <c r="F143" i="24" s="1"/>
  <c r="K142" i="24"/>
  <c r="C142" i="24" s="1"/>
  <c r="F142" i="24" s="1"/>
  <c r="K141" i="24"/>
  <c r="C141" i="24" s="1"/>
  <c r="F141" i="24" s="1"/>
  <c r="K140" i="24"/>
  <c r="C140" i="24" s="1"/>
  <c r="F140" i="24" s="1"/>
  <c r="K139" i="24"/>
  <c r="C139" i="24" s="1"/>
  <c r="F139" i="24" s="1"/>
  <c r="K138" i="24"/>
  <c r="C138" i="24" s="1"/>
  <c r="F138" i="24" s="1"/>
  <c r="K137" i="24"/>
  <c r="C137" i="24" s="1"/>
  <c r="F137" i="24" s="1"/>
  <c r="K136" i="24"/>
  <c r="C136" i="24" s="1"/>
  <c r="F136" i="24" s="1"/>
  <c r="K135" i="24"/>
  <c r="C135" i="24" s="1"/>
  <c r="F135" i="24" s="1"/>
  <c r="K134" i="24"/>
  <c r="C134" i="24" s="1"/>
  <c r="F134" i="24" s="1"/>
  <c r="K133" i="24"/>
  <c r="C133" i="24" s="1"/>
  <c r="F133" i="24" s="1"/>
  <c r="K132" i="24"/>
  <c r="C132" i="24" s="1"/>
  <c r="F132" i="24" s="1"/>
  <c r="K131" i="24"/>
  <c r="C131" i="24" s="1"/>
  <c r="F131" i="24" s="1"/>
  <c r="K130" i="24"/>
  <c r="C130" i="24" s="1"/>
  <c r="F130" i="24" s="1"/>
  <c r="K129" i="24"/>
  <c r="C129" i="24" s="1"/>
  <c r="F129" i="24" s="1"/>
  <c r="K128" i="24"/>
  <c r="C128" i="24" s="1"/>
  <c r="F128" i="24" s="1"/>
  <c r="K127" i="24"/>
  <c r="C127" i="24" s="1"/>
  <c r="F127" i="24" s="1"/>
  <c r="K126" i="24"/>
  <c r="C126" i="24" s="1"/>
  <c r="F126" i="24" s="1"/>
  <c r="K125" i="24"/>
  <c r="C125" i="24" s="1"/>
  <c r="F125" i="24" s="1"/>
  <c r="K124" i="24"/>
  <c r="C124" i="24" s="1"/>
  <c r="F124" i="24" s="1"/>
  <c r="K123" i="24"/>
  <c r="C123" i="24" s="1"/>
  <c r="F123" i="24" s="1"/>
  <c r="K122" i="24"/>
  <c r="C122" i="24" s="1"/>
  <c r="F122" i="24" s="1"/>
  <c r="K121" i="24"/>
  <c r="C121" i="24" s="1"/>
  <c r="F121" i="24" s="1"/>
  <c r="K120" i="24"/>
  <c r="C120" i="24" s="1"/>
  <c r="F120" i="24" s="1"/>
  <c r="K119" i="24"/>
  <c r="C119" i="24" s="1"/>
  <c r="F119" i="24" s="1"/>
  <c r="K118" i="24"/>
  <c r="C118" i="24" s="1"/>
  <c r="F118" i="24" s="1"/>
  <c r="K117" i="24"/>
  <c r="C117" i="24" s="1"/>
  <c r="F117" i="24" s="1"/>
  <c r="K116" i="24"/>
  <c r="C116" i="24" s="1"/>
  <c r="F116" i="24" s="1"/>
  <c r="K115" i="24"/>
  <c r="C115" i="24" s="1"/>
  <c r="F115" i="24" s="1"/>
  <c r="K114" i="24"/>
  <c r="C114" i="24" s="1"/>
  <c r="F114" i="24" s="1"/>
  <c r="K113" i="24"/>
  <c r="C113" i="24" s="1"/>
  <c r="F113" i="24" s="1"/>
  <c r="K112" i="24"/>
  <c r="C112" i="24" s="1"/>
  <c r="F112" i="24" s="1"/>
  <c r="K111" i="24"/>
  <c r="C111" i="24" s="1"/>
  <c r="F111" i="24" s="1"/>
  <c r="K110" i="24"/>
  <c r="C110" i="24" s="1"/>
  <c r="F110" i="24" s="1"/>
  <c r="K109" i="24"/>
  <c r="C109" i="24" s="1"/>
  <c r="F109" i="24" s="1"/>
  <c r="K108" i="24"/>
  <c r="C108" i="24" s="1"/>
  <c r="F108" i="24" s="1"/>
  <c r="K107" i="24"/>
  <c r="C107" i="24" s="1"/>
  <c r="F107" i="24" s="1"/>
  <c r="K106" i="24"/>
  <c r="C106" i="24" s="1"/>
  <c r="F106" i="24" s="1"/>
  <c r="K105" i="24"/>
  <c r="C105" i="24" s="1"/>
  <c r="F105" i="24" s="1"/>
  <c r="K104" i="24"/>
  <c r="C104" i="24" s="1"/>
  <c r="F104" i="24" s="1"/>
  <c r="K103" i="24"/>
  <c r="C103" i="24" s="1"/>
  <c r="F103" i="24" s="1"/>
  <c r="K102" i="24"/>
  <c r="C102" i="24" s="1"/>
  <c r="F102" i="24" s="1"/>
  <c r="K101" i="24"/>
  <c r="C101" i="24" s="1"/>
  <c r="F101" i="24" s="1"/>
  <c r="K100" i="24"/>
  <c r="C100" i="24" s="1"/>
  <c r="F100" i="24" s="1"/>
  <c r="K99" i="24"/>
  <c r="C99" i="24" s="1"/>
  <c r="F99" i="24" s="1"/>
  <c r="K98" i="24"/>
  <c r="C98" i="24" s="1"/>
  <c r="F98" i="24" s="1"/>
  <c r="K97" i="24"/>
  <c r="C97" i="24" s="1"/>
  <c r="F97" i="24" s="1"/>
  <c r="K96" i="24"/>
  <c r="C96" i="24" s="1"/>
  <c r="F96" i="24" s="1"/>
  <c r="K95" i="24"/>
  <c r="C95" i="24" s="1"/>
  <c r="F95" i="24" s="1"/>
  <c r="K94" i="24"/>
  <c r="C94" i="24" s="1"/>
  <c r="F94" i="24" s="1"/>
  <c r="K93" i="24"/>
  <c r="C93" i="24" s="1"/>
  <c r="F93" i="24" s="1"/>
  <c r="K92" i="24"/>
  <c r="C92" i="24" s="1"/>
  <c r="F92" i="24" s="1"/>
  <c r="K91" i="24"/>
  <c r="C91" i="24" s="1"/>
  <c r="F91" i="24" s="1"/>
  <c r="K90" i="24"/>
  <c r="C90" i="24" s="1"/>
  <c r="F90" i="24" s="1"/>
  <c r="K89" i="24"/>
  <c r="C89" i="24" s="1"/>
  <c r="F89" i="24" s="1"/>
  <c r="K88" i="24"/>
  <c r="C88" i="24" s="1"/>
  <c r="F88" i="24" s="1"/>
  <c r="K87" i="24"/>
  <c r="C87" i="24" s="1"/>
  <c r="F87" i="24" s="1"/>
  <c r="K86" i="24"/>
  <c r="C86" i="24" s="1"/>
  <c r="F86" i="24" s="1"/>
  <c r="K85" i="24"/>
  <c r="C85" i="24" s="1"/>
  <c r="F85" i="24" s="1"/>
  <c r="K84" i="24"/>
  <c r="C84" i="24" s="1"/>
  <c r="F84" i="24" s="1"/>
  <c r="K83" i="24"/>
  <c r="C83" i="24" s="1"/>
  <c r="F83" i="24" s="1"/>
  <c r="K82" i="24"/>
  <c r="C82" i="24" s="1"/>
  <c r="F82" i="24" s="1"/>
  <c r="K81" i="24"/>
  <c r="C81" i="24" s="1"/>
  <c r="F81" i="24" s="1"/>
  <c r="K80" i="24"/>
  <c r="C80" i="24" s="1"/>
  <c r="F80" i="24" s="1"/>
  <c r="K79" i="24"/>
  <c r="C79" i="24" s="1"/>
  <c r="F79" i="24" s="1"/>
  <c r="K78" i="24"/>
  <c r="C78" i="24" s="1"/>
  <c r="F78" i="24" s="1"/>
  <c r="K77" i="24"/>
  <c r="C77" i="24" s="1"/>
  <c r="F77" i="24" s="1"/>
  <c r="K76" i="24"/>
  <c r="C76" i="24" s="1"/>
  <c r="F76" i="24" s="1"/>
  <c r="K75" i="24"/>
  <c r="C75" i="24" s="1"/>
  <c r="F75" i="24" s="1"/>
  <c r="K74" i="24"/>
  <c r="C74" i="24" s="1"/>
  <c r="F74" i="24" s="1"/>
  <c r="K73" i="24"/>
  <c r="C73" i="24" s="1"/>
  <c r="F73" i="24" s="1"/>
  <c r="K72" i="24"/>
  <c r="C72" i="24" s="1"/>
  <c r="F72" i="24" s="1"/>
  <c r="K71" i="24"/>
  <c r="C71" i="24" s="1"/>
  <c r="F71" i="24" s="1"/>
  <c r="K70" i="24"/>
  <c r="C70" i="24" s="1"/>
  <c r="F70" i="24" s="1"/>
  <c r="K69" i="24"/>
  <c r="C69" i="24" s="1"/>
  <c r="F69" i="24" s="1"/>
  <c r="K68" i="24"/>
  <c r="C68" i="24" s="1"/>
  <c r="F68" i="24" s="1"/>
  <c r="K67" i="24"/>
  <c r="C67" i="24" s="1"/>
  <c r="F67" i="24" s="1"/>
  <c r="K66" i="24"/>
  <c r="C66" i="24" s="1"/>
  <c r="F66" i="24" s="1"/>
  <c r="K65" i="24"/>
  <c r="C65" i="24" s="1"/>
  <c r="F65" i="24" s="1"/>
  <c r="K64" i="24"/>
  <c r="C64" i="24" s="1"/>
  <c r="F64" i="24" s="1"/>
  <c r="K63" i="24"/>
  <c r="C63" i="24" s="1"/>
  <c r="F63" i="24" s="1"/>
  <c r="K62" i="24"/>
  <c r="C62" i="24" s="1"/>
  <c r="F62" i="24" s="1"/>
  <c r="K61" i="24"/>
  <c r="C61" i="24" s="1"/>
  <c r="F61" i="24" s="1"/>
  <c r="K60" i="24"/>
  <c r="C60" i="24" s="1"/>
  <c r="F60" i="24" s="1"/>
  <c r="K59" i="24"/>
  <c r="C59" i="24" s="1"/>
  <c r="F59" i="24" s="1"/>
  <c r="K58" i="24"/>
  <c r="C58" i="24" s="1"/>
  <c r="F58" i="24" s="1"/>
  <c r="K57" i="24"/>
  <c r="C57" i="24" s="1"/>
  <c r="F57" i="24" s="1"/>
  <c r="K56" i="24"/>
  <c r="C56" i="24" s="1"/>
  <c r="F56" i="24" s="1"/>
  <c r="K55" i="24"/>
  <c r="C55" i="24" s="1"/>
  <c r="F55" i="24" s="1"/>
  <c r="K54" i="24"/>
  <c r="C54" i="24" s="1"/>
  <c r="F54" i="24" s="1"/>
  <c r="K53" i="24"/>
  <c r="C53" i="24" s="1"/>
  <c r="F53" i="24" s="1"/>
  <c r="K52" i="24"/>
  <c r="C52" i="24" s="1"/>
  <c r="F52" i="24" s="1"/>
  <c r="K51" i="24"/>
  <c r="C51" i="24" s="1"/>
  <c r="F51" i="24" s="1"/>
  <c r="K50" i="24"/>
  <c r="C50" i="24" s="1"/>
  <c r="F50" i="24" s="1"/>
  <c r="K49" i="24"/>
  <c r="C49" i="24" s="1"/>
  <c r="F49" i="24" s="1"/>
  <c r="K48" i="24"/>
  <c r="C48" i="24" s="1"/>
  <c r="F48" i="24" s="1"/>
  <c r="K47" i="24"/>
  <c r="C47" i="24" s="1"/>
  <c r="F47" i="24" s="1"/>
  <c r="K46" i="24"/>
  <c r="C46" i="24" s="1"/>
  <c r="F46" i="24" s="1"/>
  <c r="K45" i="24"/>
  <c r="C45" i="24" s="1"/>
  <c r="F45" i="24" s="1"/>
  <c r="K44" i="24"/>
  <c r="C44" i="24" s="1"/>
  <c r="F44" i="24" s="1"/>
  <c r="K43" i="24"/>
  <c r="C43" i="24" s="1"/>
  <c r="F43" i="24" s="1"/>
  <c r="K42" i="24"/>
  <c r="C42" i="24" s="1"/>
  <c r="F42" i="24" s="1"/>
  <c r="K41" i="24"/>
  <c r="C41" i="24" s="1"/>
  <c r="F41" i="24" s="1"/>
  <c r="K40" i="24"/>
  <c r="C40" i="24" s="1"/>
  <c r="F40" i="24" s="1"/>
  <c r="K39" i="24"/>
  <c r="C39" i="24" s="1"/>
  <c r="F39" i="24" s="1"/>
  <c r="K38" i="24"/>
  <c r="C38" i="24" s="1"/>
  <c r="F38" i="24" s="1"/>
  <c r="K37" i="24"/>
  <c r="C37" i="24" s="1"/>
  <c r="F37" i="24" s="1"/>
  <c r="K36" i="24"/>
  <c r="C36" i="24" s="1"/>
  <c r="F36" i="24" s="1"/>
  <c r="K35" i="24"/>
  <c r="C35" i="24" s="1"/>
  <c r="F35" i="24" s="1"/>
  <c r="K34" i="24"/>
  <c r="C34" i="24" s="1"/>
  <c r="F34" i="24" s="1"/>
  <c r="K33" i="24"/>
  <c r="C33" i="24" s="1"/>
  <c r="F33" i="24" s="1"/>
  <c r="K32" i="24"/>
  <c r="C32" i="24" s="1"/>
  <c r="F32" i="24" s="1"/>
  <c r="K31" i="24"/>
  <c r="C31" i="24" s="1"/>
  <c r="F31" i="24" s="1"/>
  <c r="K30" i="24"/>
  <c r="C30" i="24" s="1"/>
  <c r="F30" i="24" s="1"/>
  <c r="K29" i="24"/>
  <c r="C29" i="24" s="1"/>
  <c r="F29" i="24" s="1"/>
  <c r="K28" i="24"/>
  <c r="C28" i="24" s="1"/>
  <c r="F28" i="24" s="1"/>
  <c r="K27" i="24"/>
  <c r="C27" i="24" s="1"/>
  <c r="F27" i="24" s="1"/>
  <c r="K26" i="24"/>
  <c r="C26" i="24" s="1"/>
  <c r="F26" i="24" s="1"/>
  <c r="K25" i="24"/>
  <c r="C25" i="24" s="1"/>
  <c r="F25" i="24" s="1"/>
  <c r="K24" i="24"/>
  <c r="C24" i="24" s="1"/>
  <c r="F24" i="24" s="1"/>
  <c r="K23" i="24"/>
  <c r="C23" i="24" s="1"/>
  <c r="F23" i="24" s="1"/>
  <c r="K22" i="24"/>
  <c r="C22" i="24" s="1"/>
  <c r="F22" i="24" s="1"/>
  <c r="K21" i="24"/>
  <c r="C21" i="24" s="1"/>
  <c r="F21" i="24" s="1"/>
  <c r="K20" i="24"/>
  <c r="C20" i="24" s="1"/>
  <c r="F20" i="24" s="1"/>
  <c r="K19" i="24"/>
  <c r="C19" i="24" s="1"/>
  <c r="F19" i="24" s="1"/>
  <c r="K18" i="24"/>
  <c r="C18" i="24" s="1"/>
  <c r="F18" i="24" s="1"/>
  <c r="K17" i="24"/>
  <c r="C17" i="24" s="1"/>
  <c r="F17" i="24" s="1"/>
  <c r="K16" i="24"/>
  <c r="C16" i="24" s="1"/>
  <c r="F16" i="24" s="1"/>
  <c r="K15" i="24"/>
  <c r="C15" i="24" s="1"/>
  <c r="F15" i="24" s="1"/>
  <c r="K14" i="24"/>
  <c r="C14" i="24" s="1"/>
  <c r="F14" i="24" s="1"/>
  <c r="K13" i="24"/>
  <c r="C13" i="24" s="1"/>
  <c r="F13" i="24" s="1"/>
  <c r="K12" i="24"/>
  <c r="C12" i="24" s="1"/>
  <c r="F12" i="24" s="1"/>
  <c r="K11" i="24"/>
  <c r="C11" i="24" s="1"/>
  <c r="F11" i="24" s="1"/>
  <c r="K10" i="24"/>
  <c r="C10" i="24" s="1"/>
  <c r="F10" i="24" s="1"/>
  <c r="K9" i="24"/>
  <c r="C9" i="24" s="1"/>
  <c r="F9" i="24" s="1"/>
  <c r="K8" i="24"/>
  <c r="K7" i="24"/>
  <c r="C7" i="24" s="1"/>
  <c r="F7" i="24" s="1"/>
  <c r="K6" i="24"/>
  <c r="C6" i="24" s="1"/>
  <c r="F6" i="24" s="1"/>
  <c r="K5" i="24"/>
  <c r="J1107" i="24"/>
  <c r="I1107" i="24"/>
  <c r="H1107" i="24"/>
  <c r="S633" i="24"/>
  <c r="S1105" i="24"/>
  <c r="S1104" i="24"/>
  <c r="S1032" i="24"/>
  <c r="S624" i="24"/>
  <c r="S1103" i="24"/>
  <c r="S1102" i="24"/>
  <c r="S1101" i="24"/>
  <c r="S1100" i="24"/>
  <c r="S1099" i="24"/>
  <c r="S1098" i="24"/>
  <c r="S1096" i="24"/>
  <c r="S1095" i="24"/>
  <c r="S1094" i="24"/>
  <c r="S1093" i="24"/>
  <c r="S1092" i="24"/>
  <c r="S1091" i="24"/>
  <c r="S1090" i="24"/>
  <c r="S1089" i="24"/>
  <c r="S1086" i="24"/>
  <c r="S1085" i="24"/>
  <c r="S1084" i="24"/>
  <c r="S1083" i="24"/>
  <c r="S1082" i="24"/>
  <c r="S1081" i="24"/>
  <c r="S1080" i="24"/>
  <c r="S1079" i="24"/>
  <c r="S1077" i="24"/>
  <c r="S1076" i="24"/>
  <c r="S1075" i="24"/>
  <c r="S1074" i="24"/>
  <c r="S1073" i="24"/>
  <c r="S1072" i="24"/>
  <c r="S1071" i="24"/>
  <c r="S1070" i="24"/>
  <c r="S1069" i="24"/>
  <c r="S1068" i="24"/>
  <c r="S1067" i="24"/>
  <c r="S1066" i="24"/>
  <c r="S1065" i="24"/>
  <c r="S1064" i="24"/>
  <c r="S1063" i="24"/>
  <c r="S1062" i="24"/>
  <c r="S1061" i="24"/>
  <c r="S1060" i="24"/>
  <c r="S1059" i="24"/>
  <c r="S1058" i="24"/>
  <c r="S1057" i="24"/>
  <c r="S1056" i="24"/>
  <c r="S1055" i="24"/>
  <c r="S1054" i="24"/>
  <c r="S1053" i="24"/>
  <c r="S1052" i="24"/>
  <c r="S1051" i="24"/>
  <c r="S1050" i="24"/>
  <c r="S1048" i="24"/>
  <c r="S1047" i="24"/>
  <c r="S1046" i="24"/>
  <c r="S1045" i="24"/>
  <c r="S1043" i="24"/>
  <c r="S1042" i="24"/>
  <c r="S1041" i="24"/>
  <c r="S1040" i="24"/>
  <c r="S1039" i="24"/>
  <c r="S1038" i="24"/>
  <c r="S1037" i="24"/>
  <c r="S1036" i="24"/>
  <c r="S1035" i="24"/>
  <c r="S1034" i="24"/>
  <c r="S1031" i="24"/>
  <c r="S1030" i="24"/>
  <c r="S1029" i="24"/>
  <c r="S1028" i="24"/>
  <c r="S1027" i="24"/>
  <c r="S1026" i="24"/>
  <c r="S1025" i="24"/>
  <c r="S1024" i="24"/>
  <c r="S1023" i="24"/>
  <c r="S1022" i="24"/>
  <c r="S1021" i="24"/>
  <c r="S1020" i="24"/>
  <c r="S1019" i="24"/>
  <c r="S1018" i="24"/>
  <c r="S1017" i="24"/>
  <c r="S1016" i="24"/>
  <c r="S1015" i="24"/>
  <c r="S1014" i="24"/>
  <c r="S1013" i="24"/>
  <c r="S1012" i="24"/>
  <c r="S1011" i="24"/>
  <c r="S1010" i="24"/>
  <c r="S1009" i="24"/>
  <c r="S1008" i="24"/>
  <c r="S1007" i="24"/>
  <c r="S1006" i="24"/>
  <c r="S1005" i="24"/>
  <c r="S1004" i="24"/>
  <c r="S1003" i="24"/>
  <c r="S1002" i="24"/>
  <c r="S1001" i="24"/>
  <c r="S1000" i="24"/>
  <c r="S999" i="24"/>
  <c r="S998" i="24"/>
  <c r="S997" i="24"/>
  <c r="S996" i="24"/>
  <c r="S995" i="24"/>
  <c r="S994" i="24"/>
  <c r="S993" i="24"/>
  <c r="S992" i="24"/>
  <c r="S991" i="24"/>
  <c r="S990" i="24"/>
  <c r="S989" i="24"/>
  <c r="S988" i="24"/>
  <c r="S987" i="24"/>
  <c r="S986" i="24"/>
  <c r="S985" i="24"/>
  <c r="S984" i="24"/>
  <c r="S983" i="24"/>
  <c r="S982" i="24"/>
  <c r="S981" i="24"/>
  <c r="S980" i="24"/>
  <c r="S979" i="24"/>
  <c r="S978" i="24"/>
  <c r="S977" i="24"/>
  <c r="S976" i="24"/>
  <c r="S975" i="24"/>
  <c r="S974" i="24"/>
  <c r="S973" i="24"/>
  <c r="S972" i="24"/>
  <c r="S971" i="24"/>
  <c r="S970" i="24"/>
  <c r="S969" i="24"/>
  <c r="S968" i="24"/>
  <c r="S967" i="24"/>
  <c r="S966" i="24"/>
  <c r="S965" i="24"/>
  <c r="S964" i="24"/>
  <c r="S963" i="24"/>
  <c r="S962" i="24"/>
  <c r="S961" i="24"/>
  <c r="S960" i="24"/>
  <c r="S959" i="24"/>
  <c r="S958" i="24"/>
  <c r="S957" i="24"/>
  <c r="S956" i="24"/>
  <c r="S955" i="24"/>
  <c r="S954" i="24"/>
  <c r="S953" i="24"/>
  <c r="S952" i="24"/>
  <c r="S951" i="24"/>
  <c r="S950" i="24"/>
  <c r="S949" i="24"/>
  <c r="S948" i="24"/>
  <c r="S947" i="24"/>
  <c r="S946" i="24"/>
  <c r="S945" i="24"/>
  <c r="S944" i="24"/>
  <c r="S943" i="24"/>
  <c r="S942" i="24"/>
  <c r="S941" i="24"/>
  <c r="S940" i="24"/>
  <c r="S939" i="24"/>
  <c r="S938" i="24"/>
  <c r="S937" i="24"/>
  <c r="S936" i="24"/>
  <c r="S935" i="24"/>
  <c r="S934" i="24"/>
  <c r="S933" i="24"/>
  <c r="S932" i="24"/>
  <c r="S931" i="24"/>
  <c r="S930" i="24"/>
  <c r="S929" i="24"/>
  <c r="S928" i="24"/>
  <c r="S927" i="24"/>
  <c r="S926" i="24"/>
  <c r="S925" i="24"/>
  <c r="S924" i="24"/>
  <c r="S923" i="24"/>
  <c r="S922" i="24"/>
  <c r="S921" i="24"/>
  <c r="S920" i="24"/>
  <c r="S919" i="24"/>
  <c r="S918" i="24"/>
  <c r="S917" i="24"/>
  <c r="S916" i="24"/>
  <c r="S915" i="24"/>
  <c r="S914" i="24"/>
  <c r="S913" i="24"/>
  <c r="S912" i="24"/>
  <c r="S911" i="24"/>
  <c r="S910" i="24"/>
  <c r="S909" i="24"/>
  <c r="S908" i="24"/>
  <c r="S907" i="24"/>
  <c r="S906" i="24"/>
  <c r="S905" i="24"/>
  <c r="S904" i="24"/>
  <c r="S903" i="24"/>
  <c r="S902" i="24"/>
  <c r="S901" i="24"/>
  <c r="S900" i="24"/>
  <c r="S899" i="24"/>
  <c r="S898" i="24"/>
  <c r="S897" i="24"/>
  <c r="S896" i="24"/>
  <c r="S895" i="24"/>
  <c r="S894" i="24"/>
  <c r="S893" i="24"/>
  <c r="S892" i="24"/>
  <c r="S891" i="24"/>
  <c r="S890" i="24"/>
  <c r="S889" i="24"/>
  <c r="S888" i="24"/>
  <c r="S887" i="24"/>
  <c r="S886" i="24"/>
  <c r="S885" i="24"/>
  <c r="S884" i="24"/>
  <c r="S883" i="24"/>
  <c r="S882" i="24"/>
  <c r="S881" i="24"/>
  <c r="S880" i="24"/>
  <c r="S879" i="24"/>
  <c r="S878" i="24"/>
  <c r="S877" i="24"/>
  <c r="S876" i="24"/>
  <c r="S875" i="24"/>
  <c r="S874" i="24"/>
  <c r="S873" i="24"/>
  <c r="S872" i="24"/>
  <c r="S871" i="24"/>
  <c r="S870" i="24"/>
  <c r="S869" i="24"/>
  <c r="S868" i="24"/>
  <c r="S867" i="24"/>
  <c r="S866" i="24"/>
  <c r="S865" i="24"/>
  <c r="S864" i="24"/>
  <c r="S863" i="24"/>
  <c r="S862" i="24"/>
  <c r="S861" i="24"/>
  <c r="S860" i="24"/>
  <c r="S859" i="24"/>
  <c r="S858" i="24"/>
  <c r="S857" i="24"/>
  <c r="S856" i="24"/>
  <c r="S855" i="24"/>
  <c r="S854" i="24"/>
  <c r="S853" i="24"/>
  <c r="S852" i="24"/>
  <c r="S851" i="24"/>
  <c r="S850" i="24"/>
  <c r="S849" i="24"/>
  <c r="S848" i="24"/>
  <c r="S847" i="24"/>
  <c r="S846" i="24"/>
  <c r="S845" i="24"/>
  <c r="S844" i="24"/>
  <c r="S843" i="24"/>
  <c r="S842" i="24"/>
  <c r="S841" i="24"/>
  <c r="S840" i="24"/>
  <c r="S839" i="24"/>
  <c r="S838" i="24"/>
  <c r="S837" i="24"/>
  <c r="S836" i="24"/>
  <c r="S835" i="24"/>
  <c r="S834" i="24"/>
  <c r="S833" i="24"/>
  <c r="S832" i="24"/>
  <c r="S831" i="24"/>
  <c r="S830" i="24"/>
  <c r="S829" i="24"/>
  <c r="S828" i="24"/>
  <c r="S827" i="24"/>
  <c r="S826" i="24"/>
  <c r="S825" i="24"/>
  <c r="S824" i="24"/>
  <c r="S823" i="24"/>
  <c r="S822" i="24"/>
  <c r="S821" i="24"/>
  <c r="S820" i="24"/>
  <c r="S819" i="24"/>
  <c r="S818" i="24"/>
  <c r="S817" i="24"/>
  <c r="S816" i="24"/>
  <c r="S815" i="24"/>
  <c r="S814" i="24"/>
  <c r="S813" i="24"/>
  <c r="S812" i="24"/>
  <c r="S811" i="24"/>
  <c r="S810" i="24"/>
  <c r="S809" i="24"/>
  <c r="S808" i="24"/>
  <c r="S807" i="24"/>
  <c r="S806" i="24"/>
  <c r="S805" i="24"/>
  <c r="S804" i="24"/>
  <c r="S803" i="24"/>
  <c r="S802" i="24"/>
  <c r="S801" i="24"/>
  <c r="S800" i="24"/>
  <c r="S799" i="24"/>
  <c r="S798" i="24"/>
  <c r="S797" i="24"/>
  <c r="S796" i="24"/>
  <c r="S795" i="24"/>
  <c r="S794" i="24"/>
  <c r="S793" i="24"/>
  <c r="S792" i="24"/>
  <c r="S791" i="24"/>
  <c r="S790" i="24"/>
  <c r="S789" i="24"/>
  <c r="S788" i="24"/>
  <c r="S787" i="24"/>
  <c r="S786" i="24"/>
  <c r="S785" i="24"/>
  <c r="S784" i="24"/>
  <c r="S783" i="24"/>
  <c r="S782" i="24"/>
  <c r="S781" i="24"/>
  <c r="S780" i="24"/>
  <c r="S779" i="24"/>
  <c r="S778" i="24"/>
  <c r="S777" i="24"/>
  <c r="S776" i="24"/>
  <c r="S775" i="24"/>
  <c r="S774" i="24"/>
  <c r="S773" i="24"/>
  <c r="S772" i="24"/>
  <c r="S771" i="24"/>
  <c r="S770" i="24"/>
  <c r="S769" i="24"/>
  <c r="S768" i="24"/>
  <c r="S767" i="24"/>
  <c r="S766" i="24"/>
  <c r="S765" i="24"/>
  <c r="S764" i="24"/>
  <c r="S763" i="24"/>
  <c r="S762" i="24"/>
  <c r="S761" i="24"/>
  <c r="S760" i="24"/>
  <c r="S759" i="24"/>
  <c r="S758" i="24"/>
  <c r="S757" i="24"/>
  <c r="S756" i="24"/>
  <c r="S755" i="24"/>
  <c r="S754" i="24"/>
  <c r="S753" i="24"/>
  <c r="S752" i="24"/>
  <c r="S750" i="24"/>
  <c r="S749" i="24"/>
  <c r="S748" i="24"/>
  <c r="S747" i="24"/>
  <c r="S746" i="24"/>
  <c r="S745" i="24"/>
  <c r="S744" i="24"/>
  <c r="S743" i="24"/>
  <c r="S742" i="24"/>
  <c r="S741" i="24"/>
  <c r="S740" i="24"/>
  <c r="S739" i="24"/>
  <c r="S738" i="24"/>
  <c r="S737" i="24"/>
  <c r="S736" i="24"/>
  <c r="S735" i="24"/>
  <c r="S734" i="24"/>
  <c r="S733" i="24"/>
  <c r="S732" i="24"/>
  <c r="S731" i="24"/>
  <c r="S730" i="24"/>
  <c r="S729" i="24"/>
  <c r="S728" i="24"/>
  <c r="S727" i="24"/>
  <c r="S726" i="24"/>
  <c r="S725" i="24"/>
  <c r="S724" i="24"/>
  <c r="S723" i="24"/>
  <c r="S722" i="24"/>
  <c r="S721" i="24"/>
  <c r="S720" i="24"/>
  <c r="S719" i="24"/>
  <c r="S718" i="24"/>
  <c r="S717" i="24"/>
  <c r="S716" i="24"/>
  <c r="S715" i="24"/>
  <c r="S714" i="24"/>
  <c r="S713" i="24"/>
  <c r="S712" i="24"/>
  <c r="S711" i="24"/>
  <c r="S710" i="24"/>
  <c r="S709" i="24"/>
  <c r="S708" i="24"/>
  <c r="S707" i="24"/>
  <c r="S706" i="24"/>
  <c r="S705" i="24"/>
  <c r="S704" i="24"/>
  <c r="S703" i="24"/>
  <c r="S702" i="24"/>
  <c r="S701" i="24"/>
  <c r="S700" i="24"/>
  <c r="S699" i="24"/>
  <c r="S698" i="24"/>
  <c r="S697" i="24"/>
  <c r="S696" i="24"/>
  <c r="S695" i="24"/>
  <c r="S694" i="24"/>
  <c r="S693" i="24"/>
  <c r="S692" i="24"/>
  <c r="S691" i="24"/>
  <c r="S690" i="24"/>
  <c r="S689" i="24"/>
  <c r="S688" i="24"/>
  <c r="S687" i="24"/>
  <c r="S686" i="24"/>
  <c r="S685" i="24"/>
  <c r="S684" i="24"/>
  <c r="S683" i="24"/>
  <c r="S682" i="24"/>
  <c r="S681" i="24"/>
  <c r="S680" i="24"/>
  <c r="S679" i="24"/>
  <c r="S678" i="24"/>
  <c r="S677" i="24"/>
  <c r="S676" i="24"/>
  <c r="S675" i="24"/>
  <c r="S674" i="24"/>
  <c r="S673" i="24"/>
  <c r="S672" i="24"/>
  <c r="S671" i="24"/>
  <c r="S670" i="24"/>
  <c r="S669" i="24"/>
  <c r="S668" i="24"/>
  <c r="S667" i="24"/>
  <c r="S666" i="24"/>
  <c r="S665" i="24"/>
  <c r="S664" i="24"/>
  <c r="S663" i="24"/>
  <c r="S662" i="24"/>
  <c r="S661" i="24"/>
  <c r="S660" i="24"/>
  <c r="S659" i="24"/>
  <c r="S657" i="24"/>
  <c r="S656" i="24"/>
  <c r="S655" i="24"/>
  <c r="S653" i="24"/>
  <c r="S652" i="24"/>
  <c r="S651" i="24"/>
  <c r="S650" i="24"/>
  <c r="S648" i="24"/>
  <c r="S647" i="24"/>
  <c r="S646" i="24"/>
  <c r="S645" i="24"/>
  <c r="S644" i="24"/>
  <c r="S643" i="24"/>
  <c r="S642" i="24"/>
  <c r="S641" i="24"/>
  <c r="S640" i="24"/>
  <c r="S639" i="24"/>
  <c r="S638" i="24"/>
  <c r="S637" i="24"/>
  <c r="S636" i="24"/>
  <c r="S634" i="24"/>
  <c r="S632" i="24"/>
  <c r="S631" i="24"/>
  <c r="S630" i="24"/>
  <c r="S627" i="24"/>
  <c r="S626" i="24"/>
  <c r="S625" i="24"/>
  <c r="S622" i="24"/>
  <c r="S621" i="24"/>
  <c r="S620" i="24"/>
  <c r="S619" i="24"/>
  <c r="S618" i="24"/>
  <c r="S617" i="24"/>
  <c r="S616" i="24"/>
  <c r="S615" i="24"/>
  <c r="S614" i="24"/>
  <c r="S613" i="24"/>
  <c r="S612" i="24"/>
  <c r="S611" i="24"/>
  <c r="S610" i="24"/>
  <c r="S609" i="24"/>
  <c r="S608" i="24"/>
  <c r="S607" i="24"/>
  <c r="S606" i="24"/>
  <c r="S605" i="24"/>
  <c r="S604" i="24"/>
  <c r="S603" i="24"/>
  <c r="S602" i="24"/>
  <c r="S601" i="24"/>
  <c r="S600" i="24"/>
  <c r="S599" i="24"/>
  <c r="S598" i="24"/>
  <c r="S597" i="24"/>
  <c r="S596" i="24"/>
  <c r="S595" i="24"/>
  <c r="S594" i="24"/>
  <c r="S593" i="24"/>
  <c r="S592" i="24"/>
  <c r="S591" i="24"/>
  <c r="S590" i="24"/>
  <c r="S589" i="24"/>
  <c r="S588" i="24"/>
  <c r="S587" i="24"/>
  <c r="S586" i="24"/>
  <c r="S585" i="24"/>
  <c r="S584" i="24"/>
  <c r="S583" i="24"/>
  <c r="S582" i="24"/>
  <c r="S581" i="24"/>
  <c r="S580" i="24"/>
  <c r="S579" i="24"/>
  <c r="S578" i="24"/>
  <c r="S577" i="24"/>
  <c r="S576" i="24"/>
  <c r="S575" i="24"/>
  <c r="S574" i="24"/>
  <c r="S573" i="24"/>
  <c r="S572" i="24"/>
  <c r="S571" i="24"/>
  <c r="S570" i="24"/>
  <c r="S569" i="24"/>
  <c r="S568" i="24"/>
  <c r="S567" i="24"/>
  <c r="S566" i="24"/>
  <c r="S565" i="24"/>
  <c r="S564" i="24"/>
  <c r="S563" i="24"/>
  <c r="S562" i="24"/>
  <c r="S561" i="24"/>
  <c r="S560" i="24"/>
  <c r="S559" i="24"/>
  <c r="S558" i="24"/>
  <c r="S557" i="24"/>
  <c r="S556" i="24"/>
  <c r="S555" i="24"/>
  <c r="S554" i="24"/>
  <c r="S553" i="24"/>
  <c r="S552" i="24"/>
  <c r="S551" i="24"/>
  <c r="S550" i="24"/>
  <c r="S549" i="24"/>
  <c r="S548" i="24"/>
  <c r="S547" i="24"/>
  <c r="S546" i="24"/>
  <c r="S545" i="24"/>
  <c r="S544" i="24"/>
  <c r="S543" i="24"/>
  <c r="S542" i="24"/>
  <c r="S541" i="24"/>
  <c r="S540" i="24"/>
  <c r="S539" i="24"/>
  <c r="S538" i="24"/>
  <c r="S537" i="24"/>
  <c r="S536" i="24"/>
  <c r="S535" i="24"/>
  <c r="S534" i="24"/>
  <c r="S533" i="24"/>
  <c r="S532" i="24"/>
  <c r="S531" i="24"/>
  <c r="S530" i="24"/>
  <c r="S529" i="24"/>
  <c r="S528" i="24"/>
  <c r="S527" i="24"/>
  <c r="S526" i="24"/>
  <c r="S525" i="24"/>
  <c r="S524" i="24"/>
  <c r="S523" i="24"/>
  <c r="S522" i="24"/>
  <c r="S521" i="24"/>
  <c r="S520" i="24"/>
  <c r="S519" i="24"/>
  <c r="S518" i="24"/>
  <c r="S517" i="24"/>
  <c r="S516" i="24"/>
  <c r="S515" i="24"/>
  <c r="S514" i="24"/>
  <c r="S513" i="24"/>
  <c r="S512" i="24"/>
  <c r="S511" i="24"/>
  <c r="S510" i="24"/>
  <c r="S509" i="24"/>
  <c r="S508" i="24"/>
  <c r="S507" i="24"/>
  <c r="S506" i="24"/>
  <c r="S505" i="24"/>
  <c r="S504" i="24"/>
  <c r="S503" i="24"/>
  <c r="S502" i="24"/>
  <c r="S501" i="24"/>
  <c r="S500" i="24"/>
  <c r="S499" i="24"/>
  <c r="S498" i="24"/>
  <c r="S497" i="24"/>
  <c r="S496" i="24"/>
  <c r="S495" i="24"/>
  <c r="S494" i="24"/>
  <c r="S493" i="24"/>
  <c r="S492" i="24"/>
  <c r="S491" i="24"/>
  <c r="S490" i="24"/>
  <c r="S489" i="24"/>
  <c r="S488" i="24"/>
  <c r="S487" i="24"/>
  <c r="S486" i="24"/>
  <c r="S485" i="24"/>
  <c r="S484" i="24"/>
  <c r="S483" i="24"/>
  <c r="S482" i="24"/>
  <c r="S481" i="24"/>
  <c r="S480" i="24"/>
  <c r="S479" i="24"/>
  <c r="S478" i="24"/>
  <c r="S477" i="24"/>
  <c r="S476" i="24"/>
  <c r="S475" i="24"/>
  <c r="S474" i="24"/>
  <c r="S473" i="24"/>
  <c r="S472" i="24"/>
  <c r="S471" i="24"/>
  <c r="S470" i="24"/>
  <c r="S469" i="24"/>
  <c r="S468" i="24"/>
  <c r="S467" i="24"/>
  <c r="S466" i="24"/>
  <c r="S465" i="24"/>
  <c r="S464" i="24"/>
  <c r="S463" i="24"/>
  <c r="S462" i="24"/>
  <c r="S461" i="24"/>
  <c r="S460" i="24"/>
  <c r="S459" i="24"/>
  <c r="S458" i="24"/>
  <c r="S457" i="24"/>
  <c r="S456" i="24"/>
  <c r="S455" i="24"/>
  <c r="S454" i="24"/>
  <c r="S453" i="24"/>
  <c r="S452" i="24"/>
  <c r="S451" i="24"/>
  <c r="S450" i="24"/>
  <c r="S449" i="24"/>
  <c r="S448" i="24"/>
  <c r="S447" i="24"/>
  <c r="S446" i="24"/>
  <c r="S445" i="24"/>
  <c r="S444" i="24"/>
  <c r="S443" i="24"/>
  <c r="S442" i="24"/>
  <c r="S441" i="24"/>
  <c r="S440" i="24"/>
  <c r="S439" i="24"/>
  <c r="S438" i="24"/>
  <c r="S437" i="24"/>
  <c r="S436" i="24"/>
  <c r="S435" i="24"/>
  <c r="S434" i="24"/>
  <c r="S433" i="24"/>
  <c r="S432" i="24"/>
  <c r="S431" i="24"/>
  <c r="S430" i="24"/>
  <c r="S429" i="24"/>
  <c r="S428" i="24"/>
  <c r="S427" i="24"/>
  <c r="S426" i="24"/>
  <c r="S425" i="24"/>
  <c r="S424" i="24"/>
  <c r="S423" i="24"/>
  <c r="S422" i="24"/>
  <c r="S421" i="24"/>
  <c r="S420" i="24"/>
  <c r="S419" i="24"/>
  <c r="S418" i="24"/>
  <c r="S417" i="24"/>
  <c r="S416" i="24"/>
  <c r="S415" i="24"/>
  <c r="S414" i="24"/>
  <c r="S413" i="24"/>
  <c r="S412" i="24"/>
  <c r="S411" i="24"/>
  <c r="S410" i="24"/>
  <c r="S409" i="24"/>
  <c r="S408" i="24"/>
  <c r="S407" i="24"/>
  <c r="S406" i="24"/>
  <c r="S405" i="24"/>
  <c r="S404" i="24"/>
  <c r="S403" i="24"/>
  <c r="S402" i="24"/>
  <c r="S401" i="24"/>
  <c r="S400" i="24"/>
  <c r="S399" i="24"/>
  <c r="S398" i="24"/>
  <c r="S397" i="24"/>
  <c r="S396" i="24"/>
  <c r="S395" i="24"/>
  <c r="S394" i="24"/>
  <c r="S393" i="24"/>
  <c r="S392" i="24"/>
  <c r="S391" i="24"/>
  <c r="S390" i="24"/>
  <c r="S389" i="24"/>
  <c r="S388" i="24"/>
  <c r="S387" i="24"/>
  <c r="S386" i="24"/>
  <c r="S385" i="24"/>
  <c r="S384" i="24"/>
  <c r="S383" i="24"/>
  <c r="S382" i="24"/>
  <c r="S381" i="24"/>
  <c r="S380" i="24"/>
  <c r="S379" i="24"/>
  <c r="S378" i="24"/>
  <c r="S377" i="24"/>
  <c r="S376" i="24"/>
  <c r="S375" i="24"/>
  <c r="S374" i="24"/>
  <c r="S373" i="24"/>
  <c r="S372" i="24"/>
  <c r="S371" i="24"/>
  <c r="S370" i="24"/>
  <c r="S369" i="24"/>
  <c r="S368" i="24"/>
  <c r="S367" i="24"/>
  <c r="S366" i="24"/>
  <c r="S365" i="24"/>
  <c r="S364" i="24"/>
  <c r="S363" i="24"/>
  <c r="S362" i="24"/>
  <c r="S361" i="24"/>
  <c r="S360" i="24"/>
  <c r="S359" i="24"/>
  <c r="S358" i="24"/>
  <c r="S357" i="24"/>
  <c r="S356" i="24"/>
  <c r="S355" i="24"/>
  <c r="S354" i="24"/>
  <c r="S353" i="24"/>
  <c r="S352" i="24"/>
  <c r="S351" i="24"/>
  <c r="S350" i="24"/>
  <c r="S349" i="24"/>
  <c r="S348" i="24"/>
  <c r="S347" i="24"/>
  <c r="S346" i="24"/>
  <c r="S345" i="24"/>
  <c r="S344" i="24"/>
  <c r="S343" i="24"/>
  <c r="S342" i="24"/>
  <c r="S341" i="24"/>
  <c r="S340" i="24"/>
  <c r="S339" i="24"/>
  <c r="S338" i="24"/>
  <c r="S337" i="24"/>
  <c r="S336" i="24"/>
  <c r="S335" i="24"/>
  <c r="S334" i="24"/>
  <c r="S333" i="24"/>
  <c r="S332" i="24"/>
  <c r="S331" i="24"/>
  <c r="S330" i="24"/>
  <c r="S329" i="24"/>
  <c r="S328" i="24"/>
  <c r="S327" i="24"/>
  <c r="S326" i="24"/>
  <c r="S325" i="24"/>
  <c r="S324" i="24"/>
  <c r="S323" i="24"/>
  <c r="S322" i="24"/>
  <c r="S321" i="24"/>
  <c r="S320" i="24"/>
  <c r="S319" i="24"/>
  <c r="S318" i="24"/>
  <c r="S317" i="24"/>
  <c r="S316" i="24"/>
  <c r="S315" i="24"/>
  <c r="S314" i="24"/>
  <c r="S313" i="24"/>
  <c r="S312" i="24"/>
  <c r="S311" i="24"/>
  <c r="S310" i="24"/>
  <c r="S309" i="24"/>
  <c r="S308" i="24"/>
  <c r="S307" i="24"/>
  <c r="S306" i="24"/>
  <c r="S305" i="24"/>
  <c r="S304" i="24"/>
  <c r="S303" i="24"/>
  <c r="S302" i="24"/>
  <c r="S301" i="24"/>
  <c r="S300" i="24"/>
  <c r="S299" i="24"/>
  <c r="S298" i="24"/>
  <c r="S297" i="24"/>
  <c r="S296" i="24"/>
  <c r="S295" i="24"/>
  <c r="S294" i="24"/>
  <c r="S293" i="24"/>
  <c r="S292" i="24"/>
  <c r="S291" i="24"/>
  <c r="S290" i="24"/>
  <c r="S289" i="24"/>
  <c r="S288" i="24"/>
  <c r="S287" i="24"/>
  <c r="S286" i="24"/>
  <c r="S285" i="24"/>
  <c r="S284" i="24"/>
  <c r="S283" i="24"/>
  <c r="S282" i="24"/>
  <c r="S281" i="24"/>
  <c r="S280" i="24"/>
  <c r="S279" i="24"/>
  <c r="S278" i="24"/>
  <c r="S277" i="24"/>
  <c r="S276" i="24"/>
  <c r="S275" i="24"/>
  <c r="S274" i="24"/>
  <c r="S273" i="24"/>
  <c r="S272" i="24"/>
  <c r="S271" i="24"/>
  <c r="S270" i="24"/>
  <c r="S269" i="24"/>
  <c r="S268" i="24"/>
  <c r="S267" i="24"/>
  <c r="S266" i="24"/>
  <c r="S265" i="24"/>
  <c r="S264" i="24"/>
  <c r="S263" i="24"/>
  <c r="S262" i="24"/>
  <c r="S261" i="24"/>
  <c r="S260" i="24"/>
  <c r="S259" i="24"/>
  <c r="S258" i="24"/>
  <c r="S257" i="24"/>
  <c r="S256" i="24"/>
  <c r="S255" i="24"/>
  <c r="S254" i="24"/>
  <c r="S253" i="24"/>
  <c r="S252" i="24"/>
  <c r="S251" i="24"/>
  <c r="S250" i="24"/>
  <c r="S249" i="24"/>
  <c r="S248" i="24"/>
  <c r="S247" i="24"/>
  <c r="S246" i="24"/>
  <c r="S245" i="24"/>
  <c r="S244" i="24"/>
  <c r="S243" i="24"/>
  <c r="S242" i="24"/>
  <c r="S241" i="24"/>
  <c r="S240" i="24"/>
  <c r="S239" i="24"/>
  <c r="S238" i="24"/>
  <c r="S237" i="24"/>
  <c r="S236" i="24"/>
  <c r="S235" i="24"/>
  <c r="S234" i="24"/>
  <c r="S233" i="24"/>
  <c r="S232" i="24"/>
  <c r="S231" i="24"/>
  <c r="S230" i="24"/>
  <c r="S229" i="24"/>
  <c r="S228" i="24"/>
  <c r="S227" i="24"/>
  <c r="S226" i="24"/>
  <c r="S225" i="24"/>
  <c r="S224" i="24"/>
  <c r="S223" i="24"/>
  <c r="S222" i="24"/>
  <c r="S221" i="24"/>
  <c r="S220" i="24"/>
  <c r="S219" i="24"/>
  <c r="S218" i="24"/>
  <c r="S217" i="24"/>
  <c r="S216" i="24"/>
  <c r="S215" i="24"/>
  <c r="S214" i="24"/>
  <c r="S213" i="24"/>
  <c r="S212" i="24"/>
  <c r="S211" i="24"/>
  <c r="S210" i="24"/>
  <c r="S209" i="24"/>
  <c r="S208" i="24"/>
  <c r="S207" i="24"/>
  <c r="S206" i="24"/>
  <c r="S205" i="24"/>
  <c r="S204" i="24"/>
  <c r="S203" i="24"/>
  <c r="S202" i="24"/>
  <c r="S201" i="24"/>
  <c r="S200" i="24"/>
  <c r="S199" i="24"/>
  <c r="S198" i="24"/>
  <c r="S197" i="24"/>
  <c r="S196" i="24"/>
  <c r="S195" i="24"/>
  <c r="S194" i="24"/>
  <c r="S193" i="24"/>
  <c r="S192" i="24"/>
  <c r="S191" i="24"/>
  <c r="S190" i="24"/>
  <c r="S189" i="24"/>
  <c r="S188" i="24"/>
  <c r="S187" i="24"/>
  <c r="S186" i="24"/>
  <c r="S185" i="24"/>
  <c r="S184" i="24"/>
  <c r="S183" i="24"/>
  <c r="S182" i="24"/>
  <c r="S181" i="24"/>
  <c r="S180" i="24"/>
  <c r="S179" i="24"/>
  <c r="S178" i="24"/>
  <c r="S177" i="24"/>
  <c r="S176" i="24"/>
  <c r="S175" i="24"/>
  <c r="S174" i="24"/>
  <c r="S173" i="24"/>
  <c r="S172" i="24"/>
  <c r="S171" i="24"/>
  <c r="S170" i="24"/>
  <c r="S169" i="24"/>
  <c r="S168" i="24"/>
  <c r="S167" i="24"/>
  <c r="S166" i="24"/>
  <c r="S165" i="24"/>
  <c r="S164" i="24"/>
  <c r="S163" i="24"/>
  <c r="S162" i="24"/>
  <c r="S161" i="24"/>
  <c r="S160" i="24"/>
  <c r="S159" i="24"/>
  <c r="S158" i="24"/>
  <c r="S157" i="24"/>
  <c r="S156" i="24"/>
  <c r="S155" i="24"/>
  <c r="S154" i="24"/>
  <c r="S153" i="24"/>
  <c r="S152" i="24"/>
  <c r="S151" i="24"/>
  <c r="S150" i="24"/>
  <c r="S149" i="24"/>
  <c r="S148" i="24"/>
  <c r="S147" i="24"/>
  <c r="S146" i="24"/>
  <c r="S145" i="24"/>
  <c r="S144" i="24"/>
  <c r="S143" i="24"/>
  <c r="S142" i="24"/>
  <c r="S141" i="24"/>
  <c r="S140" i="24"/>
  <c r="S139" i="24"/>
  <c r="S138" i="24"/>
  <c r="S137" i="24"/>
  <c r="S136" i="24"/>
  <c r="S135" i="24"/>
  <c r="S134" i="24"/>
  <c r="S133" i="24"/>
  <c r="S132" i="24"/>
  <c r="S131" i="24"/>
  <c r="S130" i="24"/>
  <c r="S129" i="24"/>
  <c r="S128" i="24"/>
  <c r="S127" i="24"/>
  <c r="S126" i="24"/>
  <c r="S125" i="24"/>
  <c r="S124" i="24"/>
  <c r="S123" i="24"/>
  <c r="S122" i="24"/>
  <c r="S121" i="24"/>
  <c r="S120" i="24"/>
  <c r="S119" i="24"/>
  <c r="S118" i="24"/>
  <c r="S117" i="24"/>
  <c r="S116" i="24"/>
  <c r="S115" i="24"/>
  <c r="S114" i="24"/>
  <c r="S113" i="24"/>
  <c r="S112" i="24"/>
  <c r="S111" i="24"/>
  <c r="S110" i="24"/>
  <c r="S109" i="24"/>
  <c r="S108" i="24"/>
  <c r="S107" i="24"/>
  <c r="S106" i="24"/>
  <c r="S105" i="24"/>
  <c r="S104" i="24"/>
  <c r="S103" i="24"/>
  <c r="S102" i="24"/>
  <c r="S101" i="24"/>
  <c r="S100" i="24"/>
  <c r="S99" i="24"/>
  <c r="S98" i="24"/>
  <c r="S97" i="24"/>
  <c r="S96" i="24"/>
  <c r="S95" i="24"/>
  <c r="S94" i="24"/>
  <c r="S93" i="24"/>
  <c r="S92" i="24"/>
  <c r="S91" i="24"/>
  <c r="S90" i="24"/>
  <c r="S89" i="24"/>
  <c r="S88" i="24"/>
  <c r="S87" i="24"/>
  <c r="S86" i="24"/>
  <c r="S85" i="24"/>
  <c r="S84" i="24"/>
  <c r="S83" i="24"/>
  <c r="S82" i="24"/>
  <c r="S81" i="24"/>
  <c r="S80" i="24"/>
  <c r="S79" i="24"/>
  <c r="S78" i="24"/>
  <c r="S77" i="24"/>
  <c r="S76" i="24"/>
  <c r="S75" i="24"/>
  <c r="S74" i="24"/>
  <c r="S73" i="24"/>
  <c r="S72" i="24"/>
  <c r="S71" i="24"/>
  <c r="S70" i="24"/>
  <c r="S69" i="24"/>
  <c r="S68" i="24"/>
  <c r="S67" i="24"/>
  <c r="S66" i="24"/>
  <c r="S65" i="24"/>
  <c r="S64" i="24"/>
  <c r="S63" i="24"/>
  <c r="S62" i="24"/>
  <c r="S61" i="24"/>
  <c r="S60" i="24"/>
  <c r="S59" i="24"/>
  <c r="S58" i="24"/>
  <c r="S57" i="24"/>
  <c r="S56" i="24"/>
  <c r="S55" i="24"/>
  <c r="S54" i="24"/>
  <c r="S53" i="24"/>
  <c r="S52" i="24"/>
  <c r="S51" i="24"/>
  <c r="S50" i="24"/>
  <c r="S49" i="24"/>
  <c r="S48" i="24"/>
  <c r="S47" i="24"/>
  <c r="S46" i="24"/>
  <c r="S45" i="24"/>
  <c r="S44" i="24"/>
  <c r="S43" i="24"/>
  <c r="S42" i="24"/>
  <c r="S41" i="24"/>
  <c r="S40" i="24"/>
  <c r="S39" i="24"/>
  <c r="S38" i="24"/>
  <c r="S37" i="24"/>
  <c r="S36" i="24"/>
  <c r="S35" i="24"/>
  <c r="S34" i="24"/>
  <c r="S33" i="24"/>
  <c r="S32" i="24"/>
  <c r="S31" i="24"/>
  <c r="S30" i="24"/>
  <c r="S29" i="24"/>
  <c r="S28" i="24"/>
  <c r="S27" i="24"/>
  <c r="S26" i="24"/>
  <c r="S25" i="24"/>
  <c r="S24" i="24"/>
  <c r="S23" i="24"/>
  <c r="S22" i="24"/>
  <c r="S21" i="24"/>
  <c r="S20" i="24"/>
  <c r="S19" i="24"/>
  <c r="S18" i="24"/>
  <c r="S17" i="24"/>
  <c r="S16" i="24"/>
  <c r="S15" i="24"/>
  <c r="S14" i="24"/>
  <c r="S13" i="24"/>
  <c r="S12" i="24"/>
  <c r="S11" i="24"/>
  <c r="S10" i="24"/>
  <c r="S9" i="24"/>
  <c r="S8" i="24"/>
  <c r="S7" i="24"/>
  <c r="S6" i="24"/>
  <c r="K1107" i="24" l="1"/>
  <c r="C8" i="24"/>
  <c r="F8" i="24" s="1"/>
  <c r="F752" i="24"/>
  <c r="C1108" i="24"/>
  <c r="K1108" i="24"/>
  <c r="A401" i="37"/>
  <c r="A402" i="37"/>
  <c r="M470" i="13" l="1"/>
  <c r="M53" i="13" l="1"/>
  <c r="Q58" i="2"/>
  <c r="Q15" i="2"/>
  <c r="A556" i="13"/>
  <c r="A12" i="28" l="1"/>
  <c r="A58" i="28" s="1"/>
  <c r="H75" i="5" l="1"/>
  <c r="D17" i="3" l="1"/>
  <c r="H460" i="13" l="1"/>
  <c r="H459" i="13"/>
  <c r="M460" i="13" l="1"/>
  <c r="J459" i="13"/>
  <c r="J279" i="10" l="1"/>
  <c r="F57" i="20" l="1"/>
  <c r="F27" i="20"/>
  <c r="F226" i="20"/>
  <c r="F114" i="20" s="1"/>
  <c r="E78" i="37" l="1"/>
  <c r="E397" i="37" l="1"/>
  <c r="E383" i="37" l="1"/>
  <c r="E378" i="37"/>
  <c r="C379" i="37"/>
  <c r="C378" i="37"/>
  <c r="D270" i="37" l="1"/>
  <c r="D269" i="37"/>
  <c r="E268" i="37"/>
  <c r="E267" i="37"/>
  <c r="E266" i="37"/>
  <c r="D265" i="37"/>
  <c r="E264" i="37"/>
  <c r="E263" i="37"/>
  <c r="D262" i="37"/>
  <c r="D334" i="37" l="1"/>
  <c r="E367" i="37" l="1"/>
  <c r="C351" i="37"/>
  <c r="C350" i="37"/>
  <c r="C349" i="37"/>
  <c r="D348" i="37"/>
  <c r="C348" i="37"/>
  <c r="C347" i="37"/>
  <c r="C346" i="37"/>
  <c r="D127" i="37" l="1"/>
  <c r="E126" i="37"/>
  <c r="I40" i="12"/>
  <c r="A344" i="37"/>
  <c r="E343" i="37"/>
  <c r="C343" i="37"/>
  <c r="A343" i="37"/>
  <c r="C342" i="37"/>
  <c r="D339" i="37"/>
  <c r="C339" i="37"/>
  <c r="C338" i="37"/>
  <c r="A339" i="37"/>
  <c r="A340" i="37"/>
  <c r="E335" i="37"/>
  <c r="C335" i="37"/>
  <c r="C334" i="37"/>
  <c r="D331" i="37"/>
  <c r="E76" i="37"/>
  <c r="E74" i="37"/>
  <c r="C331" i="37" l="1"/>
  <c r="C330" i="37"/>
  <c r="E8" i="37"/>
  <c r="D7" i="37"/>
  <c r="E313" i="37" l="1"/>
  <c r="C313" i="37"/>
  <c r="C312" i="37"/>
  <c r="C309" i="37"/>
  <c r="C308" i="37"/>
  <c r="C307" i="37"/>
  <c r="C306" i="37"/>
  <c r="C305" i="37"/>
  <c r="C304" i="37"/>
  <c r="C303" i="37"/>
  <c r="C302" i="37"/>
  <c r="C299" i="37"/>
  <c r="C298" i="37"/>
  <c r="C297" i="37"/>
  <c r="C296" i="37"/>
  <c r="C295" i="37"/>
  <c r="C294" i="37"/>
  <c r="C293" i="37"/>
  <c r="C292" i="37"/>
  <c r="E289" i="37"/>
  <c r="C289" i="37"/>
  <c r="C288" i="37"/>
  <c r="C287" i="37"/>
  <c r="E284" i="37" l="1"/>
  <c r="C284" i="37"/>
  <c r="C283" i="37"/>
  <c r="D20" i="38" l="1"/>
  <c r="C279" i="37"/>
  <c r="C280" i="37"/>
  <c r="C278" i="37" l="1"/>
  <c r="C277" i="37"/>
  <c r="C276" i="37"/>
  <c r="C275" i="37"/>
  <c r="C274" i="37"/>
  <c r="C273" i="37"/>
  <c r="E200" i="37" l="1"/>
  <c r="R5" i="19"/>
  <c r="S5" i="19" s="1"/>
  <c r="H41" i="3" s="1"/>
  <c r="H300" i="11" s="1"/>
  <c r="D196" i="37"/>
  <c r="E196" i="37"/>
  <c r="C196" i="37"/>
  <c r="C195" i="37"/>
  <c r="C193" i="37"/>
  <c r="C192" i="37"/>
  <c r="C190" i="37"/>
  <c r="C189" i="37"/>
  <c r="E187" i="37"/>
  <c r="C187" i="37"/>
  <c r="C186" i="37"/>
  <c r="C184" i="37"/>
  <c r="C183" i="37"/>
  <c r="C181" i="37"/>
  <c r="E180" i="37"/>
  <c r="C180" i="37"/>
  <c r="C178" i="37"/>
  <c r="E177" i="37"/>
  <c r="C177" i="37"/>
  <c r="G218" i="15" l="1"/>
  <c r="E123" i="37" l="1"/>
  <c r="G116" i="37" l="1"/>
  <c r="G115" i="37"/>
  <c r="G114" i="37"/>
  <c r="G113" i="37"/>
  <c r="G112" i="37"/>
  <c r="G111" i="37"/>
  <c r="G110" i="37"/>
  <c r="P2" i="39"/>
  <c r="N2" i="39"/>
  <c r="E72" i="37"/>
  <c r="G73" i="37" l="1"/>
  <c r="C76" i="37"/>
  <c r="C75" i="37"/>
  <c r="C74" i="37"/>
  <c r="C73" i="37"/>
  <c r="C72" i="37"/>
  <c r="C71" i="37"/>
  <c r="C68" i="37" l="1"/>
  <c r="C67" i="37"/>
  <c r="C66" i="37"/>
  <c r="C65" i="37"/>
  <c r="E64" i="37"/>
  <c r="D65" i="37" s="1"/>
  <c r="E66" i="37" s="1"/>
  <c r="D67" i="37" s="1"/>
  <c r="E68" i="37" s="1"/>
  <c r="C64" i="37"/>
  <c r="C63" i="37"/>
  <c r="E60" i="37"/>
  <c r="D60" i="37"/>
  <c r="C60" i="37"/>
  <c r="C59" i="37"/>
  <c r="E56" i="37"/>
  <c r="C56" i="37"/>
  <c r="E55" i="37"/>
  <c r="D56" i="37" s="1"/>
  <c r="C55" i="37"/>
  <c r="E52" i="37"/>
  <c r="D52" i="37"/>
  <c r="C52" i="37"/>
  <c r="C51" i="37"/>
  <c r="E48" i="37"/>
  <c r="D48" i="37"/>
  <c r="C48" i="37"/>
  <c r="C47" i="37"/>
  <c r="E44" i="37"/>
  <c r="C44" i="37"/>
  <c r="C43" i="37"/>
  <c r="C40" i="37"/>
  <c r="C39" i="37"/>
  <c r="D36" i="37"/>
  <c r="C36" i="37"/>
  <c r="C35" i="37"/>
  <c r="E32" i="37"/>
  <c r="C32" i="37"/>
  <c r="C31" i="37"/>
  <c r="C30" i="37"/>
  <c r="E29" i="37"/>
  <c r="D30" i="37" s="1"/>
  <c r="D29" i="37"/>
  <c r="E30" i="37" s="1"/>
  <c r="C29" i="37"/>
  <c r="E28" i="37"/>
  <c r="C28" i="37"/>
  <c r="E27" i="37"/>
  <c r="D28" i="37" s="1"/>
  <c r="C27" i="37"/>
  <c r="E26" i="37"/>
  <c r="C26" i="37"/>
  <c r="C25" i="37"/>
  <c r="E24" i="37"/>
  <c r="C24" i="37"/>
  <c r="C23" i="37"/>
  <c r="C20" i="37"/>
  <c r="C19" i="37"/>
  <c r="C18" i="37"/>
  <c r="C17" i="37"/>
  <c r="C16" i="37"/>
  <c r="C15" i="37"/>
  <c r="E18" i="38"/>
  <c r="E223" i="39" l="1"/>
  <c r="D223" i="39"/>
  <c r="C221" i="39"/>
  <c r="A221" i="39"/>
  <c r="C220" i="39"/>
  <c r="A220" i="39"/>
  <c r="C219" i="39"/>
  <c r="A219" i="39"/>
  <c r="C218" i="39"/>
  <c r="A218" i="39"/>
  <c r="C217" i="39"/>
  <c r="A217" i="39"/>
  <c r="C216" i="39"/>
  <c r="A216" i="39"/>
  <c r="C215" i="39"/>
  <c r="A215" i="39"/>
  <c r="C214" i="39"/>
  <c r="A214" i="39"/>
  <c r="C213" i="39"/>
  <c r="A213" i="39"/>
  <c r="C212" i="39"/>
  <c r="A212" i="39"/>
  <c r="C211" i="39"/>
  <c r="A211" i="39"/>
  <c r="C210" i="39"/>
  <c r="A210" i="39"/>
  <c r="C209" i="39"/>
  <c r="A209" i="39"/>
  <c r="C208" i="39"/>
  <c r="A208" i="39"/>
  <c r="C207" i="39"/>
  <c r="A207" i="39"/>
  <c r="C206" i="39"/>
  <c r="A206" i="39"/>
  <c r="C205" i="39"/>
  <c r="A205" i="39"/>
  <c r="C204" i="39"/>
  <c r="A204" i="39"/>
  <c r="C203" i="39"/>
  <c r="A203" i="39"/>
  <c r="C202" i="39"/>
  <c r="A202" i="39"/>
  <c r="C201" i="39"/>
  <c r="A201" i="39"/>
  <c r="C200" i="39"/>
  <c r="A200" i="39"/>
  <c r="C199" i="39"/>
  <c r="A199" i="39"/>
  <c r="C198" i="39"/>
  <c r="A198" i="39"/>
  <c r="C197" i="39"/>
  <c r="A197" i="39"/>
  <c r="C196" i="39"/>
  <c r="A195" i="39"/>
  <c r="A194" i="39"/>
  <c r="A193" i="39"/>
  <c r="A192" i="39"/>
  <c r="A191" i="39"/>
  <c r="A190" i="39"/>
  <c r="A189" i="39"/>
  <c r="A188" i="39"/>
  <c r="A187" i="39"/>
  <c r="A186" i="39"/>
  <c r="A185" i="39"/>
  <c r="A184" i="39"/>
  <c r="A183" i="39"/>
  <c r="A182" i="39"/>
  <c r="A181" i="39"/>
  <c r="A180" i="39"/>
  <c r="A179" i="39"/>
  <c r="A178" i="39"/>
  <c r="A177" i="39"/>
  <c r="A175" i="39"/>
  <c r="A174" i="39"/>
  <c r="A173" i="39"/>
  <c r="A172" i="39"/>
  <c r="A171" i="39"/>
  <c r="A170" i="39"/>
  <c r="G169" i="39"/>
  <c r="A169" i="39"/>
  <c r="A168" i="39"/>
  <c r="A167" i="39"/>
  <c r="G166" i="39"/>
  <c r="A166" i="39"/>
  <c r="A165" i="39"/>
  <c r="A164" i="39"/>
  <c r="A163" i="39"/>
  <c r="A162" i="39"/>
  <c r="A161" i="39"/>
  <c r="A160" i="39"/>
  <c r="A159" i="39"/>
  <c r="A158" i="39"/>
  <c r="A157" i="39"/>
  <c r="A156" i="39"/>
  <c r="A155" i="39"/>
  <c r="G154" i="39"/>
  <c r="A154" i="39"/>
  <c r="G153" i="39"/>
  <c r="A153" i="39"/>
  <c r="A152" i="39"/>
  <c r="A151" i="39"/>
  <c r="A150" i="39"/>
  <c r="A149" i="39"/>
  <c r="A148" i="39"/>
  <c r="A147" i="39"/>
  <c r="A146" i="39"/>
  <c r="A145" i="39"/>
  <c r="A144" i="39"/>
  <c r="A143" i="39"/>
  <c r="A142" i="39"/>
  <c r="A141" i="39"/>
  <c r="G140" i="39"/>
  <c r="A140" i="39"/>
  <c r="G139" i="39"/>
  <c r="A139" i="39"/>
  <c r="G138" i="39"/>
  <c r="A138" i="39"/>
  <c r="G137" i="39"/>
  <c r="A137" i="39"/>
  <c r="G136" i="39"/>
  <c r="G134" i="39"/>
  <c r="G133" i="39"/>
  <c r="G131" i="39"/>
  <c r="G130" i="39"/>
  <c r="A130" i="39"/>
  <c r="G129" i="39"/>
  <c r="A129" i="39"/>
  <c r="G128" i="39"/>
  <c r="A128" i="39"/>
  <c r="G127" i="39"/>
  <c r="A127" i="39"/>
  <c r="G126" i="39"/>
  <c r="A126" i="39"/>
  <c r="G125" i="39"/>
  <c r="A125" i="39"/>
  <c r="G124" i="39"/>
  <c r="G122" i="39"/>
  <c r="G121" i="39"/>
  <c r="G120" i="39"/>
  <c r="G119" i="39"/>
  <c r="G118" i="39"/>
  <c r="G117" i="39"/>
  <c r="G116" i="39"/>
  <c r="G115" i="39"/>
  <c r="G114" i="39"/>
  <c r="A114" i="39"/>
  <c r="G113" i="39"/>
  <c r="A113" i="39"/>
  <c r="G112" i="39"/>
  <c r="A112" i="39"/>
  <c r="G111" i="39"/>
  <c r="A111" i="39"/>
  <c r="G110" i="39"/>
  <c r="A110" i="39"/>
  <c r="G109" i="39"/>
  <c r="A109" i="39"/>
  <c r="G108" i="39"/>
  <c r="A108" i="39"/>
  <c r="G107" i="39"/>
  <c r="A107" i="39"/>
  <c r="G106" i="39"/>
  <c r="G105" i="39"/>
  <c r="G104" i="39"/>
  <c r="G103" i="39"/>
  <c r="G102" i="39"/>
  <c r="G101" i="39"/>
  <c r="G100" i="39"/>
  <c r="G99" i="39"/>
  <c r="G98" i="39"/>
  <c r="G97" i="39"/>
  <c r="G96" i="39"/>
  <c r="G95" i="39"/>
  <c r="G94" i="39"/>
  <c r="G93" i="39"/>
  <c r="G92" i="39"/>
  <c r="G91" i="39"/>
  <c r="G90" i="39"/>
  <c r="G89" i="39"/>
  <c r="G88" i="39"/>
  <c r="G87" i="39"/>
  <c r="G86" i="39"/>
  <c r="G85" i="39"/>
  <c r="G84" i="39"/>
  <c r="A84" i="39"/>
  <c r="G83" i="39"/>
  <c r="A83" i="39"/>
  <c r="G82" i="39"/>
  <c r="A82" i="39"/>
  <c r="G81" i="39"/>
  <c r="A81" i="39"/>
  <c r="G80" i="39"/>
  <c r="A80" i="39"/>
  <c r="G79" i="39"/>
  <c r="A79" i="39"/>
  <c r="G78" i="39"/>
  <c r="A78" i="39"/>
  <c r="G77" i="39"/>
  <c r="A77" i="39"/>
  <c r="G76" i="39"/>
  <c r="A76" i="39"/>
  <c r="G75" i="39"/>
  <c r="A75" i="39"/>
  <c r="G74" i="39"/>
  <c r="A74" i="39"/>
  <c r="G73" i="39"/>
  <c r="A73" i="39"/>
  <c r="G72" i="39"/>
  <c r="A72" i="39"/>
  <c r="G71" i="39"/>
  <c r="A71" i="39"/>
  <c r="G70" i="39"/>
  <c r="A70" i="39"/>
  <c r="G69" i="39"/>
  <c r="A69" i="39"/>
  <c r="G68" i="39"/>
  <c r="A68" i="39"/>
  <c r="G67" i="39"/>
  <c r="A67" i="39"/>
  <c r="G66" i="39"/>
  <c r="A66" i="39"/>
  <c r="G65" i="39"/>
  <c r="A65" i="39"/>
  <c r="G64" i="39"/>
  <c r="A64" i="39"/>
  <c r="G63" i="39"/>
  <c r="A63" i="39"/>
  <c r="G62" i="39"/>
  <c r="A62" i="39"/>
  <c r="G61" i="39"/>
  <c r="A61" i="39"/>
  <c r="G60" i="39"/>
  <c r="A60" i="39"/>
  <c r="G59" i="39"/>
  <c r="A59" i="39"/>
  <c r="G58" i="39"/>
  <c r="A58" i="39"/>
  <c r="G57" i="39"/>
  <c r="A57" i="39"/>
  <c r="G56" i="39"/>
  <c r="A56" i="39"/>
  <c r="G55" i="39"/>
  <c r="A55" i="39"/>
  <c r="G54" i="39"/>
  <c r="A54" i="39"/>
  <c r="G53" i="39"/>
  <c r="A53" i="39"/>
  <c r="G52" i="39"/>
  <c r="A52" i="39"/>
  <c r="G51" i="39"/>
  <c r="A51" i="39"/>
  <c r="G50" i="39"/>
  <c r="A50" i="39"/>
  <c r="G49" i="39"/>
  <c r="A49" i="39"/>
  <c r="G48" i="39"/>
  <c r="A48" i="39"/>
  <c r="G47" i="39"/>
  <c r="A47" i="39"/>
  <c r="G46" i="39"/>
  <c r="A46" i="39"/>
  <c r="G45" i="39"/>
  <c r="A45" i="39"/>
  <c r="G44" i="39"/>
  <c r="A44" i="39"/>
  <c r="G43" i="39"/>
  <c r="A43" i="39"/>
  <c r="G42" i="39"/>
  <c r="A42" i="39"/>
  <c r="G41" i="39"/>
  <c r="A41" i="39"/>
  <c r="G40" i="39"/>
  <c r="A40" i="39"/>
  <c r="G39" i="39"/>
  <c r="A39" i="39"/>
  <c r="G38" i="39"/>
  <c r="A38" i="39"/>
  <c r="G37" i="39"/>
  <c r="A37" i="39"/>
  <c r="G36" i="39"/>
  <c r="A36" i="39"/>
  <c r="G35" i="39"/>
  <c r="A35" i="39"/>
  <c r="G34" i="39"/>
  <c r="A34" i="39"/>
  <c r="G33" i="39"/>
  <c r="A33" i="39"/>
  <c r="G32" i="39"/>
  <c r="A32" i="39"/>
  <c r="G31" i="39"/>
  <c r="A31" i="39"/>
  <c r="G30" i="39"/>
  <c r="A30" i="39"/>
  <c r="G29" i="39"/>
  <c r="A29" i="39"/>
  <c r="G28" i="39"/>
  <c r="A28" i="39"/>
  <c r="G27" i="39"/>
  <c r="A27" i="39"/>
  <c r="G26" i="39"/>
  <c r="A26" i="39"/>
  <c r="G25" i="39"/>
  <c r="A25" i="39"/>
  <c r="G24" i="39"/>
  <c r="A24" i="39"/>
  <c r="G23" i="39"/>
  <c r="A23" i="39"/>
  <c r="G22" i="39"/>
  <c r="A22" i="39"/>
  <c r="G21" i="39"/>
  <c r="A21" i="39"/>
  <c r="G20" i="39"/>
  <c r="A20" i="39"/>
  <c r="G19" i="39"/>
  <c r="A19" i="39"/>
  <c r="G18" i="39"/>
  <c r="A18" i="39"/>
  <c r="G17" i="39"/>
  <c r="A17" i="39"/>
  <c r="G16" i="39"/>
  <c r="A16" i="39"/>
  <c r="G15" i="39"/>
  <c r="A15" i="39"/>
  <c r="G14" i="39"/>
  <c r="A14" i="39"/>
  <c r="G13" i="39"/>
  <c r="A13" i="39"/>
  <c r="G12" i="39"/>
  <c r="A12" i="39"/>
  <c r="J11" i="39"/>
  <c r="G11" i="39"/>
  <c r="A11" i="39"/>
  <c r="G10" i="39"/>
  <c r="A10" i="39"/>
  <c r="G9" i="39"/>
  <c r="A9" i="39"/>
  <c r="G8" i="39"/>
  <c r="A8" i="39"/>
  <c r="G7" i="39"/>
  <c r="A7" i="39"/>
  <c r="G6" i="39"/>
  <c r="A6" i="39"/>
  <c r="G5" i="39"/>
  <c r="S5" i="24" l="1"/>
  <c r="S1107" i="24" s="1"/>
  <c r="A196" i="39"/>
  <c r="C139" i="25" l="1"/>
  <c r="C135" i="25"/>
  <c r="C256" i="25"/>
  <c r="C255" i="25"/>
  <c r="C254" i="25"/>
  <c r="C253" i="25"/>
  <c r="C252" i="25"/>
  <c r="C251" i="25"/>
  <c r="C250" i="25"/>
  <c r="C249" i="25"/>
  <c r="C248" i="25"/>
  <c r="C247" i="25"/>
  <c r="C246" i="25"/>
  <c r="C245" i="25"/>
  <c r="C244" i="25"/>
  <c r="C243" i="25"/>
  <c r="C242" i="25"/>
  <c r="C241" i="25"/>
  <c r="C240" i="25"/>
  <c r="C239" i="25"/>
  <c r="C238" i="25"/>
  <c r="C237" i="25"/>
  <c r="C236" i="25"/>
  <c r="C235" i="25"/>
  <c r="C234" i="25"/>
  <c r="C233" i="25"/>
  <c r="C232" i="25"/>
  <c r="C231" i="25"/>
  <c r="C230" i="25"/>
  <c r="C229" i="25"/>
  <c r="C228" i="25"/>
  <c r="C227" i="25"/>
  <c r="C226" i="25"/>
  <c r="C225" i="25"/>
  <c r="C224" i="25"/>
  <c r="C223" i="25"/>
  <c r="C222" i="25"/>
  <c r="C221" i="25"/>
  <c r="C220" i="25"/>
  <c r="C219" i="25"/>
  <c r="C218" i="25"/>
  <c r="C217" i="25"/>
  <c r="C216" i="25"/>
  <c r="C215" i="25"/>
  <c r="C214" i="25"/>
  <c r="C213" i="25"/>
  <c r="C212" i="25"/>
  <c r="C211" i="25"/>
  <c r="C210" i="25"/>
  <c r="C209" i="25"/>
  <c r="C208" i="25"/>
  <c r="C207" i="25"/>
  <c r="C206" i="25"/>
  <c r="C205" i="25"/>
  <c r="C204" i="25"/>
  <c r="C203" i="25"/>
  <c r="C202" i="25"/>
  <c r="C201" i="25"/>
  <c r="C200" i="25"/>
  <c r="C199" i="25"/>
  <c r="C198" i="25"/>
  <c r="C197" i="25"/>
  <c r="C196" i="25"/>
  <c r="C195" i="25"/>
  <c r="C194" i="25"/>
  <c r="C193" i="25"/>
  <c r="C192" i="25"/>
  <c r="C191" i="25"/>
  <c r="C190" i="25"/>
  <c r="C189" i="25"/>
  <c r="C188" i="25"/>
  <c r="C187" i="25"/>
  <c r="C186" i="25"/>
  <c r="C185" i="25"/>
  <c r="C184" i="25"/>
  <c r="C183" i="25"/>
  <c r="C182" i="25"/>
  <c r="C181" i="25"/>
  <c r="C170" i="25"/>
  <c r="C165" i="25"/>
  <c r="C158" i="25"/>
  <c r="C155" i="25"/>
  <c r="C5" i="25"/>
  <c r="C26" i="25" l="1"/>
  <c r="C37" i="25"/>
  <c r="C23" i="25"/>
  <c r="C13" i="25"/>
  <c r="C52" i="25"/>
  <c r="C18" i="25"/>
  <c r="C19" i="25"/>
  <c r="C30" i="25"/>
  <c r="C126" i="25"/>
  <c r="C143" i="25"/>
  <c r="C9" i="25"/>
  <c r="C17" i="25"/>
  <c r="C28" i="25"/>
  <c r="C29" i="25"/>
  <c r="C58" i="25"/>
  <c r="C94" i="25"/>
  <c r="C104" i="25"/>
  <c r="C112" i="25"/>
  <c r="C121" i="25"/>
  <c r="C129" i="25"/>
  <c r="C151" i="25"/>
  <c r="C152" i="25"/>
  <c r="C83" i="25"/>
  <c r="C150" i="25"/>
  <c r="C164" i="25"/>
  <c r="C168" i="25"/>
  <c r="C89" i="25"/>
  <c r="C103" i="25"/>
  <c r="C137" i="25"/>
  <c r="C146" i="25"/>
  <c r="C40" i="25"/>
  <c r="C41" i="25"/>
  <c r="C47" i="25"/>
  <c r="C54" i="25"/>
  <c r="C55" i="25"/>
  <c r="C67" i="25"/>
  <c r="C82" i="25"/>
  <c r="C175" i="25"/>
  <c r="C176" i="25"/>
  <c r="C149" i="25"/>
  <c r="C102" i="25"/>
  <c r="C136" i="25"/>
  <c r="C174" i="25"/>
  <c r="C95" i="25"/>
  <c r="C101" i="25"/>
  <c r="C117" i="25"/>
  <c r="C118" i="25"/>
  <c r="C35" i="25"/>
  <c r="C125" i="25"/>
  <c r="C134" i="25"/>
  <c r="C142" i="25"/>
  <c r="C68" i="25"/>
  <c r="C69" i="25"/>
  <c r="C70" i="25"/>
  <c r="C71" i="25"/>
  <c r="C72" i="25"/>
  <c r="C73" i="25"/>
  <c r="C74" i="25"/>
  <c r="C75" i="25"/>
  <c r="C76" i="25"/>
  <c r="C77" i="25"/>
  <c r="C78" i="25"/>
  <c r="C79" i="25"/>
  <c r="C80" i="25"/>
  <c r="C81" i="25"/>
  <c r="C31" i="25"/>
  <c r="C159" i="25"/>
  <c r="C97" i="25"/>
  <c r="C115" i="25"/>
  <c r="C11" i="25"/>
  <c r="C20" i="25"/>
  <c r="C32" i="25"/>
  <c r="C48" i="25"/>
  <c r="C49" i="25"/>
  <c r="C179" i="25"/>
  <c r="C167" i="25"/>
  <c r="C166" i="25"/>
  <c r="C85" i="25"/>
  <c r="C147" i="25"/>
  <c r="C86" i="25"/>
  <c r="C96" i="25"/>
  <c r="C98" i="25"/>
  <c r="C99" i="25"/>
  <c r="C144" i="25"/>
  <c r="C145" i="25"/>
  <c r="C122" i="25"/>
  <c r="C133" i="25"/>
  <c r="C87" i="25"/>
  <c r="C93" i="25"/>
  <c r="C157" i="25"/>
  <c r="C107" i="25"/>
  <c r="C119" i="25"/>
  <c r="C130" i="25"/>
  <c r="C148" i="25" l="1"/>
  <c r="C92" i="25"/>
  <c r="C12" i="25"/>
  <c r="C160" i="25"/>
  <c r="C39" i="25"/>
  <c r="C14" i="25"/>
  <c r="C56" i="25"/>
  <c r="C109" i="25"/>
  <c r="C171" i="25"/>
  <c r="C62" i="25"/>
  <c r="C36" i="25"/>
  <c r="C63" i="25"/>
  <c r="C38" i="25"/>
  <c r="C43" i="25"/>
  <c r="C105" i="25"/>
  <c r="C156" i="25"/>
  <c r="C61" i="25"/>
  <c r="C22" i="25"/>
  <c r="C138" i="25"/>
  <c r="C90" i="25"/>
  <c r="C60" i="25"/>
  <c r="C116" i="25"/>
  <c r="C6" i="25"/>
  <c r="C42" i="25"/>
  <c r="C169" i="25"/>
  <c r="C154" i="25"/>
  <c r="C153" i="25"/>
  <c r="C141" i="25"/>
  <c r="C59" i="25"/>
  <c r="C51" i="25"/>
  <c r="C84" i="25"/>
  <c r="C178" i="25"/>
  <c r="C128" i="25"/>
  <c r="C111" i="25"/>
  <c r="C140" i="25"/>
  <c r="C88" i="25"/>
  <c r="C180" i="25"/>
  <c r="C50" i="25"/>
  <c r="C27" i="25"/>
  <c r="C177" i="25"/>
  <c r="C172" i="25"/>
  <c r="C132" i="25"/>
  <c r="C123" i="25"/>
  <c r="C162" i="25"/>
  <c r="C114" i="25"/>
  <c r="C173" i="25"/>
  <c r="C34" i="25"/>
  <c r="C53" i="25"/>
  <c r="C25" i="25"/>
  <c r="C127" i="25"/>
  <c r="C16" i="25"/>
  <c r="C66" i="25"/>
  <c r="C10" i="25"/>
  <c r="C15" i="25"/>
  <c r="C131" i="25"/>
  <c r="C124" i="25"/>
  <c r="C163" i="25"/>
  <c r="C45" i="25"/>
  <c r="C33" i="25"/>
  <c r="C24" i="25"/>
  <c r="C8" i="25"/>
  <c r="C65" i="25"/>
  <c r="C106" i="25"/>
  <c r="C120" i="25"/>
  <c r="C91" i="25"/>
  <c r="C100" i="25"/>
  <c r="C44" i="25"/>
  <c r="C110" i="25"/>
  <c r="C21" i="25"/>
  <c r="C161" i="25"/>
  <c r="C46" i="25"/>
  <c r="C57" i="25"/>
  <c r="C108" i="25"/>
  <c r="C113" i="25"/>
  <c r="C64" i="25"/>
  <c r="C7" i="25"/>
  <c r="D1107" i="24" l="1"/>
  <c r="AR929" i="14" l="1"/>
  <c r="AR832" i="14"/>
  <c r="AR729" i="14"/>
  <c r="AR713" i="14"/>
  <c r="AR692" i="14"/>
  <c r="AQ239" i="14"/>
  <c r="AQ238" i="14"/>
  <c r="AQ234" i="14"/>
  <c r="AQ208" i="14"/>
  <c r="B10" i="1" l="1"/>
  <c r="AD239" i="14" l="1"/>
  <c r="AD238" i="14"/>
  <c r="A134" i="38" l="1"/>
  <c r="C133" i="38"/>
  <c r="A133" i="38"/>
  <c r="C132" i="38"/>
  <c r="A132" i="38"/>
  <c r="C131" i="38"/>
  <c r="A131" i="38"/>
  <c r="C130" i="38"/>
  <c r="A130" i="38"/>
  <c r="C129" i="38"/>
  <c r="A129" i="38"/>
  <c r="C128" i="38"/>
  <c r="A128" i="38"/>
  <c r="C127" i="38"/>
  <c r="A127" i="38"/>
  <c r="C126" i="38"/>
  <c r="A126" i="38"/>
  <c r="C125" i="38"/>
  <c r="A125" i="38"/>
  <c r="C124" i="38"/>
  <c r="A124" i="38"/>
  <c r="C123" i="38"/>
  <c r="A123" i="38"/>
  <c r="C122" i="38"/>
  <c r="A122" i="38"/>
  <c r="C121" i="38"/>
  <c r="A121" i="38"/>
  <c r="C120" i="38"/>
  <c r="A120" i="38"/>
  <c r="C119" i="38"/>
  <c r="A119" i="38"/>
  <c r="C118" i="38"/>
  <c r="A118" i="38"/>
  <c r="C117" i="38"/>
  <c r="A117" i="38"/>
  <c r="C116" i="38"/>
  <c r="A116" i="38"/>
  <c r="C115" i="38"/>
  <c r="A115" i="38"/>
  <c r="C114" i="38"/>
  <c r="A114" i="38"/>
  <c r="C113" i="38"/>
  <c r="A113" i="38"/>
  <c r="C112" i="38"/>
  <c r="A112" i="38"/>
  <c r="C111" i="38"/>
  <c r="A111" i="38"/>
  <c r="C110" i="38"/>
  <c r="A110" i="38"/>
  <c r="C109" i="38"/>
  <c r="A109" i="38"/>
  <c r="C108" i="38"/>
  <c r="A108" i="38"/>
  <c r="C107" i="38"/>
  <c r="A107" i="38"/>
  <c r="C106" i="38"/>
  <c r="A106" i="38"/>
  <c r="C105" i="38"/>
  <c r="A105" i="38"/>
  <c r="C104" i="38"/>
  <c r="A104" i="38"/>
  <c r="C103" i="38"/>
  <c r="A103" i="38"/>
  <c r="C102" i="38"/>
  <c r="A102" i="38"/>
  <c r="C101" i="38"/>
  <c r="A101" i="38"/>
  <c r="C100" i="38"/>
  <c r="A100" i="38"/>
  <c r="C99" i="38"/>
  <c r="A99" i="38"/>
  <c r="C98" i="38"/>
  <c r="A98" i="38"/>
  <c r="C97" i="38"/>
  <c r="A97" i="38"/>
  <c r="C96" i="38"/>
  <c r="A96" i="38"/>
  <c r="C95" i="38"/>
  <c r="A95" i="38"/>
  <c r="C94" i="38"/>
  <c r="A94" i="38"/>
  <c r="C93" i="38"/>
  <c r="A93" i="38"/>
  <c r="C92" i="38"/>
  <c r="A92" i="38"/>
  <c r="C91" i="38"/>
  <c r="A91" i="38"/>
  <c r="C90" i="38"/>
  <c r="A90" i="38"/>
  <c r="C89" i="38"/>
  <c r="A89" i="38"/>
  <c r="C88" i="38"/>
  <c r="A88" i="38"/>
  <c r="C87" i="38"/>
  <c r="A87" i="38"/>
  <c r="C86" i="38"/>
  <c r="A86" i="38"/>
  <c r="C85" i="38"/>
  <c r="A85" i="38"/>
  <c r="C84" i="38"/>
  <c r="A84" i="38"/>
  <c r="C83" i="38"/>
  <c r="A83" i="38"/>
  <c r="C82" i="38"/>
  <c r="A82" i="38"/>
  <c r="C81" i="38"/>
  <c r="A81" i="38"/>
  <c r="C80" i="38"/>
  <c r="A80" i="38"/>
  <c r="C79" i="38"/>
  <c r="A79" i="38"/>
  <c r="C78" i="38"/>
  <c r="A78" i="38"/>
  <c r="C77" i="38"/>
  <c r="A77" i="38"/>
  <c r="C76" i="38"/>
  <c r="A76" i="38"/>
  <c r="C75" i="38"/>
  <c r="A75" i="38"/>
  <c r="C74" i="38"/>
  <c r="A74" i="38"/>
  <c r="C73" i="38"/>
  <c r="A73" i="38"/>
  <c r="C72" i="38"/>
  <c r="A72" i="38"/>
  <c r="C71" i="38"/>
  <c r="A71" i="38"/>
  <c r="C70" i="38"/>
  <c r="A70" i="38"/>
  <c r="C69" i="38"/>
  <c r="A69" i="38"/>
  <c r="C68" i="38"/>
  <c r="A68" i="38"/>
  <c r="C67" i="38"/>
  <c r="A67" i="38"/>
  <c r="C66" i="38"/>
  <c r="A66" i="38"/>
  <c r="C65" i="38"/>
  <c r="A65" i="38"/>
  <c r="C64" i="38"/>
  <c r="A64" i="38"/>
  <c r="C63" i="38"/>
  <c r="A63" i="38"/>
  <c r="C62" i="38"/>
  <c r="A62" i="38"/>
  <c r="C61" i="38"/>
  <c r="A61" i="38"/>
  <c r="C60" i="38"/>
  <c r="A60" i="38"/>
  <c r="C59" i="38"/>
  <c r="A59" i="38"/>
  <c r="C58" i="38"/>
  <c r="A58" i="38"/>
  <c r="C57" i="38"/>
  <c r="A57" i="38"/>
  <c r="C56" i="38"/>
  <c r="A56" i="38"/>
  <c r="C55" i="38"/>
  <c r="A55" i="38"/>
  <c r="C54" i="38"/>
  <c r="A54" i="38"/>
  <c r="C53" i="38"/>
  <c r="A53" i="38"/>
  <c r="C52" i="38"/>
  <c r="A52" i="38"/>
  <c r="C51" i="38"/>
  <c r="A51" i="38"/>
  <c r="A50" i="38"/>
  <c r="C49" i="38"/>
  <c r="A49" i="38"/>
  <c r="C48" i="38"/>
  <c r="A48" i="38"/>
  <c r="C47" i="38"/>
  <c r="A47" i="38"/>
  <c r="C46" i="38"/>
  <c r="A46" i="38"/>
  <c r="C45" i="38"/>
  <c r="A45" i="38"/>
  <c r="C44" i="38"/>
  <c r="A44" i="38"/>
  <c r="C43" i="38"/>
  <c r="A43" i="38"/>
  <c r="C42" i="38"/>
  <c r="A42" i="38"/>
  <c r="C41" i="38"/>
  <c r="A41" i="38"/>
  <c r="C40" i="38"/>
  <c r="A40" i="38"/>
  <c r="C39" i="38"/>
  <c r="A39" i="38"/>
  <c r="C38" i="38"/>
  <c r="A38" i="38"/>
  <c r="C37" i="38"/>
  <c r="A37" i="38"/>
  <c r="A36" i="38"/>
  <c r="F35" i="38"/>
  <c r="C34" i="38"/>
  <c r="A34" i="38"/>
  <c r="F33" i="38"/>
  <c r="A33" i="38"/>
  <c r="C31" i="38"/>
  <c r="A31" i="38"/>
  <c r="F30" i="38"/>
  <c r="A30" i="38"/>
  <c r="F29" i="38"/>
  <c r="C28" i="38"/>
  <c r="A28" i="38"/>
  <c r="A27" i="38"/>
  <c r="C25" i="38"/>
  <c r="A25" i="38"/>
  <c r="E24" i="38"/>
  <c r="A24" i="38"/>
  <c r="C22" i="38"/>
  <c r="A22" i="38"/>
  <c r="E21" i="38"/>
  <c r="A21" i="38"/>
  <c r="C19" i="38"/>
  <c r="A19" i="38"/>
  <c r="A18" i="38"/>
  <c r="C16" i="38"/>
  <c r="A16" i="38"/>
  <c r="A15" i="38"/>
  <c r="E15" i="38"/>
  <c r="C13" i="38"/>
  <c r="A13" i="38"/>
  <c r="E12" i="38"/>
  <c r="A12" i="38"/>
  <c r="F11" i="38"/>
  <c r="C10" i="38"/>
  <c r="A10" i="38"/>
  <c r="F9" i="38"/>
  <c r="A9" i="38"/>
  <c r="A8" i="38"/>
  <c r="C7" i="38"/>
  <c r="A7" i="38"/>
  <c r="F6" i="38"/>
  <c r="E6" i="38"/>
  <c r="A6" i="38"/>
  <c r="F5" i="38"/>
  <c r="A5" i="38"/>
  <c r="A1" i="38"/>
  <c r="E1107" i="24" l="1"/>
  <c r="A11" i="38"/>
  <c r="A14" i="38" l="1"/>
  <c r="A17" i="38" l="1"/>
  <c r="A20" i="38" l="1"/>
  <c r="A23" i="38" l="1"/>
  <c r="A26" i="38" s="1"/>
  <c r="A29" i="38" s="1"/>
  <c r="A32" i="38" s="1"/>
  <c r="A35" i="38" s="1"/>
  <c r="N1032" i="24" l="1"/>
  <c r="N751" i="24"/>
  <c r="N623" i="24"/>
  <c r="M54" i="7"/>
  <c r="E62" i="4"/>
  <c r="F62" i="4" s="1"/>
  <c r="H62" i="4" s="1"/>
  <c r="F41" i="4" l="1"/>
  <c r="K476" i="13" l="1"/>
  <c r="K475" i="13"/>
  <c r="K474" i="13"/>
  <c r="M474" i="13"/>
  <c r="K473" i="13"/>
  <c r="K470" i="13"/>
  <c r="K469" i="13"/>
  <c r="G471" i="13"/>
  <c r="H471" i="13"/>
  <c r="J471" i="13"/>
  <c r="K471" i="13"/>
  <c r="G472" i="13"/>
  <c r="H472" i="13"/>
  <c r="J472" i="13"/>
  <c r="K472" i="13"/>
  <c r="J36" i="12"/>
  <c r="I36" i="12"/>
  <c r="J28" i="12"/>
  <c r="I28" i="12"/>
  <c r="J425" i="11"/>
  <c r="J290" i="11"/>
  <c r="J229" i="11"/>
  <c r="M476" i="13" l="1"/>
  <c r="M501" i="13" s="1"/>
  <c r="I326" i="10"/>
  <c r="G326" i="10"/>
  <c r="G325" i="10"/>
  <c r="J324" i="10"/>
  <c r="I324" i="10"/>
  <c r="H324" i="10"/>
  <c r="G324" i="10"/>
  <c r="K49" i="13"/>
  <c r="K38" i="13"/>
  <c r="J38" i="13"/>
  <c r="F197" i="20"/>
  <c r="D197" i="20"/>
  <c r="H118" i="20"/>
  <c r="F100" i="20"/>
  <c r="F219" i="20"/>
  <c r="F9" i="20" s="1"/>
  <c r="C1268" i="37" l="1"/>
  <c r="C1267" i="37"/>
  <c r="C1266" i="37"/>
  <c r="C1265" i="37"/>
  <c r="C1264" i="37"/>
  <c r="C1263" i="37"/>
  <c r="C1262" i="37"/>
  <c r="C1261" i="37"/>
  <c r="C1260" i="37"/>
  <c r="C1259" i="37"/>
  <c r="C1258" i="37"/>
  <c r="C1257" i="37"/>
  <c r="C1256" i="37"/>
  <c r="C1255" i="37"/>
  <c r="C1254" i="37"/>
  <c r="C1253" i="37"/>
  <c r="C1252" i="37"/>
  <c r="C1251" i="37"/>
  <c r="C1250" i="37"/>
  <c r="C1249" i="37"/>
  <c r="C1248" i="37"/>
  <c r="C1247" i="37"/>
  <c r="C1246" i="37"/>
  <c r="C1245" i="37"/>
  <c r="C1244" i="37"/>
  <c r="C1243" i="37"/>
  <c r="C1242" i="37"/>
  <c r="C1241" i="37"/>
  <c r="C1240" i="37"/>
  <c r="C1239" i="37"/>
  <c r="C1238" i="37"/>
  <c r="C1237" i="37"/>
  <c r="C1236" i="37"/>
  <c r="C1235" i="37"/>
  <c r="C1234" i="37"/>
  <c r="C1233" i="37"/>
  <c r="C1232" i="37"/>
  <c r="C1231" i="37"/>
  <c r="C1230" i="37"/>
  <c r="C1229" i="37"/>
  <c r="C1228" i="37"/>
  <c r="C1227" i="37"/>
  <c r="C1226" i="37"/>
  <c r="C1225" i="37"/>
  <c r="C1224" i="37"/>
  <c r="C1223" i="37"/>
  <c r="C1222" i="37"/>
  <c r="C1221" i="37"/>
  <c r="C1220" i="37"/>
  <c r="C1219" i="37"/>
  <c r="C1218" i="37"/>
  <c r="C1217" i="37"/>
  <c r="C1216" i="37"/>
  <c r="C1215" i="37"/>
  <c r="C1214" i="37"/>
  <c r="C1213" i="37"/>
  <c r="C1212" i="37"/>
  <c r="C1211" i="37"/>
  <c r="C1210" i="37"/>
  <c r="C1209" i="37"/>
  <c r="C1208" i="37"/>
  <c r="C1207" i="37"/>
  <c r="C1206" i="37"/>
  <c r="C1205" i="37"/>
  <c r="C1204" i="37"/>
  <c r="C1203" i="37"/>
  <c r="C1202" i="37"/>
  <c r="C1201" i="37"/>
  <c r="C1200" i="37"/>
  <c r="C1199" i="37"/>
  <c r="C1198" i="37"/>
  <c r="C1197" i="37"/>
  <c r="C1196" i="37"/>
  <c r="C1195" i="37"/>
  <c r="C1194" i="37"/>
  <c r="C1193" i="37"/>
  <c r="C1192" i="37"/>
  <c r="C1191" i="37"/>
  <c r="C1190" i="37"/>
  <c r="C1189" i="37"/>
  <c r="C1188" i="37"/>
  <c r="C1187" i="37"/>
  <c r="C1186" i="37"/>
  <c r="C1185" i="37"/>
  <c r="C1184" i="37"/>
  <c r="C1183" i="37"/>
  <c r="C1182" i="37"/>
  <c r="C1181" i="37"/>
  <c r="C1180" i="37"/>
  <c r="C1179" i="37"/>
  <c r="C1178" i="37"/>
  <c r="C1177" i="37"/>
  <c r="C1176" i="37"/>
  <c r="C1175" i="37"/>
  <c r="C1174" i="37"/>
  <c r="C1173" i="37"/>
  <c r="C1172" i="37"/>
  <c r="C1171" i="37"/>
  <c r="C1170" i="37"/>
  <c r="C1169" i="37"/>
  <c r="C1168" i="37"/>
  <c r="C1167" i="37"/>
  <c r="C1166" i="37"/>
  <c r="C1165" i="37"/>
  <c r="C1164" i="37"/>
  <c r="C1163" i="37"/>
  <c r="C1162" i="37"/>
  <c r="C1161" i="37"/>
  <c r="C1160" i="37"/>
  <c r="C1159" i="37"/>
  <c r="C1158" i="37"/>
  <c r="C1157" i="37"/>
  <c r="C1156" i="37"/>
  <c r="C1155" i="37"/>
  <c r="C1154" i="37"/>
  <c r="C1153" i="37"/>
  <c r="C1152" i="37"/>
  <c r="C1151" i="37"/>
  <c r="C1150" i="37"/>
  <c r="C1146" i="37"/>
  <c r="A1146" i="37"/>
  <c r="C1145" i="37"/>
  <c r="A1145" i="37"/>
  <c r="C1144" i="37"/>
  <c r="A1144" i="37"/>
  <c r="C1143" i="37"/>
  <c r="A1143" i="37"/>
  <c r="C1142" i="37"/>
  <c r="A1142" i="37"/>
  <c r="C1141" i="37"/>
  <c r="A1141" i="37"/>
  <c r="C1140" i="37"/>
  <c r="A1140" i="37"/>
  <c r="C1139" i="37"/>
  <c r="A1139" i="37"/>
  <c r="C1138" i="37"/>
  <c r="A1138" i="37"/>
  <c r="C1137" i="37"/>
  <c r="A1137" i="37"/>
  <c r="C1136" i="37"/>
  <c r="A1136" i="37"/>
  <c r="C1135" i="37"/>
  <c r="A1135" i="37"/>
  <c r="C1134" i="37"/>
  <c r="A1134" i="37"/>
  <c r="C1133" i="37"/>
  <c r="A1133" i="37"/>
  <c r="C1132" i="37"/>
  <c r="A1132" i="37"/>
  <c r="C1131" i="37"/>
  <c r="A1131" i="37"/>
  <c r="C1130" i="37"/>
  <c r="A1130" i="37"/>
  <c r="C1129" i="37"/>
  <c r="A1129" i="37"/>
  <c r="C1128" i="37"/>
  <c r="A1128" i="37"/>
  <c r="C1127" i="37"/>
  <c r="A1127" i="37"/>
  <c r="C1126" i="37"/>
  <c r="A1126" i="37"/>
  <c r="C1125" i="37"/>
  <c r="A1125" i="37"/>
  <c r="C1124" i="37"/>
  <c r="A1124" i="37"/>
  <c r="C1123" i="37"/>
  <c r="A1123" i="37"/>
  <c r="C1122" i="37"/>
  <c r="A1122" i="37"/>
  <c r="C1121" i="37"/>
  <c r="A1121" i="37"/>
  <c r="C1120" i="37"/>
  <c r="A1120" i="37"/>
  <c r="C1119" i="37"/>
  <c r="A1119" i="37"/>
  <c r="C1118" i="37"/>
  <c r="A1118" i="37"/>
  <c r="C1117" i="37"/>
  <c r="A1117" i="37"/>
  <c r="C1116" i="37"/>
  <c r="A1116" i="37"/>
  <c r="C1115" i="37"/>
  <c r="A1115" i="37"/>
  <c r="C1114" i="37"/>
  <c r="A1114" i="37"/>
  <c r="C1113" i="37"/>
  <c r="A1113" i="37"/>
  <c r="C1112" i="37"/>
  <c r="A1112" i="37"/>
  <c r="C1111" i="37"/>
  <c r="A1111" i="37"/>
  <c r="C1110" i="37"/>
  <c r="A1110" i="37"/>
  <c r="C1109" i="37"/>
  <c r="A1109" i="37"/>
  <c r="C1108" i="37"/>
  <c r="A1108" i="37"/>
  <c r="C1107" i="37"/>
  <c r="A1107" i="37"/>
  <c r="C1106" i="37"/>
  <c r="A1106" i="37"/>
  <c r="C1105" i="37"/>
  <c r="A1105" i="37"/>
  <c r="C1104" i="37"/>
  <c r="A1104" i="37"/>
  <c r="C1103" i="37"/>
  <c r="A1103" i="37"/>
  <c r="C1102" i="37"/>
  <c r="A1102" i="37"/>
  <c r="C1101" i="37"/>
  <c r="A1101" i="37"/>
  <c r="C1100" i="37"/>
  <c r="A1100" i="37"/>
  <c r="C1099" i="37"/>
  <c r="A1099" i="37"/>
  <c r="C1098" i="37"/>
  <c r="A1098" i="37"/>
  <c r="C1097" i="37"/>
  <c r="A1097" i="37"/>
  <c r="C1096" i="37"/>
  <c r="A1096" i="37"/>
  <c r="C1095" i="37"/>
  <c r="A1095" i="37"/>
  <c r="C1094" i="37"/>
  <c r="A1094" i="37"/>
  <c r="C1093" i="37"/>
  <c r="A1093" i="37"/>
  <c r="C1092" i="37"/>
  <c r="A1092" i="37"/>
  <c r="C1091" i="37"/>
  <c r="A1091" i="37"/>
  <c r="C1090" i="37"/>
  <c r="A1090" i="37"/>
  <c r="C1089" i="37"/>
  <c r="A1089" i="37"/>
  <c r="C1088" i="37"/>
  <c r="A1088" i="37"/>
  <c r="C1087" i="37"/>
  <c r="A1087" i="37"/>
  <c r="C1086" i="37"/>
  <c r="A1086" i="37"/>
  <c r="C1085" i="37"/>
  <c r="A1085" i="37"/>
  <c r="C1084" i="37"/>
  <c r="A1084" i="37"/>
  <c r="C1083" i="37"/>
  <c r="A1083" i="37"/>
  <c r="C1082" i="37"/>
  <c r="A1082" i="37"/>
  <c r="C1081" i="37"/>
  <c r="A1081" i="37"/>
  <c r="C1080" i="37"/>
  <c r="A1080" i="37"/>
  <c r="C1079" i="37"/>
  <c r="A1079" i="37"/>
  <c r="C1078" i="37"/>
  <c r="A1078" i="37"/>
  <c r="C1077" i="37"/>
  <c r="A1077" i="37"/>
  <c r="C1076" i="37"/>
  <c r="A1076" i="37"/>
  <c r="C1075" i="37"/>
  <c r="A1075" i="37"/>
  <c r="C1074" i="37"/>
  <c r="A1074" i="37"/>
  <c r="C1073" i="37"/>
  <c r="A1073" i="37"/>
  <c r="C1072" i="37"/>
  <c r="A1072" i="37"/>
  <c r="C1071" i="37"/>
  <c r="A1071" i="37"/>
  <c r="C1070" i="37"/>
  <c r="A1070" i="37"/>
  <c r="C1069" i="37"/>
  <c r="A1069" i="37"/>
  <c r="C1068" i="37"/>
  <c r="A1068" i="37"/>
  <c r="C1067" i="37"/>
  <c r="A1067" i="37"/>
  <c r="C1066" i="37"/>
  <c r="A1066" i="37"/>
  <c r="C1065" i="37"/>
  <c r="A1065" i="37"/>
  <c r="C1064" i="37"/>
  <c r="A1064" i="37"/>
  <c r="C1063" i="37"/>
  <c r="A1063" i="37"/>
  <c r="C1062" i="37"/>
  <c r="A1062" i="37"/>
  <c r="C1061" i="37"/>
  <c r="A1061" i="37"/>
  <c r="C1060" i="37"/>
  <c r="A1060" i="37"/>
  <c r="C1059" i="37"/>
  <c r="A1059" i="37"/>
  <c r="C1058" i="37"/>
  <c r="A1058" i="37"/>
  <c r="C1057" i="37"/>
  <c r="A1057" i="37"/>
  <c r="C1056" i="37"/>
  <c r="A1056" i="37"/>
  <c r="C1055" i="37"/>
  <c r="A1055" i="37"/>
  <c r="C1054" i="37"/>
  <c r="A1054" i="37"/>
  <c r="C1053" i="37"/>
  <c r="A1053" i="37"/>
  <c r="C1052" i="37"/>
  <c r="A1052" i="37"/>
  <c r="C1051" i="37"/>
  <c r="A1051" i="37"/>
  <c r="C1050" i="37"/>
  <c r="A1050" i="37"/>
  <c r="C1049" i="37"/>
  <c r="A1049" i="37"/>
  <c r="C1048" i="37"/>
  <c r="A1048" i="37"/>
  <c r="C1047" i="37"/>
  <c r="A1047" i="37"/>
  <c r="C1046" i="37"/>
  <c r="A1046" i="37"/>
  <c r="C1045" i="37"/>
  <c r="A1045" i="37"/>
  <c r="C1044" i="37"/>
  <c r="A1044" i="37"/>
  <c r="C1043" i="37"/>
  <c r="A1043" i="37"/>
  <c r="C1042" i="37"/>
  <c r="A1042" i="37"/>
  <c r="C1041" i="37"/>
  <c r="A1041" i="37"/>
  <c r="C1040" i="37"/>
  <c r="A1040" i="37"/>
  <c r="C1039" i="37"/>
  <c r="A1039" i="37"/>
  <c r="C1038" i="37"/>
  <c r="A1038" i="37"/>
  <c r="C1037" i="37"/>
  <c r="A1037" i="37"/>
  <c r="C1036" i="37"/>
  <c r="A1036" i="37"/>
  <c r="C1035" i="37"/>
  <c r="A1035" i="37"/>
  <c r="C1034" i="37"/>
  <c r="A1034" i="37"/>
  <c r="C1033" i="37"/>
  <c r="A1033" i="37"/>
  <c r="C1032" i="37"/>
  <c r="A1032" i="37"/>
  <c r="C1031" i="37"/>
  <c r="A1031" i="37"/>
  <c r="C1030" i="37"/>
  <c r="A1030" i="37"/>
  <c r="C1029" i="37"/>
  <c r="A1029" i="37"/>
  <c r="C1028" i="37"/>
  <c r="A1028" i="37"/>
  <c r="C1027" i="37"/>
  <c r="A1027" i="37"/>
  <c r="C1026" i="37"/>
  <c r="A1026" i="37"/>
  <c r="C1025" i="37"/>
  <c r="A1025" i="37"/>
  <c r="C1024" i="37"/>
  <c r="A1024" i="37"/>
  <c r="C1023" i="37"/>
  <c r="A1023" i="37"/>
  <c r="C1022" i="37"/>
  <c r="A1022" i="37"/>
  <c r="C1021" i="37"/>
  <c r="A1021" i="37"/>
  <c r="C1020" i="37"/>
  <c r="A1020" i="37"/>
  <c r="C1019" i="37"/>
  <c r="A1019" i="37"/>
  <c r="C1018" i="37"/>
  <c r="A1018" i="37"/>
  <c r="C1017" i="37"/>
  <c r="A1017" i="37"/>
  <c r="C1016" i="37"/>
  <c r="A1016" i="37"/>
  <c r="C1015" i="37"/>
  <c r="A1015" i="37"/>
  <c r="C1014" i="37"/>
  <c r="A1014" i="37"/>
  <c r="C1013" i="37"/>
  <c r="A1013" i="37"/>
  <c r="C1012" i="37"/>
  <c r="A1012" i="37"/>
  <c r="C1011" i="37"/>
  <c r="A1011" i="37"/>
  <c r="C1010" i="37"/>
  <c r="A1010" i="37"/>
  <c r="C1009" i="37"/>
  <c r="A1009" i="37"/>
  <c r="C1008" i="37"/>
  <c r="A1008" i="37"/>
  <c r="C1007" i="37"/>
  <c r="A1007" i="37"/>
  <c r="C1006" i="37"/>
  <c r="A1006" i="37"/>
  <c r="C1005" i="37"/>
  <c r="A1005" i="37"/>
  <c r="C1004" i="37"/>
  <c r="A1004" i="37"/>
  <c r="C1003" i="37"/>
  <c r="A1003" i="37"/>
  <c r="C1002" i="37"/>
  <c r="A1002" i="37"/>
  <c r="C1001" i="37"/>
  <c r="A1001" i="37"/>
  <c r="C1000" i="37"/>
  <c r="A1000" i="37"/>
  <c r="C999" i="37"/>
  <c r="A999" i="37"/>
  <c r="C998" i="37"/>
  <c r="A998" i="37"/>
  <c r="C997" i="37"/>
  <c r="A997" i="37"/>
  <c r="C996" i="37"/>
  <c r="A996" i="37"/>
  <c r="C995" i="37"/>
  <c r="A995" i="37"/>
  <c r="C994" i="37"/>
  <c r="A994" i="37"/>
  <c r="C993" i="37"/>
  <c r="A993" i="37"/>
  <c r="C992" i="37"/>
  <c r="A992" i="37"/>
  <c r="C991" i="37"/>
  <c r="A991" i="37"/>
  <c r="C990" i="37"/>
  <c r="A990" i="37"/>
  <c r="C989" i="37"/>
  <c r="A989" i="37"/>
  <c r="C988" i="37"/>
  <c r="A988" i="37"/>
  <c r="C987" i="37"/>
  <c r="A987" i="37"/>
  <c r="C986" i="37"/>
  <c r="A986" i="37"/>
  <c r="C985" i="37"/>
  <c r="A985" i="37"/>
  <c r="C984" i="37"/>
  <c r="A984" i="37"/>
  <c r="C983" i="37"/>
  <c r="A983" i="37"/>
  <c r="C982" i="37"/>
  <c r="A982" i="37"/>
  <c r="C981" i="37"/>
  <c r="A981" i="37"/>
  <c r="C980" i="37"/>
  <c r="A980" i="37"/>
  <c r="C979" i="37"/>
  <c r="A979" i="37"/>
  <c r="C978" i="37"/>
  <c r="A978" i="37"/>
  <c r="C977" i="37"/>
  <c r="A977" i="37"/>
  <c r="C976" i="37"/>
  <c r="A976" i="37"/>
  <c r="C975" i="37"/>
  <c r="A975" i="37"/>
  <c r="C974" i="37"/>
  <c r="A974" i="37"/>
  <c r="C973" i="37"/>
  <c r="A973" i="37"/>
  <c r="C972" i="37"/>
  <c r="A972" i="37"/>
  <c r="C971" i="37"/>
  <c r="A971" i="37"/>
  <c r="C970" i="37"/>
  <c r="A970" i="37"/>
  <c r="C969" i="37"/>
  <c r="A969" i="37"/>
  <c r="C968" i="37"/>
  <c r="A968" i="37"/>
  <c r="C967" i="37"/>
  <c r="A967" i="37"/>
  <c r="C966" i="37"/>
  <c r="A966" i="37"/>
  <c r="C965" i="37"/>
  <c r="A965" i="37"/>
  <c r="C964" i="37"/>
  <c r="A964" i="37"/>
  <c r="C963" i="37"/>
  <c r="A963" i="37"/>
  <c r="C962" i="37"/>
  <c r="A962" i="37"/>
  <c r="C961" i="37"/>
  <c r="A961" i="37"/>
  <c r="C960" i="37"/>
  <c r="A960" i="37"/>
  <c r="C959" i="37"/>
  <c r="A959" i="37"/>
  <c r="C958" i="37"/>
  <c r="A958" i="37"/>
  <c r="C957" i="37"/>
  <c r="A957" i="37"/>
  <c r="C956" i="37"/>
  <c r="C955" i="37"/>
  <c r="A955" i="37"/>
  <c r="C954" i="37"/>
  <c r="C953" i="37"/>
  <c r="A953" i="37"/>
  <c r="C952" i="37"/>
  <c r="A952" i="37"/>
  <c r="C951" i="37"/>
  <c r="A951" i="37"/>
  <c r="C950" i="37"/>
  <c r="A950" i="37"/>
  <c r="C949" i="37"/>
  <c r="A949" i="37"/>
  <c r="C948" i="37"/>
  <c r="A948" i="37"/>
  <c r="C947" i="37"/>
  <c r="A947" i="37"/>
  <c r="C946" i="37"/>
  <c r="A946" i="37"/>
  <c r="C945" i="37"/>
  <c r="A945" i="37"/>
  <c r="C944" i="37"/>
  <c r="A944" i="37"/>
  <c r="C943" i="37"/>
  <c r="A943" i="37"/>
  <c r="C942" i="37"/>
  <c r="A942" i="37"/>
  <c r="C941" i="37"/>
  <c r="A941" i="37"/>
  <c r="C940" i="37"/>
  <c r="C939" i="37"/>
  <c r="C938" i="37"/>
  <c r="A938" i="37"/>
  <c r="C937" i="37"/>
  <c r="A937" i="37"/>
  <c r="C936" i="37"/>
  <c r="A936" i="37"/>
  <c r="C935" i="37"/>
  <c r="A935" i="37"/>
  <c r="C934" i="37"/>
  <c r="A934" i="37"/>
  <c r="C933" i="37"/>
  <c r="A933" i="37"/>
  <c r="C932" i="37"/>
  <c r="A932" i="37"/>
  <c r="C931" i="37"/>
  <c r="A931" i="37"/>
  <c r="C930" i="37"/>
  <c r="A930" i="37"/>
  <c r="C929" i="37"/>
  <c r="A929" i="37"/>
  <c r="C928" i="37"/>
  <c r="A928" i="37"/>
  <c r="C927" i="37"/>
  <c r="A927" i="37"/>
  <c r="C926" i="37"/>
  <c r="A926" i="37"/>
  <c r="C925" i="37"/>
  <c r="A925" i="37"/>
  <c r="C924" i="37"/>
  <c r="A924" i="37"/>
  <c r="C923" i="37"/>
  <c r="A923" i="37"/>
  <c r="C922" i="37"/>
  <c r="A922" i="37"/>
  <c r="C921" i="37"/>
  <c r="A921" i="37"/>
  <c r="C920" i="37"/>
  <c r="A920" i="37"/>
  <c r="C919" i="37"/>
  <c r="A919" i="37"/>
  <c r="C918" i="37"/>
  <c r="A918" i="37"/>
  <c r="C917" i="37"/>
  <c r="A917" i="37"/>
  <c r="C916" i="37"/>
  <c r="A916" i="37"/>
  <c r="C915" i="37"/>
  <c r="A915" i="37"/>
  <c r="C914" i="37"/>
  <c r="A914" i="37"/>
  <c r="C913" i="37"/>
  <c r="A913" i="37"/>
  <c r="C912" i="37"/>
  <c r="A912" i="37"/>
  <c r="C911" i="37"/>
  <c r="A911" i="37"/>
  <c r="C910" i="37"/>
  <c r="A910" i="37"/>
  <c r="C909" i="37"/>
  <c r="A909" i="37"/>
  <c r="C908" i="37"/>
  <c r="A908" i="37"/>
  <c r="C907" i="37"/>
  <c r="A907" i="37"/>
  <c r="C906" i="37"/>
  <c r="A906" i="37"/>
  <c r="C905" i="37"/>
  <c r="A905" i="37"/>
  <c r="C904" i="37"/>
  <c r="C903" i="37"/>
  <c r="C902" i="37"/>
  <c r="C901" i="37"/>
  <c r="C900" i="37"/>
  <c r="A900" i="37"/>
  <c r="C899" i="37"/>
  <c r="A899" i="37"/>
  <c r="C898" i="37"/>
  <c r="A898" i="37"/>
  <c r="C897" i="37"/>
  <c r="A897" i="37"/>
  <c r="C896" i="37"/>
  <c r="A896" i="37"/>
  <c r="C895" i="37"/>
  <c r="A895" i="37"/>
  <c r="C894" i="37"/>
  <c r="A894" i="37"/>
  <c r="C893" i="37"/>
  <c r="A893" i="37"/>
  <c r="C892" i="37"/>
  <c r="A892" i="37"/>
  <c r="C891" i="37"/>
  <c r="A891" i="37"/>
  <c r="C890" i="37"/>
  <c r="A890" i="37"/>
  <c r="G889" i="37"/>
  <c r="C889" i="37"/>
  <c r="A889" i="37"/>
  <c r="G888" i="37"/>
  <c r="C888" i="37"/>
  <c r="A888" i="37"/>
  <c r="C887" i="37"/>
  <c r="A887" i="37"/>
  <c r="C886" i="37"/>
  <c r="A886" i="37"/>
  <c r="C885" i="37"/>
  <c r="C884" i="37"/>
  <c r="C883" i="37"/>
  <c r="A883" i="37"/>
  <c r="C882" i="37"/>
  <c r="A882" i="37"/>
  <c r="C881" i="37"/>
  <c r="A881" i="37"/>
  <c r="C880" i="37"/>
  <c r="A880" i="37"/>
  <c r="C879" i="37"/>
  <c r="A879" i="37"/>
  <c r="G878" i="37"/>
  <c r="C878" i="37"/>
  <c r="A878" i="37"/>
  <c r="C877" i="37"/>
  <c r="A877" i="37"/>
  <c r="C876" i="37"/>
  <c r="A876" i="37"/>
  <c r="C875" i="37"/>
  <c r="A875" i="37"/>
  <c r="C874" i="37"/>
  <c r="A874" i="37"/>
  <c r="C873" i="37"/>
  <c r="A873" i="37"/>
  <c r="C872" i="37"/>
  <c r="C871" i="37"/>
  <c r="C870" i="37"/>
  <c r="C869" i="37"/>
  <c r="C868" i="37"/>
  <c r="A868" i="37"/>
  <c r="C867" i="37"/>
  <c r="A867" i="37"/>
  <c r="C866" i="37"/>
  <c r="A866" i="37"/>
  <c r="C865" i="37"/>
  <c r="A865" i="37"/>
  <c r="C864" i="37"/>
  <c r="A864" i="37"/>
  <c r="C863" i="37"/>
  <c r="A863" i="37"/>
  <c r="C862" i="37"/>
  <c r="A862" i="37"/>
  <c r="C861" i="37"/>
  <c r="A861" i="37"/>
  <c r="C860" i="37"/>
  <c r="A860" i="37"/>
  <c r="C859" i="37"/>
  <c r="A859" i="37"/>
  <c r="C858" i="37"/>
  <c r="A858" i="37"/>
  <c r="C857" i="37"/>
  <c r="A857" i="37"/>
  <c r="C856" i="37"/>
  <c r="A856" i="37"/>
  <c r="C855" i="37"/>
  <c r="A855" i="37"/>
  <c r="C854" i="37"/>
  <c r="A854" i="37"/>
  <c r="C853" i="37"/>
  <c r="A853" i="37"/>
  <c r="C852" i="37"/>
  <c r="A852" i="37"/>
  <c r="C851" i="37"/>
  <c r="A851" i="37"/>
  <c r="C850" i="37"/>
  <c r="A850" i="37"/>
  <c r="C849" i="37"/>
  <c r="A849" i="37"/>
  <c r="C848" i="37"/>
  <c r="A848" i="37"/>
  <c r="C847" i="37"/>
  <c r="A847" i="37"/>
  <c r="C846" i="37"/>
  <c r="A846" i="37"/>
  <c r="C845" i="37"/>
  <c r="A845" i="37"/>
  <c r="C844" i="37"/>
  <c r="A844" i="37"/>
  <c r="C843" i="37"/>
  <c r="C842" i="37"/>
  <c r="A842" i="37"/>
  <c r="C841" i="37"/>
  <c r="A841" i="37"/>
  <c r="C840" i="37"/>
  <c r="A840" i="37"/>
  <c r="C839" i="37"/>
  <c r="A839" i="37"/>
  <c r="C838" i="37"/>
  <c r="A838" i="37"/>
  <c r="C837" i="37"/>
  <c r="A837" i="37"/>
  <c r="C836" i="37"/>
  <c r="A836" i="37"/>
  <c r="C835" i="37"/>
  <c r="A835" i="37"/>
  <c r="C834" i="37"/>
  <c r="A834" i="37"/>
  <c r="C833" i="37"/>
  <c r="A833" i="37"/>
  <c r="C832" i="37"/>
  <c r="A832" i="37"/>
  <c r="C831" i="37"/>
  <c r="A831" i="37"/>
  <c r="C830" i="37"/>
  <c r="A830" i="37"/>
  <c r="C829" i="37"/>
  <c r="A829" i="37"/>
  <c r="C828" i="37"/>
  <c r="A828" i="37"/>
  <c r="C827" i="37"/>
  <c r="A827" i="37"/>
  <c r="C826" i="37"/>
  <c r="A826" i="37"/>
  <c r="C825" i="37"/>
  <c r="A825" i="37"/>
  <c r="C824" i="37"/>
  <c r="A824" i="37"/>
  <c r="G823" i="37"/>
  <c r="C823" i="37"/>
  <c r="A823" i="37"/>
  <c r="G822" i="37"/>
  <c r="C822" i="37"/>
  <c r="A822" i="37"/>
  <c r="C821" i="37"/>
  <c r="C820" i="37"/>
  <c r="A820" i="37"/>
  <c r="C819" i="37"/>
  <c r="A819" i="37"/>
  <c r="G818" i="37"/>
  <c r="C818" i="37"/>
  <c r="A818" i="37"/>
  <c r="G817" i="37"/>
  <c r="C817" i="37"/>
  <c r="A817" i="37"/>
  <c r="C816" i="37"/>
  <c r="A816" i="37"/>
  <c r="G815" i="37"/>
  <c r="C815" i="37"/>
  <c r="A815" i="37"/>
  <c r="G814" i="37"/>
  <c r="C814" i="37"/>
  <c r="A814" i="37"/>
  <c r="G813" i="37"/>
  <c r="C813" i="37"/>
  <c r="A813" i="37"/>
  <c r="G812" i="37"/>
  <c r="C812" i="37"/>
  <c r="A812" i="37"/>
  <c r="C811" i="37"/>
  <c r="A811" i="37"/>
  <c r="G810" i="37"/>
  <c r="C810" i="37"/>
  <c r="A810" i="37"/>
  <c r="G809" i="37"/>
  <c r="C809" i="37"/>
  <c r="A809" i="37"/>
  <c r="C808" i="37"/>
  <c r="A808" i="37"/>
  <c r="G807" i="37"/>
  <c r="C807" i="37"/>
  <c r="A807" i="37"/>
  <c r="G806" i="37"/>
  <c r="C806" i="37"/>
  <c r="A806" i="37"/>
  <c r="C805" i="37"/>
  <c r="A805" i="37"/>
  <c r="G804" i="37"/>
  <c r="C804" i="37"/>
  <c r="G803" i="37"/>
  <c r="C803" i="37"/>
  <c r="C802" i="37"/>
  <c r="A802" i="37"/>
  <c r="G801" i="37"/>
  <c r="C801" i="37"/>
  <c r="A801" i="37"/>
  <c r="G800" i="37"/>
  <c r="C800" i="37"/>
  <c r="A800" i="37"/>
  <c r="C799" i="37"/>
  <c r="C798" i="37"/>
  <c r="G797" i="37"/>
  <c r="C797" i="37"/>
  <c r="G796" i="37"/>
  <c r="C796" i="37"/>
  <c r="C795" i="37"/>
  <c r="A795" i="37"/>
  <c r="C794" i="37"/>
  <c r="A794" i="37"/>
  <c r="G793" i="37"/>
  <c r="C793" i="37"/>
  <c r="A793" i="37"/>
  <c r="G792" i="37"/>
  <c r="C792" i="37"/>
  <c r="A792" i="37"/>
  <c r="C791" i="37"/>
  <c r="A791" i="37"/>
  <c r="C790" i="37"/>
  <c r="A790" i="37"/>
  <c r="C789" i="37"/>
  <c r="C788" i="37"/>
  <c r="C787" i="37"/>
  <c r="C786" i="37"/>
  <c r="C785" i="37"/>
  <c r="C784" i="37"/>
  <c r="C783" i="37"/>
  <c r="G782" i="37"/>
  <c r="C782" i="37"/>
  <c r="A782" i="37"/>
  <c r="G781" i="37"/>
  <c r="C781" i="37"/>
  <c r="A781" i="37"/>
  <c r="C780" i="37"/>
  <c r="A780" i="37"/>
  <c r="C779" i="37"/>
  <c r="A779" i="37"/>
  <c r="G778" i="37"/>
  <c r="C778" i="37"/>
  <c r="A778" i="37"/>
  <c r="G777" i="37"/>
  <c r="C777" i="37"/>
  <c r="A777" i="37"/>
  <c r="C776" i="37"/>
  <c r="A776" i="37"/>
  <c r="G775" i="37"/>
  <c r="C775" i="37"/>
  <c r="A775" i="37"/>
  <c r="G774" i="37"/>
  <c r="C774" i="37"/>
  <c r="A774" i="37"/>
  <c r="C773" i="37"/>
  <c r="A773" i="37"/>
  <c r="G772" i="37"/>
  <c r="C772" i="37"/>
  <c r="A772" i="37"/>
  <c r="G771" i="37"/>
  <c r="C771" i="37"/>
  <c r="A771" i="37"/>
  <c r="G770" i="37"/>
  <c r="C770" i="37"/>
  <c r="A770" i="37"/>
  <c r="G769" i="37"/>
  <c r="C769" i="37"/>
  <c r="A769" i="37"/>
  <c r="G768" i="37"/>
  <c r="C768" i="37"/>
  <c r="A768" i="37"/>
  <c r="C767" i="37"/>
  <c r="A767" i="37"/>
  <c r="C766" i="37"/>
  <c r="A766" i="37"/>
  <c r="G765" i="37"/>
  <c r="C765" i="37"/>
  <c r="A765" i="37"/>
  <c r="G764" i="37"/>
  <c r="C764" i="37"/>
  <c r="A764" i="37"/>
  <c r="C763" i="37"/>
  <c r="A763" i="37"/>
  <c r="C762" i="37"/>
  <c r="A762" i="37"/>
  <c r="C761" i="37"/>
  <c r="A761" i="37"/>
  <c r="C760" i="37"/>
  <c r="A760" i="37"/>
  <c r="C759" i="37"/>
  <c r="A759" i="37"/>
  <c r="C758" i="37"/>
  <c r="A758" i="37"/>
  <c r="C757" i="37"/>
  <c r="A757" i="37"/>
  <c r="C756" i="37"/>
  <c r="A756" i="37"/>
  <c r="C755" i="37"/>
  <c r="A755" i="37"/>
  <c r="C754" i="37"/>
  <c r="A754" i="37"/>
  <c r="C753" i="37"/>
  <c r="A753" i="37"/>
  <c r="C752" i="37"/>
  <c r="A752" i="37"/>
  <c r="C751" i="37"/>
  <c r="A751" i="37"/>
  <c r="C750" i="37"/>
  <c r="A750" i="37"/>
  <c r="C749" i="37"/>
  <c r="A749" i="37"/>
  <c r="C748" i="37"/>
  <c r="A748" i="37"/>
  <c r="C747" i="37"/>
  <c r="A747" i="37"/>
  <c r="C746" i="37"/>
  <c r="A746" i="37"/>
  <c r="C745" i="37"/>
  <c r="A745" i="37"/>
  <c r="C744" i="37"/>
  <c r="A744" i="37"/>
  <c r="C743" i="37"/>
  <c r="A743" i="37"/>
  <c r="C742" i="37"/>
  <c r="A742" i="37"/>
  <c r="C741" i="37"/>
  <c r="A741" i="37"/>
  <c r="C740" i="37"/>
  <c r="A740" i="37"/>
  <c r="C739" i="37"/>
  <c r="A739" i="37"/>
  <c r="C738" i="37"/>
  <c r="A738" i="37"/>
  <c r="C737" i="37"/>
  <c r="A737" i="37"/>
  <c r="C736" i="37"/>
  <c r="A736" i="37"/>
  <c r="C735" i="37"/>
  <c r="A735" i="37"/>
  <c r="C734" i="37"/>
  <c r="A734" i="37"/>
  <c r="C733" i="37"/>
  <c r="A733" i="37"/>
  <c r="C732" i="37"/>
  <c r="A732" i="37"/>
  <c r="C731" i="37"/>
  <c r="A731" i="37"/>
  <c r="C730" i="37"/>
  <c r="A730" i="37"/>
  <c r="C729" i="37"/>
  <c r="A729" i="37"/>
  <c r="C728" i="37"/>
  <c r="A728" i="37"/>
  <c r="C727" i="37"/>
  <c r="A727" i="37"/>
  <c r="C726" i="37"/>
  <c r="A726" i="37"/>
  <c r="C725" i="37"/>
  <c r="A725" i="37"/>
  <c r="C724" i="37"/>
  <c r="A724" i="37"/>
  <c r="C723" i="37"/>
  <c r="A723" i="37"/>
  <c r="C722" i="37"/>
  <c r="A722" i="37"/>
  <c r="C721" i="37"/>
  <c r="A721" i="37"/>
  <c r="C720" i="37"/>
  <c r="A720" i="37"/>
  <c r="C719" i="37"/>
  <c r="A719" i="37"/>
  <c r="C718" i="37"/>
  <c r="A718" i="37"/>
  <c r="C717" i="37"/>
  <c r="A717" i="37"/>
  <c r="C716" i="37"/>
  <c r="A716" i="37"/>
  <c r="C715" i="37"/>
  <c r="A715" i="37"/>
  <c r="C714" i="37"/>
  <c r="A714" i="37"/>
  <c r="C713" i="37"/>
  <c r="A713" i="37"/>
  <c r="C712" i="37"/>
  <c r="A712" i="37"/>
  <c r="C711" i="37"/>
  <c r="A711" i="37"/>
  <c r="C710" i="37"/>
  <c r="A710" i="37"/>
  <c r="C709" i="37"/>
  <c r="A709" i="37"/>
  <c r="C708" i="37"/>
  <c r="A708" i="37"/>
  <c r="C707" i="37"/>
  <c r="A707" i="37"/>
  <c r="C706" i="37"/>
  <c r="A706" i="37"/>
  <c r="C705" i="37"/>
  <c r="A705" i="37"/>
  <c r="C704" i="37"/>
  <c r="A704" i="37"/>
  <c r="C703" i="37"/>
  <c r="A703" i="37"/>
  <c r="C702" i="37"/>
  <c r="A702" i="37"/>
  <c r="A701" i="37"/>
  <c r="C700" i="37"/>
  <c r="A700" i="37"/>
  <c r="C699" i="37"/>
  <c r="A699" i="37"/>
  <c r="C698" i="37"/>
  <c r="A698" i="37"/>
  <c r="C697" i="37"/>
  <c r="A697" i="37"/>
  <c r="C696" i="37"/>
  <c r="A696" i="37"/>
  <c r="C695" i="37"/>
  <c r="A695" i="37"/>
  <c r="C694" i="37"/>
  <c r="A694" i="37"/>
  <c r="A693" i="37"/>
  <c r="C692" i="37"/>
  <c r="A692" i="37"/>
  <c r="C691" i="37"/>
  <c r="A691" i="37"/>
  <c r="C690" i="37"/>
  <c r="A690" i="37"/>
  <c r="C689" i="37"/>
  <c r="A689" i="37"/>
  <c r="C688" i="37"/>
  <c r="A688" i="37"/>
  <c r="C687" i="37"/>
  <c r="A687" i="37"/>
  <c r="A686" i="37"/>
  <c r="C685" i="37"/>
  <c r="A685" i="37"/>
  <c r="C684" i="37"/>
  <c r="A684" i="37"/>
  <c r="C683" i="37"/>
  <c r="A683" i="37"/>
  <c r="C682" i="37"/>
  <c r="A682" i="37"/>
  <c r="A681" i="37"/>
  <c r="C680" i="37"/>
  <c r="A680" i="37"/>
  <c r="C679" i="37"/>
  <c r="A679" i="37"/>
  <c r="C678" i="37"/>
  <c r="A678" i="37"/>
  <c r="C677" i="37"/>
  <c r="A677" i="37"/>
  <c r="C676" i="37"/>
  <c r="A676" i="37"/>
  <c r="C675" i="37"/>
  <c r="A675" i="37"/>
  <c r="C674" i="37"/>
  <c r="A674" i="37"/>
  <c r="C673" i="37"/>
  <c r="A673" i="37"/>
  <c r="G672" i="37"/>
  <c r="C672" i="37"/>
  <c r="A672" i="37"/>
  <c r="C671" i="37"/>
  <c r="A671" i="37"/>
  <c r="C670" i="37"/>
  <c r="A670" i="37"/>
  <c r="C669" i="37"/>
  <c r="A669" i="37"/>
  <c r="G668" i="37"/>
  <c r="C668" i="37"/>
  <c r="A668" i="37"/>
  <c r="C667" i="37"/>
  <c r="A667" i="37"/>
  <c r="C666" i="37"/>
  <c r="A666" i="37"/>
  <c r="C665" i="37"/>
  <c r="A665" i="37"/>
  <c r="G664" i="37"/>
  <c r="C664" i="37"/>
  <c r="A664" i="37"/>
  <c r="C663" i="37"/>
  <c r="A663" i="37"/>
  <c r="C662" i="37"/>
  <c r="A662" i="37"/>
  <c r="C661" i="37"/>
  <c r="A661" i="37"/>
  <c r="G660" i="37"/>
  <c r="C660" i="37"/>
  <c r="A660" i="37"/>
  <c r="C659" i="37"/>
  <c r="A659" i="37"/>
  <c r="C658" i="37"/>
  <c r="A658" i="37"/>
  <c r="G657" i="37"/>
  <c r="C657" i="37"/>
  <c r="A657" i="37"/>
  <c r="A656" i="37"/>
  <c r="G655" i="37"/>
  <c r="C655" i="37"/>
  <c r="A655" i="37"/>
  <c r="C654" i="37"/>
  <c r="A654" i="37"/>
  <c r="C653" i="37"/>
  <c r="A653" i="37"/>
  <c r="A652" i="37"/>
  <c r="C651" i="37"/>
  <c r="A651" i="37"/>
  <c r="C650" i="37"/>
  <c r="A650" i="37"/>
  <c r="C649" i="37"/>
  <c r="A649" i="37"/>
  <c r="C648" i="37"/>
  <c r="A648" i="37"/>
  <c r="A647" i="37"/>
  <c r="C646" i="37"/>
  <c r="A646" i="37"/>
  <c r="C645" i="37"/>
  <c r="A645" i="37"/>
  <c r="C644" i="37"/>
  <c r="A644" i="37"/>
  <c r="C643" i="37"/>
  <c r="A643" i="37"/>
  <c r="C642" i="37"/>
  <c r="A642" i="37"/>
  <c r="A641" i="37"/>
  <c r="C640" i="37"/>
  <c r="A640" i="37"/>
  <c r="C639" i="37"/>
  <c r="A639" i="37"/>
  <c r="C638" i="37"/>
  <c r="A638" i="37"/>
  <c r="C637" i="37"/>
  <c r="A637" i="37"/>
  <c r="C636" i="37"/>
  <c r="A636" i="37"/>
  <c r="C635" i="37"/>
  <c r="A635" i="37"/>
  <c r="G634" i="37"/>
  <c r="C634" i="37"/>
  <c r="A634" i="37"/>
  <c r="G633" i="37"/>
  <c r="C633" i="37"/>
  <c r="A633" i="37"/>
  <c r="G632" i="37"/>
  <c r="C632" i="37"/>
  <c r="A632" i="37"/>
  <c r="G631" i="37"/>
  <c r="C631" i="37"/>
  <c r="A631" i="37"/>
  <c r="G630" i="37"/>
  <c r="A630" i="37"/>
  <c r="G629" i="37"/>
  <c r="C629" i="37"/>
  <c r="A629" i="37"/>
  <c r="G628" i="37"/>
  <c r="C628" i="37"/>
  <c r="A628" i="37"/>
  <c r="G627" i="37"/>
  <c r="C627" i="37"/>
  <c r="A627" i="37"/>
  <c r="A626" i="37"/>
  <c r="G625" i="37"/>
  <c r="C625" i="37"/>
  <c r="A625" i="37"/>
  <c r="G624" i="37"/>
  <c r="C624" i="37"/>
  <c r="A624" i="37"/>
  <c r="C623" i="37"/>
  <c r="A623" i="37"/>
  <c r="A622" i="37"/>
  <c r="C621" i="37"/>
  <c r="A621" i="37"/>
  <c r="C620" i="37"/>
  <c r="A620" i="37"/>
  <c r="G619" i="37"/>
  <c r="C619" i="37"/>
  <c r="A619" i="37"/>
  <c r="G618" i="37"/>
  <c r="A618" i="37"/>
  <c r="C617" i="37"/>
  <c r="A617" i="37"/>
  <c r="G616" i="37"/>
  <c r="C616" i="37"/>
  <c r="A616" i="37"/>
  <c r="G615" i="37"/>
  <c r="C615" i="37"/>
  <c r="A615" i="37"/>
  <c r="C614" i="37"/>
  <c r="A614" i="37"/>
  <c r="G613" i="37"/>
  <c r="C613" i="37"/>
  <c r="A613" i="37"/>
  <c r="G612" i="37"/>
  <c r="A612" i="37"/>
  <c r="G611" i="37"/>
  <c r="C611" i="37"/>
  <c r="A611" i="37"/>
  <c r="G610" i="37"/>
  <c r="C610" i="37"/>
  <c r="A610" i="37"/>
  <c r="C609" i="37"/>
  <c r="A609" i="37"/>
  <c r="C608" i="37"/>
  <c r="A608" i="37"/>
  <c r="G607" i="37"/>
  <c r="C607" i="37"/>
  <c r="A607" i="37"/>
  <c r="G606" i="37"/>
  <c r="C606" i="37"/>
  <c r="A606" i="37"/>
  <c r="C605" i="37"/>
  <c r="A605" i="37"/>
  <c r="C604" i="37"/>
  <c r="A604" i="37"/>
  <c r="G603" i="37"/>
  <c r="C603" i="37"/>
  <c r="A603" i="37"/>
  <c r="G602" i="37"/>
  <c r="C602" i="37"/>
  <c r="A602" i="37"/>
  <c r="C601" i="37"/>
  <c r="A601" i="37"/>
  <c r="G599" i="37"/>
  <c r="C599" i="37"/>
  <c r="A599" i="37"/>
  <c r="G598" i="37"/>
  <c r="C598" i="37"/>
  <c r="A598" i="37"/>
  <c r="G597" i="37"/>
  <c r="C597" i="37"/>
  <c r="A597" i="37"/>
  <c r="G596" i="37"/>
  <c r="C596" i="37"/>
  <c r="A596" i="37"/>
  <c r="G595" i="37"/>
  <c r="C595" i="37"/>
  <c r="A595" i="37"/>
  <c r="G594" i="37"/>
  <c r="C594" i="37"/>
  <c r="A594" i="37"/>
  <c r="C593" i="37"/>
  <c r="A593" i="37"/>
  <c r="A592" i="37"/>
  <c r="C591" i="37"/>
  <c r="A591" i="37"/>
  <c r="C590" i="37"/>
  <c r="A590" i="37"/>
  <c r="C589" i="37"/>
  <c r="A589" i="37"/>
  <c r="A588" i="37"/>
  <c r="C587" i="37"/>
  <c r="A587" i="37"/>
  <c r="C586" i="37"/>
  <c r="A586" i="37"/>
  <c r="C585" i="37"/>
  <c r="A585" i="37"/>
  <c r="C584" i="37"/>
  <c r="A584" i="37"/>
  <c r="A583" i="37"/>
  <c r="C582" i="37"/>
  <c r="A582" i="37"/>
  <c r="C581" i="37"/>
  <c r="A581" i="37"/>
  <c r="C580" i="37"/>
  <c r="A580" i="37"/>
  <c r="C579" i="37"/>
  <c r="A579" i="37"/>
  <c r="C578" i="37"/>
  <c r="A578" i="37"/>
  <c r="G577" i="37"/>
  <c r="A577" i="37"/>
  <c r="G576" i="37"/>
  <c r="C576" i="37"/>
  <c r="A576" i="37"/>
  <c r="C575" i="37"/>
  <c r="A575" i="37"/>
  <c r="C574" i="37"/>
  <c r="A574" i="37"/>
  <c r="G573" i="37"/>
  <c r="C573" i="37"/>
  <c r="A573" i="37"/>
  <c r="G572" i="37"/>
  <c r="C572" i="37"/>
  <c r="A572" i="37"/>
  <c r="G571" i="37"/>
  <c r="C571" i="37"/>
  <c r="A571" i="37"/>
  <c r="G570" i="37"/>
  <c r="C570" i="37"/>
  <c r="A570" i="37"/>
  <c r="C569" i="37"/>
  <c r="A569" i="37"/>
  <c r="G568" i="37"/>
  <c r="C568" i="37"/>
  <c r="A568" i="37"/>
  <c r="G567" i="37"/>
  <c r="C567" i="37"/>
  <c r="A567" i="37"/>
  <c r="G566" i="37"/>
  <c r="C566" i="37"/>
  <c r="A566" i="37"/>
  <c r="G565" i="37"/>
  <c r="C565" i="37"/>
  <c r="A565" i="37"/>
  <c r="G564" i="37"/>
  <c r="A564" i="37"/>
  <c r="G563" i="37"/>
  <c r="C563" i="37"/>
  <c r="A563" i="37"/>
  <c r="G562" i="37"/>
  <c r="C562" i="37"/>
  <c r="A562" i="37"/>
  <c r="G561" i="37"/>
  <c r="C561" i="37"/>
  <c r="A561" i="37"/>
  <c r="G560" i="37"/>
  <c r="C560" i="37"/>
  <c r="A560" i="37"/>
  <c r="G559" i="37"/>
  <c r="C559" i="37"/>
  <c r="A559" i="37"/>
  <c r="G558" i="37"/>
  <c r="C558" i="37"/>
  <c r="A558" i="37"/>
  <c r="G557" i="37"/>
  <c r="C557" i="37"/>
  <c r="A557" i="37"/>
  <c r="G556" i="37"/>
  <c r="C556" i="37"/>
  <c r="A556" i="37"/>
  <c r="G555" i="37"/>
  <c r="C555" i="37"/>
  <c r="A555" i="37"/>
  <c r="G554" i="37"/>
  <c r="A554" i="37"/>
  <c r="G553" i="37"/>
  <c r="C553" i="37"/>
  <c r="A553" i="37"/>
  <c r="G552" i="37"/>
  <c r="C552" i="37"/>
  <c r="A552" i="37"/>
  <c r="G551" i="37"/>
  <c r="C551" i="37"/>
  <c r="A551" i="37"/>
  <c r="G550" i="37"/>
  <c r="A550" i="37"/>
  <c r="G549" i="37"/>
  <c r="C549" i="37"/>
  <c r="A549" i="37"/>
  <c r="G548" i="37"/>
  <c r="C548" i="37"/>
  <c r="A548" i="37"/>
  <c r="G547" i="37"/>
  <c r="C547" i="37"/>
  <c r="A547" i="37"/>
  <c r="G546" i="37"/>
  <c r="A546" i="37"/>
  <c r="G545" i="37"/>
  <c r="C545" i="37"/>
  <c r="A545" i="37"/>
  <c r="G544" i="37"/>
  <c r="C544" i="37"/>
  <c r="A544" i="37"/>
  <c r="G543" i="37"/>
  <c r="C543" i="37"/>
  <c r="A543" i="37"/>
  <c r="G542" i="37"/>
  <c r="A542" i="37"/>
  <c r="G541" i="37"/>
  <c r="C541" i="37"/>
  <c r="A541" i="37"/>
  <c r="G540" i="37"/>
  <c r="C540" i="37"/>
  <c r="A540" i="37"/>
  <c r="G539" i="37"/>
  <c r="C539" i="37"/>
  <c r="A539" i="37"/>
  <c r="G538" i="37"/>
  <c r="A538" i="37"/>
  <c r="G537" i="37"/>
  <c r="C537" i="37"/>
  <c r="A537" i="37"/>
  <c r="G536" i="37"/>
  <c r="C536" i="37"/>
  <c r="A536" i="37"/>
  <c r="C535" i="37"/>
  <c r="A535" i="37"/>
  <c r="G534" i="37"/>
  <c r="A534" i="37"/>
  <c r="G533" i="37"/>
  <c r="C533" i="37"/>
  <c r="A533" i="37"/>
  <c r="C532" i="37"/>
  <c r="C531" i="37"/>
  <c r="A531" i="37"/>
  <c r="G530" i="37"/>
  <c r="C530" i="37"/>
  <c r="A530" i="37"/>
  <c r="G529" i="37"/>
  <c r="A529" i="37"/>
  <c r="G528" i="37"/>
  <c r="C528" i="37"/>
  <c r="A528" i="37"/>
  <c r="G527" i="37"/>
  <c r="C527" i="37"/>
  <c r="A527" i="37"/>
  <c r="G526" i="37"/>
  <c r="C526" i="37"/>
  <c r="A526" i="37"/>
  <c r="G525" i="37"/>
  <c r="C525" i="37"/>
  <c r="A525" i="37"/>
  <c r="G524" i="37"/>
  <c r="C524" i="37"/>
  <c r="A524" i="37"/>
  <c r="G523" i="37"/>
  <c r="A523" i="37"/>
  <c r="C522" i="37"/>
  <c r="A522" i="37"/>
  <c r="G521" i="37"/>
  <c r="C521" i="37"/>
  <c r="A521" i="37"/>
  <c r="C520" i="37"/>
  <c r="C519" i="37"/>
  <c r="C518" i="37"/>
  <c r="G517" i="37"/>
  <c r="C517" i="37"/>
  <c r="A517" i="37"/>
  <c r="G516" i="37"/>
  <c r="C516" i="37"/>
  <c r="A516" i="37"/>
  <c r="G515" i="37"/>
  <c r="C515" i="37"/>
  <c r="A515" i="37"/>
  <c r="G514" i="37"/>
  <c r="C514" i="37"/>
  <c r="A514" i="37"/>
  <c r="G513" i="37"/>
  <c r="C513" i="37"/>
  <c r="A513" i="37"/>
  <c r="G512" i="37"/>
  <c r="C512" i="37"/>
  <c r="A512" i="37"/>
  <c r="G511" i="37"/>
  <c r="C511" i="37"/>
  <c r="A511" i="37"/>
  <c r="G510" i="37"/>
  <c r="C510" i="37"/>
  <c r="A510" i="37"/>
  <c r="C509" i="37"/>
  <c r="A509" i="37"/>
  <c r="C508" i="37"/>
  <c r="A508" i="37"/>
  <c r="C507" i="37"/>
  <c r="A507" i="37"/>
  <c r="C506" i="37"/>
  <c r="A506" i="37"/>
  <c r="C505" i="37"/>
  <c r="A505" i="37"/>
  <c r="C504" i="37"/>
  <c r="A504" i="37"/>
  <c r="C503" i="37"/>
  <c r="A503" i="37"/>
  <c r="C502" i="37"/>
  <c r="A502" i="37"/>
  <c r="C501" i="37"/>
  <c r="A501" i="37"/>
  <c r="C500" i="37"/>
  <c r="A500" i="37"/>
  <c r="C499" i="37"/>
  <c r="A499" i="37"/>
  <c r="C498" i="37"/>
  <c r="A498" i="37"/>
  <c r="C497" i="37"/>
  <c r="A497" i="37"/>
  <c r="C496" i="37"/>
  <c r="A496" i="37"/>
  <c r="C495" i="37"/>
  <c r="A495" i="37"/>
  <c r="C494" i="37"/>
  <c r="A494" i="37"/>
  <c r="C493" i="37"/>
  <c r="A493" i="37"/>
  <c r="C492" i="37"/>
  <c r="A492" i="37"/>
  <c r="C491" i="37"/>
  <c r="A491" i="37"/>
  <c r="C490" i="37"/>
  <c r="A490" i="37"/>
  <c r="C489" i="37"/>
  <c r="A489" i="37"/>
  <c r="C488" i="37"/>
  <c r="A488" i="37"/>
  <c r="C487" i="37"/>
  <c r="A487" i="37"/>
  <c r="G486" i="37"/>
  <c r="C486" i="37"/>
  <c r="A486" i="37"/>
  <c r="C485" i="37"/>
  <c r="A485" i="37"/>
  <c r="C484" i="37"/>
  <c r="A484" i="37"/>
  <c r="C483" i="37"/>
  <c r="A483" i="37"/>
  <c r="C482" i="37"/>
  <c r="A482" i="37"/>
  <c r="C481" i="37"/>
  <c r="A481" i="37"/>
  <c r="C480" i="37"/>
  <c r="A480" i="37"/>
  <c r="C479" i="37"/>
  <c r="A479" i="37"/>
  <c r="C478" i="37"/>
  <c r="A478" i="37"/>
  <c r="C477" i="37"/>
  <c r="A477" i="37"/>
  <c r="C476" i="37"/>
  <c r="A476" i="37"/>
  <c r="C475" i="37"/>
  <c r="A475" i="37"/>
  <c r="C474" i="37"/>
  <c r="A474" i="37"/>
  <c r="C473" i="37"/>
  <c r="A473" i="37"/>
  <c r="C472" i="37"/>
  <c r="A472" i="37"/>
  <c r="C471" i="37"/>
  <c r="A471" i="37"/>
  <c r="C470" i="37"/>
  <c r="A470" i="37"/>
  <c r="C469" i="37"/>
  <c r="A469" i="37"/>
  <c r="C468" i="37"/>
  <c r="A468" i="37"/>
  <c r="C467" i="37"/>
  <c r="A467" i="37"/>
  <c r="C466" i="37"/>
  <c r="A466" i="37"/>
  <c r="C465" i="37"/>
  <c r="A465" i="37"/>
  <c r="C464" i="37"/>
  <c r="A464" i="37"/>
  <c r="C463" i="37"/>
  <c r="A463" i="37"/>
  <c r="C462" i="37"/>
  <c r="A462" i="37"/>
  <c r="C461" i="37"/>
  <c r="A461" i="37"/>
  <c r="C460" i="37"/>
  <c r="A460" i="37"/>
  <c r="C459" i="37"/>
  <c r="A459" i="37"/>
  <c r="C458" i="37"/>
  <c r="A458" i="37"/>
  <c r="C457" i="37"/>
  <c r="A457" i="37"/>
  <c r="C456" i="37"/>
  <c r="A456" i="37"/>
  <c r="C455" i="37"/>
  <c r="A455" i="37"/>
  <c r="C454" i="37"/>
  <c r="A454" i="37"/>
  <c r="C453" i="37"/>
  <c r="A453" i="37"/>
  <c r="C452" i="37"/>
  <c r="A452" i="37"/>
  <c r="C451" i="37"/>
  <c r="A451" i="37"/>
  <c r="C450" i="37"/>
  <c r="A450" i="37"/>
  <c r="C449" i="37"/>
  <c r="A449" i="37"/>
  <c r="C448" i="37"/>
  <c r="A448" i="37"/>
  <c r="C447" i="37"/>
  <c r="A447" i="37"/>
  <c r="C446" i="37"/>
  <c r="A446" i="37"/>
  <c r="C445" i="37"/>
  <c r="A445" i="37"/>
  <c r="C444" i="37"/>
  <c r="A444" i="37"/>
  <c r="C443" i="37"/>
  <c r="A443" i="37"/>
  <c r="C442" i="37"/>
  <c r="A442" i="37"/>
  <c r="C441" i="37"/>
  <c r="A441" i="37"/>
  <c r="C440" i="37"/>
  <c r="A440" i="37"/>
  <c r="C439" i="37"/>
  <c r="A439" i="37"/>
  <c r="C438" i="37"/>
  <c r="A438" i="37"/>
  <c r="C437" i="37"/>
  <c r="A437" i="37"/>
  <c r="C436" i="37"/>
  <c r="A436" i="37"/>
  <c r="C435" i="37"/>
  <c r="A435" i="37"/>
  <c r="C434" i="37"/>
  <c r="A434" i="37"/>
  <c r="C433" i="37"/>
  <c r="A433" i="37"/>
  <c r="C432" i="37"/>
  <c r="A432" i="37"/>
  <c r="C431" i="37"/>
  <c r="A431" i="37"/>
  <c r="C430" i="37"/>
  <c r="A430" i="37"/>
  <c r="C429" i="37"/>
  <c r="A429" i="37"/>
  <c r="C428" i="37"/>
  <c r="A428" i="37"/>
  <c r="C427" i="37"/>
  <c r="A427" i="37"/>
  <c r="C426" i="37"/>
  <c r="A426" i="37"/>
  <c r="C425" i="37"/>
  <c r="A425" i="37"/>
  <c r="C424" i="37"/>
  <c r="C423" i="37"/>
  <c r="A423" i="37"/>
  <c r="C422" i="37"/>
  <c r="A422" i="37"/>
  <c r="C421" i="37"/>
  <c r="A421" i="37"/>
  <c r="C420" i="37"/>
  <c r="A420" i="37"/>
  <c r="C419" i="37"/>
  <c r="A419" i="37"/>
  <c r="C418" i="37"/>
  <c r="A418" i="37"/>
  <c r="C417" i="37"/>
  <c r="A417" i="37"/>
  <c r="C416" i="37"/>
  <c r="A416" i="37"/>
  <c r="C415" i="37"/>
  <c r="C414" i="37"/>
  <c r="A414" i="37"/>
  <c r="C413" i="37"/>
  <c r="A413" i="37"/>
  <c r="C412" i="37"/>
  <c r="A412" i="37"/>
  <c r="C411" i="37"/>
  <c r="C410" i="37"/>
  <c r="A410" i="37"/>
  <c r="C409" i="37"/>
  <c r="A409" i="37"/>
  <c r="C408" i="37"/>
  <c r="A408" i="37"/>
  <c r="C407" i="37"/>
  <c r="A407" i="37"/>
  <c r="C406" i="37"/>
  <c r="A406" i="37"/>
  <c r="C405" i="37"/>
  <c r="A405" i="37"/>
  <c r="C404" i="37"/>
  <c r="A404" i="37"/>
  <c r="C403" i="37"/>
  <c r="A403" i="37"/>
  <c r="A398" i="37"/>
  <c r="A397" i="37"/>
  <c r="A395" i="37"/>
  <c r="A391" i="37"/>
  <c r="G390" i="37"/>
  <c r="A390" i="37"/>
  <c r="A389" i="37"/>
  <c r="G387" i="37"/>
  <c r="A387" i="37"/>
  <c r="A385" i="37"/>
  <c r="A384" i="37"/>
  <c r="G383" i="37"/>
  <c r="A383" i="37"/>
  <c r="A381" i="37"/>
  <c r="A380" i="37"/>
  <c r="A379" i="37"/>
  <c r="A377" i="37"/>
  <c r="A376" i="37"/>
  <c r="A373" i="37"/>
  <c r="A371" i="37"/>
  <c r="A369" i="37"/>
  <c r="A367" i="37"/>
  <c r="A366" i="37"/>
  <c r="A365" i="37"/>
  <c r="G362" i="37"/>
  <c r="A362" i="37"/>
  <c r="A360" i="37"/>
  <c r="A359" i="37"/>
  <c r="A355" i="37"/>
  <c r="A354" i="37"/>
  <c r="A353" i="37"/>
  <c r="A351" i="37"/>
  <c r="A350" i="37"/>
  <c r="A348" i="37"/>
  <c r="A347" i="37"/>
  <c r="A345" i="37"/>
  <c r="A341" i="37"/>
  <c r="A336" i="37"/>
  <c r="A335" i="37"/>
  <c r="A333" i="37"/>
  <c r="A332" i="37"/>
  <c r="A329" i="37"/>
  <c r="A327" i="37"/>
  <c r="A326" i="37"/>
  <c r="A324" i="37"/>
  <c r="A321" i="37"/>
  <c r="A320" i="37"/>
  <c r="A319" i="37"/>
  <c r="A317" i="37"/>
  <c r="A315" i="37"/>
  <c r="A313" i="37"/>
  <c r="A311" i="37"/>
  <c r="A309" i="37"/>
  <c r="G308" i="37"/>
  <c r="A308" i="37"/>
  <c r="A307" i="37"/>
  <c r="A306" i="37"/>
  <c r="A304" i="37"/>
  <c r="A303" i="37"/>
  <c r="A301" i="37"/>
  <c r="A300" i="37"/>
  <c r="A298" i="37"/>
  <c r="A296" i="37"/>
  <c r="G295" i="37"/>
  <c r="A294" i="37"/>
  <c r="A293" i="37"/>
  <c r="G292" i="37"/>
  <c r="A291" i="37"/>
  <c r="A289" i="37"/>
  <c r="A288" i="37"/>
  <c r="A286" i="37"/>
  <c r="A285" i="37"/>
  <c r="A284" i="37"/>
  <c r="A281" i="37"/>
  <c r="A278" i="37"/>
  <c r="A276" i="37"/>
  <c r="A275" i="37"/>
  <c r="A274" i="37"/>
  <c r="A272" i="37"/>
  <c r="A269" i="37"/>
  <c r="A268" i="37"/>
  <c r="A267" i="37"/>
  <c r="A266" i="37"/>
  <c r="A264" i="37"/>
  <c r="A263" i="37"/>
  <c r="A261" i="37"/>
  <c r="A214" i="37"/>
  <c r="A213" i="37"/>
  <c r="A212" i="37"/>
  <c r="A210" i="37"/>
  <c r="A209" i="37"/>
  <c r="A208" i="37"/>
  <c r="A206" i="37"/>
  <c r="A205" i="37"/>
  <c r="A204" i="37"/>
  <c r="A202" i="37"/>
  <c r="A201" i="37"/>
  <c r="A200" i="37"/>
  <c r="A197" i="37"/>
  <c r="A196" i="37"/>
  <c r="A194" i="37"/>
  <c r="A193" i="37"/>
  <c r="A191" i="37"/>
  <c r="A190" i="37"/>
  <c r="A188" i="37"/>
  <c r="A187" i="37"/>
  <c r="A184" i="37"/>
  <c r="A182" i="37"/>
  <c r="A179" i="37"/>
  <c r="G178" i="37"/>
  <c r="A178" i="37"/>
  <c r="A176" i="37"/>
  <c r="G175" i="37"/>
  <c r="A175" i="37"/>
  <c r="A174" i="37"/>
  <c r="A172" i="37"/>
  <c r="A171" i="37"/>
  <c r="A170" i="37"/>
  <c r="A167" i="37"/>
  <c r="A166" i="37"/>
  <c r="A164" i="37"/>
  <c r="G163" i="37"/>
  <c r="A163" i="37"/>
  <c r="G162" i="37"/>
  <c r="A162" i="37"/>
  <c r="A160" i="37"/>
  <c r="A159" i="37"/>
  <c r="A150" i="37"/>
  <c r="A149" i="37"/>
  <c r="A148" i="37"/>
  <c r="A146" i="37"/>
  <c r="A144" i="37"/>
  <c r="A143" i="37"/>
  <c r="G142" i="37"/>
  <c r="G141" i="37"/>
  <c r="G140" i="37"/>
  <c r="A140" i="37"/>
  <c r="G139" i="37"/>
  <c r="A139" i="37"/>
  <c r="G138" i="37"/>
  <c r="G136" i="37"/>
  <c r="A136" i="37"/>
  <c r="G135" i="37"/>
  <c r="A135" i="37"/>
  <c r="A134" i="37"/>
  <c r="G133" i="37"/>
  <c r="A133" i="37"/>
  <c r="G132" i="37"/>
  <c r="A132" i="37"/>
  <c r="G131" i="37"/>
  <c r="G130" i="37"/>
  <c r="G129" i="37"/>
  <c r="A129" i="37"/>
  <c r="G128" i="37"/>
  <c r="A128" i="37"/>
  <c r="G127" i="37"/>
  <c r="A127" i="37"/>
  <c r="G126" i="37"/>
  <c r="A125" i="37"/>
  <c r="G124" i="37"/>
  <c r="A124" i="37"/>
  <c r="G123" i="37"/>
  <c r="A123" i="37"/>
  <c r="G122" i="37"/>
  <c r="G121" i="37"/>
  <c r="A121" i="37"/>
  <c r="G120" i="37"/>
  <c r="A120" i="37"/>
  <c r="G119" i="37"/>
  <c r="G118" i="37"/>
  <c r="A118" i="37"/>
  <c r="A116" i="37"/>
  <c r="A114" i="37"/>
  <c r="A113" i="37"/>
  <c r="A112" i="37"/>
  <c r="A111" i="37"/>
  <c r="G109" i="37"/>
  <c r="A109" i="37"/>
  <c r="G107" i="37"/>
  <c r="A107" i="37"/>
  <c r="G106" i="37"/>
  <c r="E1147" i="37"/>
  <c r="E2" i="37" s="1"/>
  <c r="G105" i="37"/>
  <c r="A105" i="37"/>
  <c r="G103" i="37"/>
  <c r="A103" i="37"/>
  <c r="G102" i="37"/>
  <c r="G101" i="37"/>
  <c r="A101" i="37"/>
  <c r="G100" i="37"/>
  <c r="A100" i="37"/>
  <c r="G99" i="37"/>
  <c r="A99" i="37"/>
  <c r="G98" i="37"/>
  <c r="A98" i="37"/>
  <c r="G97" i="37"/>
  <c r="A97" i="37"/>
  <c r="G96" i="37"/>
  <c r="A96" i="37"/>
  <c r="G95" i="37"/>
  <c r="A95" i="37"/>
  <c r="G94" i="37"/>
  <c r="A94" i="37"/>
  <c r="G93" i="37"/>
  <c r="A93" i="37"/>
  <c r="G92" i="37"/>
  <c r="A92" i="37"/>
  <c r="G91" i="37"/>
  <c r="G90" i="37"/>
  <c r="A90" i="37"/>
  <c r="G89" i="37"/>
  <c r="A89" i="37"/>
  <c r="G88" i="37"/>
  <c r="A88" i="37"/>
  <c r="G87" i="37"/>
  <c r="A87" i="37"/>
  <c r="G86" i="37"/>
  <c r="A86" i="37"/>
  <c r="G85" i="37"/>
  <c r="A85" i="37"/>
  <c r="G84" i="37"/>
  <c r="A84" i="37"/>
  <c r="G83" i="37"/>
  <c r="A83" i="37"/>
  <c r="G82" i="37"/>
  <c r="A82" i="37"/>
  <c r="G81" i="37"/>
  <c r="G80" i="37"/>
  <c r="A80" i="37"/>
  <c r="G79" i="37"/>
  <c r="A79" i="37"/>
  <c r="G76" i="37"/>
  <c r="A76" i="37"/>
  <c r="G75" i="37"/>
  <c r="A75" i="37"/>
  <c r="G74" i="37"/>
  <c r="A74" i="37"/>
  <c r="A73" i="37"/>
  <c r="G72" i="37"/>
  <c r="A72" i="37"/>
  <c r="G71" i="37"/>
  <c r="G70" i="37"/>
  <c r="A70" i="37"/>
  <c r="G69" i="37"/>
  <c r="A69" i="37"/>
  <c r="G68" i="37"/>
  <c r="A68" i="37"/>
  <c r="G67" i="37"/>
  <c r="A67" i="37"/>
  <c r="G66" i="37"/>
  <c r="A66" i="37"/>
  <c r="G65" i="37"/>
  <c r="A65" i="37"/>
  <c r="G64" i="37"/>
  <c r="A64" i="37"/>
  <c r="G63" i="37"/>
  <c r="G62" i="37"/>
  <c r="A62" i="37"/>
  <c r="G61" i="37"/>
  <c r="A61" i="37"/>
  <c r="G60" i="37"/>
  <c r="A60" i="37"/>
  <c r="G59" i="37"/>
  <c r="G58" i="37"/>
  <c r="A58" i="37"/>
  <c r="G57" i="37"/>
  <c r="A57" i="37"/>
  <c r="G56" i="37"/>
  <c r="A56" i="37"/>
  <c r="G55" i="37"/>
  <c r="G54" i="37"/>
  <c r="A54" i="37"/>
  <c r="G53" i="37"/>
  <c r="A53" i="37"/>
  <c r="G52" i="37"/>
  <c r="A52" i="37"/>
  <c r="G51" i="37"/>
  <c r="G50" i="37"/>
  <c r="A50" i="37"/>
  <c r="G49" i="37"/>
  <c r="A49" i="37"/>
  <c r="G48" i="37"/>
  <c r="A48" i="37"/>
  <c r="G47" i="37"/>
  <c r="G46" i="37"/>
  <c r="A46" i="37"/>
  <c r="G45" i="37"/>
  <c r="A45" i="37"/>
  <c r="G44" i="37"/>
  <c r="A44" i="37"/>
  <c r="G43" i="37"/>
  <c r="G42" i="37"/>
  <c r="A42" i="37"/>
  <c r="G41" i="37"/>
  <c r="A41" i="37"/>
  <c r="G40" i="37"/>
  <c r="A40" i="37"/>
  <c r="G39" i="37"/>
  <c r="G38" i="37"/>
  <c r="A38" i="37"/>
  <c r="G37" i="37"/>
  <c r="A37" i="37"/>
  <c r="G36" i="37"/>
  <c r="A36" i="37"/>
  <c r="G35" i="37"/>
  <c r="G34" i="37"/>
  <c r="A34" i="37"/>
  <c r="G33" i="37"/>
  <c r="A33" i="37"/>
  <c r="G32" i="37"/>
  <c r="A32" i="37"/>
  <c r="G31" i="37"/>
  <c r="A31" i="37"/>
  <c r="G30" i="37"/>
  <c r="A30" i="37"/>
  <c r="G29" i="37"/>
  <c r="A29" i="37"/>
  <c r="G28" i="37"/>
  <c r="A28" i="37"/>
  <c r="G27" i="37"/>
  <c r="A27" i="37"/>
  <c r="G26" i="37"/>
  <c r="A26" i="37"/>
  <c r="G25" i="37"/>
  <c r="A25" i="37"/>
  <c r="G24" i="37"/>
  <c r="A24" i="37"/>
  <c r="G23" i="37"/>
  <c r="G22" i="37"/>
  <c r="A22" i="37"/>
  <c r="G21" i="37"/>
  <c r="A21" i="37"/>
  <c r="G20" i="37"/>
  <c r="A20" i="37"/>
  <c r="G19" i="37"/>
  <c r="A19" i="37"/>
  <c r="G18" i="37"/>
  <c r="A18" i="37"/>
  <c r="G17" i="37"/>
  <c r="A17" i="37"/>
  <c r="G16" i="37"/>
  <c r="A16" i="37"/>
  <c r="G15" i="37"/>
  <c r="G14" i="37"/>
  <c r="A14" i="37"/>
  <c r="J13" i="37"/>
  <c r="G13" i="37"/>
  <c r="A13" i="37"/>
  <c r="G12" i="37"/>
  <c r="A12" i="37"/>
  <c r="G11" i="37"/>
  <c r="G10" i="37"/>
  <c r="A10" i="37"/>
  <c r="G9" i="37"/>
  <c r="A9" i="37"/>
  <c r="G8" i="37"/>
  <c r="A8" i="37"/>
  <c r="G7" i="37"/>
  <c r="A1" i="37"/>
  <c r="R6" i="19"/>
  <c r="S6" i="19" s="1"/>
  <c r="H42" i="3" s="1"/>
  <c r="R4" i="19"/>
  <c r="R7" i="19" l="1"/>
  <c r="A11" i="37"/>
  <c r="D1147" i="37"/>
  <c r="D2" i="37" s="1"/>
  <c r="F2" i="37" s="1"/>
  <c r="A115" i="37"/>
  <c r="S7" i="19" l="1"/>
  <c r="U4" i="19" s="1"/>
  <c r="T4" i="19"/>
  <c r="T7" i="19" s="1"/>
  <c r="U7" i="19" s="1"/>
  <c r="A15" i="37"/>
  <c r="A130" i="37"/>
  <c r="A138" i="37"/>
  <c r="K159" i="10"/>
  <c r="V28" i="3"/>
  <c r="U27" i="3"/>
  <c r="V27" i="3" s="1"/>
  <c r="D219" i="20"/>
  <c r="A23" i="37" l="1"/>
  <c r="A35" i="37" s="1"/>
  <c r="A142" i="37"/>
  <c r="I290" i="11"/>
  <c r="A39" i="37" l="1"/>
  <c r="A43" i="37" s="1"/>
  <c r="D226" i="20"/>
  <c r="D114" i="20" s="1"/>
  <c r="A47" i="37" l="1"/>
  <c r="A51" i="37" s="1"/>
  <c r="A152" i="37"/>
  <c r="E342" i="16"/>
  <c r="A55" i="37" l="1"/>
  <c r="A59" i="37" s="1"/>
  <c r="A63" i="37" s="1"/>
  <c r="A71" i="37" s="1"/>
  <c r="A81" i="37" s="1"/>
  <c r="A106" i="37" s="1"/>
  <c r="A110" i="37" s="1"/>
  <c r="A119" i="37" s="1"/>
  <c r="A169" i="37"/>
  <c r="E213" i="16"/>
  <c r="A122" i="37" l="1"/>
  <c r="A126" i="37" s="1"/>
  <c r="A131" i="37" s="1"/>
  <c r="A137" i="37" s="1"/>
  <c r="A181" i="37"/>
  <c r="A199" i="37"/>
  <c r="A141" i="37" l="1"/>
  <c r="A147" i="37" s="1"/>
  <c r="A151" i="37" l="1"/>
  <c r="A161" i="37" s="1"/>
  <c r="A165" i="37" s="1"/>
  <c r="A168" i="37" s="1"/>
  <c r="A173" i="37" s="1"/>
  <c r="A177" i="37" s="1"/>
  <c r="A180" i="37" s="1"/>
  <c r="A183" i="37" l="1"/>
  <c r="A186" i="37" s="1"/>
  <c r="A189" i="37" l="1"/>
  <c r="A192" i="37" s="1"/>
  <c r="A195" i="37" s="1"/>
  <c r="A203" i="37" l="1"/>
  <c r="A207" i="37" s="1"/>
  <c r="A211" i="37" s="1"/>
  <c r="A260" i="37" s="1"/>
  <c r="M252" i="10"/>
  <c r="P6" i="19"/>
  <c r="A265" i="37" l="1"/>
  <c r="A270" i="37" s="1"/>
  <c r="A262" i="37"/>
  <c r="E204" i="16"/>
  <c r="A277" i="37" l="1"/>
  <c r="A282" i="37" s="1"/>
  <c r="A290" i="37" s="1"/>
  <c r="A295" i="37" s="1"/>
  <c r="A299" i="37" s="1"/>
  <c r="A305" i="37" s="1"/>
  <c r="A310" i="37" s="1"/>
  <c r="A273" i="37"/>
  <c r="M56" i="7"/>
  <c r="A314" i="37" l="1"/>
  <c r="A318" i="37" s="1"/>
  <c r="A322" i="37" s="1"/>
  <c r="A312" i="37"/>
  <c r="M58" i="7"/>
  <c r="A325" i="37" l="1"/>
  <c r="A328" i="37" s="1"/>
  <c r="A323" i="37"/>
  <c r="J59" i="13"/>
  <c r="A331" i="37" l="1"/>
  <c r="A337" i="37" s="1"/>
  <c r="A330" i="37"/>
  <c r="E321" i="16"/>
  <c r="D320" i="16"/>
  <c r="A338" i="37" l="1"/>
  <c r="A342" i="37" s="1"/>
  <c r="A346" i="37" s="1"/>
  <c r="A357" i="37" s="1"/>
  <c r="A363" i="37" s="1"/>
  <c r="E337" i="16"/>
  <c r="D336" i="16"/>
  <c r="A356" i="37" l="1"/>
  <c r="A358" i="37" s="1"/>
  <c r="A361" i="37" s="1"/>
  <c r="A364" i="37" s="1"/>
  <c r="A368" i="37" s="1"/>
  <c r="A372" i="37" s="1"/>
  <c r="A375" i="37" s="1"/>
  <c r="D298" i="16"/>
  <c r="E307" i="16"/>
  <c r="D306" i="16"/>
  <c r="D299" i="16"/>
  <c r="D314" i="16"/>
  <c r="A388" i="37" l="1"/>
  <c r="A394" i="37" s="1"/>
  <c r="A399" i="37" s="1"/>
  <c r="A400" i="37" s="1"/>
  <c r="A386" i="37"/>
  <c r="Q12" i="5"/>
  <c r="P79" i="5"/>
  <c r="P78" i="5"/>
  <c r="P77" i="5"/>
  <c r="Q77" i="5" s="1"/>
  <c r="P76" i="5"/>
  <c r="P75" i="5"/>
  <c r="P74" i="5"/>
  <c r="P73" i="5"/>
  <c r="P72" i="5"/>
  <c r="P71" i="5"/>
  <c r="Q71" i="5" s="1"/>
  <c r="P70" i="5"/>
  <c r="Q70" i="5" s="1"/>
  <c r="P69" i="5"/>
  <c r="P68" i="5"/>
  <c r="P67" i="5"/>
  <c r="P66" i="5"/>
  <c r="P65" i="5"/>
  <c r="Q65" i="5" s="1"/>
  <c r="P64" i="5"/>
  <c r="Q64" i="5" s="1"/>
  <c r="P63" i="5"/>
  <c r="Q63" i="5" s="1"/>
  <c r="P62" i="5"/>
  <c r="P61" i="5"/>
  <c r="Q61" i="5" s="1"/>
  <c r="P60" i="5"/>
  <c r="P59" i="5"/>
  <c r="P58" i="5"/>
  <c r="P57" i="5"/>
  <c r="P56" i="5"/>
  <c r="P55" i="5"/>
  <c r="P54" i="5"/>
  <c r="P53" i="5"/>
  <c r="P52" i="5"/>
  <c r="P51" i="5"/>
  <c r="P50" i="5"/>
  <c r="Q50" i="5" s="1"/>
  <c r="P49" i="5"/>
  <c r="Q49" i="5" s="1"/>
  <c r="P48" i="5"/>
  <c r="Q48" i="5" s="1"/>
  <c r="P47" i="5"/>
  <c r="P46" i="5"/>
  <c r="Q46" i="5" s="1"/>
  <c r="P45" i="5"/>
  <c r="P44" i="5"/>
  <c r="P43" i="5"/>
  <c r="Q43" i="5" s="1"/>
  <c r="P42" i="5"/>
  <c r="P41" i="5"/>
  <c r="P40" i="5"/>
  <c r="P39" i="5"/>
  <c r="P38" i="5"/>
  <c r="P37" i="5"/>
  <c r="P36" i="5"/>
  <c r="P35" i="5"/>
  <c r="Q35" i="5" s="1"/>
  <c r="P34" i="5"/>
  <c r="P33" i="5"/>
  <c r="Q33" i="5" s="1"/>
  <c r="P32" i="5"/>
  <c r="P31" i="5"/>
  <c r="P30" i="5"/>
  <c r="Q30" i="5" s="1"/>
  <c r="P29" i="5"/>
  <c r="P28" i="5"/>
  <c r="P27" i="5"/>
  <c r="P26" i="5"/>
  <c r="P25" i="5"/>
  <c r="P24" i="5"/>
  <c r="P23" i="5"/>
  <c r="P22" i="5"/>
  <c r="P21" i="5"/>
  <c r="P20" i="5"/>
  <c r="P19" i="5"/>
  <c r="P18" i="5"/>
  <c r="P17" i="5"/>
  <c r="P15" i="5"/>
  <c r="P14" i="5"/>
  <c r="P13" i="5"/>
  <c r="P11" i="5"/>
  <c r="D221" i="16" l="1"/>
  <c r="D14" i="26" l="1"/>
  <c r="A212" i="16" l="1"/>
  <c r="A211" i="16"/>
  <c r="A210" i="16"/>
  <c r="E209" i="16"/>
  <c r="D209" i="16"/>
  <c r="A209" i="16"/>
  <c r="A203" i="16"/>
  <c r="A207" i="16"/>
  <c r="A206" i="16"/>
  <c r="E205" i="16"/>
  <c r="D205" i="16"/>
  <c r="A205" i="16"/>
  <c r="A216" i="16"/>
  <c r="A215" i="16"/>
  <c r="A214" i="16"/>
  <c r="A202" i="16"/>
  <c r="A201" i="16"/>
  <c r="A199" i="16"/>
  <c r="C199" i="16"/>
  <c r="E201" i="16"/>
  <c r="D201" i="16"/>
  <c r="K80" i="15" l="1"/>
  <c r="D27" i="20" l="1"/>
  <c r="L15" i="2"/>
  <c r="L19" i="2"/>
  <c r="L17" i="2"/>
  <c r="L16" i="2"/>
  <c r="J58" i="2"/>
  <c r="E301" i="16" l="1"/>
  <c r="E300" i="16"/>
  <c r="K268" i="15" l="1"/>
  <c r="L268" i="15"/>
  <c r="L274" i="15"/>
  <c r="E294" i="16" l="1"/>
  <c r="E292" i="16"/>
  <c r="D288" i="16" l="1"/>
  <c r="E289" i="16" s="1"/>
  <c r="E283" i="16" l="1"/>
  <c r="E276" i="16"/>
  <c r="E279" i="16"/>
  <c r="D282" i="16"/>
  <c r="E241" i="16"/>
  <c r="K243" i="10" l="1"/>
  <c r="D235" i="16" l="1"/>
  <c r="E228" i="16" l="1"/>
  <c r="D229" i="16" s="1"/>
  <c r="E230" i="16" s="1"/>
  <c r="D231" i="16" s="1"/>
  <c r="E232" i="16" s="1"/>
  <c r="D126" i="20" l="1"/>
  <c r="H29" i="5"/>
  <c r="E113" i="16" l="1"/>
  <c r="D114" i="16" s="1"/>
  <c r="E225" i="16" l="1"/>
  <c r="D225" i="16"/>
  <c r="G519" i="13"/>
  <c r="H519" i="13"/>
  <c r="G466" i="13"/>
  <c r="G465" i="13"/>
  <c r="K47" i="13"/>
  <c r="J27" i="11"/>
  <c r="G315" i="10"/>
  <c r="K242" i="10"/>
  <c r="K326" i="10" l="1"/>
  <c r="K324" i="10"/>
  <c r="K325" i="10"/>
  <c r="G43" i="4"/>
  <c r="E57" i="4"/>
  <c r="F55" i="4"/>
  <c r="H55" i="4" s="1"/>
  <c r="F54" i="4"/>
  <c r="H54" i="4" s="1"/>
  <c r="F228" i="20"/>
  <c r="H107" i="20"/>
  <c r="F57" i="4" l="1"/>
  <c r="H57" i="4" l="1"/>
  <c r="F72" i="20" l="1"/>
  <c r="F52" i="20"/>
  <c r="E220" i="16" l="1"/>
  <c r="D219" i="16"/>
  <c r="D215" i="16" l="1"/>
  <c r="D197" i="16" l="1"/>
  <c r="E197" i="16"/>
  <c r="E193" i="16"/>
  <c r="G156" i="16" l="1"/>
  <c r="G155" i="16"/>
  <c r="G131" i="16"/>
  <c r="D175" i="16"/>
  <c r="E171" i="16"/>
  <c r="G171" i="16" s="1"/>
  <c r="E168" i="16"/>
  <c r="D169" i="16" s="1"/>
  <c r="D168" i="16"/>
  <c r="E169" i="16" s="1"/>
  <c r="E167" i="16"/>
  <c r="E166" i="16"/>
  <c r="D167" i="16" s="1"/>
  <c r="E165" i="16"/>
  <c r="E163" i="16"/>
  <c r="E147" i="16" l="1"/>
  <c r="E143" i="16"/>
  <c r="E139" i="16"/>
  <c r="E24" i="26" l="1"/>
  <c r="E18" i="26"/>
  <c r="E15" i="26"/>
  <c r="E12" i="26"/>
  <c r="E21" i="26"/>
  <c r="E6" i="26"/>
  <c r="M423" i="14"/>
  <c r="I66" i="15" s="1"/>
  <c r="I423" i="14"/>
  <c r="G112" i="16" l="1"/>
  <c r="G109" i="16"/>
  <c r="N749" i="24" l="1"/>
  <c r="N750" i="24"/>
  <c r="E108" i="16"/>
  <c r="Q6" i="19"/>
  <c r="Q5" i="19"/>
  <c r="P4" i="19"/>
  <c r="P7" i="19" s="1"/>
  <c r="Q7" i="19" s="1"/>
  <c r="S4" i="19" s="1"/>
  <c r="AD237" i="14" l="1"/>
  <c r="G104" i="16"/>
  <c r="G106" i="16"/>
  <c r="G36" i="16" l="1"/>
  <c r="G70" i="16"/>
  <c r="G75" i="16"/>
  <c r="G85" i="16"/>
  <c r="G90" i="16"/>
  <c r="G96" i="16"/>
  <c r="G102" i="16"/>
  <c r="G33" i="16"/>
  <c r="G19" i="16"/>
  <c r="G27" i="16"/>
  <c r="G30" i="16"/>
  <c r="G15" i="16"/>
  <c r="G11" i="16"/>
  <c r="N718" i="24" l="1"/>
  <c r="W58" i="2"/>
  <c r="N732" i="24" l="1"/>
  <c r="N734" i="24"/>
  <c r="N736" i="24"/>
  <c r="N743" i="24"/>
  <c r="N737" i="24"/>
  <c r="N741" i="24"/>
  <c r="N739" i="24"/>
  <c r="N744" i="24"/>
  <c r="N748" i="24"/>
  <c r="N746" i="24"/>
  <c r="N735" i="24"/>
  <c r="N745" i="24"/>
  <c r="N742" i="24"/>
  <c r="N740" i="24"/>
  <c r="N738" i="24"/>
  <c r="N733" i="24"/>
  <c r="N747" i="24"/>
  <c r="N1031" i="24"/>
  <c r="N1030" i="24"/>
  <c r="N1029" i="24"/>
  <c r="N1028" i="24"/>
  <c r="N1027" i="24"/>
  <c r="N1026" i="24"/>
  <c r="N1025" i="24"/>
  <c r="N1024" i="24"/>
  <c r="N1023" i="24"/>
  <c r="N1022" i="24"/>
  <c r="N1021" i="24"/>
  <c r="N1020" i="24"/>
  <c r="N1019" i="24"/>
  <c r="N1018" i="24"/>
  <c r="N1017" i="24"/>
  <c r="N1016" i="24"/>
  <c r="N1015" i="24"/>
  <c r="N1014" i="24"/>
  <c r="N1013" i="24"/>
  <c r="N1012" i="24"/>
  <c r="N1011" i="24"/>
  <c r="N1010" i="24"/>
  <c r="N1009" i="24"/>
  <c r="N1008" i="24"/>
  <c r="N1007" i="24"/>
  <c r="N1006" i="24"/>
  <c r="N1005" i="24"/>
  <c r="N1004" i="24"/>
  <c r="N1003" i="24"/>
  <c r="N1002" i="24"/>
  <c r="N1001" i="24"/>
  <c r="N1000" i="24"/>
  <c r="N999" i="24"/>
  <c r="N998" i="24"/>
  <c r="N997" i="24"/>
  <c r="N996" i="24"/>
  <c r="N995" i="24"/>
  <c r="N994" i="24"/>
  <c r="N993" i="24"/>
  <c r="N992" i="24"/>
  <c r="N991" i="24"/>
  <c r="N990" i="24"/>
  <c r="N989" i="24"/>
  <c r="N988" i="24"/>
  <c r="N987" i="24"/>
  <c r="N986" i="24"/>
  <c r="N985" i="24"/>
  <c r="N984" i="24"/>
  <c r="N983" i="24"/>
  <c r="N982" i="24"/>
  <c r="N981" i="24"/>
  <c r="N980" i="24"/>
  <c r="N979" i="24"/>
  <c r="N978" i="24"/>
  <c r="N977" i="24"/>
  <c r="N976" i="24"/>
  <c r="N975" i="24"/>
  <c r="N974" i="24"/>
  <c r="N973" i="24"/>
  <c r="N972" i="24"/>
  <c r="N971" i="24"/>
  <c r="N970" i="24"/>
  <c r="N969" i="24"/>
  <c r="N968" i="24"/>
  <c r="N967" i="24"/>
  <c r="N966" i="24"/>
  <c r="N965" i="24"/>
  <c r="N964" i="24"/>
  <c r="N963" i="24"/>
  <c r="N962" i="24"/>
  <c r="N961" i="24"/>
  <c r="N960" i="24"/>
  <c r="N959" i="24"/>
  <c r="N958" i="24"/>
  <c r="N957" i="24"/>
  <c r="N956" i="24"/>
  <c r="N955" i="24"/>
  <c r="N954" i="24"/>
  <c r="N953" i="24"/>
  <c r="N952" i="24"/>
  <c r="N951" i="24"/>
  <c r="N950" i="24"/>
  <c r="N949" i="24"/>
  <c r="N948" i="24"/>
  <c r="N947" i="24"/>
  <c r="N946" i="24"/>
  <c r="N945" i="24"/>
  <c r="N944" i="24"/>
  <c r="N943" i="24"/>
  <c r="N942" i="24"/>
  <c r="N941" i="24"/>
  <c r="N940" i="24"/>
  <c r="N939" i="24"/>
  <c r="N938" i="24"/>
  <c r="N937" i="24"/>
  <c r="N936" i="24"/>
  <c r="N935" i="24"/>
  <c r="N934" i="24"/>
  <c r="N933" i="24"/>
  <c r="N932" i="24"/>
  <c r="N931" i="24"/>
  <c r="N930" i="24"/>
  <c r="N929" i="24"/>
  <c r="N928" i="24"/>
  <c r="N927" i="24"/>
  <c r="N926" i="24"/>
  <c r="N925" i="24"/>
  <c r="N924" i="24"/>
  <c r="N923" i="24"/>
  <c r="N922" i="24"/>
  <c r="N921" i="24"/>
  <c r="N920" i="24"/>
  <c r="N919" i="24"/>
  <c r="N918" i="24"/>
  <c r="N917" i="24"/>
  <c r="N916" i="24"/>
  <c r="N915" i="24"/>
  <c r="N914" i="24"/>
  <c r="N913" i="24"/>
  <c r="N912" i="24"/>
  <c r="N911" i="24"/>
  <c r="N910" i="24"/>
  <c r="N909" i="24"/>
  <c r="N908" i="24"/>
  <c r="N907" i="24"/>
  <c r="N906" i="24"/>
  <c r="N905" i="24"/>
  <c r="N904" i="24"/>
  <c r="N903" i="24"/>
  <c r="N902" i="24"/>
  <c r="N901" i="24"/>
  <c r="N900" i="24"/>
  <c r="N899" i="24"/>
  <c r="N898" i="24"/>
  <c r="N897" i="24"/>
  <c r="N896" i="24"/>
  <c r="N895" i="24"/>
  <c r="N894" i="24"/>
  <c r="N893" i="24"/>
  <c r="N892" i="24"/>
  <c r="N891" i="24"/>
  <c r="N890" i="24"/>
  <c r="N889" i="24"/>
  <c r="N888" i="24"/>
  <c r="N887" i="24"/>
  <c r="N886" i="24"/>
  <c r="N885" i="24"/>
  <c r="N884" i="24"/>
  <c r="N883" i="24"/>
  <c r="N882" i="24"/>
  <c r="N881" i="24"/>
  <c r="N880" i="24"/>
  <c r="N879" i="24"/>
  <c r="N878" i="24"/>
  <c r="N877" i="24"/>
  <c r="N876" i="24"/>
  <c r="N875" i="24"/>
  <c r="N874" i="24"/>
  <c r="N873" i="24"/>
  <c r="N872" i="24"/>
  <c r="N871" i="24"/>
  <c r="N870" i="24"/>
  <c r="N869" i="24"/>
  <c r="N868" i="24"/>
  <c r="N867" i="24"/>
  <c r="N866" i="24"/>
  <c r="N865" i="24"/>
  <c r="N864" i="24"/>
  <c r="N863" i="24"/>
  <c r="N862" i="24"/>
  <c r="N861" i="24"/>
  <c r="N860" i="24"/>
  <c r="N859" i="24"/>
  <c r="N858" i="24"/>
  <c r="N857" i="24"/>
  <c r="N856" i="24"/>
  <c r="N855" i="24"/>
  <c r="N854" i="24"/>
  <c r="N853" i="24"/>
  <c r="N852" i="24"/>
  <c r="N851" i="24"/>
  <c r="N850" i="24"/>
  <c r="N849" i="24"/>
  <c r="N848" i="24"/>
  <c r="N847" i="24"/>
  <c r="N846" i="24"/>
  <c r="N845" i="24"/>
  <c r="N844" i="24"/>
  <c r="N843" i="24"/>
  <c r="N842" i="24"/>
  <c r="N841" i="24"/>
  <c r="N840" i="24"/>
  <c r="N839" i="24"/>
  <c r="N838" i="24"/>
  <c r="N837" i="24"/>
  <c r="N836" i="24"/>
  <c r="N835" i="24"/>
  <c r="N834" i="24"/>
  <c r="N833" i="24"/>
  <c r="N832" i="24"/>
  <c r="N831" i="24"/>
  <c r="N830" i="24"/>
  <c r="N829" i="24"/>
  <c r="N828" i="24"/>
  <c r="N827" i="24"/>
  <c r="N826" i="24"/>
  <c r="N825" i="24"/>
  <c r="N824" i="24"/>
  <c r="N823" i="24"/>
  <c r="N822" i="24"/>
  <c r="N821" i="24"/>
  <c r="N820" i="24"/>
  <c r="N819" i="24"/>
  <c r="N818" i="24"/>
  <c r="N817" i="24"/>
  <c r="N816" i="24"/>
  <c r="N815" i="24"/>
  <c r="N814" i="24"/>
  <c r="N813" i="24"/>
  <c r="N812" i="24"/>
  <c r="N811" i="24"/>
  <c r="N810" i="24"/>
  <c r="N809" i="24"/>
  <c r="N808" i="24"/>
  <c r="N807" i="24"/>
  <c r="N806" i="24"/>
  <c r="N805" i="24"/>
  <c r="N804" i="24"/>
  <c r="N803" i="24"/>
  <c r="N802" i="24"/>
  <c r="N801" i="24"/>
  <c r="N800" i="24"/>
  <c r="N799" i="24"/>
  <c r="N798" i="24"/>
  <c r="N797" i="24"/>
  <c r="N796" i="24"/>
  <c r="N795" i="24"/>
  <c r="N794" i="24"/>
  <c r="N793" i="24"/>
  <c r="N792" i="24"/>
  <c r="N791" i="24"/>
  <c r="N790" i="24"/>
  <c r="N789" i="24"/>
  <c r="N788" i="24"/>
  <c r="N787" i="24"/>
  <c r="N786" i="24"/>
  <c r="N785" i="24"/>
  <c r="N784" i="24"/>
  <c r="N783" i="24"/>
  <c r="N782" i="24"/>
  <c r="N781" i="24"/>
  <c r="N780" i="24"/>
  <c r="N779" i="24"/>
  <c r="N778" i="24"/>
  <c r="N777" i="24"/>
  <c r="N776" i="24"/>
  <c r="N775" i="24"/>
  <c r="N774" i="24"/>
  <c r="N773" i="24"/>
  <c r="N772" i="24"/>
  <c r="N771" i="24"/>
  <c r="N770" i="24"/>
  <c r="N769" i="24"/>
  <c r="N768" i="24"/>
  <c r="N767" i="24"/>
  <c r="N766" i="24"/>
  <c r="N765" i="24"/>
  <c r="N764" i="24"/>
  <c r="N763" i="24"/>
  <c r="N762" i="24"/>
  <c r="N761" i="24"/>
  <c r="N760" i="24"/>
  <c r="N759" i="24"/>
  <c r="N758" i="24"/>
  <c r="N757" i="24"/>
  <c r="N756" i="24"/>
  <c r="N755" i="24"/>
  <c r="N754" i="24"/>
  <c r="N753" i="24"/>
  <c r="N752" i="24"/>
  <c r="F1114" i="24"/>
  <c r="C5" i="24"/>
  <c r="K644" i="13"/>
  <c r="H93" i="5"/>
  <c r="H97" i="4" s="1"/>
  <c r="K293" i="10"/>
  <c r="J293" i="10"/>
  <c r="F5" i="24" l="1"/>
  <c r="N625" i="24"/>
  <c r="N627" i="24"/>
  <c r="H496" i="13"/>
  <c r="G496" i="13"/>
  <c r="H495" i="13"/>
  <c r="G495" i="13"/>
  <c r="K493" i="13"/>
  <c r="J493" i="13"/>
  <c r="H493" i="13"/>
  <c r="G493" i="13"/>
  <c r="H492" i="13"/>
  <c r="G492" i="13"/>
  <c r="G483" i="13"/>
  <c r="K460" i="13"/>
  <c r="K459" i="13"/>
  <c r="K466" i="13"/>
  <c r="K465" i="13"/>
  <c r="K464" i="13"/>
  <c r="K463" i="13"/>
  <c r="K462" i="13"/>
  <c r="K461" i="13"/>
  <c r="J466" i="13"/>
  <c r="J465" i="13"/>
  <c r="J464" i="13"/>
  <c r="J463" i="13"/>
  <c r="J462" i="13"/>
  <c r="J461" i="13"/>
  <c r="H466" i="13"/>
  <c r="H465" i="13"/>
  <c r="H464" i="13"/>
  <c r="M464" i="13" s="1"/>
  <c r="H463" i="13"/>
  <c r="G462" i="13"/>
  <c r="G461" i="13"/>
  <c r="H483" i="13"/>
  <c r="M462" i="13" l="1"/>
  <c r="M467" i="13" s="1"/>
  <c r="C1107" i="24"/>
  <c r="N574" i="24"/>
  <c r="N578" i="24"/>
  <c r="N719" i="24"/>
  <c r="N716" i="24"/>
  <c r="N150" i="24"/>
  <c r="N274" i="24"/>
  <c r="N717" i="24"/>
  <c r="N696" i="24"/>
  <c r="N285" i="24"/>
  <c r="N674" i="24"/>
  <c r="N713" i="24"/>
  <c r="G38" i="4"/>
  <c r="G45" i="4" s="1"/>
  <c r="G52" i="4" s="1"/>
  <c r="Q74" i="5"/>
  <c r="D9" i="20" l="1"/>
  <c r="X67" i="2" l="1"/>
  <c r="X58" i="2"/>
  <c r="X15" i="2" l="1"/>
  <c r="X23" i="2"/>
  <c r="X24" i="2"/>
  <c r="X25" i="2"/>
  <c r="X35" i="2"/>
  <c r="X37" i="2"/>
  <c r="X38" i="2"/>
  <c r="X39" i="2"/>
  <c r="X45" i="2"/>
  <c r="X46" i="2"/>
  <c r="X53" i="2"/>
  <c r="X54" i="2"/>
  <c r="X55" i="2"/>
  <c r="X57" i="2"/>
  <c r="G314" i="10" l="1"/>
  <c r="C478" i="16" l="1"/>
  <c r="G540" i="16" l="1"/>
  <c r="J313" i="10" l="1"/>
  <c r="I313" i="10"/>
  <c r="H313" i="10"/>
  <c r="G313" i="10"/>
  <c r="G317" i="10" s="1"/>
  <c r="J328" i="10" l="1"/>
  <c r="J551" i="13" s="1"/>
  <c r="H328" i="10"/>
  <c r="H317" i="10"/>
  <c r="I328" i="10"/>
  <c r="J317" i="10"/>
  <c r="F551" i="13" s="1"/>
  <c r="G328" i="10"/>
  <c r="I317" i="10"/>
  <c r="E551" i="13" l="1"/>
  <c r="H551" i="13"/>
  <c r="G545" i="16" l="1"/>
  <c r="G543" i="16"/>
  <c r="E1119" i="24" l="1"/>
  <c r="E1118" i="24"/>
  <c r="C1119" i="24"/>
  <c r="C1118" i="24"/>
  <c r="J580" i="13" l="1"/>
  <c r="K315" i="10"/>
  <c r="K314" i="10"/>
  <c r="K313" i="10"/>
  <c r="L326" i="10"/>
  <c r="L325" i="10"/>
  <c r="L328" i="10" l="1"/>
  <c r="K317" i="10"/>
  <c r="K319" i="10" s="1"/>
  <c r="K328" i="10"/>
  <c r="K330" i="10" s="1"/>
  <c r="L315" i="10"/>
  <c r="L314" i="10"/>
  <c r="L317" i="10" l="1"/>
  <c r="J119" i="8"/>
  <c r="I119" i="8"/>
  <c r="G119" i="8"/>
  <c r="G110" i="8"/>
  <c r="I110" i="8"/>
  <c r="J110" i="8"/>
  <c r="C569" i="16" l="1"/>
  <c r="C565" i="16"/>
  <c r="A564" i="16"/>
  <c r="A565" i="16"/>
  <c r="A567" i="16"/>
  <c r="A568" i="16"/>
  <c r="A569" i="16"/>
  <c r="K99" i="34"/>
  <c r="K101" i="34"/>
  <c r="Z10" i="34"/>
  <c r="Z11" i="34"/>
  <c r="Z12" i="34"/>
  <c r="Z13" i="34"/>
  <c r="Z14" i="34"/>
  <c r="Z15" i="34"/>
  <c r="Z16" i="34"/>
  <c r="Z17" i="34"/>
  <c r="Z18" i="34"/>
  <c r="Z19" i="34"/>
  <c r="Z20" i="34"/>
  <c r="Z21" i="34"/>
  <c r="Z22" i="34"/>
  <c r="Z23" i="34"/>
  <c r="Z24" i="34"/>
  <c r="Z25" i="34"/>
  <c r="Z26" i="34"/>
  <c r="Z27" i="34"/>
  <c r="Z28" i="34"/>
  <c r="Z29" i="34"/>
  <c r="Z30" i="34"/>
  <c r="Z31" i="34"/>
  <c r="Z32" i="34"/>
  <c r="Z33" i="34"/>
  <c r="Z34" i="34"/>
  <c r="Z35" i="34"/>
  <c r="Z36" i="34"/>
  <c r="Z37" i="34"/>
  <c r="Z38" i="34"/>
  <c r="Z39" i="34"/>
  <c r="Z40" i="34"/>
  <c r="Z41" i="34"/>
  <c r="Z42" i="34"/>
  <c r="Z43" i="34"/>
  <c r="Z44" i="34"/>
  <c r="Z45" i="34"/>
  <c r="Z46" i="34"/>
  <c r="Z47" i="34"/>
  <c r="Z48" i="34"/>
  <c r="Z49" i="34"/>
  <c r="Z50" i="34"/>
  <c r="Z51" i="34"/>
  <c r="Z52" i="34"/>
  <c r="Z53" i="34"/>
  <c r="Z54" i="34"/>
  <c r="Z55" i="34"/>
  <c r="Z56" i="34"/>
  <c r="Z57" i="34"/>
  <c r="Z58" i="34"/>
  <c r="Z59" i="34"/>
  <c r="Z60" i="34"/>
  <c r="Z61" i="34"/>
  <c r="Z62" i="34"/>
  <c r="Z63" i="34"/>
  <c r="Z64" i="34"/>
  <c r="Z65" i="34"/>
  <c r="Z66" i="34"/>
  <c r="Z67" i="34"/>
  <c r="Z68" i="34"/>
  <c r="Z69" i="34"/>
  <c r="Z70" i="34"/>
  <c r="Z71" i="34"/>
  <c r="Z72" i="34"/>
  <c r="Z73" i="34"/>
  <c r="Z74" i="34"/>
  <c r="Z75" i="34"/>
  <c r="Z76" i="34"/>
  <c r="Z77" i="34"/>
  <c r="Z78" i="34"/>
  <c r="Z79" i="34"/>
  <c r="Z80" i="34"/>
  <c r="Z81" i="34"/>
  <c r="Z82" i="34"/>
  <c r="Z83" i="34"/>
  <c r="Z84" i="34"/>
  <c r="Z85" i="34"/>
  <c r="Z86" i="34"/>
  <c r="Z87" i="34"/>
  <c r="Z88" i="34"/>
  <c r="Z89" i="34"/>
  <c r="Z90" i="34"/>
  <c r="Z91" i="34"/>
  <c r="Z92" i="34"/>
  <c r="Z93" i="34"/>
  <c r="Z94" i="34"/>
  <c r="Z95" i="34"/>
  <c r="Z96" i="34"/>
  <c r="Z97" i="34"/>
  <c r="Z98" i="34"/>
  <c r="Z99" i="34"/>
  <c r="Z100" i="34"/>
  <c r="Z102" i="34"/>
  <c r="Z103" i="34"/>
  <c r="Z104" i="34"/>
  <c r="Z105" i="34"/>
  <c r="Z106" i="34"/>
  <c r="Z107" i="34"/>
  <c r="Z108" i="34"/>
  <c r="Z109" i="34"/>
  <c r="Z9" i="34"/>
  <c r="Z101" i="34" l="1"/>
  <c r="J242" i="10" l="1"/>
  <c r="H74" i="5" l="1"/>
  <c r="F51" i="20"/>
  <c r="D51" i="20"/>
  <c r="F174" i="20"/>
  <c r="H171" i="20"/>
  <c r="H79" i="20"/>
  <c r="H30" i="20"/>
  <c r="F26" i="20"/>
  <c r="A541" i="16" l="1"/>
  <c r="A537" i="16"/>
  <c r="A538" i="16"/>
  <c r="A539" i="16"/>
  <c r="C539" i="16"/>
  <c r="A524" i="16"/>
  <c r="A526" i="16"/>
  <c r="A527" i="16"/>
  <c r="A528" i="16"/>
  <c r="A529" i="16"/>
  <c r="A530" i="16"/>
  <c r="A532" i="16"/>
  <c r="A533" i="16"/>
  <c r="A534" i="16"/>
  <c r="A535" i="16"/>
  <c r="C535" i="16"/>
  <c r="C530" i="16"/>
  <c r="I51" i="15" l="1"/>
  <c r="K237" i="10" s="1"/>
  <c r="A261" i="16"/>
  <c r="A262" i="16"/>
  <c r="A265" i="16"/>
  <c r="A266" i="16"/>
  <c r="A268" i="16"/>
  <c r="A269" i="16"/>
  <c r="G253" i="16"/>
  <c r="G237" i="16"/>
  <c r="G542" i="16" l="1"/>
  <c r="G544" i="16"/>
  <c r="G432" i="16" l="1"/>
  <c r="G140" i="16"/>
  <c r="G136" i="16"/>
  <c r="G133" i="16"/>
  <c r="G99" i="16"/>
  <c r="G93" i="16"/>
  <c r="G80" i="16"/>
  <c r="G14" i="16"/>
  <c r="I245" i="15" l="1"/>
  <c r="G245" i="15"/>
  <c r="J349" i="11"/>
  <c r="S109" i="34"/>
  <c r="T109" i="34" s="1"/>
  <c r="S108" i="34"/>
  <c r="T108" i="34" s="1"/>
  <c r="K12" i="34" l="1"/>
  <c r="X4" i="34"/>
  <c r="K11" i="34"/>
  <c r="X3" i="34"/>
  <c r="K10" i="34"/>
  <c r="X2" i="34"/>
  <c r="K9" i="34"/>
  <c r="X1" i="34"/>
  <c r="A256" i="16" l="1"/>
  <c r="A258" i="16"/>
  <c r="N708" i="24" l="1"/>
  <c r="N633" i="24" l="1"/>
  <c r="N712" i="24"/>
  <c r="N704" i="24"/>
  <c r="N706" i="24"/>
  <c r="N644" i="24"/>
  <c r="N638" i="24"/>
  <c r="N683" i="24"/>
  <c r="N686" i="24" l="1"/>
  <c r="A352" i="16"/>
  <c r="A353" i="16"/>
  <c r="N681" i="24"/>
  <c r="N680" i="24"/>
  <c r="N693" i="24"/>
  <c r="N692" i="24"/>
  <c r="A317" i="16"/>
  <c r="A315" i="16"/>
  <c r="A314" i="16"/>
  <c r="A313" i="16"/>
  <c r="A311" i="16"/>
  <c r="A310" i="16"/>
  <c r="N691" i="24"/>
  <c r="N697" i="24"/>
  <c r="N688" i="24"/>
  <c r="N714" i="24" l="1"/>
  <c r="A173" i="16" l="1"/>
  <c r="A171" i="16"/>
  <c r="A170" i="16"/>
  <c r="G24" i="16" l="1"/>
  <c r="N142" i="17" l="1"/>
  <c r="N423" i="17" l="1"/>
  <c r="N421" i="17"/>
  <c r="N42" i="17"/>
  <c r="N15" i="17"/>
  <c r="N40" i="17"/>
  <c r="N400" i="17"/>
  <c r="N420" i="17"/>
  <c r="N101" i="17"/>
  <c r="N145" i="17"/>
  <c r="N128" i="17"/>
  <c r="N144" i="17"/>
  <c r="N143" i="17"/>
  <c r="N100" i="17"/>
  <c r="N99" i="17"/>
  <c r="N97" i="17"/>
  <c r="N96" i="17"/>
  <c r="N95" i="17"/>
  <c r="N93" i="17"/>
  <c r="N399" i="17"/>
  <c r="N187" i="17"/>
  <c r="N127" i="17"/>
  <c r="N209" i="17"/>
  <c r="N208" i="17"/>
  <c r="N224" i="17"/>
  <c r="N158" i="17"/>
  <c r="N179" i="17"/>
  <c r="N626" i="24"/>
  <c r="N630" i="24"/>
  <c r="N631" i="24"/>
  <c r="N632" i="24"/>
  <c r="N634" i="24"/>
  <c r="N636" i="24"/>
  <c r="N637" i="24"/>
  <c r="N639" i="24"/>
  <c r="N640" i="24"/>
  <c r="N641" i="24"/>
  <c r="N642" i="24"/>
  <c r="N643" i="24"/>
  <c r="N645" i="24"/>
  <c r="N646" i="24"/>
  <c r="N647" i="24"/>
  <c r="N648" i="24"/>
  <c r="N650" i="24"/>
  <c r="N651" i="24"/>
  <c r="N652" i="24"/>
  <c r="N653" i="24"/>
  <c r="N655" i="24"/>
  <c r="N656" i="24"/>
  <c r="N657" i="24"/>
  <c r="N659" i="24"/>
  <c r="N660" i="24"/>
  <c r="N661" i="24"/>
  <c r="N662" i="24"/>
  <c r="N663" i="24"/>
  <c r="N664" i="24"/>
  <c r="N665" i="24"/>
  <c r="N666" i="24"/>
  <c r="N667" i="24"/>
  <c r="N669" i="24"/>
  <c r="N671" i="24"/>
  <c r="N672" i="24"/>
  <c r="N673" i="24"/>
  <c r="N675" i="24"/>
  <c r="N676" i="24"/>
  <c r="N677" i="24"/>
  <c r="N678" i="24"/>
  <c r="N679" i="24"/>
  <c r="N682" i="24"/>
  <c r="N684" i="24"/>
  <c r="N685" i="24"/>
  <c r="N687" i="24"/>
  <c r="N689" i="24"/>
  <c r="N690" i="24"/>
  <c r="N698" i="24"/>
  <c r="N699" i="24"/>
  <c r="N700" i="24"/>
  <c r="N701" i="24"/>
  <c r="N702" i="24"/>
  <c r="N703" i="24"/>
  <c r="N705" i="24"/>
  <c r="N707" i="24"/>
  <c r="N709" i="24"/>
  <c r="N710" i="24"/>
  <c r="N711" i="24"/>
  <c r="N715" i="24"/>
  <c r="N720" i="24"/>
  <c r="N721" i="24"/>
  <c r="N722" i="24"/>
  <c r="N723" i="24"/>
  <c r="N724" i="24"/>
  <c r="N725" i="24"/>
  <c r="N726" i="24"/>
  <c r="N727" i="24"/>
  <c r="N728" i="24"/>
  <c r="N729" i="24"/>
  <c r="N730" i="24"/>
  <c r="N731" i="24"/>
  <c r="N624" i="24"/>
  <c r="L256" i="25"/>
  <c r="L255" i="25"/>
  <c r="L254" i="25"/>
  <c r="L253" i="25"/>
  <c r="L252" i="25"/>
  <c r="L251" i="25"/>
  <c r="L250" i="25"/>
  <c r="L249" i="25"/>
  <c r="L248" i="25"/>
  <c r="L247" i="25"/>
  <c r="L246" i="25"/>
  <c r="L245" i="25"/>
  <c r="L244" i="25"/>
  <c r="L243" i="25"/>
  <c r="L242" i="25"/>
  <c r="L241" i="25"/>
  <c r="L240" i="25"/>
  <c r="L239" i="25"/>
  <c r="L238" i="25"/>
  <c r="L237" i="25"/>
  <c r="L236" i="25"/>
  <c r="L235" i="25"/>
  <c r="L234" i="25"/>
  <c r="L232" i="25"/>
  <c r="L231" i="25"/>
  <c r="L230" i="25"/>
  <c r="L229" i="25"/>
  <c r="L228" i="25"/>
  <c r="L233" i="25"/>
  <c r="L100" i="25"/>
  <c r="L116" i="25"/>
  <c r="L146" i="25"/>
  <c r="L162" i="25"/>
  <c r="L163" i="25"/>
  <c r="L164" i="25"/>
  <c r="L165" i="25"/>
  <c r="L166" i="25"/>
  <c r="L167" i="25"/>
  <c r="L168" i="25"/>
  <c r="L171" i="25"/>
  <c r="I153" i="25" l="1"/>
  <c r="L153" i="25" s="1"/>
  <c r="I154" i="25"/>
  <c r="L154" i="25" s="1"/>
  <c r="I155" i="25"/>
  <c r="L155" i="25" s="1"/>
  <c r="I156" i="25"/>
  <c r="L156" i="25" s="1"/>
  <c r="I157" i="25"/>
  <c r="L157" i="25" s="1"/>
  <c r="I158" i="25"/>
  <c r="L158" i="25" s="1"/>
  <c r="I159" i="25"/>
  <c r="L159" i="25" s="1"/>
  <c r="I160" i="25"/>
  <c r="L160" i="25" s="1"/>
  <c r="I161" i="25"/>
  <c r="L161" i="25" s="1"/>
  <c r="I169" i="25"/>
  <c r="L169" i="25" s="1"/>
  <c r="I170" i="25"/>
  <c r="L170" i="25" s="1"/>
  <c r="I152" i="25"/>
  <c r="L152" i="25" s="1"/>
  <c r="I151" i="25"/>
  <c r="L151" i="25" s="1"/>
  <c r="I150" i="25"/>
  <c r="L150" i="25" s="1"/>
  <c r="I149" i="25"/>
  <c r="L149" i="25" s="1"/>
  <c r="I148" i="25"/>
  <c r="L148" i="25" s="1"/>
  <c r="I147" i="25"/>
  <c r="L147" i="25" s="1"/>
  <c r="I145" i="25"/>
  <c r="L145" i="25" s="1"/>
  <c r="I144" i="25"/>
  <c r="L144" i="25" s="1"/>
  <c r="I143" i="25"/>
  <c r="L143" i="25" s="1"/>
  <c r="I142" i="25"/>
  <c r="L142" i="25" s="1"/>
  <c r="I141" i="25"/>
  <c r="L141" i="25" s="1"/>
  <c r="I140" i="25"/>
  <c r="L140" i="25" s="1"/>
  <c r="I138" i="25"/>
  <c r="L138" i="25" s="1"/>
  <c r="I137" i="25"/>
  <c r="L137" i="25" s="1"/>
  <c r="I136" i="25"/>
  <c r="L136" i="25" s="1"/>
  <c r="I134" i="25"/>
  <c r="L134" i="25" s="1"/>
  <c r="I133" i="25"/>
  <c r="L133" i="25" s="1"/>
  <c r="I132" i="25"/>
  <c r="L132" i="25" s="1"/>
  <c r="I131" i="25"/>
  <c r="L131" i="25" s="1"/>
  <c r="I130" i="25"/>
  <c r="L130" i="25" s="1"/>
  <c r="I129" i="25"/>
  <c r="L129" i="25" s="1"/>
  <c r="I128" i="25"/>
  <c r="L128" i="25" s="1"/>
  <c r="I127" i="25"/>
  <c r="L127" i="25" s="1"/>
  <c r="I124" i="25"/>
  <c r="L124" i="25" s="1"/>
  <c r="I123" i="25"/>
  <c r="L123" i="25" s="1"/>
  <c r="I122" i="25"/>
  <c r="L122" i="25" s="1"/>
  <c r="I121" i="25"/>
  <c r="L121" i="25" s="1"/>
  <c r="I120" i="25"/>
  <c r="L120" i="25" s="1"/>
  <c r="I119" i="25"/>
  <c r="L119" i="25" s="1"/>
  <c r="I118" i="25"/>
  <c r="L118" i="25" s="1"/>
  <c r="I117" i="25"/>
  <c r="L117" i="25" s="1"/>
  <c r="I115" i="25"/>
  <c r="L115" i="25" s="1"/>
  <c r="I114" i="25"/>
  <c r="L114" i="25" s="1"/>
  <c r="I113" i="25"/>
  <c r="L113" i="25" s="1"/>
  <c r="I112" i="25"/>
  <c r="L112" i="25" s="1"/>
  <c r="I110" i="25"/>
  <c r="L110" i="25" s="1"/>
  <c r="I109" i="25"/>
  <c r="L109" i="25" s="1"/>
  <c r="I108" i="25"/>
  <c r="L108" i="25" s="1"/>
  <c r="I106" i="25"/>
  <c r="L106" i="25" s="1"/>
  <c r="I105" i="25"/>
  <c r="L105" i="25" s="1"/>
  <c r="I104" i="25"/>
  <c r="L104" i="25" s="1"/>
  <c r="I103" i="25"/>
  <c r="L103" i="25" s="1"/>
  <c r="I102" i="25"/>
  <c r="L102" i="25" s="1"/>
  <c r="I101" i="25"/>
  <c r="L101" i="25" s="1"/>
  <c r="I99" i="25"/>
  <c r="L99" i="25" s="1"/>
  <c r="I98" i="25"/>
  <c r="L98" i="25" s="1"/>
  <c r="I97" i="25"/>
  <c r="L97" i="25" s="1"/>
  <c r="I96" i="25"/>
  <c r="L96" i="25" s="1"/>
  <c r="I93" i="25"/>
  <c r="L93" i="25" s="1"/>
  <c r="I91" i="25"/>
  <c r="L91" i="25" s="1"/>
  <c r="I7" i="33" l="1"/>
  <c r="I8" i="33"/>
  <c r="I9" i="33"/>
  <c r="I10" i="33"/>
  <c r="I11" i="33"/>
  <c r="I12" i="33"/>
  <c r="I13" i="33"/>
  <c r="I14" i="33"/>
  <c r="I15" i="33"/>
  <c r="I16" i="33"/>
  <c r="I17" i="33"/>
  <c r="I18" i="33"/>
  <c r="I19" i="33"/>
  <c r="I20" i="33"/>
  <c r="I21" i="33"/>
  <c r="I22" i="33"/>
  <c r="I23" i="33"/>
  <c r="I24" i="33"/>
  <c r="I25" i="33"/>
  <c r="I26" i="33"/>
  <c r="I27" i="33"/>
  <c r="I28" i="33"/>
  <c r="I29" i="33"/>
  <c r="I30" i="33"/>
  <c r="I31" i="33"/>
  <c r="I32" i="33"/>
  <c r="I33" i="33"/>
  <c r="I34" i="33"/>
  <c r="I35" i="33"/>
  <c r="I36" i="33"/>
  <c r="I37" i="33"/>
  <c r="I38" i="33"/>
  <c r="I39" i="33"/>
  <c r="I40" i="33"/>
  <c r="I41" i="33"/>
  <c r="I42" i="33"/>
  <c r="I43" i="33"/>
  <c r="I44" i="33"/>
  <c r="I45" i="33"/>
  <c r="I46" i="33"/>
  <c r="I47" i="33"/>
  <c r="I48" i="33"/>
  <c r="I49" i="33"/>
  <c r="I50" i="33"/>
  <c r="I51" i="33"/>
  <c r="I52" i="33"/>
  <c r="I53" i="33"/>
  <c r="I54" i="33"/>
  <c r="I55" i="33"/>
  <c r="I56" i="33"/>
  <c r="I57" i="33"/>
  <c r="I58" i="33"/>
  <c r="I59" i="33"/>
  <c r="I60" i="33"/>
  <c r="I61" i="33"/>
  <c r="I62" i="33"/>
  <c r="I63" i="33"/>
  <c r="I64" i="33"/>
  <c r="I65" i="33"/>
  <c r="I66" i="33"/>
  <c r="I67" i="33"/>
  <c r="I68" i="33"/>
  <c r="I69" i="33"/>
  <c r="I70" i="33"/>
  <c r="I71" i="33"/>
  <c r="I72" i="33"/>
  <c r="I73" i="33"/>
  <c r="I74" i="33"/>
  <c r="I75" i="33"/>
  <c r="I76" i="33"/>
  <c r="I77" i="33"/>
  <c r="I78" i="33"/>
  <c r="I79" i="33"/>
  <c r="I80" i="33"/>
  <c r="I81" i="33"/>
  <c r="I82" i="33"/>
  <c r="I83" i="33"/>
  <c r="I84" i="33"/>
  <c r="I85" i="33"/>
  <c r="I86" i="33"/>
  <c r="I6" i="33"/>
  <c r="T98" i="34"/>
  <c r="T97" i="34"/>
  <c r="T96" i="34"/>
  <c r="T95" i="34"/>
  <c r="T94" i="34"/>
  <c r="T93" i="34"/>
  <c r="T92" i="34"/>
  <c r="T91" i="34"/>
  <c r="T90" i="34"/>
  <c r="T89" i="34"/>
  <c r="T88" i="34"/>
  <c r="T87" i="34"/>
  <c r="T86" i="34"/>
  <c r="T85" i="34"/>
  <c r="T84" i="34"/>
  <c r="T83" i="34"/>
  <c r="T82" i="34"/>
  <c r="T81" i="34"/>
  <c r="T80" i="34"/>
  <c r="T79" i="34"/>
  <c r="T78" i="34"/>
  <c r="T77" i="34"/>
  <c r="T76" i="34"/>
  <c r="T75" i="34"/>
  <c r="T74" i="34"/>
  <c r="T73" i="34"/>
  <c r="T72" i="34"/>
  <c r="T71" i="34"/>
  <c r="T99" i="34"/>
  <c r="S107" i="34"/>
  <c r="T107" i="34" s="1"/>
  <c r="S106" i="34"/>
  <c r="T106" i="34" s="1"/>
  <c r="S105" i="34"/>
  <c r="T105" i="34" s="1"/>
  <c r="S104" i="34"/>
  <c r="T104" i="34" s="1"/>
  <c r="S103" i="34"/>
  <c r="T103" i="34" s="1"/>
  <c r="S102" i="34"/>
  <c r="T102" i="34" s="1"/>
  <c r="S101" i="34"/>
  <c r="T101" i="34" s="1"/>
  <c r="S100" i="34"/>
  <c r="T100" i="34" s="1"/>
  <c r="S10" i="34"/>
  <c r="S11" i="34"/>
  <c r="T11" i="34" s="1"/>
  <c r="S12" i="34"/>
  <c r="S13" i="34"/>
  <c r="T13" i="34" s="1"/>
  <c r="S14" i="34"/>
  <c r="T14" i="34" s="1"/>
  <c r="S15" i="34"/>
  <c r="T15" i="34" s="1"/>
  <c r="S16" i="34"/>
  <c r="T16" i="34" s="1"/>
  <c r="S17" i="34"/>
  <c r="T17" i="34" s="1"/>
  <c r="S18" i="34"/>
  <c r="T18" i="34" s="1"/>
  <c r="S19" i="34"/>
  <c r="T19" i="34" s="1"/>
  <c r="S20" i="34"/>
  <c r="T20" i="34" s="1"/>
  <c r="S21" i="34"/>
  <c r="T21" i="34" s="1"/>
  <c r="S22" i="34"/>
  <c r="T22" i="34" s="1"/>
  <c r="S23" i="34"/>
  <c r="T23" i="34" s="1"/>
  <c r="S24" i="34"/>
  <c r="T24" i="34" s="1"/>
  <c r="S25" i="34"/>
  <c r="T25" i="34" s="1"/>
  <c r="S26" i="34"/>
  <c r="T26" i="34" s="1"/>
  <c r="S27" i="34"/>
  <c r="T27" i="34" s="1"/>
  <c r="S28" i="34"/>
  <c r="T28" i="34" s="1"/>
  <c r="S29" i="34"/>
  <c r="T29" i="34" s="1"/>
  <c r="S30" i="34"/>
  <c r="T30" i="34" s="1"/>
  <c r="S31" i="34"/>
  <c r="T31" i="34" s="1"/>
  <c r="S32" i="34"/>
  <c r="T32" i="34" s="1"/>
  <c r="S33" i="34"/>
  <c r="T33" i="34" s="1"/>
  <c r="S34" i="34"/>
  <c r="T34" i="34" s="1"/>
  <c r="S35" i="34"/>
  <c r="T35" i="34" s="1"/>
  <c r="S36" i="34"/>
  <c r="T36" i="34" s="1"/>
  <c r="S37" i="34"/>
  <c r="T37" i="34" s="1"/>
  <c r="S38" i="34"/>
  <c r="T38" i="34" s="1"/>
  <c r="S39" i="34"/>
  <c r="T39" i="34" s="1"/>
  <c r="S40" i="34"/>
  <c r="T40" i="34" s="1"/>
  <c r="S41" i="34"/>
  <c r="T41" i="34" s="1"/>
  <c r="S42" i="34"/>
  <c r="T42" i="34" s="1"/>
  <c r="S43" i="34"/>
  <c r="T43" i="34" s="1"/>
  <c r="S44" i="34"/>
  <c r="T44" i="34" s="1"/>
  <c r="S45" i="34"/>
  <c r="T45" i="34" s="1"/>
  <c r="S46" i="34"/>
  <c r="T46" i="34" s="1"/>
  <c r="S47" i="34"/>
  <c r="T47" i="34" s="1"/>
  <c r="S48" i="34"/>
  <c r="T48" i="34" s="1"/>
  <c r="S49" i="34"/>
  <c r="T49" i="34" s="1"/>
  <c r="S50" i="34"/>
  <c r="T50" i="34" s="1"/>
  <c r="S51" i="34"/>
  <c r="T51" i="34" s="1"/>
  <c r="S52" i="34"/>
  <c r="T52" i="34" s="1"/>
  <c r="S53" i="34"/>
  <c r="T53" i="34" s="1"/>
  <c r="S54" i="34"/>
  <c r="T54" i="34" s="1"/>
  <c r="S55" i="34"/>
  <c r="T55" i="34" s="1"/>
  <c r="S56" i="34"/>
  <c r="T56" i="34" s="1"/>
  <c r="S57" i="34"/>
  <c r="T57" i="34" s="1"/>
  <c r="S58" i="34"/>
  <c r="T58" i="34" s="1"/>
  <c r="S59" i="34"/>
  <c r="T59" i="34" s="1"/>
  <c r="S60" i="34"/>
  <c r="T60" i="34" s="1"/>
  <c r="S61" i="34"/>
  <c r="T61" i="34" s="1"/>
  <c r="S62" i="34"/>
  <c r="T62" i="34" s="1"/>
  <c r="S63" i="34"/>
  <c r="T63" i="34" s="1"/>
  <c r="S64" i="34"/>
  <c r="T64" i="34" s="1"/>
  <c r="S65" i="34"/>
  <c r="T65" i="34" s="1"/>
  <c r="S66" i="34"/>
  <c r="T66" i="34" s="1"/>
  <c r="S67" i="34"/>
  <c r="T67" i="34" s="1"/>
  <c r="S68" i="34"/>
  <c r="T68" i="34" s="1"/>
  <c r="S69" i="34"/>
  <c r="T69" i="34" s="1"/>
  <c r="S70" i="34"/>
  <c r="T70" i="34" s="1"/>
  <c r="S9" i="34"/>
  <c r="T9" i="34" l="1"/>
  <c r="T12" i="34"/>
  <c r="T10" i="34"/>
  <c r="I6" i="25" l="1"/>
  <c r="I7" i="25"/>
  <c r="I8" i="25"/>
  <c r="I9" i="25"/>
  <c r="I10" i="25"/>
  <c r="I11" i="25"/>
  <c r="I12" i="25"/>
  <c r="I13" i="25"/>
  <c r="I14" i="25"/>
  <c r="I15" i="25"/>
  <c r="I16" i="25"/>
  <c r="I17" i="25"/>
  <c r="I18" i="25"/>
  <c r="I19" i="25"/>
  <c r="I20" i="25"/>
  <c r="I21" i="25"/>
  <c r="I22" i="25"/>
  <c r="I23" i="25"/>
  <c r="I24" i="25"/>
  <c r="I25" i="25"/>
  <c r="I26" i="25"/>
  <c r="I27" i="25"/>
  <c r="I28" i="25"/>
  <c r="I29" i="25"/>
  <c r="I30" i="25"/>
  <c r="I31" i="25"/>
  <c r="I32" i="25"/>
  <c r="I33" i="25"/>
  <c r="I34" i="25"/>
  <c r="I35" i="25"/>
  <c r="I36" i="25"/>
  <c r="I37" i="25"/>
  <c r="I38" i="25"/>
  <c r="I39" i="25"/>
  <c r="I40" i="25"/>
  <c r="I41" i="25"/>
  <c r="I42" i="25"/>
  <c r="I43" i="25"/>
  <c r="I44" i="25"/>
  <c r="I46" i="25"/>
  <c r="I48" i="25"/>
  <c r="I49" i="25"/>
  <c r="I50" i="25"/>
  <c r="I51" i="25"/>
  <c r="I52" i="25"/>
  <c r="I53" i="25"/>
  <c r="I54" i="25"/>
  <c r="I55" i="25"/>
  <c r="I56" i="25"/>
  <c r="I57" i="25"/>
  <c r="I58" i="25"/>
  <c r="I59" i="25"/>
  <c r="I60" i="25"/>
  <c r="I61" i="25"/>
  <c r="I62" i="25"/>
  <c r="I63" i="25"/>
  <c r="I64" i="25"/>
  <c r="I65" i="25"/>
  <c r="I68" i="25"/>
  <c r="I69" i="25"/>
  <c r="I70" i="25"/>
  <c r="I71" i="25"/>
  <c r="I72" i="25"/>
  <c r="I73" i="25"/>
  <c r="I74" i="25"/>
  <c r="I75" i="25"/>
  <c r="I76" i="25"/>
  <c r="I77" i="25"/>
  <c r="I78" i="25"/>
  <c r="I79" i="25"/>
  <c r="I80" i="25"/>
  <c r="I81" i="25"/>
  <c r="I82" i="25"/>
  <c r="I83" i="25"/>
  <c r="I84" i="25"/>
  <c r="I86" i="25"/>
  <c r="I87" i="25"/>
  <c r="I88" i="25"/>
  <c r="I89" i="25"/>
  <c r="I5" i="25"/>
  <c r="F87" i="33" l="1"/>
  <c r="E87" i="33"/>
  <c r="G86" i="33"/>
  <c r="G85" i="33"/>
  <c r="G84" i="33"/>
  <c r="G83" i="33"/>
  <c r="G82" i="33"/>
  <c r="G81" i="33"/>
  <c r="G80" i="33"/>
  <c r="G79" i="33"/>
  <c r="G78" i="33"/>
  <c r="G77" i="33"/>
  <c r="G76" i="33"/>
  <c r="G75" i="33"/>
  <c r="G74" i="33"/>
  <c r="G73" i="33"/>
  <c r="G72" i="33"/>
  <c r="G71" i="33"/>
  <c r="G70" i="33"/>
  <c r="G69" i="33"/>
  <c r="G68" i="33"/>
  <c r="G67" i="33"/>
  <c r="G66" i="33"/>
  <c r="G65" i="33"/>
  <c r="G64" i="33"/>
  <c r="G63" i="33"/>
  <c r="G62" i="33"/>
  <c r="G61" i="33"/>
  <c r="G60" i="33"/>
  <c r="G59" i="33"/>
  <c r="G58" i="33"/>
  <c r="G56" i="33"/>
  <c r="G55" i="33"/>
  <c r="G54" i="33"/>
  <c r="G53" i="33"/>
  <c r="G52" i="33"/>
  <c r="G51" i="33"/>
  <c r="G50" i="33"/>
  <c r="G49" i="33"/>
  <c r="G48" i="33"/>
  <c r="G47" i="33"/>
  <c r="G46" i="33"/>
  <c r="G45" i="33"/>
  <c r="G44" i="33"/>
  <c r="G43" i="33"/>
  <c r="G42" i="33"/>
  <c r="G41" i="33"/>
  <c r="G40" i="33"/>
  <c r="G39" i="33"/>
  <c r="G38" i="33"/>
  <c r="G37" i="33"/>
  <c r="G36" i="33"/>
  <c r="G35" i="33"/>
  <c r="G34" i="33"/>
  <c r="G33" i="33"/>
  <c r="G32" i="33"/>
  <c r="G31" i="33"/>
  <c r="G30" i="33"/>
  <c r="G29" i="33"/>
  <c r="G28" i="33"/>
  <c r="G27" i="33"/>
  <c r="G26" i="33"/>
  <c r="G25" i="33"/>
  <c r="G24" i="33"/>
  <c r="G23" i="33"/>
  <c r="G22" i="33"/>
  <c r="G21" i="33"/>
  <c r="G20" i="33"/>
  <c r="G19" i="33"/>
  <c r="G18" i="33"/>
  <c r="G17" i="33"/>
  <c r="G16" i="33"/>
  <c r="G15" i="33"/>
  <c r="G14" i="33"/>
  <c r="G13" i="33"/>
  <c r="G12" i="33"/>
  <c r="G11" i="33"/>
  <c r="G10" i="33"/>
  <c r="G9" i="33"/>
  <c r="G8" i="33"/>
  <c r="G7" i="33"/>
  <c r="G6" i="33"/>
  <c r="G87" i="33" l="1"/>
  <c r="L6" i="25"/>
  <c r="L7" i="25"/>
  <c r="L8" i="25"/>
  <c r="L9" i="25"/>
  <c r="L10" i="25"/>
  <c r="L11" i="25"/>
  <c r="L12" i="25"/>
  <c r="L13" i="25"/>
  <c r="L14" i="25"/>
  <c r="L15" i="25"/>
  <c r="L16" i="25"/>
  <c r="L17" i="25"/>
  <c r="L18" i="25"/>
  <c r="L19" i="25"/>
  <c r="L20" i="25"/>
  <c r="L21" i="25"/>
  <c r="L22" i="25"/>
  <c r="L23" i="25"/>
  <c r="L24" i="25"/>
  <c r="L25" i="25"/>
  <c r="L26" i="25"/>
  <c r="L27" i="25"/>
  <c r="L28" i="25"/>
  <c r="L29" i="25"/>
  <c r="L30" i="25"/>
  <c r="L31" i="25"/>
  <c r="L32" i="25"/>
  <c r="L33" i="25"/>
  <c r="L34" i="25"/>
  <c r="L35" i="25"/>
  <c r="L36" i="25"/>
  <c r="L37" i="25"/>
  <c r="L38" i="25"/>
  <c r="L39" i="25"/>
  <c r="L40" i="25"/>
  <c r="L41" i="25"/>
  <c r="L42" i="25"/>
  <c r="L43" i="25"/>
  <c r="L44" i="25"/>
  <c r="L46" i="25"/>
  <c r="L48" i="25"/>
  <c r="L49" i="25"/>
  <c r="L50" i="25"/>
  <c r="L51" i="25"/>
  <c r="L52" i="25"/>
  <c r="L53" i="25"/>
  <c r="L54" i="25"/>
  <c r="L55" i="25"/>
  <c r="L56" i="25"/>
  <c r="L57" i="25"/>
  <c r="L58" i="25"/>
  <c r="L59" i="25"/>
  <c r="L60" i="25"/>
  <c r="L61" i="25"/>
  <c r="L62" i="25"/>
  <c r="L63" i="25"/>
  <c r="L64" i="25"/>
  <c r="L65" i="25"/>
  <c r="L68" i="25"/>
  <c r="L69" i="25"/>
  <c r="L70" i="25"/>
  <c r="L71" i="25"/>
  <c r="L72" i="25"/>
  <c r="L73" i="25"/>
  <c r="L74" i="25"/>
  <c r="L75" i="25"/>
  <c r="L76" i="25"/>
  <c r="L77" i="25"/>
  <c r="L78" i="25"/>
  <c r="L79" i="25"/>
  <c r="L80" i="25"/>
  <c r="L81" i="25"/>
  <c r="L82" i="25"/>
  <c r="L83" i="25"/>
  <c r="L84" i="25"/>
  <c r="L86" i="25"/>
  <c r="L87" i="25"/>
  <c r="L88" i="25"/>
  <c r="L89" i="25"/>
  <c r="L173" i="25"/>
  <c r="L174" i="25"/>
  <c r="L175" i="25"/>
  <c r="L176" i="25"/>
  <c r="L177" i="25"/>
  <c r="L178" i="25"/>
  <c r="L179" i="25"/>
  <c r="L180" i="25"/>
  <c r="L181" i="25"/>
  <c r="L182" i="25"/>
  <c r="L183" i="25"/>
  <c r="L184" i="25"/>
  <c r="L185" i="25"/>
  <c r="L186" i="25"/>
  <c r="L187" i="25"/>
  <c r="L188" i="25"/>
  <c r="L189" i="25"/>
  <c r="L190" i="25"/>
  <c r="L191" i="25"/>
  <c r="L192" i="25"/>
  <c r="L193" i="25"/>
  <c r="L194" i="25"/>
  <c r="L195" i="25"/>
  <c r="L196" i="25"/>
  <c r="L197" i="25"/>
  <c r="L198" i="25"/>
  <c r="L199" i="25"/>
  <c r="L200" i="25"/>
  <c r="L201" i="25"/>
  <c r="L202" i="25"/>
  <c r="L203" i="25"/>
  <c r="L204" i="25"/>
  <c r="L205" i="25"/>
  <c r="L206" i="25"/>
  <c r="L207" i="25"/>
  <c r="L208" i="25"/>
  <c r="L209" i="25"/>
  <c r="L210" i="25"/>
  <c r="L211" i="25"/>
  <c r="L212" i="25"/>
  <c r="L213" i="25"/>
  <c r="L214" i="25"/>
  <c r="L215" i="25"/>
  <c r="L216" i="25"/>
  <c r="L217" i="25"/>
  <c r="L218" i="25"/>
  <c r="L219" i="25"/>
  <c r="L220" i="25"/>
  <c r="L221" i="25"/>
  <c r="L222" i="25"/>
  <c r="L223" i="25"/>
  <c r="L224" i="25"/>
  <c r="L225" i="25"/>
  <c r="L226" i="25"/>
  <c r="L5" i="25"/>
  <c r="Q150" i="24"/>
  <c r="O150" i="24"/>
  <c r="K484" i="13" l="1"/>
  <c r="J484" i="13"/>
  <c r="H487" i="13"/>
  <c r="H486" i="13"/>
  <c r="H484" i="13"/>
  <c r="G487" i="13"/>
  <c r="G486" i="13"/>
  <c r="G484" i="13"/>
  <c r="K496" i="13"/>
  <c r="J496" i="13"/>
  <c r="K495" i="13"/>
  <c r="J495" i="13"/>
  <c r="K494" i="13"/>
  <c r="J494" i="13"/>
  <c r="H494" i="13"/>
  <c r="G494" i="13"/>
  <c r="K492" i="13"/>
  <c r="J492" i="13"/>
  <c r="K280" i="13"/>
  <c r="K97" i="13"/>
  <c r="J47" i="13"/>
  <c r="K61" i="13"/>
  <c r="J234" i="11" l="1"/>
  <c r="J125" i="11"/>
  <c r="K279" i="10" l="1"/>
  <c r="K164" i="10" l="1"/>
  <c r="B42" i="7"/>
  <c r="F38" i="4"/>
  <c r="N6" i="19" l="1"/>
  <c r="O6" i="19" s="1"/>
  <c r="O5" i="19"/>
  <c r="N4" i="19"/>
  <c r="C979" i="16"/>
  <c r="C980" i="16"/>
  <c r="C981" i="16"/>
  <c r="C982" i="16"/>
  <c r="C983" i="16"/>
  <c r="C984" i="16"/>
  <c r="C985" i="16"/>
  <c r="C986" i="16"/>
  <c r="C987" i="16"/>
  <c r="C988" i="16"/>
  <c r="C989" i="16"/>
  <c r="C990" i="16"/>
  <c r="C991" i="16"/>
  <c r="C992" i="16"/>
  <c r="C993" i="16"/>
  <c r="C994" i="16"/>
  <c r="C995" i="16"/>
  <c r="C996" i="16"/>
  <c r="C997" i="16"/>
  <c r="C998" i="16"/>
  <c r="C999" i="16"/>
  <c r="C1000" i="16"/>
  <c r="C1001" i="16"/>
  <c r="C1002" i="16"/>
  <c r="C1003" i="16"/>
  <c r="C1004" i="16"/>
  <c r="C1005" i="16"/>
  <c r="C1006" i="16"/>
  <c r="C1007" i="16"/>
  <c r="C1008" i="16"/>
  <c r="C1009" i="16"/>
  <c r="C1010" i="16"/>
  <c r="C1011" i="16"/>
  <c r="C1012" i="16"/>
  <c r="C1013" i="16"/>
  <c r="C1014" i="16"/>
  <c r="C1015" i="16"/>
  <c r="C1016" i="16"/>
  <c r="C1017" i="16"/>
  <c r="C1018" i="16"/>
  <c r="C1019" i="16"/>
  <c r="C1020" i="16"/>
  <c r="C1021" i="16"/>
  <c r="C1022" i="16"/>
  <c r="C1023" i="16"/>
  <c r="C1024" i="16"/>
  <c r="C1025" i="16"/>
  <c r="C1026" i="16"/>
  <c r="C1027" i="16"/>
  <c r="C1028" i="16"/>
  <c r="C1029" i="16"/>
  <c r="C1030" i="16"/>
  <c r="C1031" i="16"/>
  <c r="C1032" i="16"/>
  <c r="C1033" i="16"/>
  <c r="C1034" i="16"/>
  <c r="C1035" i="16"/>
  <c r="C1036" i="16"/>
  <c r="C1037" i="16"/>
  <c r="C1038" i="16"/>
  <c r="C1039" i="16"/>
  <c r="C1040" i="16"/>
  <c r="C1041" i="16"/>
  <c r="C1042" i="16"/>
  <c r="C1043" i="16"/>
  <c r="C1044" i="16"/>
  <c r="C1045" i="16"/>
  <c r="C1046" i="16"/>
  <c r="C1047" i="16"/>
  <c r="C1048" i="16"/>
  <c r="C1049" i="16"/>
  <c r="C1050" i="16"/>
  <c r="C1051" i="16"/>
  <c r="C1052" i="16"/>
  <c r="C1053" i="16"/>
  <c r="C1054" i="16"/>
  <c r="C1055" i="16"/>
  <c r="C1056" i="16"/>
  <c r="C1057" i="16"/>
  <c r="C1058" i="16"/>
  <c r="C1059" i="16"/>
  <c r="C1060" i="16"/>
  <c r="C1061" i="16"/>
  <c r="C1062" i="16"/>
  <c r="C1063" i="16"/>
  <c r="C1064" i="16"/>
  <c r="C1065" i="16"/>
  <c r="C1066" i="16"/>
  <c r="C1067" i="16"/>
  <c r="C1068" i="16"/>
  <c r="C1069" i="16"/>
  <c r="C1070" i="16"/>
  <c r="C1071" i="16"/>
  <c r="C1072" i="16"/>
  <c r="C1073" i="16"/>
  <c r="C1074" i="16"/>
  <c r="C1075" i="16"/>
  <c r="C1076" i="16"/>
  <c r="C1077" i="16"/>
  <c r="C1078" i="16"/>
  <c r="C1079" i="16"/>
  <c r="C1080" i="16"/>
  <c r="C1081" i="16"/>
  <c r="C1082" i="16"/>
  <c r="C1083" i="16"/>
  <c r="C1084" i="16"/>
  <c r="C1085" i="16"/>
  <c r="C1086" i="16"/>
  <c r="C1087" i="16"/>
  <c r="C1088" i="16"/>
  <c r="C1089" i="16"/>
  <c r="C1090" i="16"/>
  <c r="C1091" i="16"/>
  <c r="C137" i="16"/>
  <c r="C149" i="16"/>
  <c r="C243" i="16"/>
  <c r="C468" i="16"/>
  <c r="C476" i="16"/>
  <c r="C481" i="16"/>
  <c r="C485" i="16"/>
  <c r="C489" i="16"/>
  <c r="C493" i="16"/>
  <c r="C497" i="16"/>
  <c r="C501" i="16"/>
  <c r="C511" i="16"/>
  <c r="C520" i="16"/>
  <c r="C524" i="16"/>
  <c r="C547" i="16"/>
  <c r="C559" i="16"/>
  <c r="C573" i="16"/>
  <c r="C577" i="16"/>
  <c r="C588" i="16"/>
  <c r="C594" i="16"/>
  <c r="C599" i="16"/>
  <c r="C603" i="16"/>
  <c r="C624" i="16"/>
  <c r="C628" i="16"/>
  <c r="C633" i="16"/>
  <c r="C636" i="16"/>
  <c r="C640" i="16"/>
  <c r="C648" i="16"/>
  <c r="C649" i="16"/>
  <c r="C650" i="16"/>
  <c r="C651" i="16"/>
  <c r="C652" i="16"/>
  <c r="C653" i="16"/>
  <c r="C654" i="16"/>
  <c r="C655" i="16"/>
  <c r="C656" i="16"/>
  <c r="C657" i="16"/>
  <c r="C658" i="16"/>
  <c r="C659" i="16"/>
  <c r="C660" i="16"/>
  <c r="C661" i="16"/>
  <c r="C662" i="16"/>
  <c r="C663" i="16"/>
  <c r="C664" i="16"/>
  <c r="C665" i="16"/>
  <c r="C666" i="16"/>
  <c r="C667" i="16"/>
  <c r="C668" i="16"/>
  <c r="C669" i="16"/>
  <c r="C670" i="16"/>
  <c r="C671" i="16"/>
  <c r="C672" i="16"/>
  <c r="C673" i="16"/>
  <c r="C674" i="16"/>
  <c r="C675" i="16"/>
  <c r="C676" i="16"/>
  <c r="C677" i="16"/>
  <c r="C678" i="16"/>
  <c r="C679" i="16"/>
  <c r="C680" i="16"/>
  <c r="C681" i="16"/>
  <c r="C682" i="16"/>
  <c r="C683" i="16"/>
  <c r="C684" i="16"/>
  <c r="C685" i="16"/>
  <c r="C686" i="16"/>
  <c r="C687" i="16"/>
  <c r="C688" i="16"/>
  <c r="C689" i="16"/>
  <c r="C690" i="16"/>
  <c r="C691" i="16"/>
  <c r="C692" i="16"/>
  <c r="C693" i="16"/>
  <c r="C694" i="16"/>
  <c r="C695" i="16"/>
  <c r="C696" i="16"/>
  <c r="C697" i="16"/>
  <c r="C698" i="16"/>
  <c r="C699" i="16"/>
  <c r="C700" i="16"/>
  <c r="C701" i="16"/>
  <c r="C702" i="16"/>
  <c r="C703" i="16"/>
  <c r="C704" i="16"/>
  <c r="C705" i="16"/>
  <c r="C706" i="16"/>
  <c r="C707" i="16"/>
  <c r="C708" i="16"/>
  <c r="C709" i="16"/>
  <c r="C710" i="16"/>
  <c r="C711" i="16"/>
  <c r="C712" i="16"/>
  <c r="C713" i="16"/>
  <c r="C714" i="16"/>
  <c r="C715" i="16"/>
  <c r="C716" i="16"/>
  <c r="C717" i="16"/>
  <c r="C718" i="16"/>
  <c r="C719" i="16"/>
  <c r="C720" i="16"/>
  <c r="C721" i="16"/>
  <c r="C722" i="16"/>
  <c r="C723" i="16"/>
  <c r="C724" i="16"/>
  <c r="C725" i="16"/>
  <c r="C726" i="16"/>
  <c r="C727" i="16"/>
  <c r="C728" i="16"/>
  <c r="C729" i="16"/>
  <c r="C730" i="16"/>
  <c r="C731" i="16"/>
  <c r="C732" i="16"/>
  <c r="C733" i="16"/>
  <c r="C734" i="16"/>
  <c r="C735" i="16"/>
  <c r="C736" i="16"/>
  <c r="C737" i="16"/>
  <c r="C738" i="16"/>
  <c r="C739" i="16"/>
  <c r="C740" i="16"/>
  <c r="C741" i="16"/>
  <c r="C742" i="16"/>
  <c r="C743" i="16"/>
  <c r="C744" i="16"/>
  <c r="C745" i="16"/>
  <c r="C746" i="16"/>
  <c r="C747" i="16"/>
  <c r="C748" i="16"/>
  <c r="C749" i="16"/>
  <c r="C750" i="16"/>
  <c r="C751" i="16"/>
  <c r="C752" i="16"/>
  <c r="C753" i="16"/>
  <c r="C754" i="16"/>
  <c r="C755" i="16"/>
  <c r="C756" i="16"/>
  <c r="C757" i="16"/>
  <c r="C758" i="16"/>
  <c r="C759" i="16"/>
  <c r="C760" i="16"/>
  <c r="C761" i="16"/>
  <c r="C762" i="16"/>
  <c r="C763" i="16"/>
  <c r="C764" i="16"/>
  <c r="C765" i="16"/>
  <c r="C766" i="16"/>
  <c r="C767" i="16"/>
  <c r="C768" i="16"/>
  <c r="C769" i="16"/>
  <c r="C770" i="16"/>
  <c r="C771" i="16"/>
  <c r="C772" i="16"/>
  <c r="C773" i="16"/>
  <c r="C774" i="16"/>
  <c r="C775" i="16"/>
  <c r="C776" i="16"/>
  <c r="C777" i="16"/>
  <c r="C778" i="16"/>
  <c r="C779" i="16"/>
  <c r="C780" i="16"/>
  <c r="C781" i="16"/>
  <c r="C782" i="16"/>
  <c r="C783" i="16"/>
  <c r="C784" i="16"/>
  <c r="C785" i="16"/>
  <c r="C786" i="16"/>
  <c r="C787" i="16"/>
  <c r="C788" i="16"/>
  <c r="C789" i="16"/>
  <c r="C790" i="16"/>
  <c r="C791" i="16"/>
  <c r="C792" i="16"/>
  <c r="C793" i="16"/>
  <c r="C794" i="16"/>
  <c r="C795" i="16"/>
  <c r="C796" i="16"/>
  <c r="C797" i="16"/>
  <c r="C798" i="16"/>
  <c r="C799" i="16"/>
  <c r="C800" i="16"/>
  <c r="C801" i="16"/>
  <c r="C802" i="16"/>
  <c r="C803" i="16"/>
  <c r="C804" i="16"/>
  <c r="C805" i="16"/>
  <c r="C806" i="16"/>
  <c r="C807" i="16"/>
  <c r="C808" i="16"/>
  <c r="C809" i="16"/>
  <c r="C810" i="16"/>
  <c r="C811" i="16"/>
  <c r="C812" i="16"/>
  <c r="C813" i="16"/>
  <c r="C814" i="16"/>
  <c r="C815" i="16"/>
  <c r="C816" i="16"/>
  <c r="C817" i="16"/>
  <c r="C818" i="16"/>
  <c r="C819" i="16"/>
  <c r="C820" i="16"/>
  <c r="C821" i="16"/>
  <c r="C822" i="16"/>
  <c r="C823" i="16"/>
  <c r="C824" i="16"/>
  <c r="C825" i="16"/>
  <c r="C826" i="16"/>
  <c r="C827" i="16"/>
  <c r="C828" i="16"/>
  <c r="C829" i="16"/>
  <c r="C830" i="16"/>
  <c r="C831" i="16"/>
  <c r="C832" i="16"/>
  <c r="C833" i="16"/>
  <c r="C834" i="16"/>
  <c r="C835" i="16"/>
  <c r="C836" i="16"/>
  <c r="C837" i="16"/>
  <c r="C838" i="16"/>
  <c r="C839" i="16"/>
  <c r="C840" i="16"/>
  <c r="C841" i="16"/>
  <c r="C842" i="16"/>
  <c r="C843" i="16"/>
  <c r="C844" i="16"/>
  <c r="C845" i="16"/>
  <c r="C846" i="16"/>
  <c r="C847" i="16"/>
  <c r="C848" i="16"/>
  <c r="C849" i="16"/>
  <c r="C850" i="16"/>
  <c r="C851" i="16"/>
  <c r="C852" i="16"/>
  <c r="C853" i="16"/>
  <c r="C854" i="16"/>
  <c r="C855" i="16"/>
  <c r="C856" i="16"/>
  <c r="C857" i="16"/>
  <c r="C858" i="16"/>
  <c r="C859" i="16"/>
  <c r="C860" i="16"/>
  <c r="C861" i="16"/>
  <c r="C862" i="16"/>
  <c r="C863" i="16"/>
  <c r="C864" i="16"/>
  <c r="C865" i="16"/>
  <c r="C866" i="16"/>
  <c r="C867" i="16"/>
  <c r="C868" i="16"/>
  <c r="C869" i="16"/>
  <c r="C870" i="16"/>
  <c r="C871" i="16"/>
  <c r="C872" i="16"/>
  <c r="C873" i="16"/>
  <c r="C874" i="16"/>
  <c r="C875" i="16"/>
  <c r="C876" i="16"/>
  <c r="C877" i="16"/>
  <c r="C878" i="16"/>
  <c r="C879" i="16"/>
  <c r="C880" i="16"/>
  <c r="C881" i="16"/>
  <c r="C882" i="16"/>
  <c r="C883" i="16"/>
  <c r="C884" i="16"/>
  <c r="C885" i="16"/>
  <c r="C886" i="16"/>
  <c r="C887" i="16"/>
  <c r="C888" i="16"/>
  <c r="C889" i="16"/>
  <c r="C890" i="16"/>
  <c r="C891" i="16"/>
  <c r="C892" i="16"/>
  <c r="C893" i="16"/>
  <c r="C894" i="16"/>
  <c r="C895" i="16"/>
  <c r="C896" i="16"/>
  <c r="C897" i="16"/>
  <c r="C898" i="16"/>
  <c r="C899" i="16"/>
  <c r="C900" i="16"/>
  <c r="C901" i="16"/>
  <c r="C902" i="16"/>
  <c r="C903" i="16"/>
  <c r="C904" i="16"/>
  <c r="C905" i="16"/>
  <c r="C906" i="16"/>
  <c r="C907" i="16"/>
  <c r="C908" i="16"/>
  <c r="C909" i="16"/>
  <c r="C910" i="16"/>
  <c r="C911" i="16"/>
  <c r="C912" i="16"/>
  <c r="C913" i="16"/>
  <c r="C914" i="16"/>
  <c r="C915" i="16"/>
  <c r="C916" i="16"/>
  <c r="C917" i="16"/>
  <c r="C918" i="16"/>
  <c r="C919" i="16"/>
  <c r="C920" i="16"/>
  <c r="C921" i="16"/>
  <c r="C922" i="16"/>
  <c r="C923" i="16"/>
  <c r="C924" i="16"/>
  <c r="C925" i="16"/>
  <c r="C926" i="16"/>
  <c r="C927" i="16"/>
  <c r="C928" i="16"/>
  <c r="C929" i="16"/>
  <c r="C930" i="16"/>
  <c r="C931" i="16"/>
  <c r="C932" i="16"/>
  <c r="C933" i="16"/>
  <c r="C934" i="16"/>
  <c r="C935" i="16"/>
  <c r="C936" i="16"/>
  <c r="C937" i="16"/>
  <c r="C938" i="16"/>
  <c r="C939" i="16"/>
  <c r="C940" i="16"/>
  <c r="C941" i="16"/>
  <c r="C942" i="16"/>
  <c r="C943" i="16"/>
  <c r="C944" i="16"/>
  <c r="C945" i="16"/>
  <c r="C946" i="16"/>
  <c r="C947" i="16"/>
  <c r="C948" i="16"/>
  <c r="C949" i="16"/>
  <c r="C950" i="16"/>
  <c r="C951" i="16"/>
  <c r="C952" i="16"/>
  <c r="C953" i="16"/>
  <c r="C954" i="16"/>
  <c r="C955" i="16"/>
  <c r="C956" i="16"/>
  <c r="C957" i="16"/>
  <c r="C958" i="16"/>
  <c r="C959" i="16"/>
  <c r="C960" i="16"/>
  <c r="C961" i="16"/>
  <c r="C962" i="16"/>
  <c r="C963" i="16"/>
  <c r="C964" i="16"/>
  <c r="C965" i="16"/>
  <c r="C966" i="16"/>
  <c r="C967" i="16"/>
  <c r="C968" i="16"/>
  <c r="C969" i="16"/>
  <c r="C970" i="16"/>
  <c r="C971" i="16"/>
  <c r="C972" i="16"/>
  <c r="C973" i="16"/>
  <c r="C974" i="16"/>
  <c r="C975" i="16"/>
  <c r="C976" i="16"/>
  <c r="C977" i="16"/>
  <c r="C978" i="16"/>
  <c r="K487" i="13"/>
  <c r="K486" i="13"/>
  <c r="K485" i="13"/>
  <c r="K483" i="13"/>
  <c r="J487" i="13"/>
  <c r="J486" i="13"/>
  <c r="J483" i="13"/>
  <c r="J256" i="10" l="1"/>
  <c r="N7" i="19"/>
  <c r="O7" i="19" s="1"/>
  <c r="Q4" i="19" s="1"/>
  <c r="J56" i="7"/>
  <c r="J58" i="7" l="1"/>
  <c r="B69" i="7"/>
  <c r="H69" i="5"/>
  <c r="F69" i="5"/>
  <c r="Q69" i="5" s="1"/>
  <c r="M352" i="11"/>
  <c r="Z67" i="2" l="1"/>
  <c r="Z55" i="2"/>
  <c r="Z54" i="2"/>
  <c r="Z53" i="2"/>
  <c r="Z46" i="2"/>
  <c r="Z45" i="2"/>
  <c r="Z44" i="2"/>
  <c r="Z43" i="2"/>
  <c r="Z39" i="2"/>
  <c r="Z38" i="2"/>
  <c r="Z37" i="2"/>
  <c r="Z35" i="2"/>
  <c r="Z25" i="2"/>
  <c r="Z24" i="2"/>
  <c r="Z23" i="2"/>
  <c r="Z15" i="2"/>
  <c r="N252" i="10" l="1"/>
  <c r="J12" i="5"/>
  <c r="J33" i="5"/>
  <c r="J35" i="5"/>
  <c r="J43" i="5"/>
  <c r="J46" i="5"/>
  <c r="J48" i="5"/>
  <c r="J49" i="5"/>
  <c r="J50" i="5"/>
  <c r="J61" i="5"/>
  <c r="J63" i="5"/>
  <c r="J64" i="5"/>
  <c r="J65" i="5"/>
  <c r="J70" i="5"/>
  <c r="J71" i="5"/>
  <c r="J77" i="5"/>
  <c r="K199" i="10" l="1"/>
  <c r="F35" i="26" l="1"/>
  <c r="F11" i="26"/>
  <c r="F29" i="26"/>
  <c r="F5" i="26"/>
  <c r="F33" i="26"/>
  <c r="F30" i="26"/>
  <c r="J196" i="10" l="1"/>
  <c r="J204" i="10" s="1"/>
  <c r="K198" i="10" l="1"/>
  <c r="K200" i="10" s="1"/>
  <c r="J208" i="10"/>
  <c r="J191" i="10" s="1"/>
  <c r="K207" i="10"/>
  <c r="L207" i="10"/>
  <c r="I208" i="10"/>
  <c r="K206" i="10"/>
  <c r="I200" i="10"/>
  <c r="I186" i="10" s="1"/>
  <c r="L198" i="10"/>
  <c r="J200" i="10"/>
  <c r="J186" i="10" s="1"/>
  <c r="F553" i="13" s="1"/>
  <c r="L206" i="10"/>
  <c r="L199" i="10"/>
  <c r="J553" i="13" l="1"/>
  <c r="K177" i="10"/>
  <c r="I191" i="10"/>
  <c r="K178" i="10" s="1"/>
  <c r="J178" i="10"/>
  <c r="K186" i="10"/>
  <c r="E553" i="13"/>
  <c r="G553" i="13" s="1"/>
  <c r="K208" i="10"/>
  <c r="L186" i="10"/>
  <c r="L208" i="10"/>
  <c r="L200" i="10"/>
  <c r="J177" i="10"/>
  <c r="K179" i="10" l="1"/>
  <c r="H553" i="13"/>
  <c r="K553" i="13" s="1"/>
  <c r="K191" i="10"/>
  <c r="L191" i="10"/>
  <c r="J179" i="10"/>
  <c r="L164" i="10"/>
  <c r="C14" i="2"/>
  <c r="B66" i="7"/>
  <c r="B64" i="7"/>
  <c r="B62" i="7"/>
  <c r="A74" i="7"/>
  <c r="L158" i="10" l="1"/>
  <c r="L160" i="10" l="1"/>
  <c r="M604" i="14"/>
  <c r="I604" i="14"/>
  <c r="M901" i="14"/>
  <c r="I901" i="14"/>
  <c r="M897" i="14"/>
  <c r="I239" i="15" s="1"/>
  <c r="I897" i="14"/>
  <c r="G239" i="15" s="1"/>
  <c r="M440" i="17"/>
  <c r="L440" i="17"/>
  <c r="K440" i="17"/>
  <c r="J440" i="17"/>
  <c r="N437" i="17"/>
  <c r="N440" i="17" s="1"/>
  <c r="L162" i="10" l="1"/>
  <c r="L161" i="10" l="1"/>
  <c r="L163" i="10" s="1"/>
  <c r="N619" i="24" l="1"/>
  <c r="N618" i="24"/>
  <c r="N620" i="24"/>
  <c r="N621" i="24"/>
  <c r="N622" i="24"/>
  <c r="A5" i="26"/>
  <c r="J61" i="13" l="1"/>
  <c r="N166" i="10" l="1"/>
  <c r="L165" i="10"/>
  <c r="L167" i="10" l="1"/>
  <c r="L166" i="10" l="1"/>
  <c r="L168" i="10" s="1"/>
  <c r="N241" i="10" l="1"/>
  <c r="K119" i="10"/>
  <c r="I119" i="10"/>
  <c r="I88" i="10"/>
  <c r="K88" i="10"/>
  <c r="G168" i="16" l="1"/>
  <c r="I351" i="11" l="1"/>
  <c r="J214" i="11" l="1"/>
  <c r="F29" i="5" l="1"/>
  <c r="J29" i="5" l="1"/>
  <c r="Q29" i="5"/>
  <c r="D174" i="20"/>
  <c r="A360" i="16"/>
  <c r="A359" i="16"/>
  <c r="A152" i="16" l="1"/>
  <c r="A155" i="16"/>
  <c r="A157" i="16"/>
  <c r="A158" i="16"/>
  <c r="A161" i="16"/>
  <c r="A164" i="16"/>
  <c r="A167" i="16"/>
  <c r="A176" i="16"/>
  <c r="A180" i="16"/>
  <c r="A181" i="16"/>
  <c r="A184" i="16"/>
  <c r="A185" i="16"/>
  <c r="A186" i="16"/>
  <c r="A188" i="16"/>
  <c r="A189" i="16"/>
  <c r="A190" i="16"/>
  <c r="A193" i="16"/>
  <c r="A194" i="16"/>
  <c r="A197" i="16"/>
  <c r="A198" i="16"/>
  <c r="A217" i="16"/>
  <c r="A219" i="16"/>
  <c r="A220" i="16"/>
  <c r="A221" i="16"/>
  <c r="A223" i="16"/>
  <c r="A225" i="16"/>
  <c r="A226" i="16"/>
  <c r="A228" i="16"/>
  <c r="A230" i="16"/>
  <c r="A231" i="16"/>
  <c r="A233" i="16"/>
  <c r="A234" i="16"/>
  <c r="A237" i="16"/>
  <c r="A238" i="16"/>
  <c r="A241" i="16"/>
  <c r="A243" i="16"/>
  <c r="A245" i="16"/>
  <c r="A246" i="16"/>
  <c r="A247" i="16"/>
  <c r="A248" i="16"/>
  <c r="A251" i="16"/>
  <c r="A252" i="16"/>
  <c r="A254" i="16"/>
  <c r="A271" i="16"/>
  <c r="A272" i="16"/>
  <c r="A274" i="16"/>
  <c r="A275" i="16"/>
  <c r="A277" i="16"/>
  <c r="A278" i="16"/>
  <c r="A280" i="16"/>
  <c r="A281" i="16"/>
  <c r="A283" i="16"/>
  <c r="A284" i="16"/>
  <c r="A286" i="16"/>
  <c r="A287" i="16"/>
  <c r="A289" i="16"/>
  <c r="A290" i="16"/>
  <c r="A292" i="16"/>
  <c r="A293" i="16"/>
  <c r="A294" i="16"/>
  <c r="A295" i="16"/>
  <c r="A296" i="16"/>
  <c r="A297" i="16"/>
  <c r="A299" i="16"/>
  <c r="G338" i="16" l="1"/>
  <c r="G335" i="16" l="1"/>
  <c r="G331" i="16"/>
  <c r="F6" i="26" l="1"/>
  <c r="F9" i="26" l="1"/>
  <c r="O23" i="24" l="1"/>
  <c r="N23" i="24"/>
  <c r="G142" i="16"/>
  <c r="G139" i="16" l="1"/>
  <c r="G141" i="16"/>
  <c r="G138" i="16"/>
  <c r="G135" i="16"/>
  <c r="G132" i="16"/>
  <c r="A131" i="16"/>
  <c r="A133" i="16"/>
  <c r="A134" i="16"/>
  <c r="A136" i="16"/>
  <c r="A137" i="16"/>
  <c r="A139" i="16"/>
  <c r="A140" i="16"/>
  <c r="A143" i="16"/>
  <c r="A145" i="16"/>
  <c r="A148" i="16"/>
  <c r="A151" i="16"/>
  <c r="A300" i="16"/>
  <c r="A301" i="16"/>
  <c r="A302" i="16"/>
  <c r="A304" i="16"/>
  <c r="A305" i="16"/>
  <c r="A307" i="16"/>
  <c r="A308" i="16"/>
  <c r="G310" i="16"/>
  <c r="G311" i="16"/>
  <c r="G130" i="16"/>
  <c r="G129" i="16"/>
  <c r="G128" i="16"/>
  <c r="G127" i="16"/>
  <c r="G126" i="16"/>
  <c r="G124" i="16"/>
  <c r="G123" i="16"/>
  <c r="G122" i="16"/>
  <c r="G121" i="16"/>
  <c r="G120" i="16"/>
  <c r="G119" i="16"/>
  <c r="G118" i="16"/>
  <c r="G117" i="16"/>
  <c r="G116" i="16"/>
  <c r="G115" i="16"/>
  <c r="G114" i="16"/>
  <c r="G113" i="16"/>
  <c r="G111" i="16"/>
  <c r="G110" i="16"/>
  <c r="G108" i="16"/>
  <c r="G107" i="16"/>
  <c r="G105" i="16"/>
  <c r="G103" i="16"/>
  <c r="G100" i="16"/>
  <c r="G101" i="16"/>
  <c r="G97" i="16"/>
  <c r="G98" i="16"/>
  <c r="G95" i="16"/>
  <c r="G94" i="16"/>
  <c r="G92" i="16"/>
  <c r="G91" i="16"/>
  <c r="G89" i="16" l="1"/>
  <c r="G88" i="16"/>
  <c r="G87" i="16"/>
  <c r="G86" i="16"/>
  <c r="G84" i="16"/>
  <c r="G83" i="16"/>
  <c r="G82" i="16"/>
  <c r="G81" i="16"/>
  <c r="G79" i="16"/>
  <c r="G78" i="16"/>
  <c r="G77" i="16"/>
  <c r="G76" i="16"/>
  <c r="G74" i="16"/>
  <c r="G73" i="16"/>
  <c r="G72" i="16"/>
  <c r="G71" i="16"/>
  <c r="G58" i="16"/>
  <c r="G69" i="16"/>
  <c r="G68" i="16"/>
  <c r="G67" i="16"/>
  <c r="G66" i="16"/>
  <c r="G65" i="16"/>
  <c r="G64" i="16"/>
  <c r="G63" i="16"/>
  <c r="G62" i="16"/>
  <c r="N157" i="17" l="1"/>
  <c r="N36" i="17"/>
  <c r="N30" i="17"/>
  <c r="N451" i="17"/>
  <c r="N388" i="17"/>
  <c r="N386" i="17"/>
  <c r="N38" i="17"/>
  <c r="N452" i="17"/>
  <c r="N450" i="17"/>
  <c r="N396" i="17"/>
  <c r="N395" i="17"/>
  <c r="N385" i="17"/>
  <c r="N362" i="17"/>
  <c r="N356" i="17"/>
  <c r="N244" i="17"/>
  <c r="N56" i="17"/>
  <c r="N92" i="17" l="1"/>
  <c r="N245" i="17" l="1"/>
  <c r="N62" i="17"/>
  <c r="N432" i="17" l="1"/>
  <c r="N372" i="17"/>
  <c r="N197" i="17"/>
  <c r="N51" i="17"/>
  <c r="N115" i="17"/>
  <c r="N268" i="17"/>
  <c r="N242" i="17"/>
  <c r="N7" i="17"/>
  <c r="N345" i="17"/>
  <c r="N252" i="17"/>
  <c r="N445" i="17"/>
  <c r="N279" i="17"/>
  <c r="N282" i="17"/>
  <c r="N328" i="17"/>
  <c r="N85" i="17"/>
  <c r="N58" i="17"/>
  <c r="N199" i="17"/>
  <c r="N60" i="17"/>
  <c r="N53" i="17"/>
  <c r="N78" i="17"/>
  <c r="N390" i="17"/>
  <c r="N52" i="17"/>
  <c r="N253" i="17"/>
  <c r="N73" i="17"/>
  <c r="N285" i="17"/>
  <c r="N61" i="17"/>
  <c r="N91" i="17"/>
  <c r="N300" i="17"/>
  <c r="N195" i="17"/>
  <c r="N152" i="17"/>
  <c r="N349" i="17"/>
  <c r="N80" i="17"/>
  <c r="N262" i="17"/>
  <c r="N284" i="17"/>
  <c r="N360" i="17"/>
  <c r="N330" i="17"/>
  <c r="N235" i="17"/>
  <c r="N113" i="17"/>
  <c r="N84" i="17"/>
  <c r="N126" i="17"/>
  <c r="N110" i="17"/>
  <c r="N137" i="17"/>
  <c r="N90" i="17"/>
  <c r="N269" i="17"/>
  <c r="N55" i="17"/>
  <c r="N82" i="17"/>
  <c r="N394" i="17"/>
  <c r="N57" i="17"/>
  <c r="N81" i="17"/>
  <c r="N123" i="17"/>
  <c r="N286" i="17"/>
  <c r="N68" i="17"/>
  <c r="N111" i="17"/>
  <c r="N303" i="17"/>
  <c r="N33" i="17"/>
  <c r="N65" i="17"/>
  <c r="N79" i="17"/>
  <c r="N109" i="17"/>
  <c r="N301" i="17"/>
  <c r="N83" i="17"/>
  <c r="N287" i="17"/>
  <c r="N344" i="17"/>
  <c r="N363" i="17"/>
  <c r="N173" i="17"/>
  <c r="N342" i="17"/>
  <c r="N306" i="17"/>
  <c r="N270" i="17"/>
  <c r="N447" i="17"/>
  <c r="N259" i="17"/>
  <c r="N69" i="17"/>
  <c r="N87" i="17"/>
  <c r="N112" i="17"/>
  <c r="N274" i="17"/>
  <c r="N302" i="17"/>
  <c r="N89" i="17"/>
  <c r="N350" i="17"/>
  <c r="N155" i="17"/>
  <c r="N31" i="17"/>
  <c r="N28" i="17"/>
  <c r="N22" i="17"/>
  <c r="N299" i="17"/>
  <c r="N63" i="17"/>
  <c r="N281" i="17"/>
  <c r="N194" i="17"/>
  <c r="N240" i="17"/>
  <c r="N138" i="17"/>
  <c r="N392" i="17"/>
  <c r="N121" i="17"/>
  <c r="N273" i="17"/>
  <c r="N191" i="17"/>
  <c r="N107" i="17"/>
  <c r="N260" i="17"/>
  <c r="N193" i="17"/>
  <c r="N117" i="17"/>
  <c r="N255" i="17"/>
  <c r="N305" i="17"/>
  <c r="N278" i="17"/>
  <c r="N453" i="17"/>
  <c r="N263" i="17"/>
  <c r="N308" i="17"/>
  <c r="N32" i="17"/>
  <c r="N246" i="17"/>
  <c r="N37" i="17"/>
  <c r="N261" i="17"/>
  <c r="N243" i="17"/>
  <c r="N258" i="17"/>
  <c r="N254" i="17"/>
  <c r="N172" i="17"/>
  <c r="N267" i="17"/>
  <c r="N241" i="17"/>
  <c r="N283" i="17"/>
  <c r="N35" i="17"/>
  <c r="N75" i="17"/>
  <c r="N67" i="17"/>
  <c r="N66" i="17"/>
  <c r="N88" i="17"/>
  <c r="N50" i="17"/>
  <c r="N120" i="17"/>
  <c r="N417" i="17"/>
  <c r="N70" i="17"/>
  <c r="N415" i="17"/>
  <c r="N141" i="17"/>
  <c r="N140" i="17"/>
  <c r="N108" i="17"/>
  <c r="N72" i="17"/>
  <c r="N86" i="17"/>
  <c r="N168" i="17" l="1"/>
  <c r="N231" i="17"/>
  <c r="N343" i="17"/>
  <c r="N337" i="17"/>
  <c r="N169" i="17"/>
  <c r="N373" i="17"/>
  <c r="N329" i="17"/>
  <c r="N174" i="17"/>
  <c r="N318" i="17"/>
  <c r="N217" i="17"/>
  <c r="N351" i="17"/>
  <c r="N192" i="17"/>
  <c r="N122" i="17"/>
  <c r="N74" i="17"/>
  <c r="N266" i="17"/>
  <c r="N77" i="17"/>
  <c r="N136" i="17"/>
  <c r="N27" i="17"/>
  <c r="N171" i="17"/>
  <c r="N153" i="17"/>
  <c r="N348" i="17"/>
  <c r="N167" i="17"/>
  <c r="N371" i="17"/>
  <c r="N234" i="17"/>
  <c r="N346" i="17"/>
  <c r="N222" i="17"/>
  <c r="N431" i="17"/>
  <c r="N368" i="17"/>
  <c r="N361" i="17"/>
  <c r="N378" i="17"/>
  <c r="N338" i="17"/>
  <c r="N416" i="17"/>
  <c r="N125" i="17"/>
  <c r="N76" i="17"/>
  <c r="N239" i="17"/>
  <c r="N124" i="17"/>
  <c r="N165" i="17"/>
  <c r="N382" i="17"/>
  <c r="N446" i="17"/>
  <c r="N448" i="17"/>
  <c r="N59" i="17"/>
  <c r="N114" i="17"/>
  <c r="N71" i="17"/>
  <c r="N118" i="17"/>
  <c r="N119" i="17"/>
  <c r="N251" i="17"/>
  <c r="N139" i="17"/>
  <c r="N304" i="17"/>
  <c r="N277" i="17"/>
  <c r="N340" i="17"/>
  <c r="N369" i="17"/>
  <c r="N367" i="17"/>
  <c r="N327" i="17"/>
  <c r="N207" i="17"/>
  <c r="N387" i="17"/>
  <c r="N380" i="17"/>
  <c r="N186" i="17"/>
  <c r="N375" i="17"/>
  <c r="N317" i="17"/>
  <c r="N433" i="17"/>
  <c r="N381" i="17"/>
  <c r="N347" i="17"/>
  <c r="N320" i="17"/>
  <c r="N221" i="17"/>
  <c r="N204" i="17"/>
  <c r="N365" i="17"/>
  <c r="N339" i="17"/>
  <c r="N443" i="17"/>
  <c r="N250" i="17"/>
  <c r="N280" i="17"/>
  <c r="N198" i="17"/>
  <c r="N64" i="17"/>
  <c r="N54" i="17"/>
  <c r="N206" i="17"/>
  <c r="N383" i="17"/>
  <c r="N34" i="17"/>
  <c r="N444" i="17"/>
  <c r="N10" i="17"/>
  <c r="N11" i="17"/>
  <c r="N14" i="17"/>
  <c r="N106" i="17"/>
  <c r="N391" i="17"/>
  <c r="N309" i="17"/>
  <c r="N196" i="17"/>
  <c r="N249" i="17"/>
  <c r="N307" i="17"/>
  <c r="N49" i="17"/>
  <c r="N116" i="17"/>
  <c r="N393" i="17"/>
  <c r="N183" i="17"/>
  <c r="N154" i="17"/>
  <c r="N319" i="17"/>
  <c r="N333" i="17"/>
  <c r="N203" i="17"/>
  <c r="N223" i="17"/>
  <c r="N178" i="17"/>
  <c r="N374" i="17"/>
  <c r="N316" i="17"/>
  <c r="N366" i="17"/>
  <c r="N364" i="17"/>
  <c r="N341" i="17"/>
  <c r="N20" i="17"/>
  <c r="N216" i="17"/>
  <c r="N370" i="17"/>
  <c r="N384" i="17"/>
  <c r="N418" i="17"/>
  <c r="N185" i="17"/>
  <c r="N21" i="17"/>
  <c r="N376" i="17"/>
  <c r="N29" i="17"/>
  <c r="N26" i="17" l="1"/>
  <c r="N6" i="17"/>
  <c r="N233" i="17"/>
  <c r="N232" i="17"/>
  <c r="N8" i="17"/>
  <c r="N205" i="17"/>
  <c r="N355" i="17"/>
  <c r="N389" i="17"/>
  <c r="N13" i="17"/>
  <c r="N164" i="17"/>
  <c r="N419" i="17"/>
  <c r="N170" i="17"/>
  <c r="N166" i="17"/>
  <c r="N414" i="17"/>
  <c r="N12" i="17"/>
  <c r="N9" i="17"/>
  <c r="N184" i="17"/>
  <c r="N379" i="17" l="1"/>
  <c r="N377" i="17" l="1"/>
  <c r="N449" i="17" l="1"/>
  <c r="O293" i="24" l="1"/>
  <c r="N293" i="24"/>
  <c r="J280" i="13"/>
  <c r="K281" i="13"/>
  <c r="J97" i="13"/>
  <c r="K59" i="13"/>
  <c r="K55" i="13"/>
  <c r="G421" i="11"/>
  <c r="H421" i="11" s="1"/>
  <c r="I421" i="11" s="1"/>
  <c r="J351" i="11"/>
  <c r="J140" i="11"/>
  <c r="J139" i="11"/>
  <c r="I139" i="11"/>
  <c r="I125" i="11"/>
  <c r="K235" i="10" l="1"/>
  <c r="K77" i="8"/>
  <c r="K78" i="8"/>
  <c r="H38" i="4" l="1"/>
  <c r="L6" i="19" l="1"/>
  <c r="M6" i="19" s="1"/>
  <c r="M5" i="19"/>
  <c r="L4" i="19"/>
  <c r="D99" i="20" l="1"/>
  <c r="T41" i="3"/>
  <c r="L7" i="19"/>
  <c r="M7" i="19" s="1"/>
  <c r="O4" i="19" s="1"/>
  <c r="K256" i="10" l="1"/>
  <c r="T42" i="3"/>
  <c r="A7" i="26"/>
  <c r="A9" i="26"/>
  <c r="A10" i="26"/>
  <c r="A12" i="26"/>
  <c r="A13" i="26"/>
  <c r="A15" i="26"/>
  <c r="A16" i="26"/>
  <c r="A18" i="26"/>
  <c r="A19" i="26"/>
  <c r="A21" i="26"/>
  <c r="A22" i="26"/>
  <c r="A24" i="26"/>
  <c r="A25" i="26"/>
  <c r="A27" i="26"/>
  <c r="A28" i="26"/>
  <c r="A30" i="26"/>
  <c r="A31" i="26"/>
  <c r="A33" i="26"/>
  <c r="A34" i="26"/>
  <c r="A36" i="26"/>
  <c r="A37" i="26"/>
  <c r="A38" i="26"/>
  <c r="A39" i="26"/>
  <c r="A40" i="26"/>
  <c r="A41" i="26"/>
  <c r="A42" i="26"/>
  <c r="A43" i="26"/>
  <c r="A44" i="26"/>
  <c r="A45" i="26"/>
  <c r="A46" i="26"/>
  <c r="A47" i="26"/>
  <c r="C7" i="26"/>
  <c r="C10" i="26"/>
  <c r="C13" i="26"/>
  <c r="C16" i="26"/>
  <c r="C19" i="26"/>
  <c r="C22" i="26"/>
  <c r="C25" i="26"/>
  <c r="C28" i="26"/>
  <c r="C31" i="26"/>
  <c r="C34" i="26"/>
  <c r="C37" i="26"/>
  <c r="I28" i="21" l="1"/>
  <c r="I28" i="15"/>
  <c r="J215" i="11" l="1"/>
  <c r="B90" i="5" l="1"/>
  <c r="B92" i="5"/>
  <c r="J145" i="13" l="1"/>
  <c r="J188" i="13"/>
  <c r="J144" i="13"/>
  <c r="H185" i="13"/>
  <c r="H141" i="13"/>
  <c r="H140" i="13"/>
  <c r="J135" i="13" l="1"/>
  <c r="J134" i="13"/>
  <c r="H163" i="13"/>
  <c r="H121" i="13"/>
  <c r="J161" i="13"/>
  <c r="J119" i="13"/>
  <c r="J159" i="13"/>
  <c r="J117" i="13"/>
  <c r="H157" i="13"/>
  <c r="H115" i="13"/>
  <c r="J211" i="13" l="1"/>
  <c r="H135" i="13"/>
  <c r="K135" i="13" l="1"/>
  <c r="F81" i="20"/>
  <c r="K236" i="10" l="1"/>
  <c r="J236" i="10"/>
  <c r="J235" i="10"/>
  <c r="K253" i="10"/>
  <c r="K250" i="10"/>
  <c r="J250" i="10"/>
  <c r="K233" i="10"/>
  <c r="J233" i="10"/>
  <c r="H134" i="13" l="1"/>
  <c r="J140" i="13"/>
  <c r="J122" i="13"/>
  <c r="H119" i="13"/>
  <c r="I140" i="11" l="1"/>
  <c r="J141" i="13" l="1"/>
  <c r="J142" i="13"/>
  <c r="J281" i="13"/>
  <c r="J243" i="13" l="1"/>
  <c r="J242" i="13"/>
  <c r="K236" i="13"/>
  <c r="J236" i="13"/>
  <c r="J235" i="13"/>
  <c r="J216" i="13"/>
  <c r="J218" i="13"/>
  <c r="J217" i="13"/>
  <c r="J206" i="13"/>
  <c r="J213" i="13"/>
  <c r="J203" i="13"/>
  <c r="J202" i="13"/>
  <c r="K243" i="13"/>
  <c r="K242" i="13"/>
  <c r="K235" i="13"/>
  <c r="K218" i="13"/>
  <c r="K217" i="13"/>
  <c r="K216" i="13"/>
  <c r="K214" i="13"/>
  <c r="J214" i="13"/>
  <c r="K213" i="13"/>
  <c r="K211" i="13"/>
  <c r="K206" i="13"/>
  <c r="K203" i="13"/>
  <c r="K202" i="13"/>
  <c r="H117" i="13"/>
  <c r="J127" i="13"/>
  <c r="H122" i="13"/>
  <c r="J118" i="13"/>
  <c r="J115" i="13"/>
  <c r="J186" i="13" l="1"/>
  <c r="J184" i="13"/>
  <c r="K238" i="13"/>
  <c r="H184" i="13"/>
  <c r="J173" i="13"/>
  <c r="J164" i="13"/>
  <c r="J163" i="13"/>
  <c r="H164" i="13"/>
  <c r="J157" i="13"/>
  <c r="I425" i="11" l="1"/>
  <c r="I413" i="11"/>
  <c r="J404" i="11"/>
  <c r="G413" i="11"/>
  <c r="I404" i="11"/>
  <c r="I730" i="14" l="1"/>
  <c r="G257" i="15" l="1"/>
  <c r="D81" i="20"/>
  <c r="B41" i="31" l="1"/>
  <c r="B60" i="31"/>
  <c r="B57" i="31"/>
  <c r="B97" i="31"/>
  <c r="B99" i="31"/>
  <c r="B108" i="31"/>
  <c r="B107" i="31"/>
  <c r="B109" i="31"/>
  <c r="B96" i="31"/>
  <c r="B84" i="31"/>
  <c r="B78" i="31"/>
  <c r="B86" i="31"/>
  <c r="B83" i="31"/>
  <c r="B82" i="31"/>
  <c r="B100" i="31"/>
  <c r="B98" i="31"/>
  <c r="B87" i="31"/>
  <c r="B85" i="31"/>
  <c r="B77" i="31"/>
  <c r="B76" i="31"/>
  <c r="B63" i="31"/>
  <c r="B62" i="31"/>
  <c r="B59" i="31"/>
  <c r="B52" i="31"/>
  <c r="B50" i="31"/>
  <c r="B47" i="31"/>
  <c r="B40" i="31"/>
  <c r="B33" i="31"/>
  <c r="B32" i="31"/>
  <c r="B29" i="31"/>
  <c r="B28" i="31"/>
  <c r="B27" i="31"/>
  <c r="B22" i="31"/>
  <c r="B21" i="31"/>
  <c r="B20" i="31"/>
  <c r="B19" i="31"/>
  <c r="B61" i="31"/>
  <c r="B58" i="31"/>
  <c r="B51" i="31"/>
  <c r="B49" i="31"/>
  <c r="B48" i="31"/>
  <c r="B31" i="31"/>
  <c r="B30" i="31"/>
  <c r="B18" i="31"/>
  <c r="B17" i="31"/>
  <c r="B15" i="31"/>
  <c r="B14" i="31"/>
  <c r="B13" i="31"/>
  <c r="B12" i="31"/>
  <c r="A1" i="31" l="1"/>
  <c r="C111" i="31"/>
  <c r="D109" i="31"/>
  <c r="D108" i="31"/>
  <c r="B111" i="31"/>
  <c r="D106" i="31"/>
  <c r="D99" i="31"/>
  <c r="D98" i="31"/>
  <c r="D97" i="31"/>
  <c r="D96" i="31"/>
  <c r="C88" i="31"/>
  <c r="D87" i="31"/>
  <c r="D86" i="31"/>
  <c r="D85" i="31"/>
  <c r="D84" i="31"/>
  <c r="D83" i="31"/>
  <c r="D82" i="31"/>
  <c r="B88" i="31"/>
  <c r="C79" i="31"/>
  <c r="C90" i="31" s="1"/>
  <c r="C93" i="31" s="1"/>
  <c r="D78" i="31"/>
  <c r="D77" i="31"/>
  <c r="D76" i="31"/>
  <c r="B79" i="31"/>
  <c r="C64" i="31"/>
  <c r="D63" i="31"/>
  <c r="D62" i="31"/>
  <c r="D61" i="31"/>
  <c r="D60" i="31"/>
  <c r="D59" i="31"/>
  <c r="D58" i="31"/>
  <c r="D57" i="31"/>
  <c r="B64" i="31"/>
  <c r="D51" i="31"/>
  <c r="D50" i="31"/>
  <c r="B53" i="31"/>
  <c r="D48" i="31"/>
  <c r="D47" i="31"/>
  <c r="B42" i="31"/>
  <c r="C34" i="31"/>
  <c r="D33" i="31"/>
  <c r="D32" i="31"/>
  <c r="D31" i="31"/>
  <c r="D30" i="31"/>
  <c r="D29" i="31"/>
  <c r="B34" i="31"/>
  <c r="D27" i="31"/>
  <c r="D22" i="31"/>
  <c r="D21" i="31"/>
  <c r="D19" i="31"/>
  <c r="D18" i="31"/>
  <c r="D17" i="31"/>
  <c r="D15" i="31"/>
  <c r="D14" i="31"/>
  <c r="D13" i="31"/>
  <c r="B23" i="31"/>
  <c r="B90" i="31" l="1"/>
  <c r="B93" i="31" s="1"/>
  <c r="D64" i="31"/>
  <c r="B66" i="31"/>
  <c r="B36" i="31"/>
  <c r="D88" i="31"/>
  <c r="B101" i="31"/>
  <c r="D28" i="31"/>
  <c r="D34" i="31" s="1"/>
  <c r="D49" i="31"/>
  <c r="D12" i="31"/>
  <c r="D40" i="31"/>
  <c r="D79" i="31"/>
  <c r="D107" i="31"/>
  <c r="D111" i="31" s="1"/>
  <c r="B103" i="31" l="1"/>
  <c r="B113" i="31" s="1"/>
  <c r="D90" i="31"/>
  <c r="D93" i="31" s="1"/>
  <c r="J236" i="11" l="1"/>
  <c r="J117" i="10" l="1"/>
  <c r="H117" i="10"/>
  <c r="J103" i="10"/>
  <c r="H103" i="10"/>
  <c r="J95" i="10"/>
  <c r="H95" i="10"/>
  <c r="J86" i="10"/>
  <c r="J52" i="10"/>
  <c r="J40" i="10"/>
  <c r="H40" i="10"/>
  <c r="H52" i="10"/>
  <c r="H86" i="10"/>
  <c r="I78" i="8"/>
  <c r="I77" i="8"/>
  <c r="K30" i="8"/>
  <c r="K32" i="8"/>
  <c r="K31" i="8" s="1"/>
  <c r="K29" i="8"/>
  <c r="J10" i="8" l="1"/>
  <c r="J21" i="8"/>
  <c r="K10" i="8"/>
  <c r="K21" i="8"/>
  <c r="J30" i="8" l="1"/>
  <c r="A665" i="16" l="1"/>
  <c r="A666" i="16"/>
  <c r="A667" i="16"/>
  <c r="H237" i="14" l="1"/>
  <c r="D187" i="20" l="1"/>
  <c r="A657" i="16"/>
  <c r="A656" i="16"/>
  <c r="A654" i="16"/>
  <c r="A650" i="16"/>
  <c r="A651" i="16"/>
  <c r="A653" i="16"/>
  <c r="A659" i="16"/>
  <c r="A660" i="16"/>
  <c r="A662" i="16"/>
  <c r="A663" i="16"/>
  <c r="A664" i="16"/>
  <c r="A701" i="16" l="1"/>
  <c r="A446" i="16"/>
  <c r="A448" i="16"/>
  <c r="A449" i="16"/>
  <c r="A450" i="16"/>
  <c r="A451" i="16"/>
  <c r="A452" i="16"/>
  <c r="A453" i="16"/>
  <c r="A454" i="16"/>
  <c r="A455" i="16"/>
  <c r="A456" i="16"/>
  <c r="A364" i="16"/>
  <c r="A367" i="16"/>
  <c r="A368" i="16"/>
  <c r="A371" i="16"/>
  <c r="A373" i="16"/>
  <c r="A375" i="16"/>
  <c r="A376" i="16"/>
  <c r="A377" i="16"/>
  <c r="A378" i="16"/>
  <c r="A381" i="16"/>
  <c r="A384" i="16"/>
  <c r="A386" i="16"/>
  <c r="A387" i="16"/>
  <c r="A388" i="16"/>
  <c r="A390" i="16"/>
  <c r="A391" i="16"/>
  <c r="A394" i="16"/>
  <c r="A395" i="16"/>
  <c r="A397" i="16"/>
  <c r="A398" i="16"/>
  <c r="A399" i="16"/>
  <c r="A401" i="16"/>
  <c r="A402" i="16"/>
  <c r="A403" i="16"/>
  <c r="A405" i="16"/>
  <c r="A407" i="16"/>
  <c r="A409" i="16"/>
  <c r="A412" i="16"/>
  <c r="A413" i="16"/>
  <c r="A415" i="16"/>
  <c r="A416" i="16"/>
  <c r="A418" i="16"/>
  <c r="A419" i="16"/>
  <c r="A421" i="16"/>
  <c r="A422" i="16"/>
  <c r="A423" i="16"/>
  <c r="A424" i="16"/>
  <c r="A426" i="16"/>
  <c r="A427" i="16"/>
  <c r="A428" i="16"/>
  <c r="A430" i="16"/>
  <c r="A431" i="16"/>
  <c r="A432" i="16"/>
  <c r="A434" i="16"/>
  <c r="A435" i="16"/>
  <c r="A436" i="16"/>
  <c r="A437" i="16"/>
  <c r="A438" i="16"/>
  <c r="A440" i="16"/>
  <c r="A441" i="16"/>
  <c r="A442" i="16"/>
  <c r="A443" i="16"/>
  <c r="A445" i="16"/>
  <c r="A9" i="16" l="1"/>
  <c r="A10" i="16"/>
  <c r="A11" i="16"/>
  <c r="A13" i="16"/>
  <c r="A14" i="16"/>
  <c r="A16" i="16"/>
  <c r="A17" i="16"/>
  <c r="A18" i="16"/>
  <c r="A23" i="16"/>
  <c r="A24" i="16"/>
  <c r="A27" i="16"/>
  <c r="A29" i="16"/>
  <c r="A30" i="16"/>
  <c r="A33" i="16"/>
  <c r="A35" i="16"/>
  <c r="A38" i="16"/>
  <c r="A41" i="16"/>
  <c r="A43" i="16"/>
  <c r="A44" i="16"/>
  <c r="A46" i="16"/>
  <c r="A47" i="16"/>
  <c r="A49" i="16"/>
  <c r="A51" i="16"/>
  <c r="A52" i="16"/>
  <c r="A54" i="16"/>
  <c r="A55" i="16"/>
  <c r="A57" i="16"/>
  <c r="A58" i="16"/>
  <c r="A60" i="16"/>
  <c r="A63" i="16"/>
  <c r="A64" i="16"/>
  <c r="A65" i="16"/>
  <c r="A66" i="16"/>
  <c r="A67" i="16"/>
  <c r="A68" i="16"/>
  <c r="A69" i="16"/>
  <c r="A72" i="16"/>
  <c r="A74" i="16"/>
  <c r="A75" i="16"/>
  <c r="A77" i="16"/>
  <c r="A78" i="16"/>
  <c r="A79" i="16"/>
  <c r="A80" i="16"/>
  <c r="A82" i="16"/>
  <c r="A83" i="16"/>
  <c r="A84" i="16"/>
  <c r="A85" i="16"/>
  <c r="A87" i="16"/>
  <c r="A88" i="16"/>
  <c r="A89" i="16"/>
  <c r="A90" i="16"/>
  <c r="A92" i="16"/>
  <c r="A93" i="16"/>
  <c r="A95" i="16"/>
  <c r="A98" i="16"/>
  <c r="A99" i="16"/>
  <c r="A102" i="16"/>
  <c r="A105" i="16"/>
  <c r="A106" i="16"/>
  <c r="A109" i="16"/>
  <c r="A111" i="16"/>
  <c r="A115" i="16"/>
  <c r="A119" i="16"/>
  <c r="A121" i="16"/>
  <c r="A125" i="16"/>
  <c r="A127" i="16"/>
  <c r="A319" i="16"/>
  <c r="A321" i="16"/>
  <c r="A324" i="16"/>
  <c r="A325" i="16"/>
  <c r="A327" i="16"/>
  <c r="A328" i="16"/>
  <c r="A331" i="16"/>
  <c r="A333" i="16"/>
  <c r="A335" i="16"/>
  <c r="A338" i="16"/>
  <c r="A341" i="16"/>
  <c r="A344" i="16"/>
  <c r="A347" i="16"/>
  <c r="A348" i="16"/>
  <c r="A349" i="16"/>
  <c r="A355" i="16"/>
  <c r="A356" i="16"/>
  <c r="A363" i="16"/>
  <c r="G10" i="16"/>
  <c r="G459" i="16" l="1"/>
  <c r="O22" i="24" l="1"/>
  <c r="N22" i="24"/>
  <c r="O21" i="24"/>
  <c r="N21" i="24"/>
  <c r="O324" i="24"/>
  <c r="N324" i="24"/>
  <c r="F121" i="20"/>
  <c r="F75" i="20"/>
  <c r="J6" i="19" l="1"/>
  <c r="K6" i="19" s="1"/>
  <c r="K5" i="19"/>
  <c r="K259" i="13" l="1"/>
  <c r="J259" i="13"/>
  <c r="A123" i="8" l="1"/>
  <c r="A147" i="10"/>
  <c r="A145" i="10"/>
  <c r="A3" i="8"/>
  <c r="L501" i="13" l="1"/>
  <c r="L502" i="13" s="1"/>
  <c r="L503" i="13" l="1"/>
  <c r="L504" i="13" s="1"/>
  <c r="H425" i="11" l="1"/>
  <c r="J421" i="11"/>
  <c r="J286" i="11" l="1"/>
  <c r="I286" i="11"/>
  <c r="G485" i="13" l="1"/>
  <c r="H485" i="13"/>
  <c r="J485" i="13"/>
  <c r="H144" i="13" l="1"/>
  <c r="H143" i="13"/>
  <c r="H142" i="13"/>
  <c r="H133" i="13"/>
  <c r="H127" i="13"/>
  <c r="H161" i="13"/>
  <c r="H160" i="13"/>
  <c r="H159" i="13"/>
  <c r="H188" i="13"/>
  <c r="H187" i="13"/>
  <c r="H186" i="13"/>
  <c r="J176" i="13"/>
  <c r="J238" i="13"/>
  <c r="H118" i="13"/>
  <c r="I63" i="12" l="1"/>
  <c r="I236" i="11" l="1"/>
  <c r="I184" i="11" l="1"/>
  <c r="H184" i="11"/>
  <c r="G184" i="11"/>
  <c r="J184" i="11" l="1"/>
  <c r="J174" i="11"/>
  <c r="J175" i="11"/>
  <c r="J167" i="11" l="1"/>
  <c r="H176" i="11"/>
  <c r="D176" i="11"/>
  <c r="C176" i="11"/>
  <c r="H175" i="11"/>
  <c r="D175" i="11"/>
  <c r="C175" i="11"/>
  <c r="D174" i="11"/>
  <c r="H174" i="11"/>
  <c r="C174" i="11"/>
  <c r="E175" i="11" l="1"/>
  <c r="G175" i="11" s="1"/>
  <c r="I175" i="11" s="1"/>
  <c r="E174" i="11"/>
  <c r="G174" i="11" s="1"/>
  <c r="I174" i="11" s="1"/>
  <c r="E176" i="11"/>
  <c r="G176" i="11" s="1"/>
  <c r="L142" i="13" l="1"/>
  <c r="Z171" i="8" l="1"/>
  <c r="J165" i="11" l="1"/>
  <c r="I165" i="11"/>
  <c r="J63" i="12" l="1"/>
  <c r="I68" i="12" l="1"/>
  <c r="J67" i="12" l="1"/>
  <c r="I67" i="12"/>
  <c r="J66" i="12"/>
  <c r="I66" i="12"/>
  <c r="J65" i="12"/>
  <c r="I65" i="12"/>
  <c r="J60" i="12"/>
  <c r="I60" i="12"/>
  <c r="J77" i="12"/>
  <c r="J78" i="12" s="1"/>
  <c r="G122" i="18"/>
  <c r="A773" i="16" l="1"/>
  <c r="A774" i="16"/>
  <c r="A775" i="16"/>
  <c r="A777" i="16"/>
  <c r="A779" i="16"/>
  <c r="A781" i="16"/>
  <c r="K14" i="10" l="1"/>
  <c r="J14" i="10"/>
  <c r="F80" i="20" l="1"/>
  <c r="D24" i="21" l="1"/>
  <c r="F31" i="21"/>
  <c r="H150" i="11" l="1"/>
  <c r="K505" i="13" l="1"/>
  <c r="H505" i="13"/>
  <c r="H28" i="5" l="1"/>
  <c r="F28" i="5"/>
  <c r="Q28" i="5" s="1"/>
  <c r="J28" i="5" l="1"/>
  <c r="K535" i="13"/>
  <c r="J535" i="13"/>
  <c r="K120" i="10" l="1"/>
  <c r="K90" i="10"/>
  <c r="I120" i="10"/>
  <c r="J120" i="10"/>
  <c r="H120" i="10"/>
  <c r="J90" i="10"/>
  <c r="H90" i="10"/>
  <c r="H112" i="10" s="1"/>
  <c r="H97" i="10" l="1"/>
  <c r="J97" i="10"/>
  <c r="K97" i="10" s="1"/>
  <c r="J99" i="10" l="1"/>
  <c r="J105" i="10" s="1"/>
  <c r="J108" i="10" s="1"/>
  <c r="K99" i="10"/>
  <c r="I99" i="10"/>
  <c r="H99" i="10"/>
  <c r="H105" i="10" s="1"/>
  <c r="H108" i="10" s="1"/>
  <c r="D850" i="27" l="1"/>
  <c r="C850" i="27"/>
  <c r="D849" i="27"/>
  <c r="C849" i="27"/>
  <c r="D848" i="27"/>
  <c r="C848" i="27"/>
  <c r="D847" i="27"/>
  <c r="C847" i="27"/>
  <c r="D846" i="27"/>
  <c r="C846" i="27"/>
  <c r="D845" i="27"/>
  <c r="C845" i="27"/>
  <c r="D844" i="27"/>
  <c r="C844" i="27"/>
  <c r="D843" i="27"/>
  <c r="C843" i="27"/>
  <c r="D842" i="27"/>
  <c r="C842" i="27"/>
  <c r="D841" i="27"/>
  <c r="C841" i="27"/>
  <c r="D840" i="27"/>
  <c r="C840" i="27"/>
  <c r="D839" i="27"/>
  <c r="C839" i="27"/>
  <c r="D838" i="27"/>
  <c r="C838" i="27"/>
  <c r="D837" i="27"/>
  <c r="C837" i="27"/>
  <c r="D836" i="27"/>
  <c r="C836" i="27"/>
  <c r="D835" i="27"/>
  <c r="C835" i="27"/>
  <c r="D834" i="27"/>
  <c r="C834" i="27"/>
  <c r="D833" i="27"/>
  <c r="C833" i="27"/>
  <c r="D832" i="27"/>
  <c r="C832" i="27"/>
  <c r="D831" i="27"/>
  <c r="C831" i="27"/>
  <c r="D829" i="27"/>
  <c r="C829" i="27"/>
  <c r="D828" i="27"/>
  <c r="C828" i="27"/>
  <c r="D827" i="27"/>
  <c r="C827" i="27"/>
  <c r="D826" i="27"/>
  <c r="C826" i="27"/>
  <c r="D825" i="27"/>
  <c r="C825" i="27"/>
  <c r="D824" i="27"/>
  <c r="C824" i="27"/>
  <c r="D823" i="27"/>
  <c r="C823" i="27"/>
  <c r="D822" i="27"/>
  <c r="C822" i="27"/>
  <c r="D821" i="27"/>
  <c r="C821" i="27"/>
  <c r="D820" i="27"/>
  <c r="C820" i="27"/>
  <c r="D819" i="27"/>
  <c r="C819" i="27"/>
  <c r="D818" i="27"/>
  <c r="C818" i="27"/>
  <c r="D817" i="27"/>
  <c r="C817" i="27"/>
  <c r="D816" i="27"/>
  <c r="C816" i="27"/>
  <c r="D815" i="27"/>
  <c r="C815" i="27"/>
  <c r="D814" i="27"/>
  <c r="C814" i="27"/>
  <c r="D813" i="27"/>
  <c r="C813" i="27"/>
  <c r="D812" i="27"/>
  <c r="C812" i="27"/>
  <c r="D811" i="27"/>
  <c r="C811" i="27"/>
  <c r="D810" i="27"/>
  <c r="C810" i="27"/>
  <c r="D809" i="27"/>
  <c r="C809" i="27"/>
  <c r="D808" i="27"/>
  <c r="C808" i="27"/>
  <c r="D807" i="27"/>
  <c r="C807" i="27"/>
  <c r="D806" i="27"/>
  <c r="C806" i="27"/>
  <c r="D805" i="27"/>
  <c r="C805" i="27"/>
  <c r="D804" i="27"/>
  <c r="C804" i="27"/>
  <c r="D803" i="27"/>
  <c r="C803" i="27"/>
  <c r="D802" i="27"/>
  <c r="C802" i="27"/>
  <c r="D801" i="27"/>
  <c r="C801" i="27"/>
  <c r="D800" i="27"/>
  <c r="C800" i="27"/>
  <c r="D799" i="27"/>
  <c r="C799" i="27"/>
  <c r="D798" i="27"/>
  <c r="C798" i="27"/>
  <c r="D797" i="27"/>
  <c r="C797" i="27"/>
  <c r="D796" i="27"/>
  <c r="C796" i="27"/>
  <c r="D795" i="27"/>
  <c r="C795" i="27"/>
  <c r="D794" i="27"/>
  <c r="C794" i="27"/>
  <c r="D793" i="27"/>
  <c r="C793" i="27"/>
  <c r="D792" i="27"/>
  <c r="C792" i="27"/>
  <c r="D791" i="27"/>
  <c r="C791" i="27"/>
  <c r="D790" i="27"/>
  <c r="C790" i="27"/>
  <c r="D789" i="27"/>
  <c r="C789" i="27"/>
  <c r="D788" i="27"/>
  <c r="C788" i="27"/>
  <c r="D787" i="27"/>
  <c r="C787" i="27"/>
  <c r="D786" i="27"/>
  <c r="C786" i="27"/>
  <c r="D785" i="27"/>
  <c r="C785" i="27"/>
  <c r="D784" i="27"/>
  <c r="C784" i="27"/>
  <c r="D783" i="27"/>
  <c r="C783" i="27"/>
  <c r="D782" i="27"/>
  <c r="C782" i="27"/>
  <c r="D781" i="27"/>
  <c r="C781" i="27"/>
  <c r="D780" i="27"/>
  <c r="C780" i="27"/>
  <c r="D779" i="27"/>
  <c r="C779" i="27"/>
  <c r="D778" i="27"/>
  <c r="C778" i="27"/>
  <c r="D777" i="27"/>
  <c r="C777" i="27"/>
  <c r="D776" i="27"/>
  <c r="C776" i="27"/>
  <c r="D775" i="27"/>
  <c r="C775" i="27"/>
  <c r="D774" i="27"/>
  <c r="C774" i="27"/>
  <c r="D773" i="27"/>
  <c r="C773" i="27"/>
  <c r="D772" i="27"/>
  <c r="C772" i="27"/>
  <c r="D771" i="27"/>
  <c r="C771" i="27"/>
  <c r="D770" i="27"/>
  <c r="C770" i="27"/>
  <c r="D769" i="27"/>
  <c r="C769" i="27"/>
  <c r="D768" i="27"/>
  <c r="C768" i="27"/>
  <c r="D767" i="27"/>
  <c r="C767" i="27"/>
  <c r="D766" i="27"/>
  <c r="C766" i="27"/>
  <c r="D765" i="27"/>
  <c r="C765" i="27"/>
  <c r="D764" i="27"/>
  <c r="C764" i="27"/>
  <c r="D763" i="27"/>
  <c r="C763" i="27"/>
  <c r="D762" i="27"/>
  <c r="C762" i="27"/>
  <c r="D761" i="27"/>
  <c r="C761" i="27"/>
  <c r="D760" i="27"/>
  <c r="C760" i="27"/>
  <c r="D759" i="27"/>
  <c r="C759" i="27"/>
  <c r="D758" i="27"/>
  <c r="C758" i="27"/>
  <c r="D757" i="27"/>
  <c r="C757" i="27"/>
  <c r="D756" i="27"/>
  <c r="C756" i="27"/>
  <c r="D755" i="27"/>
  <c r="C755" i="27"/>
  <c r="D754" i="27"/>
  <c r="C754" i="27"/>
  <c r="D753" i="27"/>
  <c r="C753" i="27"/>
  <c r="D752" i="27"/>
  <c r="C752" i="27"/>
  <c r="D751" i="27"/>
  <c r="C751" i="27"/>
  <c r="D750" i="27"/>
  <c r="C750" i="27"/>
  <c r="D749" i="27"/>
  <c r="C749" i="27"/>
  <c r="D748" i="27"/>
  <c r="C748" i="27"/>
  <c r="D747" i="27"/>
  <c r="C747" i="27"/>
  <c r="D746" i="27"/>
  <c r="C746" i="27"/>
  <c r="D745" i="27"/>
  <c r="C745" i="27"/>
  <c r="D744" i="27"/>
  <c r="C744" i="27"/>
  <c r="C743" i="27"/>
  <c r="D742" i="27"/>
  <c r="C742" i="27"/>
  <c r="D741" i="27"/>
  <c r="C741" i="27"/>
  <c r="D740" i="27"/>
  <c r="C740" i="27"/>
  <c r="D739" i="27"/>
  <c r="C739" i="27"/>
  <c r="D738" i="27"/>
  <c r="C738" i="27"/>
  <c r="D737" i="27"/>
  <c r="C737" i="27"/>
  <c r="D736" i="27"/>
  <c r="C736" i="27"/>
  <c r="D735" i="27"/>
  <c r="C735" i="27"/>
  <c r="D734" i="27"/>
  <c r="C734" i="27"/>
  <c r="D733" i="27"/>
  <c r="C733" i="27"/>
  <c r="D732" i="27"/>
  <c r="C732" i="27"/>
  <c r="D731" i="27"/>
  <c r="C731" i="27"/>
  <c r="D730" i="27"/>
  <c r="C730" i="27"/>
  <c r="D729" i="27"/>
  <c r="C729" i="27"/>
  <c r="D728" i="27"/>
  <c r="C728" i="27"/>
  <c r="D727" i="27"/>
  <c r="C727" i="27"/>
  <c r="D726" i="27"/>
  <c r="C726" i="27"/>
  <c r="D725" i="27"/>
  <c r="C725" i="27"/>
  <c r="D724" i="27"/>
  <c r="C724" i="27"/>
  <c r="D723" i="27"/>
  <c r="C723" i="27"/>
  <c r="D722" i="27"/>
  <c r="C722" i="27"/>
  <c r="D721" i="27"/>
  <c r="C721" i="27"/>
  <c r="D720" i="27"/>
  <c r="C720" i="27"/>
  <c r="D719" i="27"/>
  <c r="C719" i="27"/>
  <c r="D718" i="27"/>
  <c r="C718" i="27"/>
  <c r="D717" i="27"/>
  <c r="C717" i="27"/>
  <c r="D716" i="27"/>
  <c r="C716" i="27"/>
  <c r="D715" i="27"/>
  <c r="C715" i="27"/>
  <c r="D714" i="27"/>
  <c r="C714" i="27"/>
  <c r="D713" i="27"/>
  <c r="C713" i="27"/>
  <c r="D712" i="27"/>
  <c r="C712" i="27"/>
  <c r="D711" i="27"/>
  <c r="C711" i="27"/>
  <c r="D710" i="27"/>
  <c r="C710" i="27"/>
  <c r="D709" i="27"/>
  <c r="C709" i="27"/>
  <c r="D708" i="27"/>
  <c r="C708" i="27"/>
  <c r="D707" i="27"/>
  <c r="C707" i="27"/>
  <c r="D706" i="27"/>
  <c r="C706" i="27"/>
  <c r="D705" i="27"/>
  <c r="C705" i="27"/>
  <c r="D704" i="27"/>
  <c r="C704" i="27"/>
  <c r="D703" i="27"/>
  <c r="C703" i="27"/>
  <c r="D702" i="27"/>
  <c r="C702" i="27"/>
  <c r="D701" i="27"/>
  <c r="C701" i="27"/>
  <c r="D700" i="27"/>
  <c r="C700" i="27"/>
  <c r="D699" i="27"/>
  <c r="C699" i="27"/>
  <c r="D698" i="27"/>
  <c r="C698" i="27"/>
  <c r="D697" i="27"/>
  <c r="C697" i="27"/>
  <c r="D696" i="27"/>
  <c r="C696" i="27"/>
  <c r="D695" i="27"/>
  <c r="C695" i="27"/>
  <c r="D694" i="27"/>
  <c r="C694" i="27"/>
  <c r="D693" i="27"/>
  <c r="C693" i="27"/>
  <c r="D692" i="27"/>
  <c r="C692" i="27"/>
  <c r="D691" i="27"/>
  <c r="C691" i="27"/>
  <c r="D690" i="27"/>
  <c r="C690" i="27"/>
  <c r="D689" i="27"/>
  <c r="C689" i="27"/>
  <c r="D688" i="27"/>
  <c r="C688" i="27"/>
  <c r="D687" i="27"/>
  <c r="C687" i="27"/>
  <c r="D686" i="27"/>
  <c r="C686" i="27"/>
  <c r="D685" i="27"/>
  <c r="C685" i="27"/>
  <c r="D684" i="27"/>
  <c r="C684" i="27"/>
  <c r="D683" i="27"/>
  <c r="C683" i="27"/>
  <c r="D682" i="27"/>
  <c r="C682" i="27"/>
  <c r="D681" i="27"/>
  <c r="C681" i="27"/>
  <c r="D680" i="27"/>
  <c r="C680" i="27"/>
  <c r="D679" i="27"/>
  <c r="C679" i="27"/>
  <c r="D678" i="27"/>
  <c r="C678" i="27"/>
  <c r="D677" i="27"/>
  <c r="C677" i="27"/>
  <c r="D676" i="27"/>
  <c r="C676" i="27"/>
  <c r="D675" i="27"/>
  <c r="C675" i="27"/>
  <c r="D674" i="27"/>
  <c r="C674" i="27"/>
  <c r="D673" i="27"/>
  <c r="C673" i="27"/>
  <c r="D672" i="27"/>
  <c r="C672" i="27"/>
  <c r="D671" i="27"/>
  <c r="C671" i="27"/>
  <c r="D670" i="27"/>
  <c r="C670" i="27"/>
  <c r="D669" i="27"/>
  <c r="C669" i="27"/>
  <c r="D668" i="27"/>
  <c r="C668" i="27"/>
  <c r="D667" i="27"/>
  <c r="C667" i="27"/>
  <c r="D666" i="27"/>
  <c r="C666" i="27"/>
  <c r="D665" i="27"/>
  <c r="C665" i="27"/>
  <c r="D664" i="27"/>
  <c r="C664" i="27"/>
  <c r="D663" i="27"/>
  <c r="C663" i="27"/>
  <c r="D662" i="27"/>
  <c r="C662" i="27"/>
  <c r="D661" i="27"/>
  <c r="C661" i="27"/>
  <c r="D660" i="27"/>
  <c r="C660" i="27"/>
  <c r="D659" i="27"/>
  <c r="C659" i="27"/>
  <c r="D658" i="27"/>
  <c r="C658" i="27"/>
  <c r="D657" i="27"/>
  <c r="C657" i="27"/>
  <c r="D656" i="27"/>
  <c r="C656" i="27"/>
  <c r="D655" i="27"/>
  <c r="C655" i="27"/>
  <c r="D654" i="27"/>
  <c r="C654" i="27"/>
  <c r="D653" i="27"/>
  <c r="C653" i="27"/>
  <c r="D652" i="27"/>
  <c r="C652" i="27"/>
  <c r="D651" i="27"/>
  <c r="C651" i="27"/>
  <c r="D650" i="27"/>
  <c r="C650" i="27"/>
  <c r="D649" i="27"/>
  <c r="C649" i="27"/>
  <c r="D648" i="27"/>
  <c r="C648" i="27"/>
  <c r="D647" i="27"/>
  <c r="C647" i="27"/>
  <c r="D646" i="27"/>
  <c r="C646" i="27"/>
  <c r="D645" i="27"/>
  <c r="C645" i="27"/>
  <c r="D644" i="27"/>
  <c r="C644" i="27"/>
  <c r="D643" i="27"/>
  <c r="C643" i="27"/>
  <c r="D642" i="27"/>
  <c r="C642" i="27"/>
  <c r="D641" i="27"/>
  <c r="C641" i="27"/>
  <c r="D640" i="27"/>
  <c r="C640" i="27"/>
  <c r="D639" i="27"/>
  <c r="C639" i="27"/>
  <c r="D638" i="27"/>
  <c r="C638" i="27"/>
  <c r="D637" i="27"/>
  <c r="C637" i="27"/>
  <c r="D636" i="27"/>
  <c r="C636" i="27"/>
  <c r="D635" i="27"/>
  <c r="C635" i="27"/>
  <c r="D634" i="27"/>
  <c r="C634" i="27"/>
  <c r="D633" i="27"/>
  <c r="C633" i="27"/>
  <c r="D632" i="27"/>
  <c r="C632" i="27"/>
  <c r="D631" i="27"/>
  <c r="C631" i="27"/>
  <c r="D630" i="27"/>
  <c r="C630" i="27"/>
  <c r="D629" i="27"/>
  <c r="C629" i="27"/>
  <c r="D628" i="27"/>
  <c r="C628" i="27"/>
  <c r="D627" i="27"/>
  <c r="C627" i="27"/>
  <c r="D626" i="27"/>
  <c r="C626" i="27"/>
  <c r="D625" i="27"/>
  <c r="C625" i="27"/>
  <c r="D624" i="27"/>
  <c r="C624" i="27"/>
  <c r="D623" i="27"/>
  <c r="C623" i="27"/>
  <c r="D622" i="27"/>
  <c r="C622" i="27"/>
  <c r="D621" i="27"/>
  <c r="C621" i="27"/>
  <c r="D620" i="27"/>
  <c r="C620" i="27"/>
  <c r="D619" i="27"/>
  <c r="C619" i="27"/>
  <c r="D618" i="27"/>
  <c r="C618" i="27"/>
  <c r="D617" i="27"/>
  <c r="C617" i="27"/>
  <c r="D616" i="27"/>
  <c r="C616" i="27"/>
  <c r="D615" i="27"/>
  <c r="C615" i="27"/>
  <c r="D614" i="27"/>
  <c r="C614" i="27"/>
  <c r="D613" i="27"/>
  <c r="C613" i="27"/>
  <c r="D612" i="27"/>
  <c r="C612" i="27"/>
  <c r="D611" i="27"/>
  <c r="C611" i="27"/>
  <c r="D610" i="27"/>
  <c r="C610" i="27"/>
  <c r="D609" i="27"/>
  <c r="C609" i="27"/>
  <c r="D608" i="27"/>
  <c r="C608" i="27"/>
  <c r="D607" i="27"/>
  <c r="C607" i="27"/>
  <c r="D606" i="27"/>
  <c r="C606" i="27"/>
  <c r="D605" i="27"/>
  <c r="C605" i="27"/>
  <c r="D604" i="27"/>
  <c r="C604" i="27"/>
  <c r="D603" i="27"/>
  <c r="C603" i="27"/>
  <c r="D602" i="27"/>
  <c r="C602" i="27"/>
  <c r="D601" i="27"/>
  <c r="C601" i="27"/>
  <c r="D600" i="27"/>
  <c r="C600" i="27"/>
  <c r="D599" i="27"/>
  <c r="C599" i="27"/>
  <c r="D598" i="27"/>
  <c r="C598" i="27"/>
  <c r="D597" i="27"/>
  <c r="C597" i="27"/>
  <c r="D596" i="27"/>
  <c r="C596" i="27"/>
  <c r="D595" i="27"/>
  <c r="C595" i="27"/>
  <c r="D594" i="27"/>
  <c r="C594" i="27"/>
  <c r="D593" i="27"/>
  <c r="C593" i="27"/>
  <c r="D592" i="27"/>
  <c r="C592" i="27"/>
  <c r="D591" i="27"/>
  <c r="C591" i="27"/>
  <c r="D590" i="27"/>
  <c r="C590" i="27"/>
  <c r="D589" i="27"/>
  <c r="C589" i="27"/>
  <c r="D588" i="27"/>
  <c r="C588" i="27"/>
  <c r="D587" i="27"/>
  <c r="C587" i="27"/>
  <c r="D586" i="27"/>
  <c r="C586" i="27"/>
  <c r="D585" i="27"/>
  <c r="C585" i="27"/>
  <c r="D584" i="27"/>
  <c r="C584" i="27"/>
  <c r="D583" i="27"/>
  <c r="C583" i="27"/>
  <c r="D582" i="27"/>
  <c r="C582" i="27"/>
  <c r="D581" i="27"/>
  <c r="C581" i="27"/>
  <c r="D579" i="27"/>
  <c r="C579" i="27"/>
  <c r="D578" i="27"/>
  <c r="C578" i="27"/>
  <c r="D577" i="27"/>
  <c r="C577" i="27"/>
  <c r="D576" i="27"/>
  <c r="C576" i="27"/>
  <c r="D575" i="27"/>
  <c r="C575" i="27"/>
  <c r="D574" i="27"/>
  <c r="C574" i="27"/>
  <c r="D573" i="27"/>
  <c r="C573" i="27"/>
  <c r="D572" i="27"/>
  <c r="C572" i="27"/>
  <c r="D571" i="27"/>
  <c r="C571" i="27"/>
  <c r="D570" i="27"/>
  <c r="C570" i="27"/>
  <c r="D569" i="27"/>
  <c r="C569" i="27"/>
  <c r="D568" i="27"/>
  <c r="C568" i="27"/>
  <c r="D567" i="27"/>
  <c r="C567" i="27"/>
  <c r="D566" i="27"/>
  <c r="C566" i="27"/>
  <c r="D565" i="27"/>
  <c r="C565" i="27"/>
  <c r="D564" i="27"/>
  <c r="C564" i="27"/>
  <c r="D563" i="27"/>
  <c r="C563" i="27"/>
  <c r="D562" i="27"/>
  <c r="C562" i="27"/>
  <c r="D561" i="27"/>
  <c r="C561" i="27"/>
  <c r="D560" i="27"/>
  <c r="C560" i="27"/>
  <c r="D559" i="27"/>
  <c r="C559" i="27"/>
  <c r="D558" i="27"/>
  <c r="C558" i="27"/>
  <c r="D557" i="27"/>
  <c r="C557" i="27"/>
  <c r="D556" i="27"/>
  <c r="C556" i="27"/>
  <c r="D555" i="27"/>
  <c r="C555" i="27"/>
  <c r="D554" i="27"/>
  <c r="C554" i="27"/>
  <c r="D553" i="27"/>
  <c r="C553" i="27"/>
  <c r="D552" i="27"/>
  <c r="C552" i="27"/>
  <c r="D551" i="27"/>
  <c r="C551" i="27"/>
  <c r="D550" i="27"/>
  <c r="C550" i="27"/>
  <c r="D549" i="27"/>
  <c r="C549" i="27"/>
  <c r="D548" i="27"/>
  <c r="C548" i="27"/>
  <c r="D547" i="27"/>
  <c r="C547" i="27"/>
  <c r="D546" i="27"/>
  <c r="C546" i="27"/>
  <c r="D545" i="27"/>
  <c r="C545" i="27"/>
  <c r="D544" i="27"/>
  <c r="C544" i="27"/>
  <c r="D543" i="27"/>
  <c r="C543" i="27"/>
  <c r="D542" i="27"/>
  <c r="C542" i="27"/>
  <c r="D541" i="27"/>
  <c r="C541" i="27"/>
  <c r="D540" i="27"/>
  <c r="C540" i="27"/>
  <c r="D539" i="27"/>
  <c r="C539" i="27"/>
  <c r="D538" i="27"/>
  <c r="C538" i="27"/>
  <c r="D537" i="27"/>
  <c r="C537" i="27"/>
  <c r="D536" i="27"/>
  <c r="C536" i="27"/>
  <c r="D535" i="27"/>
  <c r="C535" i="27"/>
  <c r="D534" i="27"/>
  <c r="C534" i="27"/>
  <c r="D533" i="27"/>
  <c r="C533" i="27"/>
  <c r="D532" i="27"/>
  <c r="C532" i="27"/>
  <c r="D531" i="27"/>
  <c r="C531" i="27"/>
  <c r="D530" i="27"/>
  <c r="C530" i="27"/>
  <c r="D529" i="27"/>
  <c r="C529" i="27"/>
  <c r="D528" i="27"/>
  <c r="C528" i="27"/>
  <c r="D527" i="27"/>
  <c r="C527" i="27"/>
  <c r="D526" i="27"/>
  <c r="C526" i="27"/>
  <c r="D525" i="27"/>
  <c r="C525" i="27"/>
  <c r="D524" i="27"/>
  <c r="C524" i="27"/>
  <c r="D523" i="27"/>
  <c r="C523" i="27"/>
  <c r="D522" i="27"/>
  <c r="C522" i="27"/>
  <c r="D521" i="27"/>
  <c r="C521" i="27"/>
  <c r="D520" i="27"/>
  <c r="C520" i="27"/>
  <c r="D519" i="27"/>
  <c r="C519" i="27"/>
  <c r="D518" i="27"/>
  <c r="C518" i="27"/>
  <c r="D517" i="27"/>
  <c r="C517" i="27"/>
  <c r="D516" i="27"/>
  <c r="C516" i="27"/>
  <c r="D515" i="27"/>
  <c r="C515" i="27"/>
  <c r="D514" i="27"/>
  <c r="C514" i="27"/>
  <c r="D513" i="27"/>
  <c r="C513" i="27"/>
  <c r="D512" i="27"/>
  <c r="C512" i="27"/>
  <c r="D511" i="27"/>
  <c r="C511" i="27"/>
  <c r="D510" i="27"/>
  <c r="C510" i="27"/>
  <c r="D509" i="27"/>
  <c r="C509" i="27"/>
  <c r="D508" i="27"/>
  <c r="C508" i="27"/>
  <c r="D507" i="27"/>
  <c r="C507" i="27"/>
  <c r="D506" i="27"/>
  <c r="C506" i="27"/>
  <c r="D505" i="27"/>
  <c r="C505" i="27"/>
  <c r="D504" i="27"/>
  <c r="C504" i="27"/>
  <c r="D503" i="27"/>
  <c r="C503" i="27"/>
  <c r="D502" i="27"/>
  <c r="C502" i="27"/>
  <c r="D501" i="27"/>
  <c r="C501" i="27"/>
  <c r="D500" i="27"/>
  <c r="C500" i="27"/>
  <c r="D499" i="27"/>
  <c r="C499" i="27"/>
  <c r="D498" i="27"/>
  <c r="C498" i="27"/>
  <c r="D497" i="27"/>
  <c r="C497" i="27"/>
  <c r="D496" i="27"/>
  <c r="C496" i="27"/>
  <c r="D495" i="27"/>
  <c r="C495" i="27"/>
  <c r="D494" i="27"/>
  <c r="C494" i="27"/>
  <c r="D493" i="27"/>
  <c r="C493" i="27"/>
  <c r="D492" i="27"/>
  <c r="C492" i="27"/>
  <c r="D491" i="27"/>
  <c r="C491" i="27"/>
  <c r="D490" i="27"/>
  <c r="C490" i="27"/>
  <c r="D489" i="27"/>
  <c r="C489" i="27"/>
  <c r="D488" i="27"/>
  <c r="C488" i="27"/>
  <c r="D487" i="27"/>
  <c r="C487" i="27"/>
  <c r="D486" i="27"/>
  <c r="C486" i="27"/>
  <c r="D485" i="27"/>
  <c r="C485" i="27"/>
  <c r="D484" i="27"/>
  <c r="C484" i="27"/>
  <c r="D483" i="27"/>
  <c r="C483" i="27"/>
  <c r="D482" i="27"/>
  <c r="C482" i="27"/>
  <c r="D480" i="27"/>
  <c r="C480" i="27"/>
  <c r="D479" i="27"/>
  <c r="C479" i="27"/>
  <c r="D478" i="27"/>
  <c r="C478" i="27"/>
  <c r="D477" i="27"/>
  <c r="C477" i="27"/>
  <c r="D476" i="27"/>
  <c r="C476" i="27"/>
  <c r="D475" i="27"/>
  <c r="C475" i="27"/>
  <c r="D474" i="27"/>
  <c r="C474" i="27"/>
  <c r="D473" i="27"/>
  <c r="C473" i="27"/>
  <c r="D472" i="27"/>
  <c r="C472" i="27"/>
  <c r="D471" i="27"/>
  <c r="C471" i="27"/>
  <c r="D470" i="27"/>
  <c r="C470" i="27"/>
  <c r="D469" i="27"/>
  <c r="C469" i="27"/>
  <c r="D468" i="27"/>
  <c r="C468" i="27"/>
  <c r="D467" i="27"/>
  <c r="C467" i="27"/>
  <c r="D466" i="27"/>
  <c r="C466" i="27"/>
  <c r="D465" i="27"/>
  <c r="C465" i="27"/>
  <c r="D464" i="27"/>
  <c r="C464" i="27"/>
  <c r="D463" i="27"/>
  <c r="C463" i="27"/>
  <c r="D462" i="27"/>
  <c r="C462" i="27"/>
  <c r="D461" i="27"/>
  <c r="C461" i="27"/>
  <c r="D460" i="27"/>
  <c r="C460" i="27"/>
  <c r="D459" i="27"/>
  <c r="C459" i="27"/>
  <c r="D458" i="27"/>
  <c r="C458" i="27"/>
  <c r="D457" i="27"/>
  <c r="C457" i="27"/>
  <c r="D456" i="27"/>
  <c r="C456" i="27"/>
  <c r="D455" i="27"/>
  <c r="C455" i="27"/>
  <c r="D454" i="27"/>
  <c r="C454" i="27"/>
  <c r="D453" i="27"/>
  <c r="C453" i="27"/>
  <c r="D452" i="27"/>
  <c r="C452" i="27"/>
  <c r="D451" i="27"/>
  <c r="C451" i="27"/>
  <c r="D450" i="27"/>
  <c r="C450" i="27"/>
  <c r="D449" i="27"/>
  <c r="C449" i="27"/>
  <c r="D448" i="27"/>
  <c r="C448" i="27"/>
  <c r="D447" i="27"/>
  <c r="C447" i="27"/>
  <c r="D446" i="27"/>
  <c r="C446" i="27"/>
  <c r="D445" i="27"/>
  <c r="C445" i="27"/>
  <c r="D444" i="27"/>
  <c r="C444" i="27"/>
  <c r="D443" i="27"/>
  <c r="C443" i="27"/>
  <c r="D442" i="27"/>
  <c r="C442" i="27"/>
  <c r="D441" i="27"/>
  <c r="C441" i="27"/>
  <c r="D440" i="27"/>
  <c r="C440" i="27"/>
  <c r="D439" i="27"/>
  <c r="C439" i="27"/>
  <c r="D438" i="27"/>
  <c r="C438" i="27"/>
  <c r="D437" i="27"/>
  <c r="C437" i="27"/>
  <c r="D436" i="27"/>
  <c r="C436" i="27"/>
  <c r="D435" i="27"/>
  <c r="C435" i="27"/>
  <c r="D434" i="27"/>
  <c r="C434" i="27"/>
  <c r="D433" i="27"/>
  <c r="C433" i="27"/>
  <c r="D432" i="27"/>
  <c r="C432" i="27"/>
  <c r="D431" i="27"/>
  <c r="C431" i="27"/>
  <c r="D430" i="27"/>
  <c r="C430" i="27"/>
  <c r="D429" i="27"/>
  <c r="C429" i="27"/>
  <c r="D428" i="27"/>
  <c r="C428" i="27"/>
  <c r="D427" i="27"/>
  <c r="C427" i="27"/>
  <c r="D426" i="27"/>
  <c r="C426" i="27"/>
  <c r="D425" i="27"/>
  <c r="C425" i="27"/>
  <c r="D424" i="27"/>
  <c r="C424" i="27"/>
  <c r="D423" i="27"/>
  <c r="C423" i="27"/>
  <c r="D422" i="27"/>
  <c r="C422" i="27"/>
  <c r="D421" i="27"/>
  <c r="C421" i="27"/>
  <c r="D420" i="27"/>
  <c r="C420" i="27"/>
  <c r="D419" i="27"/>
  <c r="C419" i="27"/>
  <c r="D418" i="27"/>
  <c r="C418" i="27"/>
  <c r="D417" i="27"/>
  <c r="C417" i="27"/>
  <c r="D416" i="27"/>
  <c r="C416" i="27"/>
  <c r="D415" i="27"/>
  <c r="C415" i="27"/>
  <c r="D414" i="27"/>
  <c r="C414" i="27"/>
  <c r="D413" i="27"/>
  <c r="C413" i="27"/>
  <c r="D412" i="27"/>
  <c r="C412" i="27"/>
  <c r="D411" i="27"/>
  <c r="C411" i="27"/>
  <c r="D410" i="27"/>
  <c r="C410" i="27"/>
  <c r="D409" i="27"/>
  <c r="C409" i="27"/>
  <c r="D408" i="27"/>
  <c r="C408" i="27"/>
  <c r="D407" i="27"/>
  <c r="C407" i="27"/>
  <c r="D406" i="27"/>
  <c r="C406" i="27"/>
  <c r="D405" i="27"/>
  <c r="C405" i="27"/>
  <c r="D404" i="27"/>
  <c r="C404" i="27"/>
  <c r="D403" i="27"/>
  <c r="C403" i="27"/>
  <c r="D402" i="27"/>
  <c r="C402" i="27"/>
  <c r="D401" i="27"/>
  <c r="C401" i="27"/>
  <c r="D400" i="27"/>
  <c r="C400" i="27"/>
  <c r="D399" i="27"/>
  <c r="C399" i="27"/>
  <c r="D398" i="27"/>
  <c r="C398" i="27"/>
  <c r="D397" i="27"/>
  <c r="C397" i="27"/>
  <c r="D396" i="27"/>
  <c r="C396" i="27"/>
  <c r="D395" i="27"/>
  <c r="C395" i="27"/>
  <c r="D394" i="27"/>
  <c r="C394" i="27"/>
  <c r="D393" i="27"/>
  <c r="C393" i="27"/>
  <c r="D392" i="27"/>
  <c r="C392" i="27"/>
  <c r="D391" i="27"/>
  <c r="C391" i="27"/>
  <c r="D390" i="27"/>
  <c r="C390" i="27"/>
  <c r="D389" i="27"/>
  <c r="C389" i="27"/>
  <c r="D388" i="27"/>
  <c r="C388" i="27"/>
  <c r="D387" i="27"/>
  <c r="C387" i="27"/>
  <c r="D386" i="27"/>
  <c r="C386" i="27"/>
  <c r="D385" i="27"/>
  <c r="C385" i="27"/>
  <c r="D384" i="27"/>
  <c r="C384" i="27"/>
  <c r="D383" i="27"/>
  <c r="C383" i="27"/>
  <c r="D382" i="27"/>
  <c r="C382" i="27"/>
  <c r="D381" i="27"/>
  <c r="C381" i="27"/>
  <c r="D380" i="27"/>
  <c r="C380" i="27"/>
  <c r="D379" i="27"/>
  <c r="C379" i="27"/>
  <c r="D378" i="27"/>
  <c r="C378" i="27"/>
  <c r="D377" i="27"/>
  <c r="C377" i="27"/>
  <c r="D376" i="27"/>
  <c r="C376" i="27"/>
  <c r="D375" i="27"/>
  <c r="C375" i="27"/>
  <c r="D374" i="27"/>
  <c r="C374" i="27"/>
  <c r="D373" i="27"/>
  <c r="C373" i="27"/>
  <c r="D372" i="27"/>
  <c r="C372" i="27"/>
  <c r="D371" i="27"/>
  <c r="C371" i="27"/>
  <c r="D370" i="27"/>
  <c r="C370" i="27"/>
  <c r="D369" i="27"/>
  <c r="C369" i="27"/>
  <c r="D368" i="27"/>
  <c r="C368" i="27"/>
  <c r="D367" i="27"/>
  <c r="C367" i="27"/>
  <c r="D366" i="27"/>
  <c r="C366" i="27"/>
  <c r="D365" i="27"/>
  <c r="C365" i="27"/>
  <c r="D364" i="27"/>
  <c r="C364" i="27"/>
  <c r="D363" i="27"/>
  <c r="C363" i="27"/>
  <c r="D362" i="27"/>
  <c r="C362" i="27"/>
  <c r="D361" i="27"/>
  <c r="C361" i="27"/>
  <c r="D360" i="27"/>
  <c r="C360" i="27"/>
  <c r="D359" i="27"/>
  <c r="C359" i="27"/>
  <c r="D358" i="27"/>
  <c r="C358" i="27"/>
  <c r="D357" i="27"/>
  <c r="C357" i="27"/>
  <c r="D356" i="27"/>
  <c r="C356" i="27"/>
  <c r="D355" i="27"/>
  <c r="C355" i="27"/>
  <c r="D354" i="27"/>
  <c r="C354" i="27"/>
  <c r="D353" i="27"/>
  <c r="C353" i="27"/>
  <c r="D352" i="27"/>
  <c r="C352" i="27"/>
  <c r="D351" i="27"/>
  <c r="C351" i="27"/>
  <c r="D350" i="27"/>
  <c r="C350" i="27"/>
  <c r="D349" i="27"/>
  <c r="C349" i="27"/>
  <c r="D348" i="27"/>
  <c r="C348" i="27"/>
  <c r="D347" i="27"/>
  <c r="C347" i="27"/>
  <c r="D346" i="27"/>
  <c r="C346" i="27"/>
  <c r="D345" i="27"/>
  <c r="C345" i="27"/>
  <c r="D344" i="27"/>
  <c r="C344" i="27"/>
  <c r="D343" i="27"/>
  <c r="C343" i="27"/>
  <c r="D342" i="27"/>
  <c r="C342" i="27"/>
  <c r="D341" i="27"/>
  <c r="C341" i="27"/>
  <c r="D340" i="27"/>
  <c r="C340" i="27"/>
  <c r="D339" i="27"/>
  <c r="C339" i="27"/>
  <c r="D338" i="27"/>
  <c r="C338" i="27"/>
  <c r="D337" i="27"/>
  <c r="C337" i="27"/>
  <c r="D336" i="27"/>
  <c r="C336" i="27"/>
  <c r="D335" i="27"/>
  <c r="C335" i="27"/>
  <c r="D334" i="27"/>
  <c r="C334" i="27"/>
  <c r="D333" i="27"/>
  <c r="C333" i="27"/>
  <c r="D332" i="27"/>
  <c r="C332" i="27"/>
  <c r="D331" i="27"/>
  <c r="C331" i="27"/>
  <c r="D330" i="27"/>
  <c r="C330" i="27"/>
  <c r="D329" i="27"/>
  <c r="C329" i="27"/>
  <c r="D328" i="27"/>
  <c r="C328" i="27"/>
  <c r="D327" i="27"/>
  <c r="C327" i="27"/>
  <c r="D326" i="27"/>
  <c r="C326" i="27"/>
  <c r="D325" i="27"/>
  <c r="C325" i="27"/>
  <c r="D324" i="27"/>
  <c r="C324" i="27"/>
  <c r="D323" i="27"/>
  <c r="C323" i="27"/>
  <c r="D322" i="27"/>
  <c r="C322" i="27"/>
  <c r="D321" i="27"/>
  <c r="C321" i="27"/>
  <c r="D320" i="27"/>
  <c r="C320" i="27"/>
  <c r="D319" i="27"/>
  <c r="C319" i="27"/>
  <c r="D318" i="27"/>
  <c r="C318" i="27"/>
  <c r="D317" i="27"/>
  <c r="C317" i="27"/>
  <c r="D316" i="27"/>
  <c r="C316" i="27"/>
  <c r="D315" i="27"/>
  <c r="C315" i="27"/>
  <c r="D314" i="27"/>
  <c r="C314" i="27"/>
  <c r="D313" i="27"/>
  <c r="C313" i="27"/>
  <c r="D312" i="27"/>
  <c r="C312" i="27"/>
  <c r="D311" i="27"/>
  <c r="C311" i="27"/>
  <c r="D310" i="27"/>
  <c r="C310" i="27"/>
  <c r="D309" i="27"/>
  <c r="C309" i="27"/>
  <c r="D308" i="27"/>
  <c r="C308" i="27"/>
  <c r="D307" i="27"/>
  <c r="C307" i="27"/>
  <c r="D306" i="27"/>
  <c r="C306" i="27"/>
  <c r="D305" i="27"/>
  <c r="C305" i="27"/>
  <c r="D304" i="27"/>
  <c r="C304" i="27"/>
  <c r="D303" i="27"/>
  <c r="C303" i="27"/>
  <c r="D302" i="27"/>
  <c r="C302" i="27"/>
  <c r="D301" i="27"/>
  <c r="C301" i="27"/>
  <c r="D300" i="27"/>
  <c r="C300" i="27"/>
  <c r="D299" i="27"/>
  <c r="C299" i="27"/>
  <c r="D298" i="27"/>
  <c r="C298" i="27"/>
  <c r="D297" i="27"/>
  <c r="C297" i="27"/>
  <c r="D296" i="27"/>
  <c r="C296" i="27"/>
  <c r="D295" i="27"/>
  <c r="C295" i="27"/>
  <c r="D294" i="27"/>
  <c r="C294" i="27"/>
  <c r="D293" i="27"/>
  <c r="C293" i="27"/>
  <c r="D292" i="27"/>
  <c r="C292" i="27"/>
  <c r="D291" i="27"/>
  <c r="C291" i="27"/>
  <c r="D290" i="27"/>
  <c r="C290" i="27"/>
  <c r="D289" i="27"/>
  <c r="C289" i="27"/>
  <c r="D288" i="27"/>
  <c r="C288" i="27"/>
  <c r="D287" i="27"/>
  <c r="C287" i="27"/>
  <c r="D286" i="27"/>
  <c r="C286" i="27"/>
  <c r="D285" i="27"/>
  <c r="C285" i="27"/>
  <c r="D284" i="27"/>
  <c r="C284" i="27"/>
  <c r="D283" i="27"/>
  <c r="C283" i="27"/>
  <c r="D282" i="27"/>
  <c r="C282" i="27"/>
  <c r="D281" i="27"/>
  <c r="C281" i="27"/>
  <c r="D280" i="27"/>
  <c r="C280" i="27"/>
  <c r="D279" i="27"/>
  <c r="C279" i="27"/>
  <c r="D278" i="27"/>
  <c r="C278" i="27"/>
  <c r="D277" i="27"/>
  <c r="C277" i="27"/>
  <c r="D276" i="27"/>
  <c r="C276" i="27"/>
  <c r="D275" i="27"/>
  <c r="C275" i="27"/>
  <c r="D274" i="27"/>
  <c r="C274" i="27"/>
  <c r="D273" i="27"/>
  <c r="C273" i="27"/>
  <c r="D272" i="27"/>
  <c r="C272" i="27"/>
  <c r="D271" i="27"/>
  <c r="C271" i="27"/>
  <c r="D270" i="27"/>
  <c r="C270" i="27"/>
  <c r="D269" i="27"/>
  <c r="C269" i="27"/>
  <c r="D268" i="27"/>
  <c r="C268" i="27"/>
  <c r="D267" i="27"/>
  <c r="C267" i="27"/>
  <c r="D266" i="27"/>
  <c r="C266" i="27"/>
  <c r="D265" i="27"/>
  <c r="C265" i="27"/>
  <c r="D264" i="27"/>
  <c r="C264" i="27"/>
  <c r="D263" i="27"/>
  <c r="C263" i="27"/>
  <c r="D262" i="27"/>
  <c r="C262" i="27"/>
  <c r="D261" i="27"/>
  <c r="C261" i="27"/>
  <c r="D260" i="27"/>
  <c r="C260" i="27"/>
  <c r="D259" i="27"/>
  <c r="C259" i="27"/>
  <c r="D258" i="27"/>
  <c r="C258" i="27"/>
  <c r="D257" i="27"/>
  <c r="C257" i="27"/>
  <c r="D256" i="27"/>
  <c r="C256" i="27"/>
  <c r="D255" i="27"/>
  <c r="C255" i="27"/>
  <c r="D254" i="27"/>
  <c r="C254" i="27"/>
  <c r="D253" i="27"/>
  <c r="C253" i="27"/>
  <c r="D252" i="27"/>
  <c r="C252" i="27"/>
  <c r="D251" i="27"/>
  <c r="C251" i="27"/>
  <c r="D250" i="27"/>
  <c r="C250" i="27"/>
  <c r="D249" i="27"/>
  <c r="C249" i="27"/>
  <c r="D248" i="27"/>
  <c r="C248" i="27"/>
  <c r="D247" i="27"/>
  <c r="C247" i="27"/>
  <c r="D246" i="27"/>
  <c r="C246" i="27"/>
  <c r="D245" i="27"/>
  <c r="C245" i="27"/>
  <c r="D244" i="27"/>
  <c r="C244" i="27"/>
  <c r="D243" i="27"/>
  <c r="C243" i="27"/>
  <c r="D242" i="27"/>
  <c r="C242" i="27"/>
  <c r="D241" i="27"/>
  <c r="C241" i="27"/>
  <c r="D240" i="27"/>
  <c r="C240" i="27"/>
  <c r="D239" i="27"/>
  <c r="C239" i="27"/>
  <c r="D238" i="27"/>
  <c r="C238" i="27"/>
  <c r="D237" i="27"/>
  <c r="C237" i="27"/>
  <c r="D236" i="27"/>
  <c r="C236" i="27"/>
  <c r="D235" i="27"/>
  <c r="C235" i="27"/>
  <c r="D234" i="27"/>
  <c r="C234" i="27"/>
  <c r="D233" i="27"/>
  <c r="C233" i="27"/>
  <c r="D232" i="27"/>
  <c r="C232" i="27"/>
  <c r="D231" i="27"/>
  <c r="C231" i="27"/>
  <c r="D230" i="27"/>
  <c r="C230" i="27"/>
  <c r="D229" i="27"/>
  <c r="C229" i="27"/>
  <c r="D228" i="27"/>
  <c r="C228" i="27"/>
  <c r="D227" i="27"/>
  <c r="C227" i="27"/>
  <c r="D226" i="27"/>
  <c r="C226" i="27"/>
  <c r="D225" i="27"/>
  <c r="C225" i="27"/>
  <c r="D224" i="27"/>
  <c r="C224" i="27"/>
  <c r="D223" i="27"/>
  <c r="C223" i="27"/>
  <c r="D222" i="27"/>
  <c r="C222" i="27"/>
  <c r="D221" i="27"/>
  <c r="C221" i="27"/>
  <c r="D220" i="27"/>
  <c r="C220" i="27"/>
  <c r="D219" i="27"/>
  <c r="C219" i="27"/>
  <c r="D218" i="27"/>
  <c r="C218" i="27"/>
  <c r="D217" i="27"/>
  <c r="C217" i="27"/>
  <c r="D216" i="27"/>
  <c r="C216" i="27"/>
  <c r="D215" i="27"/>
  <c r="C215" i="27"/>
  <c r="D214" i="27"/>
  <c r="C214" i="27"/>
  <c r="D213" i="27"/>
  <c r="C213" i="27"/>
  <c r="D212" i="27"/>
  <c r="C212" i="27"/>
  <c r="D211" i="27"/>
  <c r="C211" i="27"/>
  <c r="D210" i="27"/>
  <c r="C210" i="27"/>
  <c r="D209" i="27"/>
  <c r="C209" i="27"/>
  <c r="D208" i="27"/>
  <c r="C208" i="27"/>
  <c r="D207" i="27"/>
  <c r="C207" i="27"/>
  <c r="D206" i="27"/>
  <c r="C206" i="27"/>
  <c r="D205" i="27"/>
  <c r="C205" i="27"/>
  <c r="D204" i="27"/>
  <c r="C204" i="27"/>
  <c r="D203" i="27"/>
  <c r="C203" i="27"/>
  <c r="D202" i="27"/>
  <c r="C202" i="27"/>
  <c r="D201" i="27"/>
  <c r="C201" i="27"/>
  <c r="D200" i="27"/>
  <c r="C200" i="27"/>
  <c r="D199" i="27"/>
  <c r="C199" i="27"/>
  <c r="D198" i="27"/>
  <c r="C198" i="27"/>
  <c r="D197" i="27"/>
  <c r="C197" i="27"/>
  <c r="D196" i="27"/>
  <c r="C196" i="27"/>
  <c r="D195" i="27"/>
  <c r="C195" i="27"/>
  <c r="D194" i="27"/>
  <c r="C194" i="27"/>
  <c r="D193" i="27"/>
  <c r="C193" i="27"/>
  <c r="D192" i="27"/>
  <c r="C192" i="27"/>
  <c r="D191" i="27"/>
  <c r="C191" i="27"/>
  <c r="D190" i="27"/>
  <c r="C190" i="27"/>
  <c r="D189" i="27"/>
  <c r="C189" i="27"/>
  <c r="D188" i="27"/>
  <c r="C188" i="27"/>
  <c r="D187" i="27"/>
  <c r="C187" i="27"/>
  <c r="D186" i="27"/>
  <c r="C186" i="27"/>
  <c r="D185" i="27"/>
  <c r="C185" i="27"/>
  <c r="D184" i="27"/>
  <c r="C184" i="27"/>
  <c r="D183" i="27"/>
  <c r="C183" i="27"/>
  <c r="D182" i="27"/>
  <c r="C182" i="27"/>
  <c r="D181" i="27"/>
  <c r="C181" i="27"/>
  <c r="D180" i="27"/>
  <c r="C180" i="27"/>
  <c r="D179" i="27"/>
  <c r="C179" i="27"/>
  <c r="D178" i="27"/>
  <c r="C178" i="27"/>
  <c r="D177" i="27"/>
  <c r="C177" i="27"/>
  <c r="D176" i="27"/>
  <c r="C176" i="27"/>
  <c r="D175" i="27"/>
  <c r="C175" i="27"/>
  <c r="D174" i="27"/>
  <c r="C174" i="27"/>
  <c r="D173" i="27"/>
  <c r="C173" i="27"/>
  <c r="D172" i="27"/>
  <c r="C172" i="27"/>
  <c r="D171" i="27"/>
  <c r="C171" i="27"/>
  <c r="D170" i="27"/>
  <c r="C170" i="27"/>
  <c r="D169" i="27"/>
  <c r="C169" i="27"/>
  <c r="D168" i="27"/>
  <c r="C168" i="27"/>
  <c r="D167" i="27"/>
  <c r="C167" i="27"/>
  <c r="D166" i="27"/>
  <c r="C166" i="27"/>
  <c r="D165" i="27"/>
  <c r="C165" i="27"/>
  <c r="D164" i="27"/>
  <c r="C164" i="27"/>
  <c r="D163" i="27"/>
  <c r="C163" i="27"/>
  <c r="D162" i="27"/>
  <c r="C162" i="27"/>
  <c r="D161" i="27"/>
  <c r="C161" i="27"/>
  <c r="D160" i="27"/>
  <c r="C160" i="27"/>
  <c r="D159" i="27"/>
  <c r="C159" i="27"/>
  <c r="D158" i="27"/>
  <c r="C158" i="27"/>
  <c r="D157" i="27"/>
  <c r="C157" i="27"/>
  <c r="D156" i="27"/>
  <c r="C156" i="27"/>
  <c r="D155" i="27"/>
  <c r="C155" i="27"/>
  <c r="D154" i="27"/>
  <c r="C154" i="27"/>
  <c r="D153" i="27"/>
  <c r="C153" i="27"/>
  <c r="D152" i="27"/>
  <c r="C152" i="27"/>
  <c r="D151" i="27"/>
  <c r="C151" i="27"/>
  <c r="D150" i="27"/>
  <c r="C150" i="27"/>
  <c r="D149" i="27"/>
  <c r="C149" i="27"/>
  <c r="D148" i="27"/>
  <c r="C148" i="27"/>
  <c r="D147" i="27"/>
  <c r="C147" i="27"/>
  <c r="D146" i="27"/>
  <c r="C146" i="27"/>
  <c r="D145" i="27"/>
  <c r="C145" i="27"/>
  <c r="D144" i="27"/>
  <c r="C144" i="27"/>
  <c r="D143" i="27"/>
  <c r="C143" i="27"/>
  <c r="D142" i="27"/>
  <c r="C142" i="27"/>
  <c r="D141" i="27"/>
  <c r="C141" i="27"/>
  <c r="D140" i="27"/>
  <c r="C140" i="27"/>
  <c r="D139" i="27"/>
  <c r="C139" i="27"/>
  <c r="D138" i="27"/>
  <c r="C138" i="27"/>
  <c r="D137" i="27"/>
  <c r="C137" i="27"/>
  <c r="D136" i="27"/>
  <c r="C136" i="27"/>
  <c r="D135" i="27"/>
  <c r="C135" i="27"/>
  <c r="D134" i="27"/>
  <c r="C134" i="27"/>
  <c r="D133" i="27"/>
  <c r="C133" i="27"/>
  <c r="D132" i="27"/>
  <c r="C132" i="27"/>
  <c r="D131" i="27"/>
  <c r="C131" i="27"/>
  <c r="D130" i="27"/>
  <c r="C130" i="27"/>
  <c r="D129" i="27"/>
  <c r="C129" i="27"/>
  <c r="D128" i="27"/>
  <c r="C128" i="27"/>
  <c r="D127" i="27"/>
  <c r="C127" i="27"/>
  <c r="D126" i="27"/>
  <c r="C126" i="27"/>
  <c r="D125" i="27"/>
  <c r="C125" i="27"/>
  <c r="D124" i="27"/>
  <c r="C124" i="27"/>
  <c r="D123" i="27"/>
  <c r="C123" i="27"/>
  <c r="D122" i="27"/>
  <c r="C122" i="27"/>
  <c r="D121" i="27"/>
  <c r="C121" i="27"/>
  <c r="D120" i="27"/>
  <c r="C120" i="27"/>
  <c r="D119" i="27"/>
  <c r="C119" i="27"/>
  <c r="D118" i="27"/>
  <c r="C118" i="27"/>
  <c r="D117" i="27"/>
  <c r="C117" i="27"/>
  <c r="D116" i="27"/>
  <c r="C116" i="27"/>
  <c r="D115" i="27"/>
  <c r="C115" i="27"/>
  <c r="D114" i="27"/>
  <c r="C114" i="27"/>
  <c r="D113" i="27"/>
  <c r="C113" i="27"/>
  <c r="D112" i="27"/>
  <c r="C112" i="27"/>
  <c r="D111" i="27"/>
  <c r="C111" i="27"/>
  <c r="D110" i="27"/>
  <c r="C110" i="27"/>
  <c r="D109" i="27"/>
  <c r="C109" i="27"/>
  <c r="D108" i="27"/>
  <c r="C108" i="27"/>
  <c r="D107" i="27"/>
  <c r="C107" i="27"/>
  <c r="D106" i="27"/>
  <c r="C106" i="27"/>
  <c r="D105" i="27"/>
  <c r="C105" i="27"/>
  <c r="D104" i="27"/>
  <c r="C104" i="27"/>
  <c r="D103" i="27"/>
  <c r="C103" i="27"/>
  <c r="D102" i="27"/>
  <c r="C102" i="27"/>
  <c r="D101" i="27"/>
  <c r="C101" i="27"/>
  <c r="D100" i="27"/>
  <c r="C100" i="27"/>
  <c r="D99" i="27"/>
  <c r="C99" i="27"/>
  <c r="D98" i="27"/>
  <c r="C98" i="27"/>
  <c r="D97" i="27"/>
  <c r="C97" i="27"/>
  <c r="D96" i="27"/>
  <c r="C96" i="27"/>
  <c r="D95" i="27"/>
  <c r="C95" i="27"/>
  <c r="D94" i="27"/>
  <c r="C94" i="27"/>
  <c r="D93" i="27"/>
  <c r="C93" i="27"/>
  <c r="D92" i="27"/>
  <c r="C92" i="27"/>
  <c r="D91" i="27"/>
  <c r="C91" i="27"/>
  <c r="D90" i="27"/>
  <c r="C90" i="27"/>
  <c r="D89" i="27"/>
  <c r="C89" i="27"/>
  <c r="D88" i="27"/>
  <c r="C88" i="27"/>
  <c r="D87" i="27"/>
  <c r="C87" i="27"/>
  <c r="D86" i="27"/>
  <c r="C86" i="27"/>
  <c r="D85" i="27"/>
  <c r="C85" i="27"/>
  <c r="D84" i="27"/>
  <c r="C84" i="27"/>
  <c r="D83" i="27"/>
  <c r="C83" i="27"/>
  <c r="D82" i="27"/>
  <c r="C82" i="27"/>
  <c r="D81" i="27"/>
  <c r="C81" i="27"/>
  <c r="D80" i="27"/>
  <c r="C80" i="27"/>
  <c r="D79" i="27"/>
  <c r="C79" i="27"/>
  <c r="D78" i="27"/>
  <c r="C78" i="27"/>
  <c r="D77" i="27"/>
  <c r="C77" i="27"/>
  <c r="D76" i="27"/>
  <c r="C76" i="27"/>
  <c r="D75" i="27"/>
  <c r="C75" i="27"/>
  <c r="D74" i="27"/>
  <c r="C74" i="27"/>
  <c r="D73" i="27"/>
  <c r="C73" i="27"/>
  <c r="D72" i="27"/>
  <c r="C72" i="27"/>
  <c r="D71" i="27"/>
  <c r="C71" i="27"/>
  <c r="D70" i="27"/>
  <c r="C70" i="27"/>
  <c r="D69" i="27"/>
  <c r="C69" i="27"/>
  <c r="D68" i="27"/>
  <c r="C68" i="27"/>
  <c r="D67" i="27"/>
  <c r="C67" i="27"/>
  <c r="D66" i="27"/>
  <c r="C66" i="27"/>
  <c r="D65" i="27"/>
  <c r="C65" i="27"/>
  <c r="D64" i="27"/>
  <c r="C64" i="27"/>
  <c r="D63" i="27"/>
  <c r="C63" i="27"/>
  <c r="D62" i="27"/>
  <c r="C62" i="27"/>
  <c r="D61" i="27"/>
  <c r="C61" i="27"/>
  <c r="D60" i="27"/>
  <c r="C60" i="27"/>
  <c r="D59" i="27"/>
  <c r="C59" i="27"/>
  <c r="D58" i="27"/>
  <c r="C58" i="27"/>
  <c r="D57" i="27"/>
  <c r="C57" i="27"/>
  <c r="D56" i="27"/>
  <c r="C56" i="27"/>
  <c r="D55" i="27"/>
  <c r="C55" i="27"/>
  <c r="D54" i="27"/>
  <c r="C54" i="27"/>
  <c r="D53" i="27"/>
  <c r="C53" i="27"/>
  <c r="D52" i="27"/>
  <c r="C52" i="27"/>
  <c r="D51" i="27"/>
  <c r="C51" i="27"/>
  <c r="D50" i="27"/>
  <c r="C50" i="27"/>
  <c r="D49" i="27"/>
  <c r="C49" i="27"/>
  <c r="D48" i="27"/>
  <c r="C48" i="27"/>
  <c r="D47" i="27"/>
  <c r="C47" i="27"/>
  <c r="D46" i="27"/>
  <c r="C46" i="27"/>
  <c r="D45" i="27"/>
  <c r="C45" i="27"/>
  <c r="D44" i="27"/>
  <c r="C44" i="27"/>
  <c r="D43" i="27"/>
  <c r="C43" i="27"/>
  <c r="D42" i="27"/>
  <c r="C42" i="27"/>
  <c r="D41" i="27"/>
  <c r="C41" i="27"/>
  <c r="D40" i="27"/>
  <c r="C40" i="27"/>
  <c r="D39" i="27"/>
  <c r="C39" i="27"/>
  <c r="D38" i="27"/>
  <c r="C38" i="27"/>
  <c r="D37" i="27"/>
  <c r="C37" i="27"/>
  <c r="D36" i="27"/>
  <c r="C36" i="27"/>
  <c r="D35" i="27"/>
  <c r="C35" i="27"/>
  <c r="D34" i="27"/>
  <c r="C34" i="27"/>
  <c r="D33" i="27"/>
  <c r="C33" i="27"/>
  <c r="D32" i="27"/>
  <c r="C32" i="27"/>
  <c r="D31" i="27"/>
  <c r="C31" i="27"/>
  <c r="D30" i="27"/>
  <c r="C30" i="27"/>
  <c r="D29" i="27"/>
  <c r="C29" i="27"/>
  <c r="D28" i="27"/>
  <c r="C28" i="27"/>
  <c r="D27" i="27"/>
  <c r="C27" i="27"/>
  <c r="D26" i="27"/>
  <c r="C26" i="27"/>
  <c r="D25" i="27"/>
  <c r="C25" i="27"/>
  <c r="D24" i="27"/>
  <c r="C24" i="27"/>
  <c r="D23" i="27"/>
  <c r="C23" i="27"/>
  <c r="D22" i="27"/>
  <c r="C22" i="27"/>
  <c r="D21" i="27"/>
  <c r="C21" i="27"/>
  <c r="D20" i="27"/>
  <c r="C20" i="27"/>
  <c r="D19" i="27"/>
  <c r="C19" i="27"/>
  <c r="D18" i="27"/>
  <c r="C18" i="27"/>
  <c r="D17" i="27"/>
  <c r="C17" i="27"/>
  <c r="D16" i="27"/>
  <c r="C16" i="27"/>
  <c r="D15" i="27"/>
  <c r="C15" i="27"/>
  <c r="D14" i="27"/>
  <c r="C14" i="27"/>
  <c r="D13" i="27"/>
  <c r="C13" i="27"/>
  <c r="D12" i="27"/>
  <c r="C12" i="27"/>
  <c r="D11" i="27"/>
  <c r="C11" i="27"/>
  <c r="D10" i="27"/>
  <c r="C10" i="27"/>
  <c r="D9" i="27"/>
  <c r="C9" i="27"/>
  <c r="D8" i="27"/>
  <c r="C8" i="27"/>
  <c r="D7" i="27"/>
  <c r="C7" i="27"/>
  <c r="D6" i="27"/>
  <c r="C6" i="27"/>
  <c r="D5" i="27"/>
  <c r="C5" i="27"/>
  <c r="A134" i="26"/>
  <c r="C133" i="26"/>
  <c r="A133" i="26"/>
  <c r="C132" i="26"/>
  <c r="A132" i="26"/>
  <c r="C131" i="26"/>
  <c r="A131" i="26"/>
  <c r="C130" i="26"/>
  <c r="A130" i="26"/>
  <c r="C129" i="26"/>
  <c r="A129" i="26"/>
  <c r="C128" i="26"/>
  <c r="A128" i="26"/>
  <c r="C127" i="26"/>
  <c r="A127" i="26"/>
  <c r="C126" i="26"/>
  <c r="A126" i="26"/>
  <c r="C125" i="26"/>
  <c r="A125" i="26"/>
  <c r="C124" i="26"/>
  <c r="A124" i="26"/>
  <c r="C123" i="26"/>
  <c r="A123" i="26"/>
  <c r="C122" i="26"/>
  <c r="A122" i="26"/>
  <c r="C121" i="26"/>
  <c r="A121" i="26"/>
  <c r="C120" i="26"/>
  <c r="A120" i="26"/>
  <c r="C119" i="26"/>
  <c r="A119" i="26"/>
  <c r="C118" i="26"/>
  <c r="A118" i="26"/>
  <c r="C117" i="26"/>
  <c r="A117" i="26"/>
  <c r="C116" i="26"/>
  <c r="A116" i="26"/>
  <c r="C115" i="26"/>
  <c r="A115" i="26"/>
  <c r="C114" i="26"/>
  <c r="A114" i="26"/>
  <c r="C113" i="26"/>
  <c r="A113" i="26"/>
  <c r="C112" i="26"/>
  <c r="A112" i="26"/>
  <c r="C111" i="26"/>
  <c r="A111" i="26"/>
  <c r="C110" i="26"/>
  <c r="A110" i="26"/>
  <c r="C109" i="26"/>
  <c r="A109" i="26"/>
  <c r="C108" i="26"/>
  <c r="A108" i="26"/>
  <c r="C107" i="26"/>
  <c r="A107" i="26"/>
  <c r="C106" i="26"/>
  <c r="A106" i="26"/>
  <c r="C105" i="26"/>
  <c r="A105" i="26"/>
  <c r="C104" i="26"/>
  <c r="A104" i="26"/>
  <c r="C103" i="26"/>
  <c r="A103" i="26"/>
  <c r="C102" i="26"/>
  <c r="A102" i="26"/>
  <c r="C101" i="26"/>
  <c r="A101" i="26"/>
  <c r="C100" i="26"/>
  <c r="A100" i="26"/>
  <c r="C99" i="26"/>
  <c r="A99" i="26"/>
  <c r="C98" i="26"/>
  <c r="A98" i="26"/>
  <c r="C97" i="26"/>
  <c r="A97" i="26"/>
  <c r="C96" i="26"/>
  <c r="A96" i="26"/>
  <c r="C95" i="26"/>
  <c r="A95" i="26"/>
  <c r="C94" i="26"/>
  <c r="A94" i="26"/>
  <c r="C93" i="26"/>
  <c r="A93" i="26"/>
  <c r="C92" i="26"/>
  <c r="A92" i="26"/>
  <c r="C91" i="26"/>
  <c r="A91" i="26"/>
  <c r="C90" i="26"/>
  <c r="A90" i="26"/>
  <c r="C89" i="26"/>
  <c r="A89" i="26"/>
  <c r="C88" i="26"/>
  <c r="A88" i="26"/>
  <c r="C87" i="26"/>
  <c r="A87" i="26"/>
  <c r="C86" i="26"/>
  <c r="A86" i="26"/>
  <c r="C85" i="26"/>
  <c r="A85" i="26"/>
  <c r="C84" i="26"/>
  <c r="A84" i="26"/>
  <c r="C83" i="26"/>
  <c r="A83" i="26"/>
  <c r="C82" i="26"/>
  <c r="A82" i="26"/>
  <c r="C81" i="26"/>
  <c r="A81" i="26"/>
  <c r="C80" i="26"/>
  <c r="A80" i="26"/>
  <c r="C79" i="26"/>
  <c r="A79" i="26"/>
  <c r="C78" i="26"/>
  <c r="A78" i="26"/>
  <c r="C77" i="26"/>
  <c r="A77" i="26"/>
  <c r="C76" i="26"/>
  <c r="A76" i="26"/>
  <c r="C75" i="26"/>
  <c r="A75" i="26"/>
  <c r="C74" i="26"/>
  <c r="A74" i="26"/>
  <c r="C73" i="26"/>
  <c r="A73" i="26"/>
  <c r="C72" i="26"/>
  <c r="A72" i="26"/>
  <c r="C71" i="26"/>
  <c r="A71" i="26"/>
  <c r="C70" i="26"/>
  <c r="A70" i="26"/>
  <c r="C69" i="26"/>
  <c r="A69" i="26"/>
  <c r="C68" i="26"/>
  <c r="A68" i="26"/>
  <c r="C67" i="26"/>
  <c r="A67" i="26"/>
  <c r="C66" i="26"/>
  <c r="A66" i="26"/>
  <c r="C65" i="26"/>
  <c r="A65" i="26"/>
  <c r="C64" i="26"/>
  <c r="A64" i="26"/>
  <c r="C63" i="26"/>
  <c r="A63" i="26"/>
  <c r="C62" i="26"/>
  <c r="A62" i="26"/>
  <c r="C61" i="26"/>
  <c r="A61" i="26"/>
  <c r="C60" i="26"/>
  <c r="A60" i="26"/>
  <c r="C59" i="26"/>
  <c r="A59" i="26"/>
  <c r="C58" i="26"/>
  <c r="A58" i="26"/>
  <c r="C57" i="26"/>
  <c r="A57" i="26"/>
  <c r="C56" i="26"/>
  <c r="A56" i="26"/>
  <c r="C55" i="26"/>
  <c r="A55" i="26"/>
  <c r="C54" i="26"/>
  <c r="A54" i="26"/>
  <c r="C53" i="26"/>
  <c r="A53" i="26"/>
  <c r="C52" i="26"/>
  <c r="A52" i="26"/>
  <c r="C51" i="26"/>
  <c r="A51" i="26"/>
  <c r="A50" i="26"/>
  <c r="A49" i="26"/>
  <c r="A48" i="26"/>
  <c r="D481" i="27"/>
  <c r="D830" i="27"/>
  <c r="C481" i="27"/>
  <c r="C830" i="27"/>
  <c r="A6" i="26"/>
  <c r="A1" i="26"/>
  <c r="A1" i="25"/>
  <c r="H1108" i="24"/>
  <c r="Q1031" i="24"/>
  <c r="Q1030" i="24"/>
  <c r="Q1029" i="24"/>
  <c r="Q1028" i="24"/>
  <c r="Q1027" i="24"/>
  <c r="Q1026" i="24"/>
  <c r="Q1025" i="24"/>
  <c r="Q1024" i="24"/>
  <c r="Q1023" i="24"/>
  <c r="Q1022" i="24"/>
  <c r="Q1021" i="24"/>
  <c r="Q1020" i="24"/>
  <c r="Q1019" i="24"/>
  <c r="Q1018" i="24"/>
  <c r="Q1017" i="24"/>
  <c r="Q1016" i="24"/>
  <c r="Q1015" i="24"/>
  <c r="Q1014" i="24"/>
  <c r="Q1013" i="24"/>
  <c r="Q1012" i="24"/>
  <c r="Q1008" i="24"/>
  <c r="Q1007" i="24"/>
  <c r="Q1006" i="24"/>
  <c r="Q1005" i="24"/>
  <c r="Q1003" i="24"/>
  <c r="Q1002" i="24"/>
  <c r="Q1001" i="24"/>
  <c r="Q999" i="24"/>
  <c r="Q998" i="24"/>
  <c r="Q997" i="24"/>
  <c r="Q996" i="24"/>
  <c r="Q995" i="24"/>
  <c r="Q994" i="24"/>
  <c r="Q993" i="24"/>
  <c r="Q992" i="24"/>
  <c r="Q991" i="24"/>
  <c r="Q990" i="24"/>
  <c r="Q989" i="24"/>
  <c r="Q988" i="24"/>
  <c r="Q987" i="24"/>
  <c r="Q986" i="24"/>
  <c r="Q985" i="24"/>
  <c r="Q984" i="24"/>
  <c r="Q983" i="24"/>
  <c r="Q982" i="24"/>
  <c r="Q981" i="24"/>
  <c r="Q980" i="24"/>
  <c r="Q979" i="24"/>
  <c r="Q978" i="24"/>
  <c r="Q977" i="24"/>
  <c r="Q976" i="24"/>
  <c r="Q975" i="24"/>
  <c r="Q974" i="24"/>
  <c r="Q973" i="24"/>
  <c r="Q972" i="24"/>
  <c r="Q971" i="24"/>
  <c r="Q970" i="24"/>
  <c r="Q969" i="24"/>
  <c r="Q968" i="24"/>
  <c r="Q967" i="24"/>
  <c r="Q965" i="24"/>
  <c r="Q964" i="24"/>
  <c r="Q963" i="24"/>
  <c r="Q962" i="24"/>
  <c r="Q961" i="24"/>
  <c r="Q960" i="24"/>
  <c r="Q959" i="24"/>
  <c r="Q958" i="24"/>
  <c r="Q957" i="24"/>
  <c r="Q956" i="24"/>
  <c r="Q955" i="24"/>
  <c r="Q954" i="24"/>
  <c r="Q953" i="24"/>
  <c r="Q952" i="24"/>
  <c r="Q951" i="24"/>
  <c r="Q950" i="24"/>
  <c r="Q949" i="24"/>
  <c r="Q948" i="24"/>
  <c r="Q947" i="24"/>
  <c r="Q946" i="24"/>
  <c r="Q945" i="24"/>
  <c r="Q944" i="24"/>
  <c r="Q943" i="24"/>
  <c r="Q942" i="24"/>
  <c r="Q941" i="24"/>
  <c r="Q940" i="24"/>
  <c r="Q939" i="24"/>
  <c r="Q938" i="24"/>
  <c r="Q937" i="24"/>
  <c r="Q936" i="24"/>
  <c r="Q935" i="24"/>
  <c r="Q934" i="24"/>
  <c r="Q933" i="24"/>
  <c r="Q932" i="24"/>
  <c r="Q931" i="24"/>
  <c r="Q930" i="24"/>
  <c r="Q929" i="24"/>
  <c r="Q928" i="24"/>
  <c r="Q927" i="24"/>
  <c r="Q926" i="24"/>
  <c r="Q925" i="24"/>
  <c r="Q924" i="24"/>
  <c r="Q923" i="24"/>
  <c r="Q922" i="24"/>
  <c r="Q921" i="24"/>
  <c r="Q920" i="24"/>
  <c r="Q919" i="24"/>
  <c r="Q918" i="24"/>
  <c r="Q916" i="24"/>
  <c r="Q915" i="24"/>
  <c r="Q914" i="24"/>
  <c r="Q911" i="24"/>
  <c r="Q910" i="24"/>
  <c r="Q909" i="24"/>
  <c r="Q908" i="24"/>
  <c r="Q907" i="24"/>
  <c r="Q906" i="24"/>
  <c r="Q905" i="24"/>
  <c r="Q904" i="24"/>
  <c r="Q903" i="24"/>
  <c r="Q902" i="24"/>
  <c r="Q901" i="24"/>
  <c r="Q900" i="24"/>
  <c r="Q899" i="24"/>
  <c r="Q898" i="24"/>
  <c r="Q897" i="24"/>
  <c r="Q896" i="24"/>
  <c r="Q895" i="24"/>
  <c r="Q894" i="24"/>
  <c r="Q893" i="24"/>
  <c r="Q892" i="24"/>
  <c r="Q891" i="24"/>
  <c r="Q890" i="24"/>
  <c r="Q889" i="24"/>
  <c r="Q888" i="24"/>
  <c r="Q887" i="24"/>
  <c r="Q886" i="24"/>
  <c r="Q885" i="24"/>
  <c r="Q884" i="24"/>
  <c r="Q883" i="24"/>
  <c r="Q882" i="24"/>
  <c r="Q881" i="24"/>
  <c r="Q880" i="24"/>
  <c r="Q879" i="24"/>
  <c r="Q878" i="24"/>
  <c r="Q877" i="24"/>
  <c r="Q876" i="24"/>
  <c r="Q875" i="24"/>
  <c r="Q874" i="24"/>
  <c r="Q873" i="24"/>
  <c r="Q872" i="24"/>
  <c r="Q871" i="24"/>
  <c r="Q870" i="24"/>
  <c r="Q869" i="24"/>
  <c r="Q868" i="24"/>
  <c r="Q867" i="24"/>
  <c r="Q866" i="24"/>
  <c r="Q865" i="24"/>
  <c r="Q864" i="24"/>
  <c r="Q863" i="24"/>
  <c r="Q862" i="24"/>
  <c r="Q861" i="24"/>
  <c r="Q860" i="24"/>
  <c r="Q859" i="24"/>
  <c r="Q858" i="24"/>
  <c r="Q857" i="24"/>
  <c r="Q856" i="24"/>
  <c r="Q855" i="24"/>
  <c r="Q854" i="24"/>
  <c r="Q853" i="24"/>
  <c r="Q852" i="24"/>
  <c r="Q851" i="24"/>
  <c r="Q850" i="24"/>
  <c r="Q849" i="24"/>
  <c r="Q848" i="24"/>
  <c r="Q847" i="24"/>
  <c r="Q846" i="24"/>
  <c r="Q845" i="24"/>
  <c r="Q844" i="24"/>
  <c r="Q843" i="24"/>
  <c r="Q842" i="24"/>
  <c r="Q841" i="24"/>
  <c r="Q840" i="24"/>
  <c r="Q839" i="24"/>
  <c r="Q838" i="24"/>
  <c r="Q837" i="24"/>
  <c r="Q836" i="24"/>
  <c r="Q835" i="24"/>
  <c r="Q834" i="24"/>
  <c r="Q833" i="24"/>
  <c r="Q832" i="24"/>
  <c r="Q831" i="24"/>
  <c r="Q830" i="24"/>
  <c r="Q829" i="24"/>
  <c r="Q828" i="24"/>
  <c r="Q827" i="24"/>
  <c r="Q826" i="24"/>
  <c r="Q825" i="24"/>
  <c r="Q824" i="24"/>
  <c r="Q823" i="24"/>
  <c r="Q822" i="24"/>
  <c r="Q821" i="24"/>
  <c r="Q820" i="24"/>
  <c r="Q819" i="24"/>
  <c r="Q818" i="24"/>
  <c r="Q817" i="24"/>
  <c r="Q816" i="24"/>
  <c r="Q815" i="24"/>
  <c r="Q814" i="24"/>
  <c r="Q813" i="24"/>
  <c r="Q812" i="24"/>
  <c r="Q811" i="24"/>
  <c r="Q810" i="24"/>
  <c r="Q809" i="24"/>
  <c r="Q808" i="24"/>
  <c r="Q807" i="24"/>
  <c r="Q806" i="24"/>
  <c r="Q805" i="24"/>
  <c r="Q804" i="24"/>
  <c r="Q803" i="24"/>
  <c r="Q802" i="24"/>
  <c r="Q801" i="24"/>
  <c r="Q800" i="24"/>
  <c r="Q799" i="24"/>
  <c r="Q798" i="24"/>
  <c r="Q797" i="24"/>
  <c r="Q796" i="24"/>
  <c r="Q795" i="24"/>
  <c r="Q794" i="24"/>
  <c r="Q793" i="24"/>
  <c r="Q792" i="24"/>
  <c r="Q791" i="24"/>
  <c r="Q790" i="24"/>
  <c r="Q789" i="24"/>
  <c r="Q788" i="24"/>
  <c r="Q787" i="24"/>
  <c r="Q786" i="24"/>
  <c r="Q785" i="24"/>
  <c r="Q784" i="24"/>
  <c r="Q783" i="24"/>
  <c r="Q782" i="24"/>
  <c r="Q781" i="24"/>
  <c r="Q780" i="24"/>
  <c r="Q779" i="24"/>
  <c r="Q778" i="24"/>
  <c r="Q777" i="24"/>
  <c r="Q776" i="24"/>
  <c r="Q775" i="24"/>
  <c r="Q774" i="24"/>
  <c r="Q773" i="24"/>
  <c r="Q772" i="24"/>
  <c r="Q771" i="24"/>
  <c r="Q770" i="24"/>
  <c r="Q769" i="24"/>
  <c r="Q768" i="24"/>
  <c r="Q767" i="24"/>
  <c r="Q766" i="24"/>
  <c r="Q765" i="24"/>
  <c r="Q764" i="24"/>
  <c r="Q763" i="24"/>
  <c r="Q761" i="24"/>
  <c r="Q760" i="24"/>
  <c r="Q759" i="24"/>
  <c r="Q758" i="24"/>
  <c r="Q757" i="24"/>
  <c r="Q756" i="24"/>
  <c r="Q755" i="24"/>
  <c r="Q754" i="24"/>
  <c r="Q753" i="24"/>
  <c r="Q752" i="24"/>
  <c r="Q617" i="24"/>
  <c r="Q615" i="24"/>
  <c r="Q613" i="24"/>
  <c r="Q611" i="24"/>
  <c r="Q606" i="24"/>
  <c r="Q605" i="24"/>
  <c r="Q604" i="24"/>
  <c r="Q603" i="24"/>
  <c r="Q602" i="24"/>
  <c r="Q601" i="24"/>
  <c r="Q600" i="24"/>
  <c r="Q599" i="24"/>
  <c r="Q598" i="24"/>
  <c r="Q597" i="24"/>
  <c r="Q596" i="24"/>
  <c r="Q595" i="24"/>
  <c r="Q594" i="24"/>
  <c r="Q593" i="24"/>
  <c r="Q592" i="24"/>
  <c r="Q591" i="24"/>
  <c r="Q590" i="24"/>
  <c r="Q589" i="24"/>
  <c r="Q588" i="24"/>
  <c r="Q587" i="24"/>
  <c r="Q586" i="24"/>
  <c r="Q585" i="24"/>
  <c r="Q584" i="24"/>
  <c r="Q583" i="24"/>
  <c r="Q582" i="24"/>
  <c r="Q581" i="24"/>
  <c r="Q580" i="24"/>
  <c r="Q579" i="24"/>
  <c r="Q578" i="24"/>
  <c r="O578" i="24"/>
  <c r="Q577" i="24"/>
  <c r="Q576" i="24"/>
  <c r="Q574" i="24"/>
  <c r="O574" i="24"/>
  <c r="Q573" i="24"/>
  <c r="Q572" i="24"/>
  <c r="Q571" i="24"/>
  <c r="Q570" i="24"/>
  <c r="Q569" i="24"/>
  <c r="Q568" i="24"/>
  <c r="Q567" i="24"/>
  <c r="Q566" i="24"/>
  <c r="Q565" i="24"/>
  <c r="Q564" i="24"/>
  <c r="Q563" i="24"/>
  <c r="Q562" i="24"/>
  <c r="Q561" i="24"/>
  <c r="Q560" i="24"/>
  <c r="Q559" i="24"/>
  <c r="Q558" i="24"/>
  <c r="Q557" i="24"/>
  <c r="Q556" i="24"/>
  <c r="Q555" i="24"/>
  <c r="Q554" i="24"/>
  <c r="Q553" i="24"/>
  <c r="Q552" i="24"/>
  <c r="Q551" i="24"/>
  <c r="Q550" i="24"/>
  <c r="Q549" i="24"/>
  <c r="Q548" i="24"/>
  <c r="Q547" i="24"/>
  <c r="Q546" i="24"/>
  <c r="Q545" i="24"/>
  <c r="Q544" i="24"/>
  <c r="Q543" i="24"/>
  <c r="Q542" i="24"/>
  <c r="Q541" i="24"/>
  <c r="Q540" i="24"/>
  <c r="Q539" i="24"/>
  <c r="Q538" i="24"/>
  <c r="Q537" i="24"/>
  <c r="Q536" i="24"/>
  <c r="Q535" i="24"/>
  <c r="Q532" i="24"/>
  <c r="Q531" i="24"/>
  <c r="Q530" i="24"/>
  <c r="Q529" i="24"/>
  <c r="Q528" i="24"/>
  <c r="Q527" i="24"/>
  <c r="Q526" i="24"/>
  <c r="Q525" i="24"/>
  <c r="Q524" i="24"/>
  <c r="Q523" i="24"/>
  <c r="Q522" i="24"/>
  <c r="Q521" i="24"/>
  <c r="Q518" i="24"/>
  <c r="Q517" i="24"/>
  <c r="Q515" i="24"/>
  <c r="Q512" i="24"/>
  <c r="Q511" i="24"/>
  <c r="Q510" i="24"/>
  <c r="Q509" i="24"/>
  <c r="Q508" i="24"/>
  <c r="Q507" i="24"/>
  <c r="Q506" i="24"/>
  <c r="Q505" i="24"/>
  <c r="Q504" i="24"/>
  <c r="Q503" i="24"/>
  <c r="Q502" i="24"/>
  <c r="Q501" i="24"/>
  <c r="Q498" i="24"/>
  <c r="Q497" i="24"/>
  <c r="Q494" i="24"/>
  <c r="Q493" i="24"/>
  <c r="Q490" i="24"/>
  <c r="Q489" i="24"/>
  <c r="Q487" i="24"/>
  <c r="Q486" i="24"/>
  <c r="Q485" i="24"/>
  <c r="Q484" i="24"/>
  <c r="Q483" i="24"/>
  <c r="Q482" i="24"/>
  <c r="Q478" i="24"/>
  <c r="Q477" i="24"/>
  <c r="Q475" i="24"/>
  <c r="Q474" i="24"/>
  <c r="Q473" i="24"/>
  <c r="Q472" i="24"/>
  <c r="Q471" i="24"/>
  <c r="Q470" i="24"/>
  <c r="Q469" i="24"/>
  <c r="Q468" i="24"/>
  <c r="Q467" i="24"/>
  <c r="Q466" i="24"/>
  <c r="Q465" i="24"/>
  <c r="Q464" i="24"/>
  <c r="Q463" i="24"/>
  <c r="Q462" i="24"/>
  <c r="Q461" i="24"/>
  <c r="Q460" i="24"/>
  <c r="Q458" i="24"/>
  <c r="Q457" i="24"/>
  <c r="Q456" i="24"/>
  <c r="Q455" i="24"/>
  <c r="Q454" i="24"/>
  <c r="Q453" i="24"/>
  <c r="Q452" i="24"/>
  <c r="Q451" i="24"/>
  <c r="Q450" i="24"/>
  <c r="Q449" i="24"/>
  <c r="Q448" i="24"/>
  <c r="Q447" i="24"/>
  <c r="Q446" i="24"/>
  <c r="Q445" i="24"/>
  <c r="Q444" i="24"/>
  <c r="Q443" i="24"/>
  <c r="Q442" i="24"/>
  <c r="Q441" i="24"/>
  <c r="Q440" i="24"/>
  <c r="Q439" i="24"/>
  <c r="Q438" i="24"/>
  <c r="Q437" i="24"/>
  <c r="Q436" i="24"/>
  <c r="Q435" i="24"/>
  <c r="Q434" i="24"/>
  <c r="Q433" i="24"/>
  <c r="Q432" i="24"/>
  <c r="Q431" i="24"/>
  <c r="Q430" i="24"/>
  <c r="Q429" i="24"/>
  <c r="Q428" i="24"/>
  <c r="Q427" i="24"/>
  <c r="Q426" i="24"/>
  <c r="Q425" i="24"/>
  <c r="Q424" i="24"/>
  <c r="Q423" i="24"/>
  <c r="Q422" i="24"/>
  <c r="Q421" i="24"/>
  <c r="Q420" i="24"/>
  <c r="Q419" i="24"/>
  <c r="Q418" i="24"/>
  <c r="Q417" i="24"/>
  <c r="Q416" i="24"/>
  <c r="Q415" i="24"/>
  <c r="Q414" i="24"/>
  <c r="Q413" i="24"/>
  <c r="Q412" i="24"/>
  <c r="Q411" i="24"/>
  <c r="Q410" i="24"/>
  <c r="Q409" i="24"/>
  <c r="Q408" i="24"/>
  <c r="Q407" i="24"/>
  <c r="Q406" i="24"/>
  <c r="Q405" i="24"/>
  <c r="Q404" i="24"/>
  <c r="Q403" i="24"/>
  <c r="Q402" i="24"/>
  <c r="Q401" i="24"/>
  <c r="Q400" i="24"/>
  <c r="Q399" i="24"/>
  <c r="Q398" i="24"/>
  <c r="Q397" i="24"/>
  <c r="Q396" i="24"/>
  <c r="Q395" i="24"/>
  <c r="Q394" i="24"/>
  <c r="Q393" i="24"/>
  <c r="Q392" i="24"/>
  <c r="Q391" i="24"/>
  <c r="Q390" i="24"/>
  <c r="Q389" i="24"/>
  <c r="Q388" i="24"/>
  <c r="Q387" i="24"/>
  <c r="Q386" i="24"/>
  <c r="Q385" i="24"/>
  <c r="Q384" i="24"/>
  <c r="Q383" i="24"/>
  <c r="Q381" i="24"/>
  <c r="Q379" i="24"/>
  <c r="Q378" i="24"/>
  <c r="Q377" i="24"/>
  <c r="Q376" i="24"/>
  <c r="Q375" i="24"/>
  <c r="Q374" i="24"/>
  <c r="Q373" i="24"/>
  <c r="Q372" i="24"/>
  <c r="Q371" i="24"/>
  <c r="Q370" i="24"/>
  <c r="Q369" i="24"/>
  <c r="Q368" i="24"/>
  <c r="Q292" i="24"/>
  <c r="Q291" i="24"/>
  <c r="Q290" i="24"/>
  <c r="Q289" i="24"/>
  <c r="Q288" i="24"/>
  <c r="Q287" i="24"/>
  <c r="Q286" i="24"/>
  <c r="Q285" i="24"/>
  <c r="O285" i="24"/>
  <c r="Q284" i="24"/>
  <c r="Q283" i="24"/>
  <c r="Q282" i="24"/>
  <c r="Q281" i="24"/>
  <c r="Q280" i="24"/>
  <c r="Q279" i="24"/>
  <c r="Q278" i="24"/>
  <c r="Q277" i="24"/>
  <c r="Q276" i="24"/>
  <c r="Q275" i="24"/>
  <c r="Q274" i="24"/>
  <c r="O274" i="24"/>
  <c r="Q273" i="24"/>
  <c r="Q272" i="24"/>
  <c r="Q271" i="24"/>
  <c r="Q270" i="24"/>
  <c r="Q269" i="24"/>
  <c r="Q268" i="24"/>
  <c r="Q267" i="24"/>
  <c r="Q266" i="24"/>
  <c r="Q265" i="24"/>
  <c r="Q264" i="24"/>
  <c r="Q263" i="24"/>
  <c r="Q262" i="24"/>
  <c r="Q259" i="24"/>
  <c r="Q253" i="24"/>
  <c r="Q252" i="24"/>
  <c r="Q251" i="24"/>
  <c r="Q250" i="24"/>
  <c r="Q249" i="24"/>
  <c r="Q248" i="24"/>
  <c r="Q247" i="24"/>
  <c r="Q246" i="24"/>
  <c r="Q245" i="24"/>
  <c r="Q244" i="24"/>
  <c r="Q243" i="24"/>
  <c r="Q242" i="24"/>
  <c r="Q241" i="24"/>
  <c r="Q240" i="24"/>
  <c r="Q239" i="24"/>
  <c r="Q238" i="24"/>
  <c r="Q237" i="24"/>
  <c r="Q236" i="24"/>
  <c r="Q235" i="24"/>
  <c r="Q234" i="24"/>
  <c r="Q233" i="24"/>
  <c r="Q232" i="24"/>
  <c r="Q231" i="24"/>
  <c r="Q230" i="24"/>
  <c r="Q229" i="24"/>
  <c r="Q228" i="24"/>
  <c r="Q227" i="24"/>
  <c r="Q226" i="24"/>
  <c r="Q225" i="24"/>
  <c r="Q224" i="24"/>
  <c r="Q187" i="24"/>
  <c r="Q186" i="24"/>
  <c r="Q185" i="24"/>
  <c r="Q184" i="24"/>
  <c r="Q183" i="24"/>
  <c r="Q182" i="24"/>
  <c r="Q181" i="24"/>
  <c r="Q180" i="24"/>
  <c r="Q179" i="24"/>
  <c r="Q178" i="24"/>
  <c r="Q177" i="24"/>
  <c r="Q176" i="24"/>
  <c r="Q175" i="24"/>
  <c r="Q174" i="24"/>
  <c r="Q173" i="24"/>
  <c r="Q172" i="24"/>
  <c r="Q171" i="24"/>
  <c r="Q170" i="24"/>
  <c r="Q169" i="24"/>
  <c r="Q168" i="24"/>
  <c r="Q167" i="24"/>
  <c r="Q166" i="24"/>
  <c r="Q165" i="24"/>
  <c r="Q164" i="24"/>
  <c r="Q163" i="24"/>
  <c r="Q162" i="24"/>
  <c r="Q161" i="24"/>
  <c r="Q160" i="24"/>
  <c r="Q159" i="24"/>
  <c r="Q158" i="24"/>
  <c r="Q157" i="24"/>
  <c r="Q156" i="24"/>
  <c r="Q155" i="24"/>
  <c r="Q154" i="24"/>
  <c r="Q153" i="24"/>
  <c r="Q152" i="24"/>
  <c r="Q151" i="24"/>
  <c r="Q149" i="24"/>
  <c r="Q148" i="24"/>
  <c r="Q147" i="24"/>
  <c r="Q146" i="24"/>
  <c r="Q145" i="24"/>
  <c r="Q144" i="24"/>
  <c r="Q143" i="24"/>
  <c r="Q142" i="24"/>
  <c r="Q141" i="24"/>
  <c r="Q140" i="24"/>
  <c r="Q139" i="24"/>
  <c r="Q138" i="24"/>
  <c r="Q137" i="24"/>
  <c r="Q136" i="24"/>
  <c r="Q135" i="24"/>
  <c r="Q134" i="24"/>
  <c r="Q133" i="24"/>
  <c r="Q132" i="24"/>
  <c r="Q131" i="24"/>
  <c r="Q130" i="24"/>
  <c r="Q129" i="24"/>
  <c r="Q128" i="24"/>
  <c r="Q127" i="24"/>
  <c r="Q126" i="24"/>
  <c r="Q125" i="24"/>
  <c r="Q124" i="24"/>
  <c r="Q123" i="24"/>
  <c r="Q122" i="24"/>
  <c r="Q121" i="24"/>
  <c r="Q120" i="24"/>
  <c r="Q119" i="24"/>
  <c r="Q118" i="24"/>
  <c r="Q117" i="24"/>
  <c r="Q116" i="24"/>
  <c r="Q115" i="24"/>
  <c r="Q114" i="24"/>
  <c r="Q113" i="24"/>
  <c r="Q112" i="24"/>
  <c r="Q111" i="24"/>
  <c r="Q110" i="24"/>
  <c r="Q109" i="24"/>
  <c r="Q108" i="24"/>
  <c r="Q107" i="24"/>
  <c r="Q106" i="24"/>
  <c r="Q105" i="24"/>
  <c r="Q104" i="24"/>
  <c r="Q103" i="24"/>
  <c r="Q102" i="24"/>
  <c r="Q101" i="24"/>
  <c r="Q100" i="24"/>
  <c r="Q99" i="24"/>
  <c r="Q98" i="24"/>
  <c r="Q97" i="24"/>
  <c r="Q96" i="24"/>
  <c r="Q95" i="24"/>
  <c r="Q94" i="24"/>
  <c r="Q93" i="24"/>
  <c r="Q92" i="24"/>
  <c r="Q91" i="24"/>
  <c r="Q90" i="24"/>
  <c r="Q89" i="24"/>
  <c r="Q88" i="24"/>
  <c r="Q87" i="24"/>
  <c r="Q86" i="24"/>
  <c r="Q85" i="24"/>
  <c r="Q84" i="24"/>
  <c r="Q83" i="24"/>
  <c r="Q82" i="24"/>
  <c r="Q81" i="24"/>
  <c r="Q80" i="24"/>
  <c r="Q79" i="24"/>
  <c r="Q78" i="24"/>
  <c r="Q77" i="24"/>
  <c r="Q76" i="24"/>
  <c r="Q75" i="24"/>
  <c r="Q74" i="24"/>
  <c r="Q73" i="24"/>
  <c r="Q72" i="24"/>
  <c r="Q71" i="24"/>
  <c r="Q70" i="24"/>
  <c r="Q69" i="24"/>
  <c r="Q68" i="24"/>
  <c r="Q67" i="24"/>
  <c r="Q66" i="24"/>
  <c r="Q65" i="24"/>
  <c r="Q64" i="24"/>
  <c r="Q63" i="24"/>
  <c r="Q62" i="24"/>
  <c r="Q61" i="24"/>
  <c r="Q60" i="24"/>
  <c r="Q59" i="24"/>
  <c r="Q58" i="24"/>
  <c r="Q57" i="24"/>
  <c r="Q56" i="24"/>
  <c r="Q55" i="24"/>
  <c r="Q54" i="24"/>
  <c r="Q53" i="24"/>
  <c r="Q52" i="24"/>
  <c r="Q51" i="24"/>
  <c r="Q50" i="24"/>
  <c r="Q49" i="24"/>
  <c r="Q48" i="24"/>
  <c r="Q47" i="24"/>
  <c r="Q46" i="24"/>
  <c r="Q45" i="24"/>
  <c r="Q44" i="24"/>
  <c r="Q43" i="24"/>
  <c r="Q42" i="24"/>
  <c r="Q41" i="24"/>
  <c r="Q40" i="24"/>
  <c r="Q39" i="24"/>
  <c r="Q38" i="24"/>
  <c r="Q37" i="24"/>
  <c r="Q36" i="24"/>
  <c r="Q35" i="24"/>
  <c r="Q34" i="24"/>
  <c r="Q33" i="24"/>
  <c r="Q32" i="24"/>
  <c r="Q31" i="24"/>
  <c r="Q30" i="24"/>
  <c r="Q29" i="24"/>
  <c r="Q28" i="24"/>
  <c r="Q27" i="24"/>
  <c r="Q26" i="24"/>
  <c r="Q25" i="24"/>
  <c r="Q24" i="24"/>
  <c r="Q20" i="24"/>
  <c r="Q19" i="24"/>
  <c r="Q18" i="24"/>
  <c r="Q17" i="24"/>
  <c r="Q16" i="24"/>
  <c r="Q15" i="24"/>
  <c r="Q14" i="24"/>
  <c r="Q13" i="24"/>
  <c r="Q12" i="24"/>
  <c r="Q11" i="24"/>
  <c r="Q10" i="24"/>
  <c r="Q9" i="24"/>
  <c r="Q8" i="24"/>
  <c r="Q7" i="24"/>
  <c r="Q6" i="24"/>
  <c r="A1" i="24"/>
  <c r="K14" i="23"/>
  <c r="J14" i="23"/>
  <c r="I14" i="23"/>
  <c r="H14" i="23"/>
  <c r="E14" i="23"/>
  <c r="D14" i="23"/>
  <c r="C14" i="23"/>
  <c r="B14" i="23"/>
  <c r="O12" i="23"/>
  <c r="L12" i="23"/>
  <c r="F12" i="23"/>
  <c r="O11" i="23"/>
  <c r="L11" i="23"/>
  <c r="F11" i="23"/>
  <c r="O10" i="23"/>
  <c r="L10" i="23"/>
  <c r="F10" i="23"/>
  <c r="O9" i="23"/>
  <c r="L9" i="23"/>
  <c r="F9" i="23"/>
  <c r="O8" i="23"/>
  <c r="L8" i="23"/>
  <c r="F8" i="23"/>
  <c r="O7" i="23"/>
  <c r="L7" i="23"/>
  <c r="M7" i="23" s="1"/>
  <c r="G7" i="23"/>
  <c r="F7" i="23"/>
  <c r="O6" i="23"/>
  <c r="L6" i="23"/>
  <c r="N6" i="23" s="1"/>
  <c r="F6" i="23"/>
  <c r="O5" i="23"/>
  <c r="L5" i="23"/>
  <c r="F5" i="23"/>
  <c r="O4" i="23"/>
  <c r="L4" i="23"/>
  <c r="N4" i="23" s="1"/>
  <c r="H4" i="23"/>
  <c r="I25" i="22"/>
  <c r="K15" i="22"/>
  <c r="J15" i="22"/>
  <c r="I15" i="22"/>
  <c r="H15" i="22"/>
  <c r="E15" i="22"/>
  <c r="D15" i="22"/>
  <c r="C15" i="22"/>
  <c r="B15" i="22"/>
  <c r="O13" i="22"/>
  <c r="L13" i="22"/>
  <c r="F13" i="22"/>
  <c r="O12" i="22"/>
  <c r="L12" i="22"/>
  <c r="N12" i="22" s="1"/>
  <c r="F12" i="22"/>
  <c r="O11" i="22"/>
  <c r="L11" i="22"/>
  <c r="N11" i="22" s="1"/>
  <c r="F11" i="22"/>
  <c r="O10" i="22"/>
  <c r="L10" i="22"/>
  <c r="F10" i="22"/>
  <c r="O9" i="22"/>
  <c r="L9" i="22"/>
  <c r="F9" i="22"/>
  <c r="O8" i="22"/>
  <c r="L8" i="22"/>
  <c r="M8" i="22" s="1"/>
  <c r="F8" i="22"/>
  <c r="O7" i="22"/>
  <c r="L7" i="22"/>
  <c r="F7" i="22"/>
  <c r="L6" i="22"/>
  <c r="F6" i="22"/>
  <c r="O5" i="22"/>
  <c r="N5" i="22"/>
  <c r="L5" i="22"/>
  <c r="H5" i="22"/>
  <c r="J35" i="21"/>
  <c r="H35" i="21"/>
  <c r="J34" i="21"/>
  <c r="H34" i="21"/>
  <c r="J33" i="21"/>
  <c r="H33" i="21"/>
  <c r="I32" i="21"/>
  <c r="J32" i="21" s="1"/>
  <c r="I35" i="7" s="1"/>
  <c r="J35" i="7" s="1"/>
  <c r="G32" i="21"/>
  <c r="F32" i="21"/>
  <c r="G35" i="7" s="1"/>
  <c r="E32" i="21"/>
  <c r="D32" i="21"/>
  <c r="F35" i="7" s="1"/>
  <c r="C32" i="21"/>
  <c r="B32" i="21"/>
  <c r="I31" i="21"/>
  <c r="J31" i="21" s="1"/>
  <c r="I34" i="7" s="1"/>
  <c r="J34" i="7" s="1"/>
  <c r="G31" i="21"/>
  <c r="E31" i="21"/>
  <c r="D31" i="21"/>
  <c r="F34" i="7" s="1"/>
  <c r="C31" i="21"/>
  <c r="B31" i="21"/>
  <c r="J28" i="21"/>
  <c r="G28" i="21"/>
  <c r="G32" i="7" s="1"/>
  <c r="F28" i="21"/>
  <c r="F32" i="7" s="1"/>
  <c r="E28" i="21"/>
  <c r="D28" i="21"/>
  <c r="C28" i="21"/>
  <c r="B28" i="21"/>
  <c r="J27" i="21"/>
  <c r="H27" i="21"/>
  <c r="I26" i="21"/>
  <c r="J26" i="21" s="1"/>
  <c r="I30" i="7" s="1"/>
  <c r="J30" i="7" s="1"/>
  <c r="G26" i="21"/>
  <c r="F26" i="21"/>
  <c r="G30" i="7" s="1"/>
  <c r="E26" i="21"/>
  <c r="D26" i="21"/>
  <c r="F30" i="7" s="1"/>
  <c r="C26" i="21"/>
  <c r="B26" i="21"/>
  <c r="I25" i="21"/>
  <c r="J25" i="21" s="1"/>
  <c r="I29" i="7" s="1"/>
  <c r="J29" i="7" s="1"/>
  <c r="G25" i="21"/>
  <c r="F25" i="21"/>
  <c r="G29" i="7" s="1"/>
  <c r="E25" i="21"/>
  <c r="D25" i="21"/>
  <c r="F29" i="7" s="1"/>
  <c r="C25" i="21"/>
  <c r="B25" i="21"/>
  <c r="I24" i="21"/>
  <c r="J24" i="21" s="1"/>
  <c r="G24" i="21"/>
  <c r="F24" i="21"/>
  <c r="G28" i="7" s="1"/>
  <c r="E24" i="21"/>
  <c r="C24" i="21"/>
  <c r="B24" i="21"/>
  <c r="J17" i="21"/>
  <c r="H17" i="21"/>
  <c r="I16" i="21"/>
  <c r="J16" i="21" s="1"/>
  <c r="I23" i="7" s="1"/>
  <c r="J23" i="7" s="1"/>
  <c r="G16" i="21"/>
  <c r="G23" i="7" s="1"/>
  <c r="F16" i="21"/>
  <c r="F23" i="7" s="1"/>
  <c r="E16" i="21"/>
  <c r="D16" i="21"/>
  <c r="C16" i="21"/>
  <c r="B16" i="21"/>
  <c r="J15" i="21"/>
  <c r="I22" i="7" s="1"/>
  <c r="J22" i="7" s="1"/>
  <c r="H15" i="21"/>
  <c r="I14" i="21"/>
  <c r="J14" i="21" s="1"/>
  <c r="I21" i="7" s="1"/>
  <c r="J21" i="7" s="1"/>
  <c r="G14" i="21"/>
  <c r="F14" i="21"/>
  <c r="G21" i="7" s="1"/>
  <c r="E14" i="21"/>
  <c r="D14" i="21"/>
  <c r="F21" i="7" s="1"/>
  <c r="C14" i="21"/>
  <c r="B14" i="21"/>
  <c r="I13" i="21"/>
  <c r="J13" i="21" s="1"/>
  <c r="I20" i="7" s="1"/>
  <c r="J20" i="7" s="1"/>
  <c r="G13" i="21"/>
  <c r="F13" i="21"/>
  <c r="G20" i="7" s="1"/>
  <c r="E13" i="21"/>
  <c r="D13" i="21"/>
  <c r="F20" i="7" s="1"/>
  <c r="C13" i="21"/>
  <c r="B13" i="21"/>
  <c r="J10" i="21"/>
  <c r="I18" i="7" s="1"/>
  <c r="J18" i="7" s="1"/>
  <c r="I10" i="21"/>
  <c r="H18" i="7" s="1"/>
  <c r="G10" i="21"/>
  <c r="F10" i="21"/>
  <c r="G18" i="7" s="1"/>
  <c r="E10" i="21"/>
  <c r="D10" i="21"/>
  <c r="F18" i="7" s="1"/>
  <c r="C10" i="21"/>
  <c r="B10" i="21"/>
  <c r="J9" i="21"/>
  <c r="I17" i="7" s="1"/>
  <c r="J17" i="7" s="1"/>
  <c r="H9" i="21"/>
  <c r="K9" i="21" s="1"/>
  <c r="I8" i="21"/>
  <c r="J8" i="21" s="1"/>
  <c r="I16" i="7" s="1"/>
  <c r="J16" i="7" s="1"/>
  <c r="G8" i="21"/>
  <c r="F8" i="21"/>
  <c r="G16" i="7" s="1"/>
  <c r="E8" i="21"/>
  <c r="D8" i="21"/>
  <c r="F16" i="7" s="1"/>
  <c r="C8" i="21"/>
  <c r="B8" i="21"/>
  <c r="I7" i="21"/>
  <c r="J7" i="21" s="1"/>
  <c r="I15" i="7" s="1"/>
  <c r="J15" i="7" s="1"/>
  <c r="G7" i="21"/>
  <c r="F7" i="21"/>
  <c r="G15" i="7" s="1"/>
  <c r="E7" i="21"/>
  <c r="D7" i="21"/>
  <c r="F15" i="7" s="1"/>
  <c r="C7" i="21"/>
  <c r="B7" i="21"/>
  <c r="I6" i="21"/>
  <c r="J6" i="21" s="1"/>
  <c r="I14" i="7" s="1"/>
  <c r="J14" i="7" s="1"/>
  <c r="G6" i="21"/>
  <c r="F6" i="21"/>
  <c r="G14" i="7" s="1"/>
  <c r="E6" i="21"/>
  <c r="D6" i="21"/>
  <c r="C6" i="21"/>
  <c r="B6" i="21"/>
  <c r="A1" i="21"/>
  <c r="F232" i="20"/>
  <c r="F188" i="20"/>
  <c r="D228" i="20"/>
  <c r="D188" i="20" s="1"/>
  <c r="F126" i="20"/>
  <c r="F214" i="20"/>
  <c r="D214" i="20"/>
  <c r="F213" i="20"/>
  <c r="D213" i="20"/>
  <c r="F212" i="20"/>
  <c r="D212" i="20"/>
  <c r="F209" i="20"/>
  <c r="D209" i="20"/>
  <c r="F208" i="20"/>
  <c r="D208" i="20"/>
  <c r="F205" i="20"/>
  <c r="F206" i="20" s="1"/>
  <c r="D205" i="20"/>
  <c r="D206" i="20" s="1"/>
  <c r="B201" i="20"/>
  <c r="F199" i="20"/>
  <c r="F187" i="20"/>
  <c r="H58" i="5" s="1"/>
  <c r="F186" i="20"/>
  <c r="H57" i="5" s="1"/>
  <c r="D186" i="20"/>
  <c r="F57" i="5" s="1"/>
  <c r="H185" i="20"/>
  <c r="F189" i="20" s="1"/>
  <c r="B182" i="20"/>
  <c r="B178" i="20"/>
  <c r="F177" i="20"/>
  <c r="F176" i="20"/>
  <c r="F181" i="20"/>
  <c r="F182" i="20" s="1"/>
  <c r="H56" i="5" s="1"/>
  <c r="D181" i="20"/>
  <c r="D182" i="20" s="1"/>
  <c r="F56" i="5" s="1"/>
  <c r="Q56" i="5" s="1"/>
  <c r="B168" i="20"/>
  <c r="B164" i="20"/>
  <c r="F163" i="20"/>
  <c r="F162" i="20"/>
  <c r="F167" i="20" s="1"/>
  <c r="F168" i="20" s="1"/>
  <c r="H54" i="5" s="1"/>
  <c r="D162" i="20"/>
  <c r="D167" i="20" s="1"/>
  <c r="D168" i="20" s="1"/>
  <c r="F54" i="5" s="1"/>
  <c r="B156" i="20"/>
  <c r="F142" i="20"/>
  <c r="F138" i="20"/>
  <c r="H124" i="20"/>
  <c r="F127" i="20" s="1"/>
  <c r="D121" i="20"/>
  <c r="F120" i="20"/>
  <c r="F115" i="20"/>
  <c r="F108" i="20"/>
  <c r="L101" i="20"/>
  <c r="F94" i="20"/>
  <c r="F89" i="20"/>
  <c r="F65" i="20"/>
  <c r="D56" i="20"/>
  <c r="F20" i="20"/>
  <c r="H11" i="20"/>
  <c r="F12" i="20" s="1"/>
  <c r="F4" i="20"/>
  <c r="D4" i="20"/>
  <c r="A1" i="20"/>
  <c r="D6" i="19"/>
  <c r="E6" i="19" s="1"/>
  <c r="C6" i="19"/>
  <c r="B6" i="19"/>
  <c r="B7" i="19" s="1"/>
  <c r="D4" i="19" s="1"/>
  <c r="H5" i="19"/>
  <c r="I5" i="19" s="1"/>
  <c r="G5" i="19"/>
  <c r="F5" i="19"/>
  <c r="F6" i="19" s="1"/>
  <c r="G6" i="19" s="1"/>
  <c r="E5" i="19"/>
  <c r="C5" i="19"/>
  <c r="J204" i="11"/>
  <c r="H102" i="18"/>
  <c r="G99" i="18"/>
  <c r="H23" i="5" s="1"/>
  <c r="E99" i="18"/>
  <c r="F23" i="5" s="1"/>
  <c r="H92" i="18"/>
  <c r="G61" i="18"/>
  <c r="E61" i="18"/>
  <c r="A1" i="18"/>
  <c r="M457" i="17"/>
  <c r="L457" i="17"/>
  <c r="K457" i="17"/>
  <c r="J457" i="17"/>
  <c r="M435" i="17"/>
  <c r="L435" i="17"/>
  <c r="K435" i="17"/>
  <c r="J435" i="17"/>
  <c r="M428" i="17"/>
  <c r="L428" i="17"/>
  <c r="K428" i="17"/>
  <c r="J428" i="17"/>
  <c r="M412" i="17"/>
  <c r="L412" i="17"/>
  <c r="K412" i="17"/>
  <c r="J412" i="17"/>
  <c r="M358" i="17"/>
  <c r="L358" i="17"/>
  <c r="K358" i="17"/>
  <c r="J358" i="17"/>
  <c r="M353" i="17"/>
  <c r="L353" i="17"/>
  <c r="K353" i="17"/>
  <c r="J353" i="17"/>
  <c r="N353" i="17"/>
  <c r="M335" i="17"/>
  <c r="L335" i="17"/>
  <c r="K335" i="17"/>
  <c r="J335" i="17"/>
  <c r="M325" i="17"/>
  <c r="L325" i="17"/>
  <c r="K325" i="17"/>
  <c r="J325" i="17"/>
  <c r="M313" i="17"/>
  <c r="L313" i="17"/>
  <c r="K313" i="17"/>
  <c r="J313" i="17"/>
  <c r="M289" i="17"/>
  <c r="M296" i="17" s="1"/>
  <c r="L289" i="17"/>
  <c r="L296" i="17" s="1"/>
  <c r="K289" i="17"/>
  <c r="K296" i="17" s="1"/>
  <c r="J289" i="17"/>
  <c r="J296" i="17" s="1"/>
  <c r="M276" i="17"/>
  <c r="M292" i="17" s="1"/>
  <c r="L276" i="17"/>
  <c r="L292" i="17" s="1"/>
  <c r="K276" i="17"/>
  <c r="K292" i="17" s="1"/>
  <c r="J276" i="17"/>
  <c r="J292" i="17" s="1"/>
  <c r="M272" i="17"/>
  <c r="M294" i="17" s="1"/>
  <c r="L272" i="17"/>
  <c r="L294" i="17" s="1"/>
  <c r="K272" i="17"/>
  <c r="K294" i="17" s="1"/>
  <c r="J272" i="17"/>
  <c r="J294" i="17" s="1"/>
  <c r="M265" i="17"/>
  <c r="M295" i="17" s="1"/>
  <c r="L265" i="17"/>
  <c r="L295" i="17" s="1"/>
  <c r="K265" i="17"/>
  <c r="K295" i="17" s="1"/>
  <c r="J265" i="17"/>
  <c r="J295" i="17" s="1"/>
  <c r="M257" i="17"/>
  <c r="M293" i="17" s="1"/>
  <c r="L257" i="17"/>
  <c r="L293" i="17" s="1"/>
  <c r="K257" i="17"/>
  <c r="K293" i="17" s="1"/>
  <c r="J257" i="17"/>
  <c r="J293" i="17" s="1"/>
  <c r="M248" i="17"/>
  <c r="M291" i="17" s="1"/>
  <c r="L248" i="17"/>
  <c r="L291" i="17" s="1"/>
  <c r="K248" i="17"/>
  <c r="K291" i="17" s="1"/>
  <c r="J248" i="17"/>
  <c r="J291" i="17" s="1"/>
  <c r="M237" i="17"/>
  <c r="L237" i="17"/>
  <c r="K237" i="17"/>
  <c r="J237" i="17"/>
  <c r="M229" i="17"/>
  <c r="L229" i="17"/>
  <c r="K229" i="17"/>
  <c r="J229" i="17"/>
  <c r="N229" i="17"/>
  <c r="M219" i="17"/>
  <c r="L219" i="17"/>
  <c r="K219" i="17"/>
  <c r="J219" i="17"/>
  <c r="M214" i="17"/>
  <c r="L214" i="17"/>
  <c r="K214" i="17"/>
  <c r="J214" i="17"/>
  <c r="M201" i="17"/>
  <c r="L201" i="17"/>
  <c r="K201" i="17"/>
  <c r="J201" i="17"/>
  <c r="M189" i="17"/>
  <c r="L189" i="17"/>
  <c r="K189" i="17"/>
  <c r="J189" i="17"/>
  <c r="M181" i="17"/>
  <c r="L181" i="17"/>
  <c r="K181" i="17"/>
  <c r="J181" i="17"/>
  <c r="N181" i="17"/>
  <c r="M176" i="17"/>
  <c r="L176" i="17"/>
  <c r="K176" i="17"/>
  <c r="J176" i="17"/>
  <c r="M162" i="17"/>
  <c r="L162" i="17"/>
  <c r="K162" i="17"/>
  <c r="J162" i="17"/>
  <c r="M150" i="17"/>
  <c r="L150" i="17"/>
  <c r="K150" i="17"/>
  <c r="J150" i="17"/>
  <c r="M134" i="17"/>
  <c r="L134" i="17"/>
  <c r="K134" i="17"/>
  <c r="J134" i="17"/>
  <c r="M104" i="17"/>
  <c r="L104" i="17"/>
  <c r="K104" i="17"/>
  <c r="J104" i="17"/>
  <c r="M47" i="17"/>
  <c r="L47" i="17"/>
  <c r="K47" i="17"/>
  <c r="J47" i="17"/>
  <c r="M24" i="17"/>
  <c r="L24" i="17"/>
  <c r="K24" i="17"/>
  <c r="J24" i="17"/>
  <c r="M18" i="17"/>
  <c r="L18" i="17"/>
  <c r="K18" i="17"/>
  <c r="J18" i="17"/>
  <c r="A1" i="17"/>
  <c r="C1092" i="16"/>
  <c r="A1092" i="16"/>
  <c r="A1091" i="16"/>
  <c r="A1090" i="16"/>
  <c r="A1089" i="16"/>
  <c r="A1088" i="16"/>
  <c r="A1087" i="16"/>
  <c r="A1086" i="16"/>
  <c r="A1085" i="16"/>
  <c r="A1084" i="16"/>
  <c r="A1083" i="16"/>
  <c r="A1082" i="16"/>
  <c r="A1081" i="16"/>
  <c r="A1080" i="16"/>
  <c r="A1079" i="16"/>
  <c r="A1078" i="16"/>
  <c r="A1077" i="16"/>
  <c r="A1076" i="16"/>
  <c r="A1075" i="16"/>
  <c r="A1074" i="16"/>
  <c r="A1073" i="16"/>
  <c r="A1072" i="16"/>
  <c r="A1071" i="16"/>
  <c r="A1070" i="16"/>
  <c r="A1069" i="16"/>
  <c r="A1068" i="16"/>
  <c r="A1067" i="16"/>
  <c r="A1066" i="16"/>
  <c r="A1065" i="16"/>
  <c r="A1064" i="16"/>
  <c r="A1063" i="16"/>
  <c r="A1062" i="16"/>
  <c r="A1061" i="16"/>
  <c r="A1060" i="16"/>
  <c r="A1059" i="16"/>
  <c r="A1058" i="16"/>
  <c r="A1057" i="16"/>
  <c r="A1056" i="16"/>
  <c r="A1055" i="16"/>
  <c r="A1054" i="16"/>
  <c r="A1053" i="16"/>
  <c r="A1052" i="16"/>
  <c r="A1051" i="16"/>
  <c r="A1050" i="16"/>
  <c r="A1049" i="16"/>
  <c r="A1048" i="16"/>
  <c r="A1047" i="16"/>
  <c r="A1046" i="16"/>
  <c r="A1045" i="16"/>
  <c r="A1044" i="16"/>
  <c r="A1043" i="16"/>
  <c r="A1042" i="16"/>
  <c r="A1041" i="16"/>
  <c r="A1040" i="16"/>
  <c r="A1039" i="16"/>
  <c r="A1038" i="16"/>
  <c r="A1037" i="16"/>
  <c r="A1036" i="16"/>
  <c r="A1035" i="16"/>
  <c r="A1034" i="16"/>
  <c r="A1033" i="16"/>
  <c r="A1032" i="16"/>
  <c r="A1031" i="16"/>
  <c r="A1030" i="16"/>
  <c r="A1029" i="16"/>
  <c r="A1028" i="16"/>
  <c r="A1027" i="16"/>
  <c r="A1026" i="16"/>
  <c r="A1025" i="16"/>
  <c r="A1024" i="16"/>
  <c r="A1023" i="16"/>
  <c r="A1022" i="16"/>
  <c r="A1021" i="16"/>
  <c r="A1020" i="16"/>
  <c r="A1019" i="16"/>
  <c r="A1018" i="16"/>
  <c r="A1017" i="16"/>
  <c r="A1016" i="16"/>
  <c r="A1015" i="16"/>
  <c r="A1014" i="16"/>
  <c r="A1013" i="16"/>
  <c r="A1012" i="16"/>
  <c r="A1011" i="16"/>
  <c r="A1010" i="16"/>
  <c r="A1009" i="16"/>
  <c r="A1008" i="16"/>
  <c r="A1007" i="16"/>
  <c r="A1006" i="16"/>
  <c r="A1005" i="16"/>
  <c r="A1004" i="16"/>
  <c r="A1003" i="16"/>
  <c r="A1002" i="16"/>
  <c r="A1001" i="16"/>
  <c r="A1000" i="16"/>
  <c r="A999" i="16"/>
  <c r="A998" i="16"/>
  <c r="A997" i="16"/>
  <c r="A996" i="16"/>
  <c r="A995" i="16"/>
  <c r="A994" i="16"/>
  <c r="A993" i="16"/>
  <c r="A992" i="16"/>
  <c r="A991" i="16"/>
  <c r="A990" i="16"/>
  <c r="A989" i="16"/>
  <c r="A988" i="16"/>
  <c r="A987" i="16"/>
  <c r="A986" i="16"/>
  <c r="A985" i="16"/>
  <c r="A984" i="16"/>
  <c r="A983" i="16"/>
  <c r="A982" i="16"/>
  <c r="A981" i="16"/>
  <c r="A980" i="16"/>
  <c r="A979" i="16"/>
  <c r="A978" i="16"/>
  <c r="A977" i="16"/>
  <c r="A976" i="16"/>
  <c r="A975" i="16"/>
  <c r="A974" i="16"/>
  <c r="A973" i="16"/>
  <c r="A972" i="16"/>
  <c r="A971" i="16"/>
  <c r="A970" i="16"/>
  <c r="A969" i="16"/>
  <c r="A968" i="16"/>
  <c r="A967" i="16"/>
  <c r="A966" i="16"/>
  <c r="A965" i="16"/>
  <c r="A964" i="16"/>
  <c r="A963" i="16"/>
  <c r="A962" i="16"/>
  <c r="A961" i="16"/>
  <c r="A960" i="16"/>
  <c r="A959" i="16"/>
  <c r="A958" i="16"/>
  <c r="A957" i="16"/>
  <c r="A956" i="16"/>
  <c r="A955" i="16"/>
  <c r="A954" i="16"/>
  <c r="A953" i="16"/>
  <c r="A952" i="16"/>
  <c r="A951" i="16"/>
  <c r="A950" i="16"/>
  <c r="A949" i="16"/>
  <c r="A948" i="16"/>
  <c r="A947" i="16"/>
  <c r="A946" i="16"/>
  <c r="A945" i="16"/>
  <c r="A944" i="16"/>
  <c r="A943" i="16"/>
  <c r="A942" i="16"/>
  <c r="A941" i="16"/>
  <c r="A940" i="16"/>
  <c r="A939" i="16"/>
  <c r="A938" i="16"/>
  <c r="A937" i="16"/>
  <c r="A936" i="16"/>
  <c r="A935" i="16"/>
  <c r="A934" i="16"/>
  <c r="A933" i="16"/>
  <c r="A932" i="16"/>
  <c r="A931" i="16"/>
  <c r="A930" i="16"/>
  <c r="A929" i="16"/>
  <c r="A928" i="16"/>
  <c r="A927" i="16"/>
  <c r="A926" i="16"/>
  <c r="A925" i="16"/>
  <c r="A924" i="16"/>
  <c r="A923" i="16"/>
  <c r="A922" i="16"/>
  <c r="A921" i="16"/>
  <c r="A920" i="16"/>
  <c r="A919" i="16"/>
  <c r="A918" i="16"/>
  <c r="A917" i="16"/>
  <c r="A916" i="16"/>
  <c r="A915" i="16"/>
  <c r="A914" i="16"/>
  <c r="A913" i="16"/>
  <c r="A912" i="16"/>
  <c r="A911" i="16"/>
  <c r="A910" i="16"/>
  <c r="A909" i="16"/>
  <c r="A908" i="16"/>
  <c r="A907" i="16"/>
  <c r="A906" i="16"/>
  <c r="A905" i="16"/>
  <c r="A904" i="16"/>
  <c r="A903" i="16"/>
  <c r="A901" i="16"/>
  <c r="A899" i="16"/>
  <c r="A898" i="16"/>
  <c r="A897" i="16"/>
  <c r="A896" i="16"/>
  <c r="A895" i="16"/>
  <c r="A894" i="16"/>
  <c r="A893" i="16"/>
  <c r="A892" i="16"/>
  <c r="A891" i="16"/>
  <c r="A890" i="16"/>
  <c r="A889" i="16"/>
  <c r="A888" i="16"/>
  <c r="A887" i="16"/>
  <c r="A884" i="16"/>
  <c r="A883" i="16"/>
  <c r="A882" i="16"/>
  <c r="A881" i="16"/>
  <c r="A880" i="16"/>
  <c r="A879" i="16"/>
  <c r="A878" i="16"/>
  <c r="A877" i="16"/>
  <c r="A876" i="16"/>
  <c r="A875" i="16"/>
  <c r="A874" i="16"/>
  <c r="A873" i="16"/>
  <c r="A872" i="16"/>
  <c r="A871" i="16"/>
  <c r="A870" i="16"/>
  <c r="A869" i="16"/>
  <c r="A868" i="16"/>
  <c r="A867" i="16"/>
  <c r="A866" i="16"/>
  <c r="A865" i="16"/>
  <c r="A864" i="16"/>
  <c r="A863" i="16"/>
  <c r="A862" i="16"/>
  <c r="A861" i="16"/>
  <c r="A860" i="16"/>
  <c r="A859" i="16"/>
  <c r="A858" i="16"/>
  <c r="A857" i="16"/>
  <c r="A856" i="16"/>
  <c r="A855" i="16"/>
  <c r="A854" i="16"/>
  <c r="A853" i="16"/>
  <c r="A852" i="16"/>
  <c r="A851" i="16"/>
  <c r="A846" i="16"/>
  <c r="A845" i="16"/>
  <c r="A844" i="16"/>
  <c r="A843" i="16"/>
  <c r="A842" i="16"/>
  <c r="A841" i="16"/>
  <c r="A840" i="16"/>
  <c r="A839" i="16"/>
  <c r="A838" i="16"/>
  <c r="A837" i="16"/>
  <c r="A836" i="16"/>
  <c r="G835" i="16"/>
  <c r="A835" i="16"/>
  <c r="G834" i="16"/>
  <c r="A834" i="16"/>
  <c r="A833" i="16"/>
  <c r="A832" i="16"/>
  <c r="A829" i="16"/>
  <c r="A828" i="16"/>
  <c r="A827" i="16"/>
  <c r="A826" i="16"/>
  <c r="A825" i="16"/>
  <c r="G824" i="16"/>
  <c r="A824" i="16"/>
  <c r="A823" i="16"/>
  <c r="A822" i="16"/>
  <c r="A821" i="16"/>
  <c r="A820" i="16"/>
  <c r="A819" i="16"/>
  <c r="A814" i="16"/>
  <c r="A813" i="16"/>
  <c r="A812" i="16"/>
  <c r="A811" i="16"/>
  <c r="A810" i="16"/>
  <c r="A809" i="16"/>
  <c r="A808" i="16"/>
  <c r="A807" i="16"/>
  <c r="A806" i="16"/>
  <c r="A805" i="16"/>
  <c r="A803" i="16"/>
  <c r="A802" i="16"/>
  <c r="A801" i="16"/>
  <c r="A800" i="16"/>
  <c r="A798" i="16"/>
  <c r="A797" i="16"/>
  <c r="A796" i="16"/>
  <c r="A794" i="16"/>
  <c r="A791" i="16"/>
  <c r="A790" i="16"/>
  <c r="A788" i="16"/>
  <c r="A786" i="16"/>
  <c r="A785" i="16"/>
  <c r="A783" i="16"/>
  <c r="A770" i="16"/>
  <c r="G769" i="16"/>
  <c r="A769" i="16"/>
  <c r="G768" i="16"/>
  <c r="A766" i="16"/>
  <c r="A765" i="16"/>
  <c r="G764" i="16"/>
  <c r="G763" i="16"/>
  <c r="A762" i="16"/>
  <c r="A760" i="16"/>
  <c r="A759" i="16"/>
  <c r="A757" i="16"/>
  <c r="G756" i="16"/>
  <c r="G755" i="16"/>
  <c r="A754" i="16"/>
  <c r="A753" i="16"/>
  <c r="G752" i="16"/>
  <c r="G753" i="16"/>
  <c r="A751" i="16"/>
  <c r="G747" i="16"/>
  <c r="A747" i="16"/>
  <c r="G746" i="16"/>
  <c r="G742" i="16"/>
  <c r="A740" i="16"/>
  <c r="G739" i="16"/>
  <c r="A739" i="16"/>
  <c r="G738" i="16"/>
  <c r="A736" i="16"/>
  <c r="G728" i="16"/>
  <c r="A728" i="16"/>
  <c r="G727" i="16"/>
  <c r="A726" i="16"/>
  <c r="A725" i="16"/>
  <c r="G724" i="16"/>
  <c r="G723" i="16"/>
  <c r="A722" i="16"/>
  <c r="G721" i="16"/>
  <c r="A721" i="16"/>
  <c r="G720" i="16"/>
  <c r="A719" i="16"/>
  <c r="G718" i="16"/>
  <c r="A718" i="16"/>
  <c r="G717" i="16"/>
  <c r="A717" i="16"/>
  <c r="G716" i="16"/>
  <c r="G715" i="16"/>
  <c r="A715" i="16"/>
  <c r="G714" i="16"/>
  <c r="A713" i="16"/>
  <c r="G711" i="16"/>
  <c r="A711" i="16"/>
  <c r="G710" i="16"/>
  <c r="A709" i="16"/>
  <c r="A707" i="16"/>
  <c r="A706" i="16"/>
  <c r="A705" i="16"/>
  <c r="A704" i="16"/>
  <c r="A703" i="16"/>
  <c r="A700" i="16"/>
  <c r="A699" i="16"/>
  <c r="A698" i="16"/>
  <c r="A696" i="16"/>
  <c r="A695" i="16"/>
  <c r="A694" i="16"/>
  <c r="A693" i="16"/>
  <c r="A692" i="16"/>
  <c r="A690" i="16"/>
  <c r="A689" i="16"/>
  <c r="A688" i="16"/>
  <c r="A686" i="16"/>
  <c r="A685" i="16"/>
  <c r="A684" i="16"/>
  <c r="A682" i="16"/>
  <c r="A681" i="16"/>
  <c r="A680" i="16"/>
  <c r="A679" i="16"/>
  <c r="A677" i="16"/>
  <c r="A676" i="16"/>
  <c r="A675" i="16"/>
  <c r="A674" i="16"/>
  <c r="A673" i="16"/>
  <c r="A671" i="16"/>
  <c r="A670" i="16"/>
  <c r="A669" i="16"/>
  <c r="A649" i="16"/>
  <c r="A647" i="16"/>
  <c r="A646" i="16"/>
  <c r="A645" i="16"/>
  <c r="A643" i="16"/>
  <c r="A642" i="16"/>
  <c r="A639" i="16"/>
  <c r="A638" i="16"/>
  <c r="A635" i="16"/>
  <c r="A633" i="16"/>
  <c r="A632" i="16"/>
  <c r="A630" i="16"/>
  <c r="A628" i="16"/>
  <c r="A627" i="16"/>
  <c r="A624" i="16"/>
  <c r="A623" i="16"/>
  <c r="A621" i="16"/>
  <c r="A620" i="16"/>
  <c r="G618" i="16"/>
  <c r="A617" i="16"/>
  <c r="A615" i="16"/>
  <c r="G614" i="16"/>
  <c r="A613" i="16"/>
  <c r="A612" i="16"/>
  <c r="G610" i="16"/>
  <c r="A609" i="16"/>
  <c r="A607" i="16"/>
  <c r="G606" i="16"/>
  <c r="A605" i="16"/>
  <c r="G603" i="16"/>
  <c r="A602" i="16"/>
  <c r="G601" i="16"/>
  <c r="A598" i="16"/>
  <c r="A597" i="16"/>
  <c r="A596" i="16"/>
  <c r="A594" i="16"/>
  <c r="A593" i="16"/>
  <c r="A591" i="16"/>
  <c r="A590" i="16"/>
  <c r="A588" i="16"/>
  <c r="A587" i="16"/>
  <c r="A586" i="16"/>
  <c r="A584" i="16"/>
  <c r="A583" i="16"/>
  <c r="A581" i="16"/>
  <c r="G580" i="16"/>
  <c r="A580" i="16"/>
  <c r="G579" i="16"/>
  <c r="G578" i="16"/>
  <c r="G577" i="16"/>
  <c r="A577" i="16"/>
  <c r="G576" i="16"/>
  <c r="G575" i="16"/>
  <c r="A575" i="16"/>
  <c r="G574" i="16"/>
  <c r="A572" i="16"/>
  <c r="A571" i="16"/>
  <c r="G570" i="16"/>
  <c r="G565" i="16"/>
  <c r="G571" i="16"/>
  <c r="A563" i="16"/>
  <c r="A562" i="16"/>
  <c r="G562" i="16"/>
  <c r="A559" i="16"/>
  <c r="G558" i="16"/>
  <c r="A558" i="16"/>
  <c r="G557" i="16"/>
  <c r="A557" i="16"/>
  <c r="G556" i="16"/>
  <c r="A555" i="16"/>
  <c r="A554" i="16"/>
  <c r="G553" i="16"/>
  <c r="A553" i="16"/>
  <c r="G552" i="16"/>
  <c r="A551" i="16"/>
  <c r="A550" i="16"/>
  <c r="G549" i="16"/>
  <c r="A549" i="16"/>
  <c r="G548" i="16"/>
  <c r="A547" i="16"/>
  <c r="A545" i="16"/>
  <c r="A544" i="16"/>
  <c r="A543" i="16"/>
  <c r="A542" i="16"/>
  <c r="G541" i="16"/>
  <c r="A523" i="16"/>
  <c r="G522" i="16"/>
  <c r="A520" i="16"/>
  <c r="G519" i="16"/>
  <c r="A519" i="16"/>
  <c r="G518" i="16"/>
  <c r="A518" i="16"/>
  <c r="G517" i="16"/>
  <c r="A517" i="16"/>
  <c r="G516" i="16"/>
  <c r="A515" i="16"/>
  <c r="G514" i="16"/>
  <c r="A514" i="16"/>
  <c r="G513" i="16"/>
  <c r="A513" i="16"/>
  <c r="G512" i="16"/>
  <c r="G511" i="16"/>
  <c r="A511" i="16"/>
  <c r="G510" i="16"/>
  <c r="A510" i="16"/>
  <c r="G509" i="16"/>
  <c r="A509" i="16"/>
  <c r="G508" i="16"/>
  <c r="A508" i="16"/>
  <c r="G507" i="16"/>
  <c r="A507" i="16"/>
  <c r="G506" i="16"/>
  <c r="A506" i="16"/>
  <c r="G505" i="16"/>
  <c r="A505" i="16"/>
  <c r="G504" i="16"/>
  <c r="A504" i="16"/>
  <c r="G503" i="16"/>
  <c r="G502" i="16"/>
  <c r="G501" i="16"/>
  <c r="A501" i="16"/>
  <c r="G500" i="16"/>
  <c r="G499" i="16"/>
  <c r="A499" i="16"/>
  <c r="G498" i="16"/>
  <c r="G497" i="16"/>
  <c r="G496" i="16"/>
  <c r="A496" i="16"/>
  <c r="G495" i="16"/>
  <c r="A495" i="16"/>
  <c r="G494" i="16"/>
  <c r="G493" i="16"/>
  <c r="A493" i="16"/>
  <c r="G492" i="16"/>
  <c r="A492" i="16"/>
  <c r="G491" i="16"/>
  <c r="G490" i="16"/>
  <c r="G489" i="16"/>
  <c r="A489" i="16"/>
  <c r="G488" i="16"/>
  <c r="A488" i="16"/>
  <c r="G487" i="16"/>
  <c r="A487" i="16"/>
  <c r="G486" i="16"/>
  <c r="G485" i="16"/>
  <c r="A485" i="16"/>
  <c r="G484" i="16"/>
  <c r="A484" i="16"/>
  <c r="G483" i="16"/>
  <c r="G482" i="16"/>
  <c r="A481" i="16"/>
  <c r="G476" i="16"/>
  <c r="G475" i="16"/>
  <c r="A475" i="16"/>
  <c r="G474" i="16"/>
  <c r="A474" i="16"/>
  <c r="G473" i="16"/>
  <c r="G472" i="16"/>
  <c r="A472" i="16"/>
  <c r="G471" i="16"/>
  <c r="A471" i="16"/>
  <c r="G470" i="16"/>
  <c r="G469" i="16"/>
  <c r="A468" i="16"/>
  <c r="G467" i="16"/>
  <c r="A467" i="16"/>
  <c r="G463" i="16"/>
  <c r="A463" i="16"/>
  <c r="G462" i="16"/>
  <c r="G461" i="16"/>
  <c r="G460" i="16"/>
  <c r="A460" i="16"/>
  <c r="A459" i="16"/>
  <c r="G458" i="16"/>
  <c r="G457" i="16"/>
  <c r="G456" i="16"/>
  <c r="G61" i="16"/>
  <c r="G60" i="16"/>
  <c r="G59" i="16"/>
  <c r="G57" i="16"/>
  <c r="G56" i="16"/>
  <c r="G55" i="16"/>
  <c r="G54" i="16"/>
  <c r="G53" i="16"/>
  <c r="G52" i="16"/>
  <c r="G51" i="16"/>
  <c r="G50" i="16"/>
  <c r="G49" i="16"/>
  <c r="G48" i="16"/>
  <c r="G47" i="16"/>
  <c r="G46" i="16"/>
  <c r="G45" i="16"/>
  <c r="G44" i="16"/>
  <c r="G43" i="16"/>
  <c r="G42" i="16"/>
  <c r="G41" i="16"/>
  <c r="G40" i="16"/>
  <c r="G39" i="16"/>
  <c r="G38" i="16"/>
  <c r="G37" i="16"/>
  <c r="G35" i="16"/>
  <c r="G34" i="16"/>
  <c r="G32" i="16"/>
  <c r="G31" i="16"/>
  <c r="G29" i="16"/>
  <c r="G26" i="16"/>
  <c r="G25" i="16"/>
  <c r="G22" i="16"/>
  <c r="G21" i="16"/>
  <c r="G20" i="16"/>
  <c r="G18" i="16"/>
  <c r="G17" i="16"/>
  <c r="G16" i="16"/>
  <c r="J13" i="16"/>
  <c r="G13" i="16"/>
  <c r="G12" i="16"/>
  <c r="G8" i="16"/>
  <c r="G7" i="16"/>
  <c r="A7" i="16"/>
  <c r="A1" i="16"/>
  <c r="J315" i="15"/>
  <c r="J308" i="15"/>
  <c r="J301" i="15"/>
  <c r="J296" i="15"/>
  <c r="J283" i="15"/>
  <c r="J270" i="15"/>
  <c r="J261" i="15"/>
  <c r="I258" i="15"/>
  <c r="G258" i="15"/>
  <c r="J248" i="15"/>
  <c r="I246" i="15"/>
  <c r="K216" i="10" s="1"/>
  <c r="G246" i="15"/>
  <c r="J216" i="10" s="1"/>
  <c r="J215" i="10"/>
  <c r="I237" i="15"/>
  <c r="G237" i="15"/>
  <c r="I236" i="15"/>
  <c r="G236" i="15"/>
  <c r="I233" i="15"/>
  <c r="K137" i="10" s="1"/>
  <c r="I219" i="15"/>
  <c r="I193" i="15" s="1"/>
  <c r="G219" i="15"/>
  <c r="I218" i="15"/>
  <c r="I217" i="15"/>
  <c r="I214" i="15"/>
  <c r="I213" i="15"/>
  <c r="I207" i="15"/>
  <c r="G199" i="15"/>
  <c r="I198" i="15"/>
  <c r="G198" i="15"/>
  <c r="F47" i="4" s="1"/>
  <c r="H47" i="4" s="1"/>
  <c r="G193" i="15"/>
  <c r="G192" i="15"/>
  <c r="I191" i="15"/>
  <c r="G191" i="15"/>
  <c r="F28" i="4" s="1"/>
  <c r="H28" i="4" s="1"/>
  <c r="I174" i="15"/>
  <c r="K13" i="10" s="1"/>
  <c r="G174" i="15"/>
  <c r="J13" i="10" s="1"/>
  <c r="J168" i="15"/>
  <c r="J131" i="15"/>
  <c r="J127" i="15"/>
  <c r="J121" i="15"/>
  <c r="J120" i="15"/>
  <c r="J113" i="15"/>
  <c r="I111" i="15"/>
  <c r="G111" i="15"/>
  <c r="J98" i="8" s="1"/>
  <c r="J109" i="15"/>
  <c r="I101" i="15"/>
  <c r="I103" i="15" s="1"/>
  <c r="K91" i="8" s="1"/>
  <c r="J81" i="15"/>
  <c r="J75" i="15"/>
  <c r="I71" i="15"/>
  <c r="G71" i="15"/>
  <c r="J48" i="8" s="1"/>
  <c r="I69" i="15"/>
  <c r="K44" i="8" s="1"/>
  <c r="G69" i="15"/>
  <c r="J68" i="15"/>
  <c r="M66" i="15"/>
  <c r="L66" i="15"/>
  <c r="K66" i="15"/>
  <c r="I61" i="15"/>
  <c r="G61" i="15"/>
  <c r="J52" i="15"/>
  <c r="J46" i="15"/>
  <c r="I42" i="15"/>
  <c r="I44" i="15" s="1"/>
  <c r="F24" i="20" s="1"/>
  <c r="G42" i="15"/>
  <c r="I78" i="7" s="1"/>
  <c r="J39" i="15"/>
  <c r="I18" i="15"/>
  <c r="G28" i="15"/>
  <c r="G18" i="15" s="1"/>
  <c r="I24" i="15"/>
  <c r="G24" i="15"/>
  <c r="I21" i="15"/>
  <c r="G21" i="15"/>
  <c r="A2" i="15"/>
  <c r="A1" i="15"/>
  <c r="E983" i="14"/>
  <c r="E982" i="14"/>
  <c r="E981" i="14"/>
  <c r="F977" i="14"/>
  <c r="D977" i="14"/>
  <c r="F976" i="14"/>
  <c r="D976" i="14"/>
  <c r="F975" i="14"/>
  <c r="D975" i="14"/>
  <c r="F974" i="14"/>
  <c r="D974" i="14"/>
  <c r="F973" i="14"/>
  <c r="D973" i="14"/>
  <c r="F966" i="14"/>
  <c r="D966" i="14"/>
  <c r="E958" i="14"/>
  <c r="E956" i="14"/>
  <c r="E955" i="14"/>
  <c r="E954" i="14"/>
  <c r="E953" i="14"/>
  <c r="E952" i="14"/>
  <c r="F945" i="14"/>
  <c r="D945" i="14"/>
  <c r="F944" i="14"/>
  <c r="D944" i="14"/>
  <c r="F939" i="14"/>
  <c r="D939" i="14"/>
  <c r="F938" i="14"/>
  <c r="D938" i="14"/>
  <c r="M930" i="14"/>
  <c r="M910" i="14"/>
  <c r="I177" i="15" s="1"/>
  <c r="I910" i="14"/>
  <c r="G177" i="15" s="1"/>
  <c r="G181" i="15" s="1"/>
  <c r="G40" i="2" s="1"/>
  <c r="M891" i="14"/>
  <c r="I891" i="14"/>
  <c r="M867" i="14"/>
  <c r="I867" i="14"/>
  <c r="G233" i="15" s="1"/>
  <c r="J137" i="10" s="1"/>
  <c r="M842" i="14"/>
  <c r="I842" i="14"/>
  <c r="M837" i="14"/>
  <c r="I837" i="14"/>
  <c r="M833" i="14"/>
  <c r="I833" i="14"/>
  <c r="M829" i="14"/>
  <c r="I829" i="14"/>
  <c r="M813" i="14"/>
  <c r="I253" i="15" s="1"/>
  <c r="I813" i="14"/>
  <c r="G253" i="15" s="1"/>
  <c r="M808" i="14"/>
  <c r="I238" i="15" s="1"/>
  <c r="I808" i="14"/>
  <c r="G238" i="15" s="1"/>
  <c r="J140" i="10" s="1"/>
  <c r="M772" i="14"/>
  <c r="I234" i="15" s="1"/>
  <c r="I772" i="14"/>
  <c r="G234" i="15" s="1"/>
  <c r="M730" i="14"/>
  <c r="J265" i="10"/>
  <c r="M714" i="14"/>
  <c r="I256" i="15" s="1"/>
  <c r="I714" i="14"/>
  <c r="G256" i="15" s="1"/>
  <c r="M710" i="14"/>
  <c r="I255" i="15" s="1"/>
  <c r="I710" i="14"/>
  <c r="G255" i="15" s="1"/>
  <c r="M693" i="14"/>
  <c r="I254" i="15" s="1"/>
  <c r="I693" i="14"/>
  <c r="G254" i="15" s="1"/>
  <c r="M667" i="14"/>
  <c r="I252" i="15" s="1"/>
  <c r="K266" i="10" s="1"/>
  <c r="I667" i="14"/>
  <c r="G252" i="15" s="1"/>
  <c r="J266" i="10" s="1"/>
  <c r="M655" i="14"/>
  <c r="I655" i="14"/>
  <c r="M649" i="14"/>
  <c r="I649" i="14"/>
  <c r="M641" i="14"/>
  <c r="I235" i="15" s="1"/>
  <c r="K139" i="10" s="1"/>
  <c r="I641" i="14"/>
  <c r="G235" i="15" s="1"/>
  <c r="J139" i="10" s="1"/>
  <c r="N639" i="14"/>
  <c r="J639" i="14"/>
  <c r="N637" i="14"/>
  <c r="H637" i="14"/>
  <c r="J637" i="14" s="1"/>
  <c r="M635" i="14"/>
  <c r="I635" i="14"/>
  <c r="M597" i="14"/>
  <c r="I58" i="15" s="1"/>
  <c r="I597" i="14"/>
  <c r="G58" i="15" s="1"/>
  <c r="M591" i="14"/>
  <c r="I591" i="14"/>
  <c r="M576" i="14"/>
  <c r="I576" i="14"/>
  <c r="M571" i="14"/>
  <c r="I571" i="14"/>
  <c r="M565" i="14"/>
  <c r="I565" i="14"/>
  <c r="M543" i="14"/>
  <c r="I542" i="14"/>
  <c r="I543" i="14" s="1"/>
  <c r="M502" i="14"/>
  <c r="I38" i="15" s="1"/>
  <c r="I502" i="14"/>
  <c r="G38" i="15" s="1"/>
  <c r="M480" i="14"/>
  <c r="I480" i="14"/>
  <c r="M473" i="14"/>
  <c r="I473" i="14"/>
  <c r="M467" i="14"/>
  <c r="I467" i="14"/>
  <c r="M462" i="14"/>
  <c r="I462" i="14"/>
  <c r="G41" i="15" s="1"/>
  <c r="M451" i="14"/>
  <c r="I451" i="14"/>
  <c r="M446" i="14"/>
  <c r="I70" i="15" s="1"/>
  <c r="I446" i="14"/>
  <c r="G70" i="15" s="1"/>
  <c r="I73" i="15"/>
  <c r="K50" i="8" s="1"/>
  <c r="I430" i="14"/>
  <c r="G73" i="15" s="1"/>
  <c r="K45" i="8"/>
  <c r="I377" i="14"/>
  <c r="M376" i="14"/>
  <c r="I50" i="15" s="1"/>
  <c r="N373" i="14"/>
  <c r="M372" i="14"/>
  <c r="I372" i="14"/>
  <c r="N371" i="14"/>
  <c r="M357" i="14"/>
  <c r="I357" i="14"/>
  <c r="M328" i="14"/>
  <c r="I328" i="14"/>
  <c r="M307" i="14"/>
  <c r="I307" i="14"/>
  <c r="M302" i="14"/>
  <c r="I65" i="15" s="1"/>
  <c r="I302" i="14"/>
  <c r="G65" i="15" s="1"/>
  <c r="N301" i="14"/>
  <c r="M281" i="14"/>
  <c r="I64" i="15" s="1"/>
  <c r="K47" i="8" s="1"/>
  <c r="I281" i="14"/>
  <c r="G64" i="15" s="1"/>
  <c r="J47" i="8" s="1"/>
  <c r="N258" i="14"/>
  <c r="M257" i="14"/>
  <c r="I33" i="15" s="1"/>
  <c r="I35" i="15" s="1"/>
  <c r="I17" i="2" s="1"/>
  <c r="F17" i="20" s="1"/>
  <c r="F19" i="20" s="1"/>
  <c r="I257" i="14"/>
  <c r="M242" i="14"/>
  <c r="I242" i="14"/>
  <c r="F242" i="14"/>
  <c r="D242" i="14"/>
  <c r="L239" i="14"/>
  <c r="N239" i="14" s="1"/>
  <c r="H239" i="14"/>
  <c r="J239" i="14" s="1"/>
  <c r="L238" i="14"/>
  <c r="N238" i="14" s="1"/>
  <c r="H238" i="14"/>
  <c r="L237" i="14"/>
  <c r="N237" i="14" s="1"/>
  <c r="M235" i="14"/>
  <c r="I126" i="15" s="1"/>
  <c r="I235" i="14"/>
  <c r="G126" i="15" s="1"/>
  <c r="M209" i="14"/>
  <c r="I209" i="14"/>
  <c r="M145" i="14"/>
  <c r="I145" i="14"/>
  <c r="N134" i="14"/>
  <c r="H134" i="14"/>
  <c r="M132" i="14"/>
  <c r="M136" i="14" s="1"/>
  <c r="I132" i="14"/>
  <c r="I136" i="14" s="1"/>
  <c r="N130" i="14"/>
  <c r="H130" i="14"/>
  <c r="N128" i="14"/>
  <c r="L127" i="14"/>
  <c r="I100" i="15" s="1"/>
  <c r="H127" i="14"/>
  <c r="G100" i="15" s="1"/>
  <c r="J88" i="8" s="1"/>
  <c r="N126" i="14"/>
  <c r="H126" i="14"/>
  <c r="M124" i="14"/>
  <c r="N123" i="14"/>
  <c r="I123" i="14"/>
  <c r="J123" i="14" s="1"/>
  <c r="M119" i="14"/>
  <c r="N118" i="14"/>
  <c r="I118" i="14"/>
  <c r="I119" i="14" s="1"/>
  <c r="M115" i="14"/>
  <c r="I115" i="14"/>
  <c r="M97" i="14"/>
  <c r="I96" i="14"/>
  <c r="I97" i="14" s="1"/>
  <c r="M92" i="14"/>
  <c r="I92" i="14"/>
  <c r="N90" i="14"/>
  <c r="M73" i="14"/>
  <c r="I73" i="14"/>
  <c r="D5" i="14"/>
  <c r="A1" i="14"/>
  <c r="A650" i="13"/>
  <c r="G650" i="13" s="1"/>
  <c r="A649" i="13"/>
  <c r="K649" i="13" s="1"/>
  <c r="G643" i="13"/>
  <c r="A643" i="13"/>
  <c r="G642" i="13"/>
  <c r="G641" i="13"/>
  <c r="A641" i="13"/>
  <c r="K564" i="13"/>
  <c r="J581" i="13" s="1"/>
  <c r="J564" i="13"/>
  <c r="H581" i="13" s="1"/>
  <c r="K523" i="13"/>
  <c r="J523" i="13"/>
  <c r="H523" i="13"/>
  <c r="G523" i="13"/>
  <c r="J435" i="13"/>
  <c r="H435" i="13"/>
  <c r="K428" i="13"/>
  <c r="H428" i="13"/>
  <c r="K423" i="13"/>
  <c r="J423" i="13"/>
  <c r="H423" i="13"/>
  <c r="K409" i="13"/>
  <c r="J409" i="13"/>
  <c r="H409" i="13"/>
  <c r="K402" i="13"/>
  <c r="H402" i="13"/>
  <c r="K397" i="13"/>
  <c r="J397" i="13"/>
  <c r="H397" i="13"/>
  <c r="K377" i="13"/>
  <c r="J377" i="13"/>
  <c r="H377" i="13"/>
  <c r="K371" i="13"/>
  <c r="H371" i="13"/>
  <c r="K366" i="13"/>
  <c r="J366" i="13"/>
  <c r="H366" i="13"/>
  <c r="K343" i="13"/>
  <c r="J343" i="13"/>
  <c r="J342" i="13"/>
  <c r="J341" i="13"/>
  <c r="J340" i="13"/>
  <c r="K338" i="13"/>
  <c r="J338" i="13"/>
  <c r="K330" i="13"/>
  <c r="J330" i="13"/>
  <c r="K309" i="13"/>
  <c r="J309" i="13"/>
  <c r="H309" i="13"/>
  <c r="G309" i="13"/>
  <c r="K308" i="13"/>
  <c r="J308" i="13"/>
  <c r="H308" i="13"/>
  <c r="G308" i="13"/>
  <c r="K307" i="13"/>
  <c r="J307" i="13"/>
  <c r="H307" i="13"/>
  <c r="G307" i="13"/>
  <c r="K306" i="13"/>
  <c r="J306" i="13"/>
  <c r="H306" i="13"/>
  <c r="G306" i="13"/>
  <c r="K305" i="13"/>
  <c r="J305" i="13"/>
  <c r="H305" i="13"/>
  <c r="G305" i="13"/>
  <c r="K304" i="13"/>
  <c r="J304" i="13"/>
  <c r="H304" i="13"/>
  <c r="G304" i="13"/>
  <c r="K303" i="13"/>
  <c r="J303" i="13"/>
  <c r="H303" i="13"/>
  <c r="G303" i="13"/>
  <c r="K300" i="13"/>
  <c r="J300" i="13"/>
  <c r="H300" i="13"/>
  <c r="G300" i="13"/>
  <c r="K299" i="13"/>
  <c r="J299" i="13"/>
  <c r="H299" i="13"/>
  <c r="G299" i="13"/>
  <c r="K298" i="13"/>
  <c r="J298" i="13"/>
  <c r="H298" i="13"/>
  <c r="G298" i="13"/>
  <c r="K297" i="13"/>
  <c r="J297" i="13"/>
  <c r="H297" i="13"/>
  <c r="G297" i="13"/>
  <c r="J293" i="13"/>
  <c r="G293" i="13"/>
  <c r="K276" i="13"/>
  <c r="J276" i="13"/>
  <c r="K263" i="13"/>
  <c r="J263" i="13"/>
  <c r="K241" i="13"/>
  <c r="J241" i="13"/>
  <c r="K239" i="13"/>
  <c r="J239" i="13"/>
  <c r="M235" i="13"/>
  <c r="K233" i="13"/>
  <c r="J233" i="13"/>
  <c r="K231" i="13"/>
  <c r="J231" i="13"/>
  <c r="K227" i="13"/>
  <c r="J227" i="13"/>
  <c r="K225" i="13"/>
  <c r="J225" i="13"/>
  <c r="K223" i="13"/>
  <c r="J223" i="13"/>
  <c r="K209" i="13"/>
  <c r="J209" i="13"/>
  <c r="K207" i="13"/>
  <c r="J207" i="13"/>
  <c r="K205" i="13"/>
  <c r="J205" i="13"/>
  <c r="K198" i="13"/>
  <c r="J198" i="13"/>
  <c r="J189" i="13"/>
  <c r="H189" i="13"/>
  <c r="G189" i="13"/>
  <c r="K247" i="13"/>
  <c r="K245" i="13"/>
  <c r="J185" i="13"/>
  <c r="J181" i="13"/>
  <c r="H181" i="13"/>
  <c r="J180" i="13"/>
  <c r="H180" i="13"/>
  <c r="J179" i="13"/>
  <c r="H179" i="13"/>
  <c r="J178" i="13"/>
  <c r="H178" i="13"/>
  <c r="J177" i="13"/>
  <c r="H177" i="13"/>
  <c r="J174" i="13"/>
  <c r="H174" i="13"/>
  <c r="K173" i="13"/>
  <c r="J172" i="13"/>
  <c r="H172" i="13"/>
  <c r="J171" i="13"/>
  <c r="H171" i="13"/>
  <c r="J170" i="13"/>
  <c r="H170" i="13"/>
  <c r="J169" i="13"/>
  <c r="H169" i="13"/>
  <c r="J168" i="13"/>
  <c r="H168" i="13"/>
  <c r="J166" i="13"/>
  <c r="H166" i="13"/>
  <c r="J165" i="13"/>
  <c r="H165" i="13"/>
  <c r="J160" i="13"/>
  <c r="J152" i="13"/>
  <c r="H152" i="13"/>
  <c r="H145" i="13"/>
  <c r="G145" i="13"/>
  <c r="J247" i="13"/>
  <c r="J137" i="13"/>
  <c r="H137" i="13"/>
  <c r="J136" i="13"/>
  <c r="H136" i="13"/>
  <c r="J132" i="13"/>
  <c r="H132" i="13"/>
  <c r="J131" i="13"/>
  <c r="H131" i="13"/>
  <c r="J130" i="13"/>
  <c r="H130" i="13"/>
  <c r="J129" i="13"/>
  <c r="H129" i="13"/>
  <c r="J128" i="13"/>
  <c r="H128" i="13"/>
  <c r="K127" i="13"/>
  <c r="J126" i="13"/>
  <c r="H126" i="13"/>
  <c r="G126" i="13"/>
  <c r="K125" i="13"/>
  <c r="J124" i="13"/>
  <c r="H124" i="13"/>
  <c r="G124" i="13"/>
  <c r="J123" i="13"/>
  <c r="H123" i="13"/>
  <c r="G123" i="13"/>
  <c r="J121" i="13"/>
  <c r="K120" i="13"/>
  <c r="J52" i="12"/>
  <c r="I52" i="12"/>
  <c r="J50" i="12"/>
  <c r="I50" i="12"/>
  <c r="J45" i="12"/>
  <c r="I45" i="12"/>
  <c r="J34" i="12"/>
  <c r="I34" i="12"/>
  <c r="J29" i="12"/>
  <c r="I29" i="12"/>
  <c r="J23" i="12"/>
  <c r="I23" i="12"/>
  <c r="J384" i="11"/>
  <c r="I384" i="11"/>
  <c r="J382" i="11"/>
  <c r="I382" i="11"/>
  <c r="J377" i="11"/>
  <c r="I377" i="11"/>
  <c r="J371" i="11"/>
  <c r="I371" i="11"/>
  <c r="F426" i="11"/>
  <c r="J376" i="11"/>
  <c r="I349" i="11"/>
  <c r="I376" i="11" s="1"/>
  <c r="J375" i="11"/>
  <c r="I375" i="11"/>
  <c r="I374" i="11"/>
  <c r="J344" i="11"/>
  <c r="I344" i="11"/>
  <c r="J325" i="11"/>
  <c r="I325" i="11"/>
  <c r="J316" i="11"/>
  <c r="I316" i="11"/>
  <c r="F301" i="11"/>
  <c r="E301" i="11"/>
  <c r="H297" i="11"/>
  <c r="E297" i="11"/>
  <c r="J277" i="11"/>
  <c r="J287" i="11" s="1"/>
  <c r="H298" i="11" s="1"/>
  <c r="I277" i="11"/>
  <c r="I287" i="11" s="1"/>
  <c r="E298" i="11" s="1"/>
  <c r="J267" i="11"/>
  <c r="I267" i="11"/>
  <c r="J258" i="11"/>
  <c r="I258" i="11"/>
  <c r="J200" i="11"/>
  <c r="I234" i="11"/>
  <c r="N200" i="11" s="1"/>
  <c r="I228" i="11"/>
  <c r="J223" i="11"/>
  <c r="I223" i="11"/>
  <c r="J195" i="11"/>
  <c r="I195" i="11"/>
  <c r="I151" i="11"/>
  <c r="H151" i="11"/>
  <c r="F150" i="11"/>
  <c r="F151" i="11" s="1"/>
  <c r="E150" i="11"/>
  <c r="J149" i="11"/>
  <c r="E149" i="11"/>
  <c r="H146" i="11"/>
  <c r="E146" i="11"/>
  <c r="J137" i="11"/>
  <c r="I137" i="11"/>
  <c r="J126" i="11"/>
  <c r="I126" i="11"/>
  <c r="J122" i="11"/>
  <c r="I122" i="11"/>
  <c r="J71" i="11"/>
  <c r="J68" i="11"/>
  <c r="I68" i="11"/>
  <c r="J66" i="11"/>
  <c r="I66" i="11"/>
  <c r="J107" i="11"/>
  <c r="I107" i="11"/>
  <c r="J80" i="11"/>
  <c r="I80" i="11"/>
  <c r="J53" i="11"/>
  <c r="I53" i="11"/>
  <c r="J45" i="11"/>
  <c r="I45" i="11"/>
  <c r="J38" i="11"/>
  <c r="I38" i="11"/>
  <c r="J19" i="11"/>
  <c r="I19" i="11"/>
  <c r="J9" i="11"/>
  <c r="I9" i="11"/>
  <c r="I370" i="10"/>
  <c r="I372" i="10" s="1"/>
  <c r="K368" i="10"/>
  <c r="J368" i="10"/>
  <c r="I368" i="10"/>
  <c r="K356" i="10"/>
  <c r="J356" i="10"/>
  <c r="K338" i="10"/>
  <c r="J338" i="10"/>
  <c r="K277" i="10"/>
  <c r="J277" i="10"/>
  <c r="K276" i="10"/>
  <c r="J276" i="10"/>
  <c r="K275" i="10"/>
  <c r="J275" i="10"/>
  <c r="K263" i="10"/>
  <c r="J263" i="10"/>
  <c r="K223" i="10"/>
  <c r="J223" i="10"/>
  <c r="K213" i="10"/>
  <c r="J213" i="10"/>
  <c r="K135" i="10"/>
  <c r="J135" i="10"/>
  <c r="I90" i="10"/>
  <c r="J30" i="10"/>
  <c r="J43" i="10" s="1"/>
  <c r="H30" i="10"/>
  <c r="H43" i="10" s="1"/>
  <c r="B17" i="10"/>
  <c r="B13" i="10"/>
  <c r="K10" i="10"/>
  <c r="K176" i="10" s="1"/>
  <c r="I189" i="10" s="1"/>
  <c r="I203" i="10" s="1"/>
  <c r="J10" i="10"/>
  <c r="J176" i="10" s="1"/>
  <c r="I184" i="10" s="1"/>
  <c r="I195" i="10" s="1"/>
  <c r="A3" i="10"/>
  <c r="A1" i="10"/>
  <c r="E24" i="9"/>
  <c r="A8" i="9"/>
  <c r="K197" i="8"/>
  <c r="J197" i="8"/>
  <c r="K190" i="8"/>
  <c r="J190" i="8"/>
  <c r="K189" i="8"/>
  <c r="J189" i="8"/>
  <c r="K188" i="8"/>
  <c r="J188" i="8"/>
  <c r="J173" i="8"/>
  <c r="K171" i="8"/>
  <c r="J171" i="8"/>
  <c r="J169" i="8"/>
  <c r="J166" i="8"/>
  <c r="J168" i="8" s="1"/>
  <c r="K163" i="8"/>
  <c r="J163" i="8"/>
  <c r="I153" i="8"/>
  <c r="I155" i="8" s="1"/>
  <c r="K150" i="8"/>
  <c r="J150" i="8"/>
  <c r="I150" i="8"/>
  <c r="K141" i="8"/>
  <c r="J141" i="8"/>
  <c r="K128" i="8"/>
  <c r="J128" i="8"/>
  <c r="K98" i="8"/>
  <c r="K96" i="8"/>
  <c r="J96" i="8"/>
  <c r="K84" i="8"/>
  <c r="J84" i="8"/>
  <c r="J74" i="8"/>
  <c r="H74" i="8"/>
  <c r="K63" i="8"/>
  <c r="J63" i="8"/>
  <c r="I58" i="8"/>
  <c r="K56" i="8"/>
  <c r="J56" i="8"/>
  <c r="I56" i="8"/>
  <c r="A55" i="8"/>
  <c r="K41" i="8"/>
  <c r="J41" i="8"/>
  <c r="J33" i="8"/>
  <c r="K28" i="8"/>
  <c r="J28" i="8"/>
  <c r="K22" i="8"/>
  <c r="J22" i="8"/>
  <c r="I22" i="8"/>
  <c r="K16" i="8"/>
  <c r="J16" i="8"/>
  <c r="I16" i="8"/>
  <c r="K15" i="8"/>
  <c r="J15" i="8"/>
  <c r="I15" i="8"/>
  <c r="K14" i="8"/>
  <c r="J14" i="8"/>
  <c r="I14" i="8"/>
  <c r="K13" i="8"/>
  <c r="J13" i="8"/>
  <c r="K11" i="8"/>
  <c r="J11" i="8"/>
  <c r="I11" i="8"/>
  <c r="K8" i="8"/>
  <c r="J8" i="8"/>
  <c r="J83" i="7"/>
  <c r="I83" i="7"/>
  <c r="B41" i="7"/>
  <c r="J40" i="7"/>
  <c r="J39" i="7"/>
  <c r="B38" i="7"/>
  <c r="I37" i="7"/>
  <c r="J37" i="7" s="1"/>
  <c r="G37" i="7"/>
  <c r="F37" i="7"/>
  <c r="I36" i="7"/>
  <c r="J36" i="7" s="1"/>
  <c r="G36" i="7"/>
  <c r="F36" i="7"/>
  <c r="G34" i="7"/>
  <c r="B33" i="7"/>
  <c r="I32" i="7"/>
  <c r="J32" i="7" s="1"/>
  <c r="I31" i="7"/>
  <c r="J31" i="7" s="1"/>
  <c r="H31" i="7"/>
  <c r="G31" i="7"/>
  <c r="F31" i="7"/>
  <c r="F28" i="7"/>
  <c r="B28" i="7"/>
  <c r="G22" i="7"/>
  <c r="F22" i="7"/>
  <c r="H17" i="7"/>
  <c r="G17" i="7"/>
  <c r="F17" i="7"/>
  <c r="A1" i="7"/>
  <c r="A16" i="6"/>
  <c r="H96" i="5"/>
  <c r="H68" i="5"/>
  <c r="F68" i="5"/>
  <c r="H59" i="5"/>
  <c r="F58" i="5"/>
  <c r="H6" i="5"/>
  <c r="F6" i="5"/>
  <c r="A1" i="5"/>
  <c r="H86" i="4"/>
  <c r="A83" i="4"/>
  <c r="A82" i="4"/>
  <c r="H39" i="4"/>
  <c r="G36" i="4"/>
  <c r="H36" i="4" s="1"/>
  <c r="F34" i="4"/>
  <c r="H34" i="4" s="1"/>
  <c r="F33" i="4"/>
  <c r="H33" i="4" s="1"/>
  <c r="F32" i="4"/>
  <c r="H32" i="4" s="1"/>
  <c r="F27" i="4"/>
  <c r="H27" i="4" s="1"/>
  <c r="F26" i="4"/>
  <c r="H26" i="4" s="1"/>
  <c r="G24" i="4"/>
  <c r="D24" i="4"/>
  <c r="D31" i="4" s="1"/>
  <c r="F23" i="4"/>
  <c r="C23" i="4"/>
  <c r="F22" i="4"/>
  <c r="E22" i="4"/>
  <c r="E24" i="4" s="1"/>
  <c r="E31" i="4" s="1"/>
  <c r="C22" i="4"/>
  <c r="G11" i="4"/>
  <c r="G13" i="4" s="1"/>
  <c r="A4" i="4"/>
  <c r="A4" i="7" s="1"/>
  <c r="A103" i="4"/>
  <c r="C92" i="5"/>
  <c r="A96" i="4"/>
  <c r="C95" i="4"/>
  <c r="A95" i="4"/>
  <c r="C94" i="4"/>
  <c r="A94" i="4"/>
  <c r="H63" i="3"/>
  <c r="H84" i="5" s="1"/>
  <c r="K636" i="13" s="1"/>
  <c r="H62" i="3"/>
  <c r="H83" i="5" s="1"/>
  <c r="K635" i="13" s="1"/>
  <c r="F43" i="3"/>
  <c r="G68" i="4" s="1"/>
  <c r="M34" i="3"/>
  <c r="L34" i="3"/>
  <c r="L31" i="3"/>
  <c r="H31" i="3"/>
  <c r="M31" i="3" s="1"/>
  <c r="D16" i="3"/>
  <c r="H7" i="3"/>
  <c r="F7" i="3"/>
  <c r="A4" i="3"/>
  <c r="A1" i="3"/>
  <c r="C13" i="2"/>
  <c r="C12" i="2"/>
  <c r="C11" i="2"/>
  <c r="B24" i="1"/>
  <c r="B21" i="1"/>
  <c r="B22" i="1" s="1"/>
  <c r="B13" i="1"/>
  <c r="B8" i="1"/>
  <c r="B7" i="1"/>
  <c r="G5" i="15" s="1"/>
  <c r="B6" i="1"/>
  <c r="A4" i="9" s="1"/>
  <c r="B5" i="1"/>
  <c r="Q40" i="2" l="1"/>
  <c r="E40" i="2"/>
  <c r="C93" i="5"/>
  <c r="C97" i="4" s="1"/>
  <c r="G644" i="13"/>
  <c r="K223" i="15"/>
  <c r="A2" i="14"/>
  <c r="A2" i="37"/>
  <c r="O190" i="24"/>
  <c r="N190" i="24"/>
  <c r="O198" i="24"/>
  <c r="N198" i="24"/>
  <c r="O206" i="24"/>
  <c r="N206" i="24"/>
  <c r="O214" i="24"/>
  <c r="N214" i="24"/>
  <c r="O222" i="24"/>
  <c r="N222" i="24"/>
  <c r="O227" i="24"/>
  <c r="N227" i="24"/>
  <c r="O231" i="24"/>
  <c r="N231" i="24"/>
  <c r="O235" i="24"/>
  <c r="N235" i="24"/>
  <c r="O239" i="24"/>
  <c r="N239" i="24"/>
  <c r="O243" i="24"/>
  <c r="N243" i="24"/>
  <c r="O247" i="24"/>
  <c r="N247" i="24"/>
  <c r="O251" i="24"/>
  <c r="N251" i="24"/>
  <c r="O256" i="24"/>
  <c r="N256" i="24"/>
  <c r="O297" i="24"/>
  <c r="N297" i="24"/>
  <c r="O305" i="24"/>
  <c r="N305" i="24"/>
  <c r="O313" i="24"/>
  <c r="N313" i="24"/>
  <c r="O321" i="24"/>
  <c r="N321" i="24"/>
  <c r="O330" i="24"/>
  <c r="N330" i="24"/>
  <c r="O338" i="24"/>
  <c r="N338" i="24"/>
  <c r="O346" i="24"/>
  <c r="N346" i="24"/>
  <c r="O354" i="24"/>
  <c r="N354" i="24"/>
  <c r="O362" i="24"/>
  <c r="N362" i="24"/>
  <c r="O369" i="24"/>
  <c r="N369" i="24"/>
  <c r="O373" i="24"/>
  <c r="N373" i="24"/>
  <c r="O377" i="24"/>
  <c r="N377" i="24"/>
  <c r="O387" i="24"/>
  <c r="N387" i="24"/>
  <c r="O460" i="24"/>
  <c r="N460" i="24"/>
  <c r="O465" i="24"/>
  <c r="N465" i="24"/>
  <c r="O482" i="24"/>
  <c r="N482" i="24"/>
  <c r="O486" i="24"/>
  <c r="N486" i="24"/>
  <c r="O496" i="24"/>
  <c r="N496" i="24"/>
  <c r="O514" i="24"/>
  <c r="N514" i="24"/>
  <c r="O519" i="24"/>
  <c r="N519" i="24"/>
  <c r="O566" i="24"/>
  <c r="N566" i="24"/>
  <c r="O570" i="24"/>
  <c r="N570" i="24"/>
  <c r="O613" i="24"/>
  <c r="N613" i="24"/>
  <c r="O191" i="24"/>
  <c r="N191" i="24"/>
  <c r="O199" i="24"/>
  <c r="N199" i="24"/>
  <c r="O207" i="24"/>
  <c r="N207" i="24"/>
  <c r="O215" i="24"/>
  <c r="N215" i="24"/>
  <c r="O223" i="24"/>
  <c r="N223" i="24"/>
  <c r="O257" i="24"/>
  <c r="N257" i="24"/>
  <c r="O263" i="24"/>
  <c r="N263" i="24"/>
  <c r="O267" i="24"/>
  <c r="N267" i="24"/>
  <c r="O271" i="24"/>
  <c r="N271" i="24"/>
  <c r="O275" i="24"/>
  <c r="N275" i="24"/>
  <c r="O279" i="24"/>
  <c r="N279" i="24"/>
  <c r="O283" i="24"/>
  <c r="N283" i="24"/>
  <c r="O287" i="24"/>
  <c r="N287" i="24"/>
  <c r="O291" i="24"/>
  <c r="N291" i="24"/>
  <c r="O298" i="24"/>
  <c r="N298" i="24"/>
  <c r="O306" i="24"/>
  <c r="N306" i="24"/>
  <c r="O314" i="24"/>
  <c r="N314" i="24"/>
  <c r="O322" i="24"/>
  <c r="N322" i="24"/>
  <c r="O331" i="24"/>
  <c r="N331" i="24"/>
  <c r="O339" i="24"/>
  <c r="N339" i="24"/>
  <c r="O347" i="24"/>
  <c r="N347" i="24"/>
  <c r="O355" i="24"/>
  <c r="N355" i="24"/>
  <c r="O363" i="24"/>
  <c r="N363" i="24"/>
  <c r="O382" i="24"/>
  <c r="N382" i="24"/>
  <c r="O392" i="24"/>
  <c r="N392" i="24"/>
  <c r="O396" i="24"/>
  <c r="N396" i="24"/>
  <c r="O400" i="24"/>
  <c r="N400" i="24"/>
  <c r="O404" i="24"/>
  <c r="N404" i="24"/>
  <c r="O408" i="24"/>
  <c r="N408" i="24"/>
  <c r="O412" i="24"/>
  <c r="N412" i="24"/>
  <c r="O416" i="24"/>
  <c r="N416" i="24"/>
  <c r="O420" i="24"/>
  <c r="N420" i="24"/>
  <c r="O424" i="24"/>
  <c r="N424" i="24"/>
  <c r="O428" i="24"/>
  <c r="N428" i="24"/>
  <c r="O432" i="24"/>
  <c r="N432" i="24"/>
  <c r="O436" i="24"/>
  <c r="N436" i="24"/>
  <c r="O440" i="24"/>
  <c r="N440" i="24"/>
  <c r="O444" i="24"/>
  <c r="N444" i="24"/>
  <c r="O448" i="24"/>
  <c r="N448" i="24"/>
  <c r="O452" i="24"/>
  <c r="N452" i="24"/>
  <c r="O456" i="24"/>
  <c r="N456" i="24"/>
  <c r="O471" i="24"/>
  <c r="N471" i="24"/>
  <c r="O476" i="24"/>
  <c r="N476" i="24"/>
  <c r="O491" i="24"/>
  <c r="N491" i="24"/>
  <c r="O497" i="24"/>
  <c r="N497" i="24"/>
  <c r="O502" i="24"/>
  <c r="N502" i="24"/>
  <c r="O506" i="24"/>
  <c r="N506" i="24"/>
  <c r="O510" i="24"/>
  <c r="N510" i="24"/>
  <c r="O515" i="24"/>
  <c r="N515" i="24"/>
  <c r="O520" i="24"/>
  <c r="N520" i="24"/>
  <c r="O525" i="24"/>
  <c r="N525" i="24"/>
  <c r="O529" i="24"/>
  <c r="N529" i="24"/>
  <c r="O533" i="24"/>
  <c r="N533" i="24"/>
  <c r="O538" i="24"/>
  <c r="N538" i="24"/>
  <c r="O542" i="24"/>
  <c r="N542" i="24"/>
  <c r="O546" i="24"/>
  <c r="N546" i="24"/>
  <c r="O550" i="24"/>
  <c r="N550" i="24"/>
  <c r="O554" i="24"/>
  <c r="N554" i="24"/>
  <c r="O558" i="24"/>
  <c r="N558" i="24"/>
  <c r="O562" i="24"/>
  <c r="N562" i="24"/>
  <c r="O579" i="24"/>
  <c r="N579" i="24"/>
  <c r="O583" i="24"/>
  <c r="N583" i="24"/>
  <c r="O587" i="24"/>
  <c r="N587" i="24"/>
  <c r="O591" i="24"/>
  <c r="N591" i="24"/>
  <c r="O595" i="24"/>
  <c r="N595" i="24"/>
  <c r="O599" i="24"/>
  <c r="N599" i="24"/>
  <c r="O603" i="24"/>
  <c r="N603" i="24"/>
  <c r="O607" i="24"/>
  <c r="N607" i="24"/>
  <c r="O192" i="24"/>
  <c r="N192" i="24"/>
  <c r="O200" i="24"/>
  <c r="N200" i="24"/>
  <c r="O208" i="24"/>
  <c r="N208" i="24"/>
  <c r="O216" i="24"/>
  <c r="N216" i="24"/>
  <c r="O224" i="24"/>
  <c r="N224" i="24"/>
  <c r="O228" i="24"/>
  <c r="N228" i="24"/>
  <c r="O232" i="24"/>
  <c r="N232" i="24"/>
  <c r="O236" i="24"/>
  <c r="N236" i="24"/>
  <c r="O240" i="24"/>
  <c r="N240" i="24"/>
  <c r="O244" i="24"/>
  <c r="N244" i="24"/>
  <c r="O248" i="24"/>
  <c r="N248" i="24"/>
  <c r="O252" i="24"/>
  <c r="N252" i="24"/>
  <c r="O258" i="24"/>
  <c r="N258" i="24"/>
  <c r="O299" i="24"/>
  <c r="N299" i="24"/>
  <c r="O307" i="24"/>
  <c r="N307" i="24"/>
  <c r="O315" i="24"/>
  <c r="N315" i="24"/>
  <c r="O323" i="24"/>
  <c r="N323" i="24"/>
  <c r="O332" i="24"/>
  <c r="N332" i="24"/>
  <c r="O340" i="24"/>
  <c r="N340" i="24"/>
  <c r="O348" i="24"/>
  <c r="N348" i="24"/>
  <c r="O356" i="24"/>
  <c r="N356" i="24"/>
  <c r="O364" i="24"/>
  <c r="N364" i="24"/>
  <c r="O370" i="24"/>
  <c r="N370" i="24"/>
  <c r="O374" i="24"/>
  <c r="N374" i="24"/>
  <c r="O378" i="24"/>
  <c r="N378" i="24"/>
  <c r="O383" i="24"/>
  <c r="N383" i="24"/>
  <c r="O388" i="24"/>
  <c r="N388" i="24"/>
  <c r="O461" i="24"/>
  <c r="N461" i="24"/>
  <c r="O477" i="24"/>
  <c r="N477" i="24"/>
  <c r="O483" i="24"/>
  <c r="N483" i="24"/>
  <c r="O487" i="24"/>
  <c r="N487" i="24"/>
  <c r="O492" i="24"/>
  <c r="N492" i="24"/>
  <c r="O521" i="24"/>
  <c r="N521" i="24"/>
  <c r="O534" i="24"/>
  <c r="N534" i="24"/>
  <c r="O567" i="24"/>
  <c r="N567" i="24"/>
  <c r="O571" i="24"/>
  <c r="N571" i="24"/>
  <c r="O575" i="24"/>
  <c r="N575" i="24"/>
  <c r="O608" i="24"/>
  <c r="N608" i="24"/>
  <c r="O614" i="24"/>
  <c r="N614" i="24"/>
  <c r="O193" i="24"/>
  <c r="N193" i="24"/>
  <c r="O201" i="24"/>
  <c r="N201" i="24"/>
  <c r="O209" i="24"/>
  <c r="N209" i="24"/>
  <c r="O217" i="24"/>
  <c r="N217" i="24"/>
  <c r="O259" i="24"/>
  <c r="N259" i="24"/>
  <c r="O264" i="24"/>
  <c r="N264" i="24"/>
  <c r="O268" i="24"/>
  <c r="N268" i="24"/>
  <c r="O272" i="24"/>
  <c r="N272" i="24"/>
  <c r="O276" i="24"/>
  <c r="N276" i="24"/>
  <c r="O280" i="24"/>
  <c r="N280" i="24"/>
  <c r="O284" i="24"/>
  <c r="N284" i="24"/>
  <c r="O288" i="24"/>
  <c r="N288" i="24"/>
  <c r="O292" i="24"/>
  <c r="N292" i="24"/>
  <c r="O300" i="24"/>
  <c r="N300" i="24"/>
  <c r="O308" i="24"/>
  <c r="N308" i="24"/>
  <c r="O316" i="24"/>
  <c r="N316" i="24"/>
  <c r="O325" i="24"/>
  <c r="N325" i="24"/>
  <c r="O333" i="24"/>
  <c r="N333" i="24"/>
  <c r="O341" i="24"/>
  <c r="N341" i="24"/>
  <c r="O349" i="24"/>
  <c r="N349" i="24"/>
  <c r="O357" i="24"/>
  <c r="N357" i="24"/>
  <c r="O365" i="24"/>
  <c r="N365" i="24"/>
  <c r="O393" i="24"/>
  <c r="N393" i="24"/>
  <c r="O397" i="24"/>
  <c r="N397" i="24"/>
  <c r="O401" i="24"/>
  <c r="N401" i="24"/>
  <c r="O405" i="24"/>
  <c r="N405" i="24"/>
  <c r="O409" i="24"/>
  <c r="N409" i="24"/>
  <c r="O413" i="24"/>
  <c r="N413" i="24"/>
  <c r="O417" i="24"/>
  <c r="N417" i="24"/>
  <c r="O421" i="24"/>
  <c r="N421" i="24"/>
  <c r="O425" i="24"/>
  <c r="N425" i="24"/>
  <c r="O429" i="24"/>
  <c r="N429" i="24"/>
  <c r="O433" i="24"/>
  <c r="N433" i="24"/>
  <c r="O437" i="24"/>
  <c r="N437" i="24"/>
  <c r="O441" i="24"/>
  <c r="N441" i="24"/>
  <c r="O445" i="24"/>
  <c r="N445" i="24"/>
  <c r="O449" i="24"/>
  <c r="N449" i="24"/>
  <c r="O453" i="24"/>
  <c r="N453" i="24"/>
  <c r="O457" i="24"/>
  <c r="N457" i="24"/>
  <c r="O467" i="24"/>
  <c r="N467" i="24"/>
  <c r="O493" i="24"/>
  <c r="N493" i="24"/>
  <c r="O498" i="24"/>
  <c r="N498" i="24"/>
  <c r="O503" i="24"/>
  <c r="N503" i="24"/>
  <c r="O507" i="24"/>
  <c r="N507" i="24"/>
  <c r="O511" i="24"/>
  <c r="N511" i="24"/>
  <c r="O516" i="24"/>
  <c r="N516" i="24"/>
  <c r="O526" i="24"/>
  <c r="N526" i="24"/>
  <c r="O530" i="24"/>
  <c r="N530" i="24"/>
  <c r="O535" i="24"/>
  <c r="N535" i="24"/>
  <c r="O539" i="24"/>
  <c r="N539" i="24"/>
  <c r="O543" i="24"/>
  <c r="N543" i="24"/>
  <c r="O547" i="24"/>
  <c r="N547" i="24"/>
  <c r="O551" i="24"/>
  <c r="N551" i="24"/>
  <c r="O555" i="24"/>
  <c r="N555" i="24"/>
  <c r="O559" i="24"/>
  <c r="N559" i="24"/>
  <c r="O563" i="24"/>
  <c r="N563" i="24"/>
  <c r="O576" i="24"/>
  <c r="N576" i="24"/>
  <c r="O580" i="24"/>
  <c r="N580" i="24"/>
  <c r="O584" i="24"/>
  <c r="N584" i="24"/>
  <c r="O588" i="24"/>
  <c r="N588" i="24"/>
  <c r="O592" i="24"/>
  <c r="N592" i="24"/>
  <c r="O596" i="24"/>
  <c r="N596" i="24"/>
  <c r="O600" i="24"/>
  <c r="N600" i="24"/>
  <c r="O604" i="24"/>
  <c r="N604" i="24"/>
  <c r="O609" i="24"/>
  <c r="N609" i="24"/>
  <c r="O615" i="24"/>
  <c r="N615" i="24"/>
  <c r="O194" i="24"/>
  <c r="N194" i="24"/>
  <c r="O202" i="24"/>
  <c r="N202" i="24"/>
  <c r="O210" i="24"/>
  <c r="N210" i="24"/>
  <c r="O218" i="24"/>
  <c r="N218" i="24"/>
  <c r="O225" i="24"/>
  <c r="N225" i="24"/>
  <c r="O229" i="24"/>
  <c r="N229" i="24"/>
  <c r="O233" i="24"/>
  <c r="N233" i="24"/>
  <c r="O237" i="24"/>
  <c r="N237" i="24"/>
  <c r="O241" i="24"/>
  <c r="N241" i="24"/>
  <c r="O245" i="24"/>
  <c r="N245" i="24"/>
  <c r="O249" i="24"/>
  <c r="N249" i="24"/>
  <c r="O253" i="24"/>
  <c r="N253" i="24"/>
  <c r="O301" i="24"/>
  <c r="N301" i="24"/>
  <c r="O309" i="24"/>
  <c r="N309" i="24"/>
  <c r="O317" i="24"/>
  <c r="N317" i="24"/>
  <c r="O326" i="24"/>
  <c r="N326" i="24"/>
  <c r="O334" i="24"/>
  <c r="N334" i="24"/>
  <c r="O342" i="24"/>
  <c r="N342" i="24"/>
  <c r="O350" i="24"/>
  <c r="N350" i="24"/>
  <c r="O358" i="24"/>
  <c r="N358" i="24"/>
  <c r="O366" i="24"/>
  <c r="N366" i="24"/>
  <c r="O371" i="24"/>
  <c r="N371" i="24"/>
  <c r="O375" i="24"/>
  <c r="N375" i="24"/>
  <c r="O379" i="24"/>
  <c r="N379" i="24"/>
  <c r="O473" i="24"/>
  <c r="N473" i="24"/>
  <c r="O484" i="24"/>
  <c r="N484" i="24"/>
  <c r="O488" i="24"/>
  <c r="N488" i="24"/>
  <c r="O517" i="24"/>
  <c r="N517" i="24"/>
  <c r="O568" i="24"/>
  <c r="N568" i="24"/>
  <c r="O572" i="24"/>
  <c r="N572" i="24"/>
  <c r="O610" i="24"/>
  <c r="N610" i="24"/>
  <c r="O195" i="24"/>
  <c r="N195" i="24"/>
  <c r="O203" i="24"/>
  <c r="N203" i="24"/>
  <c r="O211" i="24"/>
  <c r="N211" i="24"/>
  <c r="O219" i="24"/>
  <c r="N219" i="24"/>
  <c r="O260" i="24"/>
  <c r="N260" i="24"/>
  <c r="O265" i="24"/>
  <c r="N265" i="24"/>
  <c r="O269" i="24"/>
  <c r="N269" i="24"/>
  <c r="O273" i="24"/>
  <c r="N273" i="24"/>
  <c r="O277" i="24"/>
  <c r="N277" i="24"/>
  <c r="O281" i="24"/>
  <c r="N281" i="24"/>
  <c r="O289" i="24"/>
  <c r="N289" i="24"/>
  <c r="O294" i="24"/>
  <c r="N294" i="24"/>
  <c r="O302" i="24"/>
  <c r="N302" i="24"/>
  <c r="O310" i="24"/>
  <c r="N310" i="24"/>
  <c r="O318" i="24"/>
  <c r="N318" i="24"/>
  <c r="O327" i="24"/>
  <c r="N327" i="24"/>
  <c r="O335" i="24"/>
  <c r="N335" i="24"/>
  <c r="O343" i="24"/>
  <c r="N343" i="24"/>
  <c r="O351" i="24"/>
  <c r="N351" i="24"/>
  <c r="O359" i="24"/>
  <c r="N359" i="24"/>
  <c r="O367" i="24"/>
  <c r="N367" i="24"/>
  <c r="O390" i="24"/>
  <c r="N390" i="24"/>
  <c r="O394" i="24"/>
  <c r="N394" i="24"/>
  <c r="O398" i="24"/>
  <c r="N398" i="24"/>
  <c r="O402" i="24"/>
  <c r="N402" i="24"/>
  <c r="O406" i="24"/>
  <c r="N406" i="24"/>
  <c r="O410" i="24"/>
  <c r="N410" i="24"/>
  <c r="O414" i="24"/>
  <c r="N414" i="24"/>
  <c r="O418" i="24"/>
  <c r="N418" i="24"/>
  <c r="O422" i="24"/>
  <c r="N422" i="24"/>
  <c r="O426" i="24"/>
  <c r="N426" i="24"/>
  <c r="O430" i="24"/>
  <c r="N430" i="24"/>
  <c r="O434" i="24"/>
  <c r="N434" i="24"/>
  <c r="O438" i="24"/>
  <c r="N438" i="24"/>
  <c r="O442" i="24"/>
  <c r="N442" i="24"/>
  <c r="O446" i="24"/>
  <c r="N446" i="24"/>
  <c r="O450" i="24"/>
  <c r="N450" i="24"/>
  <c r="O454" i="24"/>
  <c r="N454" i="24"/>
  <c r="O458" i="24"/>
  <c r="N458" i="24"/>
  <c r="O463" i="24"/>
  <c r="N463" i="24"/>
  <c r="O479" i="24"/>
  <c r="N479" i="24"/>
  <c r="O489" i="24"/>
  <c r="N489" i="24"/>
  <c r="O494" i="24"/>
  <c r="N494" i="24"/>
  <c r="O499" i="24"/>
  <c r="N499" i="24"/>
  <c r="O504" i="24"/>
  <c r="N504" i="24"/>
  <c r="O508" i="24"/>
  <c r="N508" i="24"/>
  <c r="O512" i="24"/>
  <c r="N512" i="24"/>
  <c r="O523" i="24"/>
  <c r="N523" i="24"/>
  <c r="O527" i="24"/>
  <c r="N527" i="24"/>
  <c r="O531" i="24"/>
  <c r="N531" i="24"/>
  <c r="O536" i="24"/>
  <c r="N536" i="24"/>
  <c r="O540" i="24"/>
  <c r="N540" i="24"/>
  <c r="O544" i="24"/>
  <c r="N544" i="24"/>
  <c r="O548" i="24"/>
  <c r="N548" i="24"/>
  <c r="O552" i="24"/>
  <c r="N552" i="24"/>
  <c r="O556" i="24"/>
  <c r="N556" i="24"/>
  <c r="O560" i="24"/>
  <c r="N560" i="24"/>
  <c r="O564" i="24"/>
  <c r="N564" i="24"/>
  <c r="O577" i="24"/>
  <c r="N577" i="24"/>
  <c r="O581" i="24"/>
  <c r="N581" i="24"/>
  <c r="O585" i="24"/>
  <c r="N585" i="24"/>
  <c r="O589" i="24"/>
  <c r="N589" i="24"/>
  <c r="O593" i="24"/>
  <c r="N593" i="24"/>
  <c r="O597" i="24"/>
  <c r="N597" i="24"/>
  <c r="O601" i="24"/>
  <c r="N601" i="24"/>
  <c r="O605" i="24"/>
  <c r="N605" i="24"/>
  <c r="O611" i="24"/>
  <c r="N611" i="24"/>
  <c r="O616" i="24"/>
  <c r="N616" i="24"/>
  <c r="O188" i="24"/>
  <c r="N188" i="24"/>
  <c r="O196" i="24"/>
  <c r="N196" i="24"/>
  <c r="O204" i="24"/>
  <c r="N204" i="24"/>
  <c r="O212" i="24"/>
  <c r="N212" i="24"/>
  <c r="O220" i="24"/>
  <c r="N220" i="24"/>
  <c r="O226" i="24"/>
  <c r="N226" i="24"/>
  <c r="O230" i="24"/>
  <c r="N230" i="24"/>
  <c r="O234" i="24"/>
  <c r="N234" i="24"/>
  <c r="O238" i="24"/>
  <c r="N238" i="24"/>
  <c r="O242" i="24"/>
  <c r="N242" i="24"/>
  <c r="O246" i="24"/>
  <c r="N246" i="24"/>
  <c r="O250" i="24"/>
  <c r="N250" i="24"/>
  <c r="O254" i="24"/>
  <c r="N254" i="24"/>
  <c r="O261" i="24"/>
  <c r="N261" i="24"/>
  <c r="O295" i="24"/>
  <c r="N295" i="24"/>
  <c r="O303" i="24"/>
  <c r="N303" i="24"/>
  <c r="O311" i="24"/>
  <c r="N311" i="24"/>
  <c r="O319" i="24"/>
  <c r="N319" i="24"/>
  <c r="O328" i="24"/>
  <c r="N328" i="24"/>
  <c r="O336" i="24"/>
  <c r="N336" i="24"/>
  <c r="O344" i="24"/>
  <c r="N344" i="24"/>
  <c r="O352" i="24"/>
  <c r="N352" i="24"/>
  <c r="O360" i="24"/>
  <c r="N360" i="24"/>
  <c r="O368" i="24"/>
  <c r="N368" i="24"/>
  <c r="O372" i="24"/>
  <c r="N372" i="24"/>
  <c r="O376" i="24"/>
  <c r="N376" i="24"/>
  <c r="O380" i="24"/>
  <c r="N380" i="24"/>
  <c r="O386" i="24"/>
  <c r="N386" i="24"/>
  <c r="O469" i="24"/>
  <c r="N469" i="24"/>
  <c r="O480" i="24"/>
  <c r="N480" i="24"/>
  <c r="O485" i="24"/>
  <c r="N485" i="24"/>
  <c r="O500" i="24"/>
  <c r="N500" i="24"/>
  <c r="O518" i="24"/>
  <c r="N518" i="24"/>
  <c r="O569" i="24"/>
  <c r="N569" i="24"/>
  <c r="O573" i="24"/>
  <c r="N573" i="24"/>
  <c r="O617" i="24"/>
  <c r="N617" i="24"/>
  <c r="O189" i="24"/>
  <c r="N189" i="24"/>
  <c r="O197" i="24"/>
  <c r="N197" i="24"/>
  <c r="O205" i="24"/>
  <c r="N205" i="24"/>
  <c r="O213" i="24"/>
  <c r="N213" i="24"/>
  <c r="O221" i="24"/>
  <c r="N221" i="24"/>
  <c r="O255" i="24"/>
  <c r="N255" i="24"/>
  <c r="O262" i="24"/>
  <c r="N262" i="24"/>
  <c r="O266" i="24"/>
  <c r="N266" i="24"/>
  <c r="O270" i="24"/>
  <c r="N270" i="24"/>
  <c r="O278" i="24"/>
  <c r="N278" i="24"/>
  <c r="O282" i="24"/>
  <c r="N282" i="24"/>
  <c r="O286" i="24"/>
  <c r="N286" i="24"/>
  <c r="O290" i="24"/>
  <c r="N290" i="24"/>
  <c r="O296" i="24"/>
  <c r="N296" i="24"/>
  <c r="O304" i="24"/>
  <c r="N304" i="24"/>
  <c r="O312" i="24"/>
  <c r="N312" i="24"/>
  <c r="O320" i="24"/>
  <c r="N320" i="24"/>
  <c r="O329" i="24"/>
  <c r="N329" i="24"/>
  <c r="O337" i="24"/>
  <c r="N337" i="24"/>
  <c r="O345" i="24"/>
  <c r="N345" i="24"/>
  <c r="O353" i="24"/>
  <c r="N353" i="24"/>
  <c r="O361" i="24"/>
  <c r="N361" i="24"/>
  <c r="O381" i="24"/>
  <c r="N381" i="24"/>
  <c r="O391" i="24"/>
  <c r="N391" i="24"/>
  <c r="O395" i="24"/>
  <c r="N395" i="24"/>
  <c r="O399" i="24"/>
  <c r="N399" i="24"/>
  <c r="O403" i="24"/>
  <c r="N403" i="24"/>
  <c r="O407" i="24"/>
  <c r="N407" i="24"/>
  <c r="O411" i="24"/>
  <c r="N411" i="24"/>
  <c r="O415" i="24"/>
  <c r="N415" i="24"/>
  <c r="O419" i="24"/>
  <c r="N419" i="24"/>
  <c r="O423" i="24"/>
  <c r="N423" i="24"/>
  <c r="O427" i="24"/>
  <c r="N427" i="24"/>
  <c r="O431" i="24"/>
  <c r="N431" i="24"/>
  <c r="O435" i="24"/>
  <c r="N435" i="24"/>
  <c r="O439" i="24"/>
  <c r="N439" i="24"/>
  <c r="O443" i="24"/>
  <c r="N443" i="24"/>
  <c r="O447" i="24"/>
  <c r="N447" i="24"/>
  <c r="O451" i="24"/>
  <c r="N451" i="24"/>
  <c r="O455" i="24"/>
  <c r="N455" i="24"/>
  <c r="O459" i="24"/>
  <c r="N459" i="24"/>
  <c r="O475" i="24"/>
  <c r="N475" i="24"/>
  <c r="O481" i="24"/>
  <c r="N481" i="24"/>
  <c r="O490" i="24"/>
  <c r="N490" i="24"/>
  <c r="O495" i="24"/>
  <c r="N495" i="24"/>
  <c r="O501" i="24"/>
  <c r="N501" i="24"/>
  <c r="O505" i="24"/>
  <c r="N505" i="24"/>
  <c r="O509" i="24"/>
  <c r="N509" i="24"/>
  <c r="O513" i="24"/>
  <c r="N513" i="24"/>
  <c r="O524" i="24"/>
  <c r="N524" i="24"/>
  <c r="O528" i="24"/>
  <c r="N528" i="24"/>
  <c r="O532" i="24"/>
  <c r="N532" i="24"/>
  <c r="O537" i="24"/>
  <c r="N537" i="24"/>
  <c r="O541" i="24"/>
  <c r="N541" i="24"/>
  <c r="O545" i="24"/>
  <c r="N545" i="24"/>
  <c r="O549" i="24"/>
  <c r="N549" i="24"/>
  <c r="O553" i="24"/>
  <c r="N553" i="24"/>
  <c r="O557" i="24"/>
  <c r="N557" i="24"/>
  <c r="O561" i="24"/>
  <c r="N561" i="24"/>
  <c r="O582" i="24"/>
  <c r="N582" i="24"/>
  <c r="O586" i="24"/>
  <c r="N586" i="24"/>
  <c r="O590" i="24"/>
  <c r="N590" i="24"/>
  <c r="O594" i="24"/>
  <c r="N594" i="24"/>
  <c r="O598" i="24"/>
  <c r="N598" i="24"/>
  <c r="O602" i="24"/>
  <c r="N602" i="24"/>
  <c r="O606" i="24"/>
  <c r="N606" i="24"/>
  <c r="O612" i="24"/>
  <c r="N612" i="24"/>
  <c r="J58" i="5"/>
  <c r="Q58" i="5"/>
  <c r="J68" i="5"/>
  <c r="Q68" i="5"/>
  <c r="J57" i="5"/>
  <c r="Q57" i="5"/>
  <c r="J23" i="5"/>
  <c r="Q23" i="5"/>
  <c r="J54" i="5"/>
  <c r="Q54" i="5"/>
  <c r="L749" i="24"/>
  <c r="L750" i="24"/>
  <c r="D152" i="25"/>
  <c r="D160" i="25"/>
  <c r="D168" i="25"/>
  <c r="D176" i="25"/>
  <c r="D74" i="25"/>
  <c r="D153" i="25"/>
  <c r="D161" i="25"/>
  <c r="D169" i="25"/>
  <c r="D177" i="25"/>
  <c r="D75" i="25"/>
  <c r="D83" i="25"/>
  <c r="D179" i="25"/>
  <c r="D164" i="25"/>
  <c r="D180" i="25"/>
  <c r="D165" i="25"/>
  <c r="L718" i="24"/>
  <c r="D154" i="25"/>
  <c r="D162" i="25"/>
  <c r="D170" i="25"/>
  <c r="D178" i="25"/>
  <c r="D76" i="25"/>
  <c r="D84" i="25"/>
  <c r="D171" i="25"/>
  <c r="D77" i="25"/>
  <c r="D172" i="25"/>
  <c r="D157" i="25"/>
  <c r="D155" i="25"/>
  <c r="D163" i="25"/>
  <c r="D156" i="25"/>
  <c r="D78" i="25"/>
  <c r="D79" i="25"/>
  <c r="D150" i="25"/>
  <c r="D158" i="25"/>
  <c r="D166" i="25"/>
  <c r="D174" i="25"/>
  <c r="D80" i="25"/>
  <c r="D151" i="25"/>
  <c r="D159" i="25"/>
  <c r="D167" i="25"/>
  <c r="D175" i="25"/>
  <c r="D81" i="25"/>
  <c r="D82" i="25"/>
  <c r="D173" i="25"/>
  <c r="L732" i="24"/>
  <c r="L747" i="24"/>
  <c r="L739" i="24"/>
  <c r="L743" i="24"/>
  <c r="L748" i="24"/>
  <c r="L742" i="24"/>
  <c r="L734" i="24"/>
  <c r="L741" i="24"/>
  <c r="L745" i="24"/>
  <c r="L744" i="24"/>
  <c r="L740" i="24"/>
  <c r="L737" i="24"/>
  <c r="L733" i="24"/>
  <c r="L735" i="24"/>
  <c r="L746" i="24"/>
  <c r="L738" i="24"/>
  <c r="L736" i="24"/>
  <c r="L719" i="24"/>
  <c r="L674" i="24"/>
  <c r="L717" i="24"/>
  <c r="L696" i="24"/>
  <c r="L716" i="24"/>
  <c r="L713" i="24"/>
  <c r="Z40" i="2"/>
  <c r="I71" i="10"/>
  <c r="I65" i="10"/>
  <c r="I70" i="10"/>
  <c r="I66" i="10"/>
  <c r="L633" i="24"/>
  <c r="L708" i="24"/>
  <c r="L704" i="24"/>
  <c r="L712" i="24"/>
  <c r="L706" i="24"/>
  <c r="L638" i="24"/>
  <c r="L644" i="24"/>
  <c r="L683" i="24"/>
  <c r="L686" i="24"/>
  <c r="L681" i="24"/>
  <c r="L680" i="24"/>
  <c r="L692" i="24"/>
  <c r="L693" i="24"/>
  <c r="L691" i="24"/>
  <c r="L688" i="24"/>
  <c r="L697" i="24"/>
  <c r="L714" i="24"/>
  <c r="L620" i="24"/>
  <c r="L616" i="24"/>
  <c r="L612" i="24"/>
  <c r="L608" i="24"/>
  <c r="L604" i="24"/>
  <c r="L600" i="24"/>
  <c r="L596" i="24"/>
  <c r="L592" i="24"/>
  <c r="L588" i="24"/>
  <c r="L584" i="24"/>
  <c r="L580" i="24"/>
  <c r="L576" i="24"/>
  <c r="L572" i="24"/>
  <c r="L568" i="24"/>
  <c r="L564" i="24"/>
  <c r="L560" i="24"/>
  <c r="L556" i="24"/>
  <c r="L552" i="24"/>
  <c r="L548" i="24"/>
  <c r="L544" i="24"/>
  <c r="L540" i="24"/>
  <c r="L536" i="24"/>
  <c r="L532" i="24"/>
  <c r="L528" i="24"/>
  <c r="L524" i="24"/>
  <c r="L520" i="24"/>
  <c r="L516" i="24"/>
  <c r="L512" i="24"/>
  <c r="L508" i="24"/>
  <c r="L504" i="24"/>
  <c r="L500" i="24"/>
  <c r="L496" i="24"/>
  <c r="L492" i="24"/>
  <c r="L488" i="24"/>
  <c r="L484" i="24"/>
  <c r="L480" i="24"/>
  <c r="L476" i="24"/>
  <c r="L472" i="24"/>
  <c r="L468" i="24"/>
  <c r="L464" i="24"/>
  <c r="L460" i="24"/>
  <c r="L456" i="24"/>
  <c r="L452" i="24"/>
  <c r="L448" i="24"/>
  <c r="L444" i="24"/>
  <c r="L440" i="24"/>
  <c r="L436" i="24"/>
  <c r="L432" i="24"/>
  <c r="L428" i="24"/>
  <c r="L424" i="24"/>
  <c r="L420" i="24"/>
  <c r="L416" i="24"/>
  <c r="L412" i="24"/>
  <c r="L408" i="24"/>
  <c r="L404" i="24"/>
  <c r="L400" i="24"/>
  <c r="L396" i="24"/>
  <c r="L392" i="24"/>
  <c r="L388" i="24"/>
  <c r="L384" i="24"/>
  <c r="L380" i="24"/>
  <c r="L376" i="24"/>
  <c r="L372" i="24"/>
  <c r="L368" i="24"/>
  <c r="L364" i="24"/>
  <c r="L360" i="24"/>
  <c r="L356" i="24"/>
  <c r="L352" i="24"/>
  <c r="L348" i="24"/>
  <c r="L344" i="24"/>
  <c r="L340" i="24"/>
  <c r="L336" i="24"/>
  <c r="L332" i="24"/>
  <c r="L328" i="24"/>
  <c r="L324" i="24"/>
  <c r="L320" i="24"/>
  <c r="L316" i="24"/>
  <c r="L312" i="24"/>
  <c r="L308" i="24"/>
  <c r="L304" i="24"/>
  <c r="L300" i="24"/>
  <c r="L296" i="24"/>
  <c r="L292" i="24"/>
  <c r="L288" i="24"/>
  <c r="L284" i="24"/>
  <c r="L619" i="24"/>
  <c r="L615" i="24"/>
  <c r="L611" i="24"/>
  <c r="L607" i="24"/>
  <c r="L603" i="24"/>
  <c r="L599" i="24"/>
  <c r="L595" i="24"/>
  <c r="L591" i="24"/>
  <c r="L587" i="24"/>
  <c r="L583" i="24"/>
  <c r="L579" i="24"/>
  <c r="L575" i="24"/>
  <c r="L571" i="24"/>
  <c r="L567" i="24"/>
  <c r="L563" i="24"/>
  <c r="L559" i="24"/>
  <c r="L555" i="24"/>
  <c r="L551" i="24"/>
  <c r="L547" i="24"/>
  <c r="L543" i="24"/>
  <c r="L539" i="24"/>
  <c r="L535" i="24"/>
  <c r="L531" i="24"/>
  <c r="L527" i="24"/>
  <c r="L523" i="24"/>
  <c r="L519" i="24"/>
  <c r="L515" i="24"/>
  <c r="L511" i="24"/>
  <c r="L507" i="24"/>
  <c r="L503" i="24"/>
  <c r="L499" i="24"/>
  <c r="L495" i="24"/>
  <c r="L491" i="24"/>
  <c r="L487" i="24"/>
  <c r="L483" i="24"/>
  <c r="L479" i="24"/>
  <c r="L475" i="24"/>
  <c r="L471" i="24"/>
  <c r="L467" i="24"/>
  <c r="L463" i="24"/>
  <c r="L459" i="24"/>
  <c r="L455" i="24"/>
  <c r="L451" i="24"/>
  <c r="L447" i="24"/>
  <c r="L443" i="24"/>
  <c r="L622" i="24"/>
  <c r="L618" i="24"/>
  <c r="L614" i="24"/>
  <c r="L610" i="24"/>
  <c r="L606" i="24"/>
  <c r="L602" i="24"/>
  <c r="L598" i="24"/>
  <c r="L594" i="24"/>
  <c r="L590" i="24"/>
  <c r="L586" i="24"/>
  <c r="L582" i="24"/>
  <c r="L578" i="24"/>
  <c r="L574" i="24"/>
  <c r="L570" i="24"/>
  <c r="L566" i="24"/>
  <c r="L562" i="24"/>
  <c r="L558" i="24"/>
  <c r="L554" i="24"/>
  <c r="L550" i="24"/>
  <c r="L546" i="24"/>
  <c r="L542" i="24"/>
  <c r="L538" i="24"/>
  <c r="L534" i="24"/>
  <c r="L530" i="24"/>
  <c r="L526" i="24"/>
  <c r="L522" i="24"/>
  <c r="L518" i="24"/>
  <c r="L514" i="24"/>
  <c r="L510" i="24"/>
  <c r="L506" i="24"/>
  <c r="L502" i="24"/>
  <c r="L498" i="24"/>
  <c r="L494" i="24"/>
  <c r="L490" i="24"/>
  <c r="L486" i="24"/>
  <c r="L482" i="24"/>
  <c r="L478" i="24"/>
  <c r="L474" i="24"/>
  <c r="L470" i="24"/>
  <c r="L466" i="24"/>
  <c r="L462" i="24"/>
  <c r="L458" i="24"/>
  <c r="L454" i="24"/>
  <c r="L450" i="24"/>
  <c r="L446" i="24"/>
  <c r="L442" i="24"/>
  <c r="L438" i="24"/>
  <c r="L434" i="24"/>
  <c r="L430" i="24"/>
  <c r="L426" i="24"/>
  <c r="L422" i="24"/>
  <c r="L418" i="24"/>
  <c r="L414" i="24"/>
  <c r="L410" i="24"/>
  <c r="L406" i="24"/>
  <c r="L402" i="24"/>
  <c r="L398" i="24"/>
  <c r="L394" i="24"/>
  <c r="L390" i="24"/>
  <c r="L386" i="24"/>
  <c r="L382" i="24"/>
  <c r="L378" i="24"/>
  <c r="L374" i="24"/>
  <c r="L370" i="24"/>
  <c r="L366" i="24"/>
  <c r="L362" i="24"/>
  <c r="L621" i="24"/>
  <c r="L617" i="24"/>
  <c r="L613" i="24"/>
  <c r="L609" i="24"/>
  <c r="L605" i="24"/>
  <c r="L601" i="24"/>
  <c r="L597" i="24"/>
  <c r="L593" i="24"/>
  <c r="L589" i="24"/>
  <c r="L585" i="24"/>
  <c r="L581" i="24"/>
  <c r="L577" i="24"/>
  <c r="L573" i="24"/>
  <c r="L569" i="24"/>
  <c r="L565" i="24"/>
  <c r="L561" i="24"/>
  <c r="L557" i="24"/>
  <c r="L553" i="24"/>
  <c r="L549" i="24"/>
  <c r="L545" i="24"/>
  <c r="L541" i="24"/>
  <c r="L537" i="24"/>
  <c r="L533" i="24"/>
  <c r="L529" i="24"/>
  <c r="L525" i="24"/>
  <c r="L521" i="24"/>
  <c r="L517" i="24"/>
  <c r="L513" i="24"/>
  <c r="L509" i="24"/>
  <c r="L505" i="24"/>
  <c r="L501" i="24"/>
  <c r="L497" i="24"/>
  <c r="L493" i="24"/>
  <c r="L489" i="24"/>
  <c r="L485" i="24"/>
  <c r="L481" i="24"/>
  <c r="L477" i="24"/>
  <c r="L473" i="24"/>
  <c r="L469" i="24"/>
  <c r="L465" i="24"/>
  <c r="L461" i="24"/>
  <c r="L457" i="24"/>
  <c r="L453" i="24"/>
  <c r="L449" i="24"/>
  <c r="L445" i="24"/>
  <c r="L441" i="24"/>
  <c r="L437" i="24"/>
  <c r="L433" i="24"/>
  <c r="L429" i="24"/>
  <c r="L425" i="24"/>
  <c r="L421" i="24"/>
  <c r="L417" i="24"/>
  <c r="L413" i="24"/>
  <c r="L409" i="24"/>
  <c r="L405" i="24"/>
  <c r="L401" i="24"/>
  <c r="L397" i="24"/>
  <c r="L393" i="24"/>
  <c r="L389" i="24"/>
  <c r="L385" i="24"/>
  <c r="L381" i="24"/>
  <c r="L377" i="24"/>
  <c r="L373" i="24"/>
  <c r="L369" i="24"/>
  <c r="L365" i="24"/>
  <c r="L361" i="24"/>
  <c r="L357" i="24"/>
  <c r="L353" i="24"/>
  <c r="L349" i="24"/>
  <c r="L345" i="24"/>
  <c r="L341" i="24"/>
  <c r="L337" i="24"/>
  <c r="L333" i="24"/>
  <c r="L329" i="24"/>
  <c r="L325" i="24"/>
  <c r="L321" i="24"/>
  <c r="L317" i="24"/>
  <c r="L313" i="24"/>
  <c r="L309" i="24"/>
  <c r="L305" i="24"/>
  <c r="L301" i="24"/>
  <c r="L297" i="24"/>
  <c r="L293" i="24"/>
  <c r="L289" i="24"/>
  <c r="L285" i="24"/>
  <c r="L431" i="24"/>
  <c r="L415" i="24"/>
  <c r="L399" i="24"/>
  <c r="L383" i="24"/>
  <c r="L367" i="24"/>
  <c r="L355" i="24"/>
  <c r="L347" i="24"/>
  <c r="L339" i="24"/>
  <c r="L331" i="24"/>
  <c r="L323" i="24"/>
  <c r="L315" i="24"/>
  <c r="L307" i="24"/>
  <c r="L299" i="24"/>
  <c r="L291" i="24"/>
  <c r="L283" i="24"/>
  <c r="L279" i="24"/>
  <c r="L275" i="24"/>
  <c r="L271" i="24"/>
  <c r="L267" i="24"/>
  <c r="L263" i="24"/>
  <c r="L259" i="24"/>
  <c r="L255" i="24"/>
  <c r="L251" i="24"/>
  <c r="L247" i="24"/>
  <c r="L243" i="24"/>
  <c r="L239" i="24"/>
  <c r="L235" i="24"/>
  <c r="L231" i="24"/>
  <c r="L227" i="24"/>
  <c r="L223" i="24"/>
  <c r="L219" i="24"/>
  <c r="L215" i="24"/>
  <c r="L211" i="24"/>
  <c r="L207" i="24"/>
  <c r="L203" i="24"/>
  <c r="L199" i="24"/>
  <c r="L195" i="24"/>
  <c r="L191" i="24"/>
  <c r="L187" i="24"/>
  <c r="L183" i="24"/>
  <c r="L179" i="24"/>
  <c r="L175" i="24"/>
  <c r="L171" i="24"/>
  <c r="L167" i="24"/>
  <c r="L163" i="24"/>
  <c r="L159" i="24"/>
  <c r="L155" i="24"/>
  <c r="L151" i="24"/>
  <c r="L147" i="24"/>
  <c r="L143" i="24"/>
  <c r="L139" i="24"/>
  <c r="L135" i="24"/>
  <c r="L131" i="24"/>
  <c r="L127" i="24"/>
  <c r="L123" i="24"/>
  <c r="L119" i="24"/>
  <c r="L115" i="24"/>
  <c r="L111" i="24"/>
  <c r="L107" i="24"/>
  <c r="L103" i="24"/>
  <c r="L99" i="24"/>
  <c r="L95" i="24"/>
  <c r="L91" i="24"/>
  <c r="L87" i="24"/>
  <c r="L83" i="24"/>
  <c r="L79" i="24"/>
  <c r="L75" i="24"/>
  <c r="L71" i="24"/>
  <c r="L67" i="24"/>
  <c r="L63" i="24"/>
  <c r="L59" i="24"/>
  <c r="L55" i="24"/>
  <c r="L51" i="24"/>
  <c r="L47" i="24"/>
  <c r="L43" i="24"/>
  <c r="L39" i="24"/>
  <c r="L35" i="24"/>
  <c r="L427" i="24"/>
  <c r="L411" i="24"/>
  <c r="L395" i="24"/>
  <c r="L379" i="24"/>
  <c r="L363" i="24"/>
  <c r="L354" i="24"/>
  <c r="L346" i="24"/>
  <c r="L338" i="24"/>
  <c r="L330" i="24"/>
  <c r="L322" i="24"/>
  <c r="L314" i="24"/>
  <c r="L306" i="24"/>
  <c r="L298" i="24"/>
  <c r="L290" i="24"/>
  <c r="L282" i="24"/>
  <c r="L278" i="24"/>
  <c r="L274" i="24"/>
  <c r="L270" i="24"/>
  <c r="L266" i="24"/>
  <c r="L262" i="24"/>
  <c r="L258" i="24"/>
  <c r="L254" i="24"/>
  <c r="L250" i="24"/>
  <c r="L246" i="24"/>
  <c r="L242" i="24"/>
  <c r="L238" i="24"/>
  <c r="L234" i="24"/>
  <c r="L230" i="24"/>
  <c r="L226" i="24"/>
  <c r="L222" i="24"/>
  <c r="L218" i="24"/>
  <c r="L214" i="24"/>
  <c r="L210" i="24"/>
  <c r="L206" i="24"/>
  <c r="L202" i="24"/>
  <c r="L198" i="24"/>
  <c r="L194" i="24"/>
  <c r="L190" i="24"/>
  <c r="L186" i="24"/>
  <c r="L182" i="24"/>
  <c r="L178" i="24"/>
  <c r="L174" i="24"/>
  <c r="L170" i="24"/>
  <c r="L166" i="24"/>
  <c r="L162" i="24"/>
  <c r="L158" i="24"/>
  <c r="L154" i="24"/>
  <c r="L150" i="24"/>
  <c r="L146" i="24"/>
  <c r="L142" i="24"/>
  <c r="L138" i="24"/>
  <c r="L134" i="24"/>
  <c r="L130" i="24"/>
  <c r="L126" i="24"/>
  <c r="L122" i="24"/>
  <c r="L118" i="24"/>
  <c r="L114" i="24"/>
  <c r="L110" i="24"/>
  <c r="L106" i="24"/>
  <c r="L102" i="24"/>
  <c r="L98" i="24"/>
  <c r="L94" i="24"/>
  <c r="L90" i="24"/>
  <c r="L86" i="24"/>
  <c r="L82" i="24"/>
  <c r="L78" i="24"/>
  <c r="L74" i="24"/>
  <c r="L70" i="24"/>
  <c r="L66" i="24"/>
  <c r="L62" i="24"/>
  <c r="L58" i="24"/>
  <c r="L54" i="24"/>
  <c r="L50" i="24"/>
  <c r="L46" i="24"/>
  <c r="L42" i="24"/>
  <c r="L38" i="24"/>
  <c r="L34" i="24"/>
  <c r="L30" i="24"/>
  <c r="L26" i="24"/>
  <c r="L22" i="24"/>
  <c r="L18" i="24"/>
  <c r="L14" i="24"/>
  <c r="L10" i="24"/>
  <c r="L6" i="24"/>
  <c r="L627" i="24"/>
  <c r="L439" i="24"/>
  <c r="L423" i="24"/>
  <c r="L407" i="24"/>
  <c r="L391" i="24"/>
  <c r="L375" i="24"/>
  <c r="L359" i="24"/>
  <c r="L351" i="24"/>
  <c r="L343" i="24"/>
  <c r="L335" i="24"/>
  <c r="L327" i="24"/>
  <c r="L319" i="24"/>
  <c r="L311" i="24"/>
  <c r="L303" i="24"/>
  <c r="L295" i="24"/>
  <c r="L287" i="24"/>
  <c r="L281" i="24"/>
  <c r="L277" i="24"/>
  <c r="L273" i="24"/>
  <c r="L269" i="24"/>
  <c r="L265" i="24"/>
  <c r="L261" i="24"/>
  <c r="L257" i="24"/>
  <c r="L253" i="24"/>
  <c r="L249" i="24"/>
  <c r="L245" i="24"/>
  <c r="L241" i="24"/>
  <c r="L237" i="24"/>
  <c r="L233" i="24"/>
  <c r="L229" i="24"/>
  <c r="L225" i="24"/>
  <c r="L221" i="24"/>
  <c r="L217" i="24"/>
  <c r="L213" i="24"/>
  <c r="L209" i="24"/>
  <c r="L205" i="24"/>
  <c r="L201" i="24"/>
  <c r="L197" i="24"/>
  <c r="L193" i="24"/>
  <c r="L189" i="24"/>
  <c r="L185" i="24"/>
  <c r="L181" i="24"/>
  <c r="L177" i="24"/>
  <c r="L173" i="24"/>
  <c r="L169" i="24"/>
  <c r="L165" i="24"/>
  <c r="L161" i="24"/>
  <c r="L157" i="24"/>
  <c r="L153" i="24"/>
  <c r="L149" i="24"/>
  <c r="L145" i="24"/>
  <c r="L141" i="24"/>
  <c r="L137" i="24"/>
  <c r="L133" i="24"/>
  <c r="L129" i="24"/>
  <c r="L125" i="24"/>
  <c r="L121" i="24"/>
  <c r="L117" i="24"/>
  <c r="L113" i="24"/>
  <c r="L109" i="24"/>
  <c r="L105" i="24"/>
  <c r="L101" i="24"/>
  <c r="L97" i="24"/>
  <c r="L93" i="24"/>
  <c r="L89" i="24"/>
  <c r="L85" i="24"/>
  <c r="L81" i="24"/>
  <c r="L77" i="24"/>
  <c r="L73" i="24"/>
  <c r="L69" i="24"/>
  <c r="L65" i="24"/>
  <c r="L61" i="24"/>
  <c r="L57" i="24"/>
  <c r="L53" i="24"/>
  <c r="L49" i="24"/>
  <c r="L45" i="24"/>
  <c r="L41" i="24"/>
  <c r="L37" i="24"/>
  <c r="L33" i="24"/>
  <c r="L29" i="24"/>
  <c r="L25" i="24"/>
  <c r="L21" i="24"/>
  <c r="L17" i="24"/>
  <c r="L13" i="24"/>
  <c r="L9" i="24"/>
  <c r="L5" i="24"/>
  <c r="L435" i="24"/>
  <c r="L419" i="24"/>
  <c r="L403" i="24"/>
  <c r="L387" i="24"/>
  <c r="L371" i="24"/>
  <c r="L358" i="24"/>
  <c r="L350" i="24"/>
  <c r="L342" i="24"/>
  <c r="L334" i="24"/>
  <c r="L326" i="24"/>
  <c r="L318" i="24"/>
  <c r="L310" i="24"/>
  <c r="L302" i="24"/>
  <c r="L294" i="24"/>
  <c r="L286" i="24"/>
  <c r="L280" i="24"/>
  <c r="L276" i="24"/>
  <c r="L272" i="24"/>
  <c r="L268" i="24"/>
  <c r="L264" i="24"/>
  <c r="L260" i="24"/>
  <c r="L256" i="24"/>
  <c r="L252" i="24"/>
  <c r="L248" i="24"/>
  <c r="L244" i="24"/>
  <c r="L240" i="24"/>
  <c r="L236" i="24"/>
  <c r="L232" i="24"/>
  <c r="L228" i="24"/>
  <c r="L224" i="24"/>
  <c r="L220" i="24"/>
  <c r="L216" i="24"/>
  <c r="L212" i="24"/>
  <c r="L208" i="24"/>
  <c r="L204" i="24"/>
  <c r="L200" i="24"/>
  <c r="L196" i="24"/>
  <c r="L192" i="24"/>
  <c r="L188" i="24"/>
  <c r="L184" i="24"/>
  <c r="L180" i="24"/>
  <c r="L176" i="24"/>
  <c r="L172" i="24"/>
  <c r="L168" i="24"/>
  <c r="L164" i="24"/>
  <c r="L160" i="24"/>
  <c r="L156" i="24"/>
  <c r="L152" i="24"/>
  <c r="L148" i="24"/>
  <c r="L144" i="24"/>
  <c r="L140" i="24"/>
  <c r="L136" i="24"/>
  <c r="L132" i="24"/>
  <c r="L128" i="24"/>
  <c r="L124" i="24"/>
  <c r="L120" i="24"/>
  <c r="L116" i="24"/>
  <c r="L112" i="24"/>
  <c r="L108" i="24"/>
  <c r="L104" i="24"/>
  <c r="L100" i="24"/>
  <c r="L96" i="24"/>
  <c r="L92" i="24"/>
  <c r="L88" i="24"/>
  <c r="L84" i="24"/>
  <c r="L80" i="24"/>
  <c r="L76" i="24"/>
  <c r="L72" i="24"/>
  <c r="L68" i="24"/>
  <c r="L64" i="24"/>
  <c r="L60" i="24"/>
  <c r="L56" i="24"/>
  <c r="L52" i="24"/>
  <c r="L48" i="24"/>
  <c r="L44" i="24"/>
  <c r="L40" i="24"/>
  <c r="L36" i="24"/>
  <c r="L32" i="24"/>
  <c r="L28" i="24"/>
  <c r="L24" i="24"/>
  <c r="L16" i="24"/>
  <c r="L8" i="24"/>
  <c r="L630" i="24"/>
  <c r="L636" i="24"/>
  <c r="L641" i="24"/>
  <c r="L646" i="24"/>
  <c r="L651" i="24"/>
  <c r="L656" i="24"/>
  <c r="L661" i="24"/>
  <c r="L665" i="24"/>
  <c r="L671" i="24"/>
  <c r="L676" i="24"/>
  <c r="L682" i="24"/>
  <c r="L689" i="24"/>
  <c r="L700" i="24"/>
  <c r="L705" i="24"/>
  <c r="L711" i="24"/>
  <c r="L722" i="24"/>
  <c r="L726" i="24"/>
  <c r="L730" i="24"/>
  <c r="L27" i="24"/>
  <c r="L11" i="24"/>
  <c r="L626" i="24"/>
  <c r="L634" i="24"/>
  <c r="L640" i="24"/>
  <c r="L650" i="24"/>
  <c r="L655" i="24"/>
  <c r="L660" i="24"/>
  <c r="L669" i="24"/>
  <c r="L675" i="24"/>
  <c r="L679" i="24"/>
  <c r="L699" i="24"/>
  <c r="L703" i="24"/>
  <c r="L721" i="24"/>
  <c r="L725" i="24"/>
  <c r="L729" i="24"/>
  <c r="L23" i="24"/>
  <c r="L15" i="24"/>
  <c r="L7" i="24"/>
  <c r="L631" i="24"/>
  <c r="L637" i="24"/>
  <c r="L642" i="24"/>
  <c r="L647" i="24"/>
  <c r="L652" i="24"/>
  <c r="L657" i="24"/>
  <c r="L662" i="24"/>
  <c r="L666" i="24"/>
  <c r="L672" i="24"/>
  <c r="L677" i="24"/>
  <c r="L684" i="24"/>
  <c r="L690" i="24"/>
  <c r="L701" i="24"/>
  <c r="L707" i="24"/>
  <c r="L715" i="24"/>
  <c r="L723" i="24"/>
  <c r="L727" i="24"/>
  <c r="L731" i="24"/>
  <c r="L19" i="24"/>
  <c r="L645" i="24"/>
  <c r="L664" i="24"/>
  <c r="L687" i="24"/>
  <c r="L710" i="24"/>
  <c r="L31" i="24"/>
  <c r="L20" i="24"/>
  <c r="L12" i="24"/>
  <c r="L625" i="24"/>
  <c r="L632" i="24"/>
  <c r="L639" i="24"/>
  <c r="L643" i="24"/>
  <c r="L648" i="24"/>
  <c r="L653" i="24"/>
  <c r="L659" i="24"/>
  <c r="L663" i="24"/>
  <c r="L667" i="24"/>
  <c r="L673" i="24"/>
  <c r="L678" i="24"/>
  <c r="L685" i="24"/>
  <c r="L698" i="24"/>
  <c r="L702" i="24"/>
  <c r="L709" i="24"/>
  <c r="L720" i="24"/>
  <c r="L724" i="24"/>
  <c r="L728" i="24"/>
  <c r="L624" i="24"/>
  <c r="D149" i="25"/>
  <c r="D6" i="25"/>
  <c r="D7" i="25"/>
  <c r="D11" i="25"/>
  <c r="D15" i="25"/>
  <c r="D19" i="25"/>
  <c r="D23" i="25"/>
  <c r="D27" i="25"/>
  <c r="D31" i="25"/>
  <c r="D35" i="25"/>
  <c r="D39" i="25"/>
  <c r="D43" i="25"/>
  <c r="D49" i="25"/>
  <c r="D53" i="25"/>
  <c r="D57" i="25"/>
  <c r="D61" i="25"/>
  <c r="D65" i="25"/>
  <c r="D71" i="25"/>
  <c r="D55" i="25"/>
  <c r="D69" i="25"/>
  <c r="D14" i="25"/>
  <c r="D22" i="25"/>
  <c r="D38" i="25"/>
  <c r="D48" i="25"/>
  <c r="D60" i="25"/>
  <c r="D8" i="25"/>
  <c r="D12" i="25"/>
  <c r="D16" i="25"/>
  <c r="D20" i="25"/>
  <c r="D24" i="25"/>
  <c r="D28" i="25"/>
  <c r="D32" i="25"/>
  <c r="D36" i="25"/>
  <c r="D40" i="25"/>
  <c r="D44" i="25"/>
  <c r="D50" i="25"/>
  <c r="D54" i="25"/>
  <c r="D58" i="25"/>
  <c r="D62" i="25"/>
  <c r="D68" i="25"/>
  <c r="D72" i="25"/>
  <c r="D51" i="25"/>
  <c r="D63" i="25"/>
  <c r="D73" i="25"/>
  <c r="D10" i="25"/>
  <c r="D26" i="25"/>
  <c r="D34" i="25"/>
  <c r="D52" i="25"/>
  <c r="D64" i="25"/>
  <c r="D9" i="25"/>
  <c r="D13" i="25"/>
  <c r="D17" i="25"/>
  <c r="D21" i="25"/>
  <c r="D25" i="25"/>
  <c r="D29" i="25"/>
  <c r="D33" i="25"/>
  <c r="D37" i="25"/>
  <c r="D41" i="25"/>
  <c r="D46" i="25"/>
  <c r="D59" i="25"/>
  <c r="D5" i="25"/>
  <c r="D18" i="25"/>
  <c r="D30" i="25"/>
  <c r="D42" i="25"/>
  <c r="D56" i="25"/>
  <c r="D70" i="25"/>
  <c r="M56" i="5"/>
  <c r="J56" i="5"/>
  <c r="A8" i="26"/>
  <c r="A11" i="26" s="1"/>
  <c r="I231" i="15"/>
  <c r="K138" i="10" s="1"/>
  <c r="H22" i="7"/>
  <c r="H37" i="7"/>
  <c r="H36" i="7"/>
  <c r="N10" i="23"/>
  <c r="F21" i="20"/>
  <c r="I28" i="7"/>
  <c r="J28" i="7" s="1"/>
  <c r="N8" i="22"/>
  <c r="A7" i="8"/>
  <c r="A40" i="8"/>
  <c r="A84" i="8" s="1"/>
  <c r="O15" i="22"/>
  <c r="N10" i="22"/>
  <c r="D7" i="19"/>
  <c r="K33" i="21"/>
  <c r="K35" i="21"/>
  <c r="J103" i="11"/>
  <c r="D12" i="21"/>
  <c r="G9" i="23" s="1"/>
  <c r="I257" i="15"/>
  <c r="K265" i="10" s="1"/>
  <c r="K268" i="10" s="1"/>
  <c r="K238" i="10"/>
  <c r="F40" i="4"/>
  <c r="H40" i="4" s="1"/>
  <c r="H20" i="7"/>
  <c r="F33" i="7"/>
  <c r="F38" i="7" s="1"/>
  <c r="H23" i="7"/>
  <c r="D932" i="14"/>
  <c r="H6" i="19"/>
  <c r="I6" i="19" s="1"/>
  <c r="G8" i="22"/>
  <c r="N9" i="22"/>
  <c r="N13" i="22"/>
  <c r="C18" i="2"/>
  <c r="H23" i="4"/>
  <c r="H29" i="7"/>
  <c r="F947" i="14"/>
  <c r="F99" i="20"/>
  <c r="K34" i="21"/>
  <c r="C7" i="19"/>
  <c r="K15" i="21"/>
  <c r="H32" i="21"/>
  <c r="K32" i="21" s="1"/>
  <c r="D149" i="20" s="1"/>
  <c r="J111" i="15"/>
  <c r="J78" i="7"/>
  <c r="J80" i="7"/>
  <c r="A8" i="16"/>
  <c r="N189" i="17"/>
  <c r="N201" i="17"/>
  <c r="N248" i="17"/>
  <c r="N291" i="17" s="1"/>
  <c r="N257" i="17"/>
  <c r="N293" i="17" s="1"/>
  <c r="N313" i="17"/>
  <c r="L459" i="17"/>
  <c r="L458" i="17" s="1"/>
  <c r="N272" i="17"/>
  <c r="N294" i="17" s="1"/>
  <c r="N219" i="17"/>
  <c r="N18" i="17"/>
  <c r="N47" i="17"/>
  <c r="N214" i="17"/>
  <c r="K297" i="17"/>
  <c r="N289" i="17"/>
  <c r="N296" i="17" s="1"/>
  <c r="N412" i="17"/>
  <c r="J459" i="17"/>
  <c r="J458" i="17" s="1"/>
  <c r="N24" i="17"/>
  <c r="N134" i="17"/>
  <c r="N162" i="17"/>
  <c r="N325" i="17"/>
  <c r="N435" i="17"/>
  <c r="K459" i="17"/>
  <c r="K458" i="17" s="1"/>
  <c r="N150" i="17"/>
  <c r="N176" i="17"/>
  <c r="N237" i="17"/>
  <c r="N265" i="17"/>
  <c r="N295" i="17" s="1"/>
  <c r="N276" i="17"/>
  <c r="N292" i="17" s="1"/>
  <c r="N335" i="17"/>
  <c r="N358" i="17"/>
  <c r="N457" i="17"/>
  <c r="K89" i="8"/>
  <c r="J17" i="10"/>
  <c r="J18" i="10" s="1"/>
  <c r="H16" i="7"/>
  <c r="H30" i="7"/>
  <c r="H35" i="7"/>
  <c r="E12" i="21"/>
  <c r="G10" i="23" s="1"/>
  <c r="H7" i="21"/>
  <c r="K7" i="21" s="1"/>
  <c r="F134" i="20" s="1"/>
  <c r="F136" i="20" s="1"/>
  <c r="E30" i="21"/>
  <c r="E36" i="21" s="1"/>
  <c r="M11" i="22" s="1"/>
  <c r="F14" i="7"/>
  <c r="H14" i="7" s="1"/>
  <c r="H16" i="21"/>
  <c r="K16" i="21" s="1"/>
  <c r="C24" i="4"/>
  <c r="C31" i="4" s="1"/>
  <c r="C38" i="4" s="1"/>
  <c r="G19" i="7"/>
  <c r="G24" i="7" s="1"/>
  <c r="G33" i="7"/>
  <c r="G38" i="7" s="1"/>
  <c r="D30" i="21"/>
  <c r="D36" i="21" s="1"/>
  <c r="M10" i="22" s="1"/>
  <c r="A4" i="15"/>
  <c r="H25" i="21"/>
  <c r="K25" i="21" s="1"/>
  <c r="N11" i="23"/>
  <c r="O14" i="23"/>
  <c r="L14" i="23"/>
  <c r="N9" i="23"/>
  <c r="N8" i="23"/>
  <c r="N12" i="23"/>
  <c r="C851" i="27"/>
  <c r="D38" i="4"/>
  <c r="D45" i="4" s="1"/>
  <c r="A12" i="21"/>
  <c r="B142" i="20"/>
  <c r="G5" i="18"/>
  <c r="G4" i="17" s="1"/>
  <c r="I5" i="15"/>
  <c r="I67" i="15"/>
  <c r="H35" i="20" s="1"/>
  <c r="F37" i="20" s="1"/>
  <c r="G480" i="16"/>
  <c r="G561" i="16"/>
  <c r="G564" i="16"/>
  <c r="G573" i="16"/>
  <c r="G743" i="16"/>
  <c r="N104" i="17"/>
  <c r="M297" i="17"/>
  <c r="B11" i="1"/>
  <c r="H21" i="7"/>
  <c r="B3" i="1"/>
  <c r="B12" i="1"/>
  <c r="F5" i="14"/>
  <c r="F979" i="14"/>
  <c r="G479" i="16"/>
  <c r="J297" i="17"/>
  <c r="B14" i="1"/>
  <c r="A18" i="21"/>
  <c r="B152" i="20"/>
  <c r="E5" i="18"/>
  <c r="E4" i="17" s="1"/>
  <c r="B200" i="20"/>
  <c r="B143" i="20"/>
  <c r="B137" i="20"/>
  <c r="B16" i="1"/>
  <c r="A2" i="25"/>
  <c r="A2" i="24"/>
  <c r="F840" i="14" s="1"/>
  <c r="A2" i="17"/>
  <c r="A2" i="18"/>
  <c r="A2" i="20"/>
  <c r="A2" i="21"/>
  <c r="F24" i="4"/>
  <c r="H15" i="7"/>
  <c r="H2" i="14"/>
  <c r="J96" i="14"/>
  <c r="G31" i="15"/>
  <c r="G16" i="2" s="1"/>
  <c r="A2" i="16"/>
  <c r="G559" i="16"/>
  <c r="G758" i="16"/>
  <c r="F4" i="19"/>
  <c r="E7" i="19"/>
  <c r="G4" i="19" s="1"/>
  <c r="L297" i="17"/>
  <c r="M459" i="17"/>
  <c r="M458" i="17" s="1"/>
  <c r="H8" i="21"/>
  <c r="K8" i="21" s="1"/>
  <c r="F148" i="20" s="1"/>
  <c r="B30" i="21"/>
  <c r="M6" i="23" s="1"/>
  <c r="K27" i="21"/>
  <c r="L15" i="22"/>
  <c r="N7" i="23"/>
  <c r="K17" i="21"/>
  <c r="N7" i="22"/>
  <c r="N5" i="23"/>
  <c r="N428" i="17"/>
  <c r="F30" i="21"/>
  <c r="M11" i="23" s="1"/>
  <c r="F15" i="22"/>
  <c r="N6" i="22"/>
  <c r="N15" i="22" s="1"/>
  <c r="F14" i="23"/>
  <c r="D215" i="20"/>
  <c r="F76" i="5" s="1"/>
  <c r="Q76" i="5" s="1"/>
  <c r="C12" i="21"/>
  <c r="G5" i="23" s="1"/>
  <c r="G12" i="21"/>
  <c r="G12" i="23" s="1"/>
  <c r="H13" i="21"/>
  <c r="K13" i="21" s="1"/>
  <c r="D134" i="20" s="1"/>
  <c r="D136" i="20" s="1"/>
  <c r="H28" i="21"/>
  <c r="H32" i="7" s="1"/>
  <c r="H31" i="21"/>
  <c r="K31" i="21" s="1"/>
  <c r="N5" i="24"/>
  <c r="N6" i="24"/>
  <c r="N8" i="24"/>
  <c r="N10" i="24"/>
  <c r="N12" i="24"/>
  <c r="N14" i="24"/>
  <c r="N16" i="24"/>
  <c r="N18" i="24"/>
  <c r="N20" i="24"/>
  <c r="N25" i="24"/>
  <c r="N27" i="24"/>
  <c r="N29" i="24"/>
  <c r="N31" i="24"/>
  <c r="N33" i="24"/>
  <c r="N35" i="24"/>
  <c r="N37" i="24"/>
  <c r="N39" i="24"/>
  <c r="N41" i="24"/>
  <c r="N43" i="24"/>
  <c r="N45" i="24"/>
  <c r="N47" i="24"/>
  <c r="N49" i="24"/>
  <c r="N51" i="24"/>
  <c r="N53" i="24"/>
  <c r="N55" i="24"/>
  <c r="N57" i="24"/>
  <c r="N59" i="24"/>
  <c r="N61" i="24"/>
  <c r="N63" i="24"/>
  <c r="N65" i="24"/>
  <c r="N67" i="24"/>
  <c r="N69" i="24"/>
  <c r="N71" i="24"/>
  <c r="N73" i="24"/>
  <c r="N75" i="24"/>
  <c r="N77" i="24"/>
  <c r="N79" i="24"/>
  <c r="N83" i="24"/>
  <c r="N85" i="24"/>
  <c r="N87" i="24"/>
  <c r="N91" i="24"/>
  <c r="N93" i="24"/>
  <c r="N95" i="24"/>
  <c r="N99" i="24"/>
  <c r="N101" i="24"/>
  <c r="N103" i="24"/>
  <c r="N107" i="24"/>
  <c r="N109" i="24"/>
  <c r="N111" i="24"/>
  <c r="N115" i="24"/>
  <c r="N117" i="24"/>
  <c r="N119" i="24"/>
  <c r="N123" i="24"/>
  <c r="N125" i="24"/>
  <c r="N127" i="24"/>
  <c r="N131" i="24"/>
  <c r="N133" i="24"/>
  <c r="N135" i="24"/>
  <c r="N139" i="24"/>
  <c r="N141" i="24"/>
  <c r="N143" i="24"/>
  <c r="N147" i="24"/>
  <c r="N149" i="24"/>
  <c r="N152" i="24"/>
  <c r="N156" i="24"/>
  <c r="N158" i="24"/>
  <c r="N160" i="24"/>
  <c r="N164" i="24"/>
  <c r="N166" i="24"/>
  <c r="N168" i="24"/>
  <c r="N172" i="24"/>
  <c r="N174" i="24"/>
  <c r="N176" i="24"/>
  <c r="N180" i="24"/>
  <c r="N182" i="24"/>
  <c r="N184" i="24"/>
  <c r="N186" i="24"/>
  <c r="Q188" i="24"/>
  <c r="Q190" i="24"/>
  <c r="Q192" i="24"/>
  <c r="Q194" i="24"/>
  <c r="Q196" i="24"/>
  <c r="Q198" i="24"/>
  <c r="Q200" i="24"/>
  <c r="Q202" i="24"/>
  <c r="Q204" i="24"/>
  <c r="Q206" i="24"/>
  <c r="Q208" i="24"/>
  <c r="Q210" i="24"/>
  <c r="Q212" i="24"/>
  <c r="Q214" i="24"/>
  <c r="Q216" i="24"/>
  <c r="Q218" i="24"/>
  <c r="Q220" i="24"/>
  <c r="Q222" i="24"/>
  <c r="Q189" i="24"/>
  <c r="Q191" i="24"/>
  <c r="Q193" i="24"/>
  <c r="Q195" i="24"/>
  <c r="Q197" i="24"/>
  <c r="Q199" i="24"/>
  <c r="Q201" i="24"/>
  <c r="Q203" i="24"/>
  <c r="Q205" i="24"/>
  <c r="Q207" i="24"/>
  <c r="Q209" i="24"/>
  <c r="Q211" i="24"/>
  <c r="Q213" i="24"/>
  <c r="Q215" i="24"/>
  <c r="Q217" i="24"/>
  <c r="Q219" i="24"/>
  <c r="Q221" i="24"/>
  <c r="Q223" i="24"/>
  <c r="F215" i="20"/>
  <c r="H76" i="5" s="1"/>
  <c r="H32" i="5" s="1"/>
  <c r="B12" i="21"/>
  <c r="B18" i="21" s="1"/>
  <c r="F12" i="21"/>
  <c r="G11" i="23" s="1"/>
  <c r="H10" i="21"/>
  <c r="K10" i="21" s="1"/>
  <c r="H14" i="21"/>
  <c r="K14" i="21" s="1"/>
  <c r="D148" i="20" s="1"/>
  <c r="C30" i="21"/>
  <c r="C36" i="21" s="1"/>
  <c r="M6" i="22" s="1"/>
  <c r="G30" i="21"/>
  <c r="G36" i="21" s="1"/>
  <c r="M13" i="22" s="1"/>
  <c r="H26" i="21"/>
  <c r="K26" i="21" s="1"/>
  <c r="F149" i="20" s="1"/>
  <c r="Q5" i="24"/>
  <c r="Q380" i="24"/>
  <c r="Q382" i="24"/>
  <c r="Q295" i="24"/>
  <c r="Q296" i="24"/>
  <c r="Q297" i="24"/>
  <c r="Q298" i="24"/>
  <c r="Q299" i="24"/>
  <c r="Q300" i="24"/>
  <c r="Q301" i="24"/>
  <c r="Q302" i="24"/>
  <c r="Q303" i="24"/>
  <c r="Q304" i="24"/>
  <c r="Q305" i="24"/>
  <c r="Q306" i="24"/>
  <c r="Q307" i="24"/>
  <c r="Q308" i="24"/>
  <c r="Q309" i="24"/>
  <c r="Q310" i="24"/>
  <c r="Q311" i="24"/>
  <c r="Q312" i="24"/>
  <c r="Q313" i="24"/>
  <c r="Q314" i="24"/>
  <c r="Q315" i="24"/>
  <c r="Q316" i="24"/>
  <c r="Q317" i="24"/>
  <c r="Q320" i="24"/>
  <c r="Q321" i="24"/>
  <c r="Q322" i="24"/>
  <c r="Q323" i="24"/>
  <c r="Q325" i="24"/>
  <c r="Q326" i="24"/>
  <c r="Q327" i="24"/>
  <c r="Q328" i="24"/>
  <c r="Q329" i="24"/>
  <c r="Q330" i="24"/>
  <c r="Q331" i="24"/>
  <c r="Q332" i="24"/>
  <c r="Q333" i="24"/>
  <c r="Q334" i="24"/>
  <c r="Q335" i="24"/>
  <c r="Q336" i="24"/>
  <c r="Q337" i="24"/>
  <c r="Q338" i="24"/>
  <c r="Q339" i="24"/>
  <c r="Q340" i="24"/>
  <c r="Q341" i="24"/>
  <c r="Q342" i="24"/>
  <c r="Q343" i="24"/>
  <c r="Q344" i="24"/>
  <c r="Q345" i="24"/>
  <c r="Q346" i="24"/>
  <c r="Q347" i="24"/>
  <c r="Q348" i="24"/>
  <c r="Q349" i="24"/>
  <c r="Q350" i="24"/>
  <c r="Q351" i="24"/>
  <c r="Q352" i="24"/>
  <c r="Q353" i="24"/>
  <c r="Q354" i="24"/>
  <c r="Q355" i="24"/>
  <c r="Q356" i="24"/>
  <c r="Q357" i="24"/>
  <c r="Q358" i="24"/>
  <c r="Q359" i="24"/>
  <c r="Q360" i="24"/>
  <c r="Q361" i="24"/>
  <c r="Q362" i="24"/>
  <c r="Q363" i="24"/>
  <c r="Q364" i="24"/>
  <c r="Q365" i="24"/>
  <c r="Q366" i="24"/>
  <c r="Q367" i="24"/>
  <c r="N384" i="24"/>
  <c r="N385" i="24"/>
  <c r="Q459" i="24"/>
  <c r="Q488" i="24"/>
  <c r="Q492" i="24"/>
  <c r="Q496" i="24"/>
  <c r="Q500" i="24"/>
  <c r="Q519" i="24"/>
  <c r="Q533" i="24"/>
  <c r="Q476" i="24"/>
  <c r="Q516" i="24"/>
  <c r="Q520" i="24"/>
  <c r="Q534" i="24"/>
  <c r="Q491" i="24"/>
  <c r="Q495" i="24"/>
  <c r="Q499" i="24"/>
  <c r="N565" i="24"/>
  <c r="Q607" i="24"/>
  <c r="Q608" i="24"/>
  <c r="Q609" i="24"/>
  <c r="Q610" i="24"/>
  <c r="Q614" i="24"/>
  <c r="Q612" i="24"/>
  <c r="Q616" i="24"/>
  <c r="D851" i="27"/>
  <c r="D854" i="27"/>
  <c r="C854" i="27"/>
  <c r="J256" i="15"/>
  <c r="I220" i="15"/>
  <c r="G217" i="15" s="1"/>
  <c r="G220" i="15" s="1"/>
  <c r="I41" i="15"/>
  <c r="J85" i="7" s="1"/>
  <c r="J87" i="7" s="1"/>
  <c r="J38" i="15"/>
  <c r="A381" i="13"/>
  <c r="A246" i="11"/>
  <c r="A252" i="13"/>
  <c r="A156" i="11"/>
  <c r="A366" i="11"/>
  <c r="A116" i="11"/>
  <c r="A308" i="11"/>
  <c r="A4" i="10"/>
  <c r="A4" i="13" s="1"/>
  <c r="A124" i="8"/>
  <c r="A148" i="10"/>
  <c r="F32" i="20"/>
  <c r="K46" i="8"/>
  <c r="J118" i="14"/>
  <c r="N242" i="14"/>
  <c r="J254" i="15"/>
  <c r="J71" i="15"/>
  <c r="J246" i="15"/>
  <c r="G231" i="15"/>
  <c r="H242" i="14"/>
  <c r="N127" i="14"/>
  <c r="J242" i="14"/>
  <c r="J253" i="15"/>
  <c r="D33" i="20"/>
  <c r="F33" i="20"/>
  <c r="J50" i="8"/>
  <c r="J73" i="15"/>
  <c r="J126" i="15"/>
  <c r="J255" i="15"/>
  <c r="K48" i="8"/>
  <c r="I124" i="14"/>
  <c r="L242" i="14"/>
  <c r="I119" i="15" s="1"/>
  <c r="K131" i="8" s="1"/>
  <c r="I930" i="14"/>
  <c r="J245" i="15"/>
  <c r="F31" i="20"/>
  <c r="G262" i="15"/>
  <c r="J268" i="10"/>
  <c r="G33" i="15"/>
  <c r="G35" i="15" s="1"/>
  <c r="G17" i="2" s="1"/>
  <c r="I60" i="15"/>
  <c r="I62" i="15" s="1"/>
  <c r="J542" i="14"/>
  <c r="K215" i="10"/>
  <c r="I31" i="15"/>
  <c r="I16" i="2" s="1"/>
  <c r="I215" i="15"/>
  <c r="G213" i="15" s="1"/>
  <c r="G215" i="15" s="1"/>
  <c r="J258" i="15"/>
  <c r="C91" i="5"/>
  <c r="B98" i="5"/>
  <c r="H98" i="5" s="1"/>
  <c r="C90" i="5"/>
  <c r="I80" i="8"/>
  <c r="G24" i="9" s="1"/>
  <c r="J41" i="12"/>
  <c r="H34" i="7"/>
  <c r="E35" i="4"/>
  <c r="E38" i="4" s="1"/>
  <c r="E42" i="4"/>
  <c r="K3" i="21"/>
  <c r="G4" i="18"/>
  <c r="G4" i="15"/>
  <c r="K21" i="21"/>
  <c r="H22" i="4"/>
  <c r="J45" i="8"/>
  <c r="J66" i="15"/>
  <c r="I181" i="15"/>
  <c r="I40" i="2" s="1"/>
  <c r="J966" i="14" s="1"/>
  <c r="K17" i="10"/>
  <c r="K18" i="10" s="1"/>
  <c r="J12" i="21"/>
  <c r="I300" i="11"/>
  <c r="I301" i="11" s="1"/>
  <c r="K33" i="8"/>
  <c r="K34" i="8" s="1"/>
  <c r="J29" i="8" s="1"/>
  <c r="H28" i="7"/>
  <c r="J70" i="15"/>
  <c r="K140" i="10"/>
  <c r="J238" i="15"/>
  <c r="H99" i="18"/>
  <c r="I103" i="11"/>
  <c r="I19" i="7"/>
  <c r="H30" i="3"/>
  <c r="H43" i="3"/>
  <c r="G63" i="4" s="1"/>
  <c r="H63" i="4" s="1"/>
  <c r="J252" i="15"/>
  <c r="G44" i="15"/>
  <c r="J42" i="15"/>
  <c r="D31" i="20"/>
  <c r="G60" i="15"/>
  <c r="D32" i="20"/>
  <c r="J46" i="8"/>
  <c r="J69" i="15"/>
  <c r="G40" i="15"/>
  <c r="I77" i="7" s="1"/>
  <c r="J44" i="8"/>
  <c r="I102" i="15"/>
  <c r="I104" i="15" s="1"/>
  <c r="K88" i="8"/>
  <c r="J30" i="21"/>
  <c r="J36" i="21" s="1"/>
  <c r="H24" i="21"/>
  <c r="H6" i="21"/>
  <c r="I30" i="21"/>
  <c r="I12" i="21"/>
  <c r="I30" i="12"/>
  <c r="I41" i="12"/>
  <c r="G759" i="16"/>
  <c r="G28" i="16"/>
  <c r="G749" i="16"/>
  <c r="G750" i="16"/>
  <c r="G523" i="16"/>
  <c r="G760" i="16"/>
  <c r="G761" i="16"/>
  <c r="G9" i="16"/>
  <c r="J30" i="12"/>
  <c r="J170" i="8"/>
  <c r="I378" i="11"/>
  <c r="A3" i="11"/>
  <c r="A3" i="13"/>
  <c r="A3" i="12"/>
  <c r="M486" i="13"/>
  <c r="K119" i="13"/>
  <c r="K145" i="13"/>
  <c r="K176" i="13"/>
  <c r="K159" i="13"/>
  <c r="K160" i="13"/>
  <c r="K161" i="13"/>
  <c r="K163" i="13"/>
  <c r="K164" i="13"/>
  <c r="K165" i="13"/>
  <c r="K166" i="13"/>
  <c r="K168" i="13"/>
  <c r="K169" i="13"/>
  <c r="K170" i="13"/>
  <c r="K171" i="13"/>
  <c r="J383" i="11"/>
  <c r="J386" i="11" s="1"/>
  <c r="A4" i="8"/>
  <c r="I28" i="10"/>
  <c r="I30" i="10" s="1"/>
  <c r="J245" i="13"/>
  <c r="A102" i="4"/>
  <c r="H102" i="4" s="1"/>
  <c r="B99" i="5"/>
  <c r="C99" i="5" s="1"/>
  <c r="D20" i="20"/>
  <c r="C103" i="4"/>
  <c r="I966" i="14"/>
  <c r="H87" i="4"/>
  <c r="H88" i="4"/>
  <c r="C96" i="4"/>
  <c r="K123" i="13"/>
  <c r="K124" i="13"/>
  <c r="K137" i="13"/>
  <c r="K128" i="13"/>
  <c r="K129" i="13"/>
  <c r="K130" i="13"/>
  <c r="K131" i="13"/>
  <c r="K132" i="13"/>
  <c r="K134" i="13"/>
  <c r="K140" i="13"/>
  <c r="K141" i="13"/>
  <c r="K142" i="13"/>
  <c r="K144" i="13"/>
  <c r="K174" i="13"/>
  <c r="K177" i="13"/>
  <c r="K178" i="13"/>
  <c r="K179" i="13"/>
  <c r="K180" i="13"/>
  <c r="K184" i="13"/>
  <c r="K185" i="13"/>
  <c r="K186" i="13"/>
  <c r="K188" i="13"/>
  <c r="K115" i="13"/>
  <c r="K117" i="13"/>
  <c r="K118" i="13"/>
  <c r="K126" i="13"/>
  <c r="K136" i="13"/>
  <c r="K172" i="13"/>
  <c r="K181" i="13"/>
  <c r="K121" i="13"/>
  <c r="K122" i="13"/>
  <c r="K157" i="13"/>
  <c r="K189" i="13"/>
  <c r="D979" i="14"/>
  <c r="G150" i="11"/>
  <c r="J129" i="11"/>
  <c r="J88" i="11" s="1"/>
  <c r="I383" i="11"/>
  <c r="I386" i="11" s="1"/>
  <c r="J374" i="11"/>
  <c r="J378" i="11" s="1"/>
  <c r="E151" i="11"/>
  <c r="G300" i="11"/>
  <c r="G301" i="11" s="1"/>
  <c r="J150" i="11"/>
  <c r="J151" i="11" s="1"/>
  <c r="G149" i="11"/>
  <c r="I129" i="11"/>
  <c r="I88" i="11" s="1"/>
  <c r="H55" i="10"/>
  <c r="J55" i="10"/>
  <c r="Y13" i="8"/>
  <c r="J192" i="8"/>
  <c r="K192" i="8"/>
  <c r="Y21" i="8"/>
  <c r="M10" i="8"/>
  <c r="Y10" i="8"/>
  <c r="M13" i="8"/>
  <c r="M21" i="8"/>
  <c r="Q17" i="2" l="1"/>
  <c r="E17" i="2"/>
  <c r="Q16" i="2"/>
  <c r="E16" i="2"/>
  <c r="E96" i="17"/>
  <c r="D110" i="14"/>
  <c r="H110" i="14" s="1"/>
  <c r="J110" i="14" s="1"/>
  <c r="E146" i="17"/>
  <c r="D620" i="14"/>
  <c r="E331" i="17"/>
  <c r="D927" i="14"/>
  <c r="H927" i="14" s="1"/>
  <c r="E401" i="17"/>
  <c r="D889" i="14"/>
  <c r="E45" i="17"/>
  <c r="E410" i="17"/>
  <c r="D619" i="14"/>
  <c r="E147" i="17"/>
  <c r="D625" i="14"/>
  <c r="D111" i="14"/>
  <c r="H111" i="14" s="1"/>
  <c r="J111" i="14" s="1"/>
  <c r="E408" i="17"/>
  <c r="F927" i="14"/>
  <c r="E424" i="17"/>
  <c r="D928" i="14"/>
  <c r="H928" i="14" s="1"/>
  <c r="F928" i="14"/>
  <c r="G119" i="15"/>
  <c r="J131" i="8" s="1"/>
  <c r="G94" i="17"/>
  <c r="C36" i="42"/>
  <c r="C18" i="42"/>
  <c r="C35" i="42"/>
  <c r="G98" i="17"/>
  <c r="C24" i="42"/>
  <c r="C26" i="42"/>
  <c r="C5" i="42"/>
  <c r="F768" i="14"/>
  <c r="L768" i="14" s="1"/>
  <c r="C17" i="42"/>
  <c r="C30" i="42"/>
  <c r="C8" i="42"/>
  <c r="G332" i="17"/>
  <c r="G406" i="17"/>
  <c r="C33" i="42"/>
  <c r="C11" i="42"/>
  <c r="F619" i="14"/>
  <c r="L619" i="14" s="1"/>
  <c r="N619" i="14" s="1"/>
  <c r="G407" i="17"/>
  <c r="F767" i="14"/>
  <c r="C6" i="42"/>
  <c r="C32" i="42"/>
  <c r="F839" i="14"/>
  <c r="G403" i="17"/>
  <c r="C12" i="42"/>
  <c r="C21" i="42"/>
  <c r="C15" i="42"/>
  <c r="F232" i="14"/>
  <c r="N232" i="14" s="1"/>
  <c r="F414" i="14"/>
  <c r="L414" i="14" s="1"/>
  <c r="C9" i="42"/>
  <c r="C20" i="42"/>
  <c r="C23" i="42"/>
  <c r="F233" i="14"/>
  <c r="N233" i="14" s="1"/>
  <c r="F415" i="14"/>
  <c r="L415" i="14" s="1"/>
  <c r="C29" i="42"/>
  <c r="C14" i="42"/>
  <c r="C27" i="42"/>
  <c r="L1023" i="24"/>
  <c r="D135" i="25"/>
  <c r="F205" i="14"/>
  <c r="L205" i="14" s="1"/>
  <c r="N205" i="14" s="1"/>
  <c r="D629" i="14"/>
  <c r="D326" i="14"/>
  <c r="D325" i="14"/>
  <c r="D618" i="14"/>
  <c r="H58" i="4"/>
  <c r="E159" i="17"/>
  <c r="E407" i="17"/>
  <c r="D768" i="14"/>
  <c r="D767" i="14"/>
  <c r="F908" i="14"/>
  <c r="L908" i="14" s="1"/>
  <c r="N908" i="14" s="1"/>
  <c r="E403" i="17"/>
  <c r="E406" i="17"/>
  <c r="E225" i="17"/>
  <c r="E94" i="17"/>
  <c r="D414" i="14"/>
  <c r="D415" i="14"/>
  <c r="E332" i="17"/>
  <c r="E98" i="17"/>
  <c r="O1053" i="24"/>
  <c r="O175" i="24"/>
  <c r="N175" i="24"/>
  <c r="O148" i="24"/>
  <c r="N148" i="24"/>
  <c r="O92" i="24"/>
  <c r="N92" i="24"/>
  <c r="O60" i="24"/>
  <c r="N60" i="24"/>
  <c r="O478" i="24"/>
  <c r="N478" i="24"/>
  <c r="O171" i="24"/>
  <c r="N171" i="24"/>
  <c r="O138" i="24"/>
  <c r="N138" i="24"/>
  <c r="O122" i="24"/>
  <c r="N122" i="24"/>
  <c r="O90" i="24"/>
  <c r="N90" i="24"/>
  <c r="O58" i="24"/>
  <c r="N58" i="24"/>
  <c r="O34" i="24"/>
  <c r="N34" i="24"/>
  <c r="C14" i="38"/>
  <c r="C27" i="38"/>
  <c r="O183" i="24"/>
  <c r="N183" i="24"/>
  <c r="O126" i="24"/>
  <c r="N126" i="24"/>
  <c r="O54" i="24"/>
  <c r="N54" i="24"/>
  <c r="O181" i="24"/>
  <c r="N181" i="24"/>
  <c r="O157" i="24"/>
  <c r="N157" i="24"/>
  <c r="O124" i="24"/>
  <c r="N124" i="24"/>
  <c r="O100" i="24"/>
  <c r="N100" i="24"/>
  <c r="O68" i="24"/>
  <c r="N68" i="24"/>
  <c r="O44" i="24"/>
  <c r="N44" i="24"/>
  <c r="O17" i="24"/>
  <c r="N17" i="24"/>
  <c r="O187" i="24"/>
  <c r="N187" i="24"/>
  <c r="O155" i="24"/>
  <c r="N155" i="24"/>
  <c r="O114" i="24"/>
  <c r="N114" i="24"/>
  <c r="O82" i="24"/>
  <c r="N82" i="24"/>
  <c r="O50" i="24"/>
  <c r="N50" i="24"/>
  <c r="O15" i="24"/>
  <c r="N15" i="24"/>
  <c r="C5" i="38"/>
  <c r="C26" i="38"/>
  <c r="O474" i="24"/>
  <c r="N474" i="24"/>
  <c r="O179" i="24"/>
  <c r="N179" i="24"/>
  <c r="O146" i="24"/>
  <c r="N146" i="24"/>
  <c r="O106" i="24"/>
  <c r="N106" i="24"/>
  <c r="O74" i="24"/>
  <c r="N74" i="24"/>
  <c r="O42" i="24"/>
  <c r="N42" i="24"/>
  <c r="O7" i="24"/>
  <c r="N7" i="24"/>
  <c r="O522" i="24"/>
  <c r="N522" i="24"/>
  <c r="O472" i="24"/>
  <c r="N472" i="24"/>
  <c r="O389" i="24"/>
  <c r="N389" i="24"/>
  <c r="O178" i="24"/>
  <c r="N178" i="24"/>
  <c r="O170" i="24"/>
  <c r="N170" i="24"/>
  <c r="O162" i="24"/>
  <c r="N162" i="24"/>
  <c r="O154" i="24"/>
  <c r="N154" i="24"/>
  <c r="O145" i="24"/>
  <c r="N145" i="24"/>
  <c r="O137" i="24"/>
  <c r="N137" i="24"/>
  <c r="O129" i="24"/>
  <c r="N129" i="24"/>
  <c r="O121" i="24"/>
  <c r="N121" i="24"/>
  <c r="O113" i="24"/>
  <c r="N113" i="24"/>
  <c r="O105" i="24"/>
  <c r="N105" i="24"/>
  <c r="O97" i="24"/>
  <c r="N97" i="24"/>
  <c r="O89" i="24"/>
  <c r="N89" i="24"/>
  <c r="O81" i="24"/>
  <c r="N81" i="24"/>
  <c r="O470" i="24"/>
  <c r="N470" i="24"/>
  <c r="O185" i="24"/>
  <c r="N185" i="24"/>
  <c r="O177" i="24"/>
  <c r="N177" i="24"/>
  <c r="O169" i="24"/>
  <c r="N169" i="24"/>
  <c r="O161" i="24"/>
  <c r="N161" i="24"/>
  <c r="O153" i="24"/>
  <c r="N153" i="24"/>
  <c r="O144" i="24"/>
  <c r="N144" i="24"/>
  <c r="O136" i="24"/>
  <c r="N136" i="24"/>
  <c r="O128" i="24"/>
  <c r="N128" i="24"/>
  <c r="O120" i="24"/>
  <c r="N120" i="24"/>
  <c r="O112" i="24"/>
  <c r="N112" i="24"/>
  <c r="O104" i="24"/>
  <c r="N104" i="24"/>
  <c r="O96" i="24"/>
  <c r="N96" i="24"/>
  <c r="O88" i="24"/>
  <c r="N88" i="24"/>
  <c r="O80" i="24"/>
  <c r="N80" i="24"/>
  <c r="O72" i="24"/>
  <c r="N72" i="24"/>
  <c r="O64" i="24"/>
  <c r="N64" i="24"/>
  <c r="O56" i="24"/>
  <c r="N56" i="24"/>
  <c r="O48" i="24"/>
  <c r="N48" i="24"/>
  <c r="O40" i="24"/>
  <c r="N40" i="24"/>
  <c r="O32" i="24"/>
  <c r="N32" i="24"/>
  <c r="O24" i="24"/>
  <c r="N24" i="24"/>
  <c r="O13" i="24"/>
  <c r="N13" i="24"/>
  <c r="O468" i="24"/>
  <c r="N468" i="24"/>
  <c r="C30" i="38"/>
  <c r="C35" i="38"/>
  <c r="C8" i="38"/>
  <c r="O159" i="24"/>
  <c r="N159" i="24"/>
  <c r="O142" i="24"/>
  <c r="N142" i="24"/>
  <c r="O102" i="24"/>
  <c r="N102" i="24"/>
  <c r="O94" i="24"/>
  <c r="N94" i="24"/>
  <c r="O86" i="24"/>
  <c r="N86" i="24"/>
  <c r="O78" i="24"/>
  <c r="N78" i="24"/>
  <c r="O70" i="24"/>
  <c r="N70" i="24"/>
  <c r="O38" i="24"/>
  <c r="N38" i="24"/>
  <c r="O19" i="24"/>
  <c r="N19" i="24"/>
  <c r="O11" i="24"/>
  <c r="N11" i="24"/>
  <c r="C23" i="38"/>
  <c r="C6" i="38"/>
  <c r="C15" i="38"/>
  <c r="C29" i="38"/>
  <c r="C9" i="38"/>
  <c r="C12" i="38"/>
  <c r="O167" i="24"/>
  <c r="N167" i="24"/>
  <c r="O118" i="24"/>
  <c r="N118" i="24"/>
  <c r="O62" i="24"/>
  <c r="N62" i="24"/>
  <c r="O464" i="24"/>
  <c r="N464" i="24"/>
  <c r="O28" i="24"/>
  <c r="N28" i="24"/>
  <c r="C17" i="38"/>
  <c r="C36" i="38"/>
  <c r="C20" i="38"/>
  <c r="O151" i="24"/>
  <c r="N151" i="24"/>
  <c r="O110" i="24"/>
  <c r="N110" i="24"/>
  <c r="O30" i="24"/>
  <c r="N30" i="24"/>
  <c r="O462" i="24"/>
  <c r="N462" i="24"/>
  <c r="O165" i="24"/>
  <c r="N165" i="24"/>
  <c r="O132" i="24"/>
  <c r="N132" i="24"/>
  <c r="O116" i="24"/>
  <c r="N116" i="24"/>
  <c r="O84" i="24"/>
  <c r="N84" i="24"/>
  <c r="O52" i="24"/>
  <c r="N52" i="24"/>
  <c r="O9" i="24"/>
  <c r="N9" i="24"/>
  <c r="C21" i="38"/>
  <c r="C11" i="38"/>
  <c r="C24" i="38"/>
  <c r="O466" i="24"/>
  <c r="N466" i="24"/>
  <c r="O134" i="24"/>
  <c r="N134" i="24"/>
  <c r="O46" i="24"/>
  <c r="N46" i="24"/>
  <c r="O173" i="24"/>
  <c r="N173" i="24"/>
  <c r="O140" i="24"/>
  <c r="N140" i="24"/>
  <c r="O108" i="24"/>
  <c r="N108" i="24"/>
  <c r="O76" i="24"/>
  <c r="N76" i="24"/>
  <c r="O36" i="24"/>
  <c r="N36" i="24"/>
  <c r="O163" i="24"/>
  <c r="N163" i="24"/>
  <c r="O130" i="24"/>
  <c r="N130" i="24"/>
  <c r="O98" i="24"/>
  <c r="N98" i="24"/>
  <c r="O66" i="24"/>
  <c r="N66" i="24"/>
  <c r="O26" i="24"/>
  <c r="N26" i="24"/>
  <c r="C33" i="38"/>
  <c r="C18" i="38"/>
  <c r="C32" i="38"/>
  <c r="F206" i="14"/>
  <c r="L206" i="14" s="1"/>
  <c r="O749" i="24"/>
  <c r="O750" i="24"/>
  <c r="O982" i="24"/>
  <c r="O995" i="24"/>
  <c r="O931" i="24"/>
  <c r="O938" i="24"/>
  <c r="M1093" i="24"/>
  <c r="G41" i="17"/>
  <c r="B41" i="17"/>
  <c r="O1091" i="24"/>
  <c r="O784" i="24"/>
  <c r="O798" i="24"/>
  <c r="O1064" i="24"/>
  <c r="O757" i="24"/>
  <c r="O991" i="24"/>
  <c r="O918" i="24"/>
  <c r="O989" i="24"/>
  <c r="O1100" i="24"/>
  <c r="O873" i="24"/>
  <c r="O927" i="24"/>
  <c r="O1013" i="24"/>
  <c r="O980" i="24"/>
  <c r="O874" i="24"/>
  <c r="O809" i="24"/>
  <c r="O877" i="24"/>
  <c r="O924" i="24"/>
  <c r="O859" i="24"/>
  <c r="O810" i="24"/>
  <c r="O1095" i="24"/>
  <c r="O774" i="24"/>
  <c r="O903" i="24"/>
  <c r="O852" i="24"/>
  <c r="O795" i="24"/>
  <c r="O1096" i="24"/>
  <c r="O1016" i="24"/>
  <c r="O752" i="24"/>
  <c r="O839" i="24"/>
  <c r="O788" i="24"/>
  <c r="O1075" i="24"/>
  <c r="O1017" i="24"/>
  <c r="O952" i="24"/>
  <c r="O848" i="24"/>
  <c r="O775" i="24"/>
  <c r="O1068" i="24"/>
  <c r="O1002" i="24"/>
  <c r="O953" i="24"/>
  <c r="L1093" i="24"/>
  <c r="C252" i="16"/>
  <c r="C221" i="16"/>
  <c r="B428" i="14"/>
  <c r="C205" i="16"/>
  <c r="C182" i="16"/>
  <c r="C143" i="16"/>
  <c r="C162" i="16"/>
  <c r="C185" i="16"/>
  <c r="C279" i="16"/>
  <c r="C209" i="16"/>
  <c r="C171" i="16"/>
  <c r="C267" i="16"/>
  <c r="C277" i="16"/>
  <c r="C119" i="16"/>
  <c r="C125" i="16"/>
  <c r="C131" i="16"/>
  <c r="C189" i="16"/>
  <c r="C276" i="16"/>
  <c r="C201" i="16"/>
  <c r="C159" i="16"/>
  <c r="C231" i="16"/>
  <c r="C178" i="16"/>
  <c r="F428" i="14"/>
  <c r="L428" i="14" s="1"/>
  <c r="C196" i="16"/>
  <c r="C241" i="16"/>
  <c r="C204" i="16"/>
  <c r="C31" i="16"/>
  <c r="C215" i="16"/>
  <c r="C174" i="16"/>
  <c r="C168" i="16"/>
  <c r="C256" i="16"/>
  <c r="M749" i="24"/>
  <c r="C193" i="16"/>
  <c r="C251" i="16"/>
  <c r="C208" i="16"/>
  <c r="C186" i="16"/>
  <c r="C146" i="16"/>
  <c r="C228" i="16"/>
  <c r="C259" i="16"/>
  <c r="M750" i="24"/>
  <c r="C197" i="16"/>
  <c r="C280" i="16"/>
  <c r="C200" i="16"/>
  <c r="C155" i="16"/>
  <c r="C116" i="16"/>
  <c r="C165" i="16"/>
  <c r="C268" i="16"/>
  <c r="B421" i="14"/>
  <c r="C214" i="16"/>
  <c r="C247" i="16"/>
  <c r="B454" i="17"/>
  <c r="C122" i="16"/>
  <c r="C235" i="16"/>
  <c r="C134" i="16"/>
  <c r="C263" i="16"/>
  <c r="F421" i="14"/>
  <c r="L421" i="14" s="1"/>
  <c r="N421" i="14" s="1"/>
  <c r="C220" i="16"/>
  <c r="C255" i="16"/>
  <c r="G454" i="17"/>
  <c r="O894" i="24"/>
  <c r="O1028" i="24"/>
  <c r="O864" i="24"/>
  <c r="O800" i="24"/>
  <c r="O1083" i="24"/>
  <c r="O1007" i="24"/>
  <c r="O943" i="24"/>
  <c r="O997" i="24"/>
  <c r="O956" i="24"/>
  <c r="O855" i="24"/>
  <c r="O791" i="24"/>
  <c r="O1071" i="24"/>
  <c r="O998" i="24"/>
  <c r="O934" i="24"/>
  <c r="O758" i="24"/>
  <c r="O1060" i="24"/>
  <c r="O868" i="24"/>
  <c r="O804" i="24"/>
  <c r="O1089" i="24"/>
  <c r="O1011" i="24"/>
  <c r="O947" i="24"/>
  <c r="O1081" i="24"/>
  <c r="O1069" i="24"/>
  <c r="O875" i="24"/>
  <c r="O811" i="24"/>
  <c r="O1098" i="24"/>
  <c r="O1018" i="24"/>
  <c r="O954" i="24"/>
  <c r="O822" i="24"/>
  <c r="O837" i="24"/>
  <c r="O890" i="24"/>
  <c r="O826" i="24"/>
  <c r="O762" i="24"/>
  <c r="O1034" i="24"/>
  <c r="O969" i="24"/>
  <c r="O886" i="24"/>
  <c r="O845" i="24"/>
  <c r="O889" i="24"/>
  <c r="O825" i="24"/>
  <c r="O761" i="24"/>
  <c r="O1032" i="24"/>
  <c r="O968" i="24"/>
  <c r="O846" i="24"/>
  <c r="O964" i="24"/>
  <c r="O856" i="24"/>
  <c r="O792" i="24"/>
  <c r="O1072" i="24"/>
  <c r="O999" i="24"/>
  <c r="O935" i="24"/>
  <c r="O925" i="24"/>
  <c r="O911" i="24"/>
  <c r="O847" i="24"/>
  <c r="O783" i="24"/>
  <c r="O1063" i="24"/>
  <c r="O990" i="24"/>
  <c r="O926" i="24"/>
  <c r="O1061" i="24"/>
  <c r="O1004" i="24"/>
  <c r="O860" i="24"/>
  <c r="O796" i="24"/>
  <c r="O1079" i="24"/>
  <c r="O1003" i="24"/>
  <c r="O939" i="24"/>
  <c r="O1021" i="24"/>
  <c r="O1020" i="24"/>
  <c r="O867" i="24"/>
  <c r="O803" i="24"/>
  <c r="O1086" i="24"/>
  <c r="O1010" i="24"/>
  <c r="O946" i="24"/>
  <c r="O782" i="24"/>
  <c r="O789" i="24"/>
  <c r="O882" i="24"/>
  <c r="O818" i="24"/>
  <c r="O754" i="24"/>
  <c r="O1025" i="24"/>
  <c r="O961" i="24"/>
  <c r="O838" i="24"/>
  <c r="O805" i="24"/>
  <c r="O881" i="24"/>
  <c r="O817" i="24"/>
  <c r="O753" i="24"/>
  <c r="O1024" i="24"/>
  <c r="O960" i="24"/>
  <c r="O1052" i="24"/>
  <c r="O904" i="24"/>
  <c r="O840" i="24"/>
  <c r="O776" i="24"/>
  <c r="O1054" i="24"/>
  <c r="O983" i="24"/>
  <c r="O919" i="24"/>
  <c r="O829" i="24"/>
  <c r="O895" i="24"/>
  <c r="O831" i="24"/>
  <c r="O767" i="24"/>
  <c r="O1040" i="24"/>
  <c r="O974" i="24"/>
  <c r="O917" i="24"/>
  <c r="O965" i="24"/>
  <c r="O908" i="24"/>
  <c r="O844" i="24"/>
  <c r="O780" i="24"/>
  <c r="O1059" i="24"/>
  <c r="O987" i="24"/>
  <c r="O923" i="24"/>
  <c r="O949" i="24"/>
  <c r="O932" i="24"/>
  <c r="O851" i="24"/>
  <c r="O787" i="24"/>
  <c r="O1067" i="24"/>
  <c r="O994" i="24"/>
  <c r="O930" i="24"/>
  <c r="O1039" i="24"/>
  <c r="O1038" i="24"/>
  <c r="O866" i="24"/>
  <c r="O802" i="24"/>
  <c r="O1085" i="24"/>
  <c r="O1009" i="24"/>
  <c r="O945" i="24"/>
  <c r="O1101" i="24"/>
  <c r="O1051" i="24"/>
  <c r="O865" i="24"/>
  <c r="O801" i="24"/>
  <c r="O1084" i="24"/>
  <c r="O1008" i="24"/>
  <c r="O944" i="24"/>
  <c r="O941" i="24"/>
  <c r="O896" i="24"/>
  <c r="O832" i="24"/>
  <c r="O768" i="24"/>
  <c r="O1042" i="24"/>
  <c r="O975" i="24"/>
  <c r="O870" i="24"/>
  <c r="O781" i="24"/>
  <c r="O887" i="24"/>
  <c r="O823" i="24"/>
  <c r="O759" i="24"/>
  <c r="O1030" i="24"/>
  <c r="O966" i="24"/>
  <c r="O916" i="24"/>
  <c r="O909" i="24"/>
  <c r="O900" i="24"/>
  <c r="O836" i="24"/>
  <c r="O772" i="24"/>
  <c r="O1050" i="24"/>
  <c r="O979" i="24"/>
  <c r="O915" i="24"/>
  <c r="O893" i="24"/>
  <c r="O907" i="24"/>
  <c r="O843" i="24"/>
  <c r="O779" i="24"/>
  <c r="O1057" i="24"/>
  <c r="O986" i="24"/>
  <c r="O922" i="24"/>
  <c r="O1005" i="24"/>
  <c r="O996" i="24"/>
  <c r="O858" i="24"/>
  <c r="O794" i="24"/>
  <c r="O1074" i="24"/>
  <c r="O1001" i="24"/>
  <c r="O937" i="24"/>
  <c r="O1029" i="24"/>
  <c r="O988" i="24"/>
  <c r="O857" i="24"/>
  <c r="O793" i="24"/>
  <c r="O1073" i="24"/>
  <c r="O1000" i="24"/>
  <c r="O936" i="24"/>
  <c r="O869" i="24"/>
  <c r="O888" i="24"/>
  <c r="O824" i="24"/>
  <c r="O760" i="24"/>
  <c r="O1031" i="24"/>
  <c r="O967" i="24"/>
  <c r="O814" i="24"/>
  <c r="O1080" i="24"/>
  <c r="O879" i="24"/>
  <c r="O815" i="24"/>
  <c r="O1102" i="24"/>
  <c r="O1022" i="24"/>
  <c r="O958" i="24"/>
  <c r="O902" i="24"/>
  <c r="O861" i="24"/>
  <c r="O892" i="24"/>
  <c r="O828" i="24"/>
  <c r="O764" i="24"/>
  <c r="O1037" i="24"/>
  <c r="O971" i="24"/>
  <c r="O878" i="24"/>
  <c r="O853" i="24"/>
  <c r="O899" i="24"/>
  <c r="O835" i="24"/>
  <c r="O771" i="24"/>
  <c r="O1048" i="24"/>
  <c r="O978" i="24"/>
  <c r="O914" i="24"/>
  <c r="O973" i="24"/>
  <c r="O948" i="24"/>
  <c r="O850" i="24"/>
  <c r="O786" i="24"/>
  <c r="O1066" i="24"/>
  <c r="O993" i="24"/>
  <c r="O929" i="24"/>
  <c r="O981" i="24"/>
  <c r="O940" i="24"/>
  <c r="O849" i="24"/>
  <c r="O785" i="24"/>
  <c r="O1065" i="24"/>
  <c r="O992" i="24"/>
  <c r="O928" i="24"/>
  <c r="O797" i="24"/>
  <c r="O880" i="24"/>
  <c r="O816" i="24"/>
  <c r="O1103" i="24"/>
  <c r="O1023" i="24"/>
  <c r="O959" i="24"/>
  <c r="O766" i="24"/>
  <c r="O1012" i="24"/>
  <c r="O871" i="24"/>
  <c r="O807" i="24"/>
  <c r="O1092" i="24"/>
  <c r="O1014" i="24"/>
  <c r="O950" i="24"/>
  <c r="O854" i="24"/>
  <c r="O813" i="24"/>
  <c r="O884" i="24"/>
  <c r="O820" i="24"/>
  <c r="O756" i="24"/>
  <c r="O1027" i="24"/>
  <c r="O963" i="24"/>
  <c r="O830" i="24"/>
  <c r="O821" i="24"/>
  <c r="O891" i="24"/>
  <c r="O827" i="24"/>
  <c r="O763" i="24"/>
  <c r="O1036" i="24"/>
  <c r="O970" i="24"/>
  <c r="O910" i="24"/>
  <c r="O957" i="24"/>
  <c r="O906" i="24"/>
  <c r="O842" i="24"/>
  <c r="O778" i="24"/>
  <c r="O1056" i="24"/>
  <c r="O985" i="24"/>
  <c r="O921" i="24"/>
  <c r="O933" i="24"/>
  <c r="O905" i="24"/>
  <c r="O841" i="24"/>
  <c r="O777" i="24"/>
  <c r="O1055" i="24"/>
  <c r="O984" i="24"/>
  <c r="O920" i="24"/>
  <c r="O1090" i="24"/>
  <c r="O872" i="24"/>
  <c r="O808" i="24"/>
  <c r="O1094" i="24"/>
  <c r="O1015" i="24"/>
  <c r="O951" i="24"/>
  <c r="O1070" i="24"/>
  <c r="O972" i="24"/>
  <c r="O863" i="24"/>
  <c r="O799" i="24"/>
  <c r="O1082" i="24"/>
  <c r="O1006" i="24"/>
  <c r="O942" i="24"/>
  <c r="O806" i="24"/>
  <c r="O765" i="24"/>
  <c r="O876" i="24"/>
  <c r="O812" i="24"/>
  <c r="O1099" i="24"/>
  <c r="O1019" i="24"/>
  <c r="O955" i="24"/>
  <c r="O790" i="24"/>
  <c r="O773" i="24"/>
  <c r="O883" i="24"/>
  <c r="O819" i="24"/>
  <c r="O755" i="24"/>
  <c r="O1026" i="24"/>
  <c r="O962" i="24"/>
  <c r="O862" i="24"/>
  <c r="O901" i="24"/>
  <c r="O898" i="24"/>
  <c r="O834" i="24"/>
  <c r="O770" i="24"/>
  <c r="O1047" i="24"/>
  <c r="O977" i="24"/>
  <c r="O913" i="24"/>
  <c r="O885" i="24"/>
  <c r="O897" i="24"/>
  <c r="O833" i="24"/>
  <c r="O769" i="24"/>
  <c r="O1046" i="24"/>
  <c r="O976" i="24"/>
  <c r="O912" i="24"/>
  <c r="J40" i="2"/>
  <c r="L40" i="2" s="1"/>
  <c r="H43" i="4"/>
  <c r="H50" i="4"/>
  <c r="C111" i="16"/>
  <c r="C58" i="16"/>
  <c r="C49" i="16"/>
  <c r="C25" i="16"/>
  <c r="C106" i="16"/>
  <c r="C95" i="16"/>
  <c r="C44" i="16"/>
  <c r="C55" i="16"/>
  <c r="C100" i="16"/>
  <c r="C20" i="16"/>
  <c r="C39" i="16"/>
  <c r="C36" i="16"/>
  <c r="C104" i="16"/>
  <c r="C61" i="16"/>
  <c r="C52" i="16"/>
  <c r="G208" i="17"/>
  <c r="G424" i="17"/>
  <c r="G423" i="17"/>
  <c r="G422" i="17"/>
  <c r="G15" i="17"/>
  <c r="G39" i="17"/>
  <c r="G16" i="17"/>
  <c r="G421" i="17"/>
  <c r="G420" i="17"/>
  <c r="G43" i="17"/>
  <c r="G426" i="17"/>
  <c r="G42" i="17"/>
  <c r="G40" i="17"/>
  <c r="G425" i="17"/>
  <c r="B422" i="17"/>
  <c r="M1100" i="24"/>
  <c r="D107" i="14"/>
  <c r="O718" i="24"/>
  <c r="O737" i="24"/>
  <c r="O743" i="24"/>
  <c r="O738" i="24"/>
  <c r="O739" i="24"/>
  <c r="O732" i="24"/>
  <c r="O744" i="24"/>
  <c r="O740" i="24"/>
  <c r="O734" i="24"/>
  <c r="O741" i="24"/>
  <c r="O748" i="24"/>
  <c r="O746" i="24"/>
  <c r="O742" i="24"/>
  <c r="O736" i="24"/>
  <c r="O747" i="24"/>
  <c r="O735" i="24"/>
  <c r="O745" i="24"/>
  <c r="O733" i="24"/>
  <c r="E131" i="17"/>
  <c r="O716" i="24"/>
  <c r="O696" i="24"/>
  <c r="O633" i="24"/>
  <c r="O642" i="24"/>
  <c r="O651" i="24"/>
  <c r="O661" i="24"/>
  <c r="O671" i="24"/>
  <c r="O680" i="24"/>
  <c r="O688" i="24"/>
  <c r="O699" i="24"/>
  <c r="O707" i="24"/>
  <c r="O720" i="24"/>
  <c r="O728" i="24"/>
  <c r="O719" i="24"/>
  <c r="O717" i="24"/>
  <c r="O634" i="24"/>
  <c r="O643" i="24"/>
  <c r="O652" i="24"/>
  <c r="O662" i="24"/>
  <c r="O672" i="24"/>
  <c r="O681" i="24"/>
  <c r="O689" i="24"/>
  <c r="O700" i="24"/>
  <c r="O708" i="24"/>
  <c r="O721" i="24"/>
  <c r="O729" i="24"/>
  <c r="O641" i="24"/>
  <c r="O698" i="24"/>
  <c r="O625" i="24"/>
  <c r="O636" i="24"/>
  <c r="O644" i="24"/>
  <c r="O653" i="24"/>
  <c r="O663" i="24"/>
  <c r="O673" i="24"/>
  <c r="O682" i="24"/>
  <c r="O690" i="24"/>
  <c r="O701" i="24"/>
  <c r="O709" i="24"/>
  <c r="O722" i="24"/>
  <c r="O730" i="24"/>
  <c r="O687" i="24"/>
  <c r="O626" i="24"/>
  <c r="O637" i="24"/>
  <c r="O645" i="24"/>
  <c r="O655" i="24"/>
  <c r="O664" i="24"/>
  <c r="O675" i="24"/>
  <c r="O683" i="24"/>
  <c r="O691" i="24"/>
  <c r="O702" i="24"/>
  <c r="O710" i="24"/>
  <c r="O723" i="24"/>
  <c r="O731" i="24"/>
  <c r="O669" i="24"/>
  <c r="O674" i="24"/>
  <c r="O627" i="24"/>
  <c r="O638" i="24"/>
  <c r="O646" i="24"/>
  <c r="O656" i="24"/>
  <c r="O665" i="24"/>
  <c r="O676" i="24"/>
  <c r="O684" i="24"/>
  <c r="O692" i="24"/>
  <c r="O703" i="24"/>
  <c r="O711" i="24"/>
  <c r="O724" i="24"/>
  <c r="O624" i="24"/>
  <c r="O714" i="24"/>
  <c r="O632" i="24"/>
  <c r="O679" i="24"/>
  <c r="O727" i="24"/>
  <c r="O630" i="24"/>
  <c r="O639" i="24"/>
  <c r="O647" i="24"/>
  <c r="O657" i="24"/>
  <c r="O666" i="24"/>
  <c r="O677" i="24"/>
  <c r="O685" i="24"/>
  <c r="O693" i="24"/>
  <c r="O704" i="24"/>
  <c r="O712" i="24"/>
  <c r="O725" i="24"/>
  <c r="O726" i="24"/>
  <c r="O650" i="24"/>
  <c r="O706" i="24"/>
  <c r="E130" i="17"/>
  <c r="O631" i="24"/>
  <c r="O640" i="24"/>
  <c r="O648" i="24"/>
  <c r="O659" i="24"/>
  <c r="O667" i="24"/>
  <c r="O678" i="24"/>
  <c r="O686" i="24"/>
  <c r="O697" i="24"/>
  <c r="O705" i="24"/>
  <c r="O660" i="24"/>
  <c r="O715" i="24"/>
  <c r="E398" i="17"/>
  <c r="D141" i="25"/>
  <c r="D131" i="25"/>
  <c r="D148" i="25"/>
  <c r="D147" i="25"/>
  <c r="D130" i="25"/>
  <c r="D146" i="25"/>
  <c r="D140" i="25"/>
  <c r="D138" i="25"/>
  <c r="D128" i="25"/>
  <c r="D129" i="25"/>
  <c r="D137" i="25"/>
  <c r="D145" i="25"/>
  <c r="D142" i="25"/>
  <c r="L1100" i="24"/>
  <c r="D136" i="25"/>
  <c r="D132" i="25"/>
  <c r="D144" i="25"/>
  <c r="D143" i="25"/>
  <c r="D227" i="25"/>
  <c r="D134" i="25"/>
  <c r="D133" i="25"/>
  <c r="B195" i="14"/>
  <c r="F195" i="14"/>
  <c r="M718" i="24"/>
  <c r="F632" i="14"/>
  <c r="L632" i="14" s="1"/>
  <c r="N632" i="14" s="1"/>
  <c r="B113" i="14"/>
  <c r="E227" i="25"/>
  <c r="F326" i="14"/>
  <c r="B629" i="14"/>
  <c r="F880" i="14"/>
  <c r="N880" i="14" s="1"/>
  <c r="F708" i="14"/>
  <c r="L708" i="14" s="1"/>
  <c r="N708" i="14" s="1"/>
  <c r="F227" i="25"/>
  <c r="G227" i="25" s="1"/>
  <c r="B112" i="14"/>
  <c r="B689" i="14"/>
  <c r="B207" i="14"/>
  <c r="B633" i="14"/>
  <c r="F629" i="14"/>
  <c r="L629" i="14" s="1"/>
  <c r="N629" i="14" s="1"/>
  <c r="F633" i="14"/>
  <c r="L633" i="14" s="1"/>
  <c r="N633" i="14" s="1"/>
  <c r="F689" i="14"/>
  <c r="L689" i="14" s="1"/>
  <c r="N689" i="14" s="1"/>
  <c r="F207" i="14"/>
  <c r="L207" i="14" s="1"/>
  <c r="N207" i="14" s="1"/>
  <c r="F631" i="14"/>
  <c r="L631" i="14" s="1"/>
  <c r="N631" i="14" s="1"/>
  <c r="F112" i="14"/>
  <c r="L112" i="14" s="1"/>
  <c r="N112" i="14" s="1"/>
  <c r="F806" i="14"/>
  <c r="L806" i="14" s="1"/>
  <c r="N806" i="14" s="1"/>
  <c r="B770" i="14"/>
  <c r="B690" i="14"/>
  <c r="F630" i="14"/>
  <c r="B631" i="14"/>
  <c r="F691" i="14"/>
  <c r="L691" i="14" s="1"/>
  <c r="N691" i="14" s="1"/>
  <c r="B326" i="14"/>
  <c r="B806" i="14"/>
  <c r="M748" i="24"/>
  <c r="F113" i="14"/>
  <c r="B708" i="14"/>
  <c r="F770" i="14"/>
  <c r="L770" i="14" s="1"/>
  <c r="N770" i="14" s="1"/>
  <c r="B691" i="14"/>
  <c r="B632" i="14"/>
  <c r="B630" i="14"/>
  <c r="B880" i="14"/>
  <c r="F690" i="14"/>
  <c r="L690" i="14" s="1"/>
  <c r="N690" i="14" s="1"/>
  <c r="E172" i="25"/>
  <c r="M747" i="24"/>
  <c r="M746" i="24"/>
  <c r="M745" i="24"/>
  <c r="M744" i="24"/>
  <c r="M743" i="24"/>
  <c r="M742" i="24"/>
  <c r="M741" i="24"/>
  <c r="M740" i="24"/>
  <c r="M739" i="24"/>
  <c r="M738" i="24"/>
  <c r="M737" i="24"/>
  <c r="M736" i="24"/>
  <c r="M735" i="24"/>
  <c r="M734" i="24"/>
  <c r="M733" i="24"/>
  <c r="M732" i="24"/>
  <c r="B908" i="14"/>
  <c r="W40" i="2"/>
  <c r="X40" i="2" s="1"/>
  <c r="C1183" i="16"/>
  <c r="C1119" i="16"/>
  <c r="C1101" i="16"/>
  <c r="C1150" i="16"/>
  <c r="C1180" i="16"/>
  <c r="C1108" i="16"/>
  <c r="C1190" i="16"/>
  <c r="G102" i="17"/>
  <c r="C1142" i="16"/>
  <c r="G227" i="17"/>
  <c r="C1203" i="16"/>
  <c r="C1123" i="16"/>
  <c r="C1210" i="16"/>
  <c r="C1146" i="16"/>
  <c r="C1168" i="16"/>
  <c r="C1213" i="16"/>
  <c r="C1209" i="16"/>
  <c r="C1145" i="16"/>
  <c r="C45" i="26"/>
  <c r="M719" i="24"/>
  <c r="C1175" i="16"/>
  <c r="C1111" i="16"/>
  <c r="B197" i="14"/>
  <c r="C1126" i="16"/>
  <c r="C1172" i="16"/>
  <c r="C1100" i="16"/>
  <c r="C1158" i="16"/>
  <c r="G409" i="17"/>
  <c r="C1184" i="16"/>
  <c r="C1110" i="16"/>
  <c r="C1212" i="16"/>
  <c r="C1187" i="16"/>
  <c r="C1115" i="16"/>
  <c r="C1202" i="16"/>
  <c r="C1138" i="16"/>
  <c r="C1112" i="16"/>
  <c r="C1181" i="16"/>
  <c r="C1201" i="16"/>
  <c r="C1137" i="16"/>
  <c r="C44" i="26"/>
  <c r="C1200" i="16"/>
  <c r="C1167" i="16"/>
  <c r="C1103" i="16"/>
  <c r="C1176" i="16"/>
  <c r="B424" i="17"/>
  <c r="C1156" i="16"/>
  <c r="G132" i="17"/>
  <c r="C1118" i="16"/>
  <c r="C1188" i="16"/>
  <c r="C1152" i="16"/>
  <c r="B131" i="17"/>
  <c r="C1196" i="16"/>
  <c r="C1179" i="16"/>
  <c r="C1107" i="16"/>
  <c r="C1194" i="16"/>
  <c r="C1130" i="16"/>
  <c r="B132" i="17"/>
  <c r="C1141" i="16"/>
  <c r="C1193" i="16"/>
  <c r="C1129" i="16"/>
  <c r="C49" i="26"/>
  <c r="C1160" i="16"/>
  <c r="C1159" i="16"/>
  <c r="B416" i="14"/>
  <c r="C1136" i="16"/>
  <c r="C1189" i="16"/>
  <c r="C1148" i="16"/>
  <c r="C1192" i="16"/>
  <c r="B226" i="17"/>
  <c r="F416" i="14"/>
  <c r="L416" i="14" s="1"/>
  <c r="N416" i="14" s="1"/>
  <c r="C1205" i="16"/>
  <c r="C1164" i="16"/>
  <c r="C1171" i="16"/>
  <c r="B687" i="14"/>
  <c r="C1186" i="16"/>
  <c r="C1122" i="16"/>
  <c r="F687" i="14"/>
  <c r="C1185" i="16"/>
  <c r="C1121" i="16"/>
  <c r="C43" i="26"/>
  <c r="C40" i="26"/>
  <c r="C1104" i="16"/>
  <c r="C1151" i="16"/>
  <c r="C1128" i="16"/>
  <c r="B404" i="17"/>
  <c r="C1157" i="16"/>
  <c r="C1140" i="16"/>
  <c r="C1144" i="16"/>
  <c r="C1197" i="16"/>
  <c r="B409" i="17"/>
  <c r="B102" i="17"/>
  <c r="C1173" i="16"/>
  <c r="F279" i="14"/>
  <c r="L279" i="14" s="1"/>
  <c r="N279" i="14" s="1"/>
  <c r="C1155" i="16"/>
  <c r="B402" i="17"/>
  <c r="C1178" i="16"/>
  <c r="C1114" i="16"/>
  <c r="C1198" i="16"/>
  <c r="G402" i="17"/>
  <c r="C1177" i="16"/>
  <c r="C1113" i="16"/>
  <c r="C42" i="26"/>
  <c r="C47" i="26"/>
  <c r="C1096" i="16"/>
  <c r="C1143" i="16"/>
  <c r="C1102" i="16"/>
  <c r="B233" i="14"/>
  <c r="C1117" i="16"/>
  <c r="C1132" i="16"/>
  <c r="F197" i="14"/>
  <c r="C1165" i="16"/>
  <c r="C1195" i="16"/>
  <c r="C1149" i="16"/>
  <c r="B426" i="17"/>
  <c r="C1147" i="16"/>
  <c r="C1170" i="16"/>
  <c r="C1106" i="16"/>
  <c r="C1166" i="16"/>
  <c r="B425" i="17"/>
  <c r="C1169" i="16"/>
  <c r="C1105" i="16"/>
  <c r="C48" i="26"/>
  <c r="C39" i="26"/>
  <c r="C1199" i="16"/>
  <c r="C1135" i="16"/>
  <c r="C1208" i="16"/>
  <c r="C1214" i="16"/>
  <c r="C1124" i="16"/>
  <c r="C1207" i="16"/>
  <c r="C1133" i="16"/>
  <c r="C1163" i="16"/>
  <c r="C1206" i="16"/>
  <c r="C1125" i="16"/>
  <c r="B227" i="17"/>
  <c r="C1139" i="16"/>
  <c r="G130" i="17"/>
  <c r="C1162" i="16"/>
  <c r="C1098" i="16"/>
  <c r="C1134" i="16"/>
  <c r="B130" i="17"/>
  <c r="C1161" i="16"/>
  <c r="C1097" i="16"/>
  <c r="C41" i="26"/>
  <c r="C1191" i="16"/>
  <c r="C1127" i="16"/>
  <c r="C1120" i="16"/>
  <c r="C1182" i="16"/>
  <c r="C1204" i="16"/>
  <c r="C1116" i="16"/>
  <c r="G131" i="17"/>
  <c r="C1109" i="16"/>
  <c r="C1099" i="16"/>
  <c r="C1174" i="16"/>
  <c r="B279" i="14"/>
  <c r="C1211" i="16"/>
  <c r="C1131" i="16"/>
  <c r="G405" i="17"/>
  <c r="C1154" i="16"/>
  <c r="G404" i="17"/>
  <c r="B232" i="14"/>
  <c r="B405" i="17"/>
  <c r="C1153" i="16"/>
  <c r="C38" i="26"/>
  <c r="C46" i="26"/>
  <c r="D116" i="25"/>
  <c r="D90" i="25"/>
  <c r="D101" i="25"/>
  <c r="D106" i="25"/>
  <c r="D127" i="25"/>
  <c r="D98" i="25"/>
  <c r="D89" i="25"/>
  <c r="D122" i="25"/>
  <c r="D119" i="25"/>
  <c r="D117" i="25"/>
  <c r="D87" i="25"/>
  <c r="D123" i="25"/>
  <c r="D114" i="25"/>
  <c r="D121" i="25"/>
  <c r="D110" i="25"/>
  <c r="D108" i="25"/>
  <c r="D120" i="25"/>
  <c r="D115" i="25"/>
  <c r="D104" i="25"/>
  <c r="D113" i="25"/>
  <c r="D99" i="25"/>
  <c r="D112" i="25"/>
  <c r="D105" i="25"/>
  <c r="D96" i="25"/>
  <c r="D103" i="25"/>
  <c r="D118" i="25"/>
  <c r="D88" i="25"/>
  <c r="D102" i="25"/>
  <c r="D97" i="25"/>
  <c r="D93" i="25"/>
  <c r="D109" i="25"/>
  <c r="D91" i="25"/>
  <c r="D86" i="25"/>
  <c r="D100" i="25"/>
  <c r="D124" i="25"/>
  <c r="L1079" i="24"/>
  <c r="L1075" i="24"/>
  <c r="L1036" i="24"/>
  <c r="L1084" i="24"/>
  <c r="L1073" i="24"/>
  <c r="L1054" i="24"/>
  <c r="L1064" i="24"/>
  <c r="L1074" i="24"/>
  <c r="L1053" i="24"/>
  <c r="L1080" i="24"/>
  <c r="L1037" i="24"/>
  <c r="L1095" i="24"/>
  <c r="L1072" i="24"/>
  <c r="L1038" i="24"/>
  <c r="L1098" i="24"/>
  <c r="M1098" i="24"/>
  <c r="M1095" i="24"/>
  <c r="M1084" i="24"/>
  <c r="M1079" i="24"/>
  <c r="M1080" i="24"/>
  <c r="M1075" i="24"/>
  <c r="M1074" i="24"/>
  <c r="M1073" i="24"/>
  <c r="M1072" i="24"/>
  <c r="M1064" i="24"/>
  <c r="M1054" i="24"/>
  <c r="M1053" i="24"/>
  <c r="M1038" i="24"/>
  <c r="M1036" i="24"/>
  <c r="M1037" i="24"/>
  <c r="M717" i="24"/>
  <c r="M716" i="24"/>
  <c r="M696" i="24"/>
  <c r="M674" i="24"/>
  <c r="M713" i="24"/>
  <c r="B16" i="17"/>
  <c r="F471" i="14"/>
  <c r="L471" i="14" s="1"/>
  <c r="N471" i="14" s="1"/>
  <c r="B471" i="14"/>
  <c r="F230" i="14"/>
  <c r="F211" i="14"/>
  <c r="M1103" i="24"/>
  <c r="Z16" i="2"/>
  <c r="X16" i="2"/>
  <c r="Z17" i="2"/>
  <c r="X17" i="2"/>
  <c r="L1082" i="24"/>
  <c r="L1103" i="24"/>
  <c r="C641" i="16"/>
  <c r="C643" i="16"/>
  <c r="C642" i="16"/>
  <c r="C638" i="16"/>
  <c r="C646" i="16"/>
  <c r="C644" i="16"/>
  <c r="M1082" i="24"/>
  <c r="C645" i="16"/>
  <c r="C637" i="16"/>
  <c r="B398" i="17"/>
  <c r="C622" i="16"/>
  <c r="C634" i="16"/>
  <c r="B397" i="17"/>
  <c r="C635" i="16"/>
  <c r="C629" i="16"/>
  <c r="G397" i="17"/>
  <c r="C631" i="16"/>
  <c r="C630" i="16"/>
  <c r="C623" i="16"/>
  <c r="C626" i="16"/>
  <c r="C625" i="16"/>
  <c r="M1055" i="24"/>
  <c r="G398" i="17"/>
  <c r="L1027" i="24"/>
  <c r="L793" i="24"/>
  <c r="L1089" i="24"/>
  <c r="L1055" i="24"/>
  <c r="C580" i="16"/>
  <c r="C611" i="16"/>
  <c r="C583" i="16"/>
  <c r="C554" i="16"/>
  <c r="C589" i="16"/>
  <c r="C614" i="16"/>
  <c r="C596" i="16"/>
  <c r="C578" i="16"/>
  <c r="C549" i="16"/>
  <c r="C584" i="16"/>
  <c r="C617" i="16"/>
  <c r="C600" i="16"/>
  <c r="C581" i="16"/>
  <c r="C552" i="16"/>
  <c r="F876" i="14"/>
  <c r="N876" i="14" s="1"/>
  <c r="B876" i="14"/>
  <c r="C526" i="16"/>
  <c r="C527" i="16"/>
  <c r="C560" i="16"/>
  <c r="C607" i="16"/>
  <c r="C579" i="16"/>
  <c r="C550" i="16"/>
  <c r="C575" i="16"/>
  <c r="C610" i="16"/>
  <c r="C591" i="16"/>
  <c r="C562" i="16"/>
  <c r="C620" i="16"/>
  <c r="C570" i="16"/>
  <c r="C613" i="16"/>
  <c r="C595" i="16"/>
  <c r="C571" i="16"/>
  <c r="C548" i="16"/>
  <c r="C528" i="16"/>
  <c r="C531" i="16"/>
  <c r="C532" i="16"/>
  <c r="C619" i="16"/>
  <c r="C597" i="16"/>
  <c r="C574" i="16"/>
  <c r="C616" i="16"/>
  <c r="C551" i="16"/>
  <c r="C606" i="16"/>
  <c r="C586" i="16"/>
  <c r="C557" i="16"/>
  <c r="C612" i="16"/>
  <c r="C555" i="16"/>
  <c r="C609" i="16"/>
  <c r="C590" i="16"/>
  <c r="C561" i="16"/>
  <c r="C264" i="16"/>
  <c r="B879" i="14"/>
  <c r="C525" i="16"/>
  <c r="C536" i="16"/>
  <c r="C567" i="16"/>
  <c r="C615" i="16"/>
  <c r="C592" i="16"/>
  <c r="C563" i="16"/>
  <c r="C608" i="16"/>
  <c r="C618" i="16"/>
  <c r="C601" i="16"/>
  <c r="C582" i="16"/>
  <c r="C553" i="16"/>
  <c r="C604" i="16"/>
  <c r="C621" i="16"/>
  <c r="C605" i="16"/>
  <c r="C585" i="16"/>
  <c r="C556" i="16"/>
  <c r="F879" i="14"/>
  <c r="N879" i="14" s="1"/>
  <c r="M1089" i="24"/>
  <c r="C537" i="16"/>
  <c r="C533" i="16"/>
  <c r="C566" i="16"/>
  <c r="A62" i="8"/>
  <c r="D305" i="14"/>
  <c r="D411" i="14"/>
  <c r="D417" i="14"/>
  <c r="D231" i="14"/>
  <c r="D413" i="14"/>
  <c r="D412" i="14"/>
  <c r="E224" i="17"/>
  <c r="D408" i="14"/>
  <c r="T43" i="3"/>
  <c r="C540" i="16"/>
  <c r="C503" i="16"/>
  <c r="C515" i="16"/>
  <c r="C542" i="16"/>
  <c r="C509" i="16"/>
  <c r="C545" i="16"/>
  <c r="C513" i="16"/>
  <c r="C494" i="16"/>
  <c r="G129" i="17"/>
  <c r="C516" i="16"/>
  <c r="C498" i="16"/>
  <c r="C506" i="16"/>
  <c r="C522" i="16"/>
  <c r="C505" i="16"/>
  <c r="C541" i="16"/>
  <c r="C508" i="16"/>
  <c r="C260" i="16"/>
  <c r="C512" i="16"/>
  <c r="C543" i="16"/>
  <c r="C502" i="16"/>
  <c r="C518" i="16"/>
  <c r="C495" i="16"/>
  <c r="C521" i="16"/>
  <c r="C504" i="16"/>
  <c r="M1056" i="24"/>
  <c r="C544" i="16"/>
  <c r="C507" i="16"/>
  <c r="C519" i="16"/>
  <c r="C491" i="16"/>
  <c r="C514" i="16"/>
  <c r="C490" i="16"/>
  <c r="C517" i="16"/>
  <c r="C499" i="16"/>
  <c r="B129" i="17"/>
  <c r="L1056" i="24"/>
  <c r="M1090" i="24"/>
  <c r="C487" i="16"/>
  <c r="B455" i="17"/>
  <c r="C486" i="16"/>
  <c r="G455" i="17"/>
  <c r="L1090" i="24"/>
  <c r="C482" i="16"/>
  <c r="C479" i="16"/>
  <c r="C472" i="16"/>
  <c r="M1086" i="24"/>
  <c r="C465" i="16"/>
  <c r="C464" i="16"/>
  <c r="C471" i="16"/>
  <c r="C473" i="16"/>
  <c r="C467" i="16"/>
  <c r="G44" i="17"/>
  <c r="G160" i="17"/>
  <c r="B877" i="14"/>
  <c r="C474" i="16"/>
  <c r="C483" i="16"/>
  <c r="B160" i="17"/>
  <c r="G438" i="17"/>
  <c r="C258" i="16"/>
  <c r="B878" i="14"/>
  <c r="C470" i="16"/>
  <c r="C477" i="16"/>
  <c r="B438" i="17"/>
  <c r="B44" i="17"/>
  <c r="C466" i="16"/>
  <c r="B875" i="14"/>
  <c r="L1040" i="24"/>
  <c r="L1083" i="24"/>
  <c r="L1086" i="24"/>
  <c r="M1083" i="24"/>
  <c r="M1040" i="24"/>
  <c r="M1102" i="24"/>
  <c r="B43" i="17"/>
  <c r="L1102" i="24"/>
  <c r="M708" i="24"/>
  <c r="B460" i="14"/>
  <c r="F460" i="14"/>
  <c r="L460" i="14" s="1"/>
  <c r="N460" i="14" s="1"/>
  <c r="C460" i="16"/>
  <c r="C459" i="16"/>
  <c r="C453" i="16"/>
  <c r="C456" i="16"/>
  <c r="C455" i="16"/>
  <c r="C462" i="16"/>
  <c r="M633" i="24"/>
  <c r="C452" i="16"/>
  <c r="C461" i="16"/>
  <c r="C458" i="16"/>
  <c r="F895" i="14"/>
  <c r="L895" i="14" s="1"/>
  <c r="N895" i="14" s="1"/>
  <c r="C463" i="16"/>
  <c r="C457" i="16"/>
  <c r="C454" i="16"/>
  <c r="B895" i="14"/>
  <c r="C446" i="16"/>
  <c r="C448" i="16"/>
  <c r="C451" i="16"/>
  <c r="C447" i="16"/>
  <c r="M712" i="24"/>
  <c r="C450" i="16"/>
  <c r="C449" i="16"/>
  <c r="F878" i="14"/>
  <c r="N878" i="14" s="1"/>
  <c r="C443" i="16"/>
  <c r="C441" i="16"/>
  <c r="M704" i="24"/>
  <c r="C445" i="16"/>
  <c r="C444" i="16"/>
  <c r="C440" i="16"/>
  <c r="C442" i="16"/>
  <c r="B840" i="14"/>
  <c r="C436" i="16"/>
  <c r="C433" i="16"/>
  <c r="C431" i="16"/>
  <c r="C432" i="16"/>
  <c r="C429" i="16"/>
  <c r="C438" i="16"/>
  <c r="M706" i="24"/>
  <c r="C428" i="16"/>
  <c r="C439" i="16"/>
  <c r="C434" i="16"/>
  <c r="F805" i="14"/>
  <c r="L805" i="14" s="1"/>
  <c r="N805" i="14" s="1"/>
  <c r="C437" i="16"/>
  <c r="C435" i="16"/>
  <c r="C430" i="16"/>
  <c r="B805" i="14"/>
  <c r="C413" i="16"/>
  <c r="C397" i="16"/>
  <c r="C381" i="16"/>
  <c r="C416" i="16"/>
  <c r="C400" i="16"/>
  <c r="C384" i="16"/>
  <c r="C423" i="16"/>
  <c r="C407" i="16"/>
  <c r="C391" i="16"/>
  <c r="C426" i="16"/>
  <c r="C410" i="16"/>
  <c r="C394" i="16"/>
  <c r="C378" i="16"/>
  <c r="B602" i="14"/>
  <c r="C425" i="16"/>
  <c r="C409" i="16"/>
  <c r="C393" i="16"/>
  <c r="C377" i="16"/>
  <c r="C412" i="16"/>
  <c r="C396" i="16"/>
  <c r="C380" i="16"/>
  <c r="C419" i="16"/>
  <c r="C403" i="16"/>
  <c r="C387" i="16"/>
  <c r="C422" i="16"/>
  <c r="C406" i="16"/>
  <c r="C390" i="16"/>
  <c r="M644" i="24"/>
  <c r="C421" i="16"/>
  <c r="C405" i="16"/>
  <c r="C389" i="16"/>
  <c r="C424" i="16"/>
  <c r="C408" i="16"/>
  <c r="C392" i="16"/>
  <c r="C376" i="16"/>
  <c r="C415" i="16"/>
  <c r="C399" i="16"/>
  <c r="C383" i="16"/>
  <c r="C418" i="16"/>
  <c r="C402" i="16"/>
  <c r="C386" i="16"/>
  <c r="B601" i="14"/>
  <c r="C417" i="16"/>
  <c r="C401" i="16"/>
  <c r="C385" i="16"/>
  <c r="C420" i="16"/>
  <c r="C404" i="16"/>
  <c r="C388" i="16"/>
  <c r="C427" i="16"/>
  <c r="C411" i="16"/>
  <c r="C395" i="16"/>
  <c r="C379" i="16"/>
  <c r="C414" i="16"/>
  <c r="C398" i="16"/>
  <c r="C382" i="16"/>
  <c r="F601" i="14"/>
  <c r="L601" i="14" s="1"/>
  <c r="N601" i="14" s="1"/>
  <c r="F602" i="14"/>
  <c r="M638" i="24"/>
  <c r="C373" i="16"/>
  <c r="C375" i="16"/>
  <c r="C369" i="16"/>
  <c r="C374" i="16"/>
  <c r="C365" i="16"/>
  <c r="C371" i="16"/>
  <c r="C361" i="16"/>
  <c r="C370" i="16"/>
  <c r="C368" i="16"/>
  <c r="C367" i="16"/>
  <c r="C372" i="16"/>
  <c r="C366" i="16"/>
  <c r="C360" i="16"/>
  <c r="C363" i="16"/>
  <c r="C364" i="16"/>
  <c r="C362" i="16"/>
  <c r="M683" i="24"/>
  <c r="C359" i="16"/>
  <c r="F517" i="14"/>
  <c r="L517" i="14" s="1"/>
  <c r="N517" i="14" s="1"/>
  <c r="C358" i="16"/>
  <c r="B517" i="14"/>
  <c r="M686" i="24"/>
  <c r="C357" i="16"/>
  <c r="F519" i="14"/>
  <c r="L519" i="14" s="1"/>
  <c r="N519" i="14" s="1"/>
  <c r="C356" i="16"/>
  <c r="B519" i="14"/>
  <c r="B515" i="14"/>
  <c r="C355" i="16"/>
  <c r="M681" i="24"/>
  <c r="C354" i="16"/>
  <c r="F515" i="14"/>
  <c r="L515" i="14" s="1"/>
  <c r="N515" i="14" s="1"/>
  <c r="M680" i="24"/>
  <c r="C352" i="16"/>
  <c r="F514" i="14"/>
  <c r="L514" i="14" s="1"/>
  <c r="N514" i="14" s="1"/>
  <c r="C353" i="16"/>
  <c r="B514" i="14"/>
  <c r="C327" i="16"/>
  <c r="C342" i="16"/>
  <c r="C326" i="16"/>
  <c r="C341" i="16"/>
  <c r="C325" i="16"/>
  <c r="C336" i="16"/>
  <c r="C339" i="16"/>
  <c r="C323" i="16"/>
  <c r="C322" i="16"/>
  <c r="C337" i="16"/>
  <c r="C348" i="16"/>
  <c r="C332" i="16"/>
  <c r="M693" i="24"/>
  <c r="C351" i="16"/>
  <c r="C335" i="16"/>
  <c r="C350" i="16"/>
  <c r="C334" i="16"/>
  <c r="C349" i="16"/>
  <c r="C333" i="16"/>
  <c r="C344" i="16"/>
  <c r="C328" i="16"/>
  <c r="F413" i="14"/>
  <c r="L413" i="14" s="1"/>
  <c r="N413" i="14" s="1"/>
  <c r="C331" i="16"/>
  <c r="C346" i="16"/>
  <c r="C330" i="16"/>
  <c r="C345" i="16"/>
  <c r="C329" i="16"/>
  <c r="C340" i="16"/>
  <c r="C324" i="16"/>
  <c r="B413" i="14"/>
  <c r="M692" i="24"/>
  <c r="C321" i="16"/>
  <c r="F412" i="14"/>
  <c r="L412" i="14" s="1"/>
  <c r="N412" i="14" s="1"/>
  <c r="C320" i="16"/>
  <c r="B412" i="14"/>
  <c r="B411" i="14"/>
  <c r="C319" i="16"/>
  <c r="M691" i="24"/>
  <c r="C318" i="16"/>
  <c r="F411" i="14"/>
  <c r="L411" i="14" s="1"/>
  <c r="N411" i="14" s="1"/>
  <c r="C312" i="16"/>
  <c r="C315" i="16"/>
  <c r="M697" i="24"/>
  <c r="C313" i="16"/>
  <c r="C317" i="16"/>
  <c r="B417" i="14"/>
  <c r="C316" i="16"/>
  <c r="C314" i="16"/>
  <c r="F417" i="14"/>
  <c r="L417" i="14" s="1"/>
  <c r="N417" i="14" s="1"/>
  <c r="M688" i="24"/>
  <c r="C310" i="16"/>
  <c r="B408" i="14"/>
  <c r="C311" i="16"/>
  <c r="F408" i="14"/>
  <c r="L408" i="14" s="1"/>
  <c r="N408" i="14" s="1"/>
  <c r="C295" i="16"/>
  <c r="C294" i="16"/>
  <c r="C297" i="16"/>
  <c r="C296" i="16"/>
  <c r="B305" i="14"/>
  <c r="C307" i="16"/>
  <c r="C306" i="16"/>
  <c r="C309" i="16"/>
  <c r="C308" i="16"/>
  <c r="F305" i="14"/>
  <c r="L305" i="14" s="1"/>
  <c r="N305" i="14" s="1"/>
  <c r="C303" i="16"/>
  <c r="C302" i="16"/>
  <c r="C305" i="16"/>
  <c r="C304" i="16"/>
  <c r="B325" i="14"/>
  <c r="C299" i="16"/>
  <c r="C298" i="16"/>
  <c r="C301" i="16"/>
  <c r="C300" i="16"/>
  <c r="M714" i="24"/>
  <c r="F325" i="14"/>
  <c r="C118" i="16"/>
  <c r="C93" i="16"/>
  <c r="C69" i="16"/>
  <c r="C45" i="16"/>
  <c r="C29" i="16"/>
  <c r="C9" i="16"/>
  <c r="C245" i="16"/>
  <c r="C223" i="16"/>
  <c r="C184" i="16"/>
  <c r="C161" i="16"/>
  <c r="C141" i="16"/>
  <c r="C117" i="16"/>
  <c r="C96" i="16"/>
  <c r="C80" i="16"/>
  <c r="C64" i="16"/>
  <c r="C40" i="16"/>
  <c r="C16" i="16"/>
  <c r="C246" i="16"/>
  <c r="C158" i="16"/>
  <c r="C287" i="16"/>
  <c r="C271" i="16"/>
  <c r="C239" i="16"/>
  <c r="C217" i="16"/>
  <c r="C156" i="16"/>
  <c r="C112" i="16"/>
  <c r="C91" i="16"/>
  <c r="C75" i="16"/>
  <c r="C59" i="16"/>
  <c r="C35" i="16"/>
  <c r="C15" i="16"/>
  <c r="C224" i="16"/>
  <c r="C142" i="16"/>
  <c r="C290" i="16"/>
  <c r="C274" i="16"/>
  <c r="C192" i="16"/>
  <c r="C163" i="16"/>
  <c r="C135" i="16"/>
  <c r="C107" i="16"/>
  <c r="C90" i="16"/>
  <c r="C74" i="16"/>
  <c r="C54" i="16"/>
  <c r="C38" i="16"/>
  <c r="C22" i="16"/>
  <c r="M1096" i="24"/>
  <c r="M1042" i="24"/>
  <c r="F563" i="14"/>
  <c r="L563" i="14" s="1"/>
  <c r="N563" i="14" s="1"/>
  <c r="F764" i="14"/>
  <c r="L764" i="14" s="1"/>
  <c r="N764" i="14" s="1"/>
  <c r="B300" i="14"/>
  <c r="B99" i="17"/>
  <c r="M1048" i="24"/>
  <c r="B626" i="14"/>
  <c r="B196" i="14"/>
  <c r="G101" i="17"/>
  <c r="F541" i="14"/>
  <c r="B707" i="14"/>
  <c r="G142" i="17"/>
  <c r="G400" i="17"/>
  <c r="G310" i="17"/>
  <c r="G93" i="17"/>
  <c r="G224" i="17"/>
  <c r="F202" i="14"/>
  <c r="F278" i="14"/>
  <c r="L278" i="14" s="1"/>
  <c r="N278" i="14" s="1"/>
  <c r="F418" i="14"/>
  <c r="L418" i="14" s="1"/>
  <c r="N418" i="14" s="1"/>
  <c r="F688" i="14"/>
  <c r="L688" i="14" s="1"/>
  <c r="N688" i="14" s="1"/>
  <c r="B766" i="14"/>
  <c r="B619" i="14"/>
  <c r="B541" i="14"/>
  <c r="B925" i="14"/>
  <c r="M1060" i="24"/>
  <c r="M1099" i="24"/>
  <c r="G145" i="17"/>
  <c r="G95" i="17"/>
  <c r="F628" i="14"/>
  <c r="L628" i="14" s="1"/>
  <c r="N628" i="14" s="1"/>
  <c r="B200" i="14"/>
  <c r="B627" i="14"/>
  <c r="B407" i="14"/>
  <c r="B705" i="14"/>
  <c r="F647" i="14"/>
  <c r="L647" i="14" s="1"/>
  <c r="N647" i="14" s="1"/>
  <c r="F109" i="14"/>
  <c r="B617" i="14"/>
  <c r="B569" i="14"/>
  <c r="F907" i="14"/>
  <c r="L907" i="14" s="1"/>
  <c r="N907" i="14" s="1"/>
  <c r="M1067" i="24"/>
  <c r="B42" i="17"/>
  <c r="G311" i="17"/>
  <c r="G96" i="17"/>
  <c r="B158" i="17"/>
  <c r="F203" i="14"/>
  <c r="L203" i="14" s="1"/>
  <c r="N203" i="14" s="1"/>
  <c r="F877" i="14"/>
  <c r="N877" i="14" s="1"/>
  <c r="F419" i="14"/>
  <c r="L419" i="14" s="1"/>
  <c r="N419" i="14" s="1"/>
  <c r="F826" i="14"/>
  <c r="B769" i="14"/>
  <c r="B299" i="14"/>
  <c r="B621" i="14"/>
  <c r="B500" i="14"/>
  <c r="B924" i="14"/>
  <c r="M1057" i="24"/>
  <c r="M1094" i="24"/>
  <c r="B15" i="17"/>
  <c r="B311" i="17"/>
  <c r="G97" i="17"/>
  <c r="G321" i="17"/>
  <c r="B111" i="14"/>
  <c r="B199" i="14"/>
  <c r="B355" i="14"/>
  <c r="B518" i="14"/>
  <c r="B686" i="14"/>
  <c r="B142" i="17"/>
  <c r="B420" i="17"/>
  <c r="B144" i="17"/>
  <c r="B127" i="17"/>
  <c r="B628" i="14"/>
  <c r="F200" i="14"/>
  <c r="L200" i="14" s="1"/>
  <c r="N200" i="14" s="1"/>
  <c r="F300" i="14"/>
  <c r="L300" i="14" s="1"/>
  <c r="N300" i="14" s="1"/>
  <c r="F409" i="14"/>
  <c r="L409" i="14" s="1"/>
  <c r="N409" i="14" s="1"/>
  <c r="F706" i="14"/>
  <c r="L706" i="14" s="1"/>
  <c r="N706" i="14" s="1"/>
  <c r="B647" i="14"/>
  <c r="B109" i="14"/>
  <c r="F617" i="14"/>
  <c r="F569" i="14"/>
  <c r="L569" i="14" s="1"/>
  <c r="N569" i="14" s="1"/>
  <c r="B907" i="14"/>
  <c r="M1066" i="24"/>
  <c r="B310" i="17"/>
  <c r="B187" i="17"/>
  <c r="B206" i="14"/>
  <c r="B198" i="14"/>
  <c r="F354" i="14"/>
  <c r="L354" i="14" s="1"/>
  <c r="N354" i="14" s="1"/>
  <c r="B685" i="14"/>
  <c r="F763" i="14"/>
  <c r="L763" i="14" s="1"/>
  <c r="N763" i="14" s="1"/>
  <c r="F624" i="14"/>
  <c r="L624" i="14" s="1"/>
  <c r="N624" i="14" s="1"/>
  <c r="F562" i="14"/>
  <c r="F645" i="14"/>
  <c r="M1047" i="24"/>
  <c r="M1071" i="24"/>
  <c r="G143" i="17"/>
  <c r="B399" i="17"/>
  <c r="B179" i="17"/>
  <c r="F201" i="14"/>
  <c r="F444" i="14"/>
  <c r="L444" i="14" s="1"/>
  <c r="N444" i="14" s="1"/>
  <c r="F410" i="14"/>
  <c r="L410" i="14" s="1"/>
  <c r="N410" i="14" s="1"/>
  <c r="F707" i="14"/>
  <c r="L707" i="14" s="1"/>
  <c r="N707" i="14" s="1"/>
  <c r="B765" i="14"/>
  <c r="B459" i="14"/>
  <c r="F618" i="14"/>
  <c r="L618" i="14" s="1"/>
  <c r="N618" i="14" s="1"/>
  <c r="B540" i="14"/>
  <c r="B926" i="14"/>
  <c r="M1063" i="24"/>
  <c r="M1034" i="24"/>
  <c r="B400" i="17"/>
  <c r="G144" i="17"/>
  <c r="B93" i="17"/>
  <c r="B224" i="17"/>
  <c r="B205" i="14"/>
  <c r="F196" i="14"/>
  <c r="L196" i="14" s="1"/>
  <c r="N196" i="14" s="1"/>
  <c r="B420" i="14"/>
  <c r="B516" i="14"/>
  <c r="F804" i="14"/>
  <c r="L804" i="14" s="1"/>
  <c r="N804" i="14" s="1"/>
  <c r="F626" i="14"/>
  <c r="F623" i="14"/>
  <c r="L623" i="14" s="1"/>
  <c r="N623" i="14" s="1"/>
  <c r="F574" i="14"/>
  <c r="L574" i="14" s="1"/>
  <c r="N574" i="14" s="1"/>
  <c r="F646" i="14"/>
  <c r="M1050" i="24"/>
  <c r="M1085" i="24"/>
  <c r="C10" i="16"/>
  <c r="B423" i="17"/>
  <c r="B145" i="17"/>
  <c r="G99" i="17"/>
  <c r="G209" i="17"/>
  <c r="F198" i="14"/>
  <c r="L198" i="14" s="1"/>
  <c r="N198" i="14" s="1"/>
  <c r="F355" i="14"/>
  <c r="L355" i="14" s="1"/>
  <c r="N355" i="14" s="1"/>
  <c r="F518" i="14"/>
  <c r="L518" i="14" s="1"/>
  <c r="N518" i="14" s="1"/>
  <c r="F686" i="14"/>
  <c r="L686" i="14" s="1"/>
  <c r="N686" i="14" s="1"/>
  <c r="B763" i="14"/>
  <c r="B624" i="14"/>
  <c r="B562" i="14"/>
  <c r="B645" i="14"/>
  <c r="M1046" i="24"/>
  <c r="M1070" i="24"/>
  <c r="G100" i="17"/>
  <c r="G127" i="17"/>
  <c r="B204" i="14"/>
  <c r="F231" i="14"/>
  <c r="L231" i="14" s="1"/>
  <c r="N231" i="14" s="1"/>
  <c r="B419" i="14"/>
  <c r="B826" i="14"/>
  <c r="B804" i="14"/>
  <c r="B255" i="14"/>
  <c r="F622" i="14"/>
  <c r="L622" i="14" s="1"/>
  <c r="N622" i="14" s="1"/>
  <c r="F465" i="14"/>
  <c r="L465" i="14" s="1"/>
  <c r="N465" i="14" s="1"/>
  <c r="M1052" i="24"/>
  <c r="M1092" i="24"/>
  <c r="B40" i="17"/>
  <c r="B100" i="17"/>
  <c r="G187" i="17"/>
  <c r="F111" i="14"/>
  <c r="L111" i="14" s="1"/>
  <c r="N111" i="14" s="1"/>
  <c r="F199" i="14"/>
  <c r="L199" i="14" s="1"/>
  <c r="N199" i="14" s="1"/>
  <c r="F627" i="14"/>
  <c r="L627" i="14" s="1"/>
  <c r="N627" i="14" s="1"/>
  <c r="F407" i="14"/>
  <c r="L407" i="14" s="1"/>
  <c r="N407" i="14" s="1"/>
  <c r="F705" i="14"/>
  <c r="L705" i="14" s="1"/>
  <c r="N705" i="14" s="1"/>
  <c r="B764" i="14"/>
  <c r="B108" i="14"/>
  <c r="B563" i="14"/>
  <c r="B888" i="14"/>
  <c r="M1039" i="24"/>
  <c r="M1068" i="24"/>
  <c r="B421" i="17"/>
  <c r="B143" i="17"/>
  <c r="G399" i="17"/>
  <c r="G158" i="17"/>
  <c r="B203" i="14"/>
  <c r="B278" i="14"/>
  <c r="B418" i="14"/>
  <c r="B688" i="14"/>
  <c r="F769" i="14"/>
  <c r="L769" i="14" s="1"/>
  <c r="N769" i="14" s="1"/>
  <c r="F299" i="14"/>
  <c r="L299" i="14" s="1"/>
  <c r="N299" i="14" s="1"/>
  <c r="F621" i="14"/>
  <c r="L621" i="14" s="1"/>
  <c r="N621" i="14" s="1"/>
  <c r="F500" i="14"/>
  <c r="L500" i="14" s="1"/>
  <c r="N500" i="14" s="1"/>
  <c r="F924" i="14"/>
  <c r="L924" i="14" s="1"/>
  <c r="N924" i="14" s="1"/>
  <c r="G128" i="17"/>
  <c r="B95" i="17"/>
  <c r="B208" i="17"/>
  <c r="F204" i="14"/>
  <c r="L204" i="14" s="1"/>
  <c r="N204" i="14" s="1"/>
  <c r="B231" i="14"/>
  <c r="F420" i="14"/>
  <c r="L420" i="14" s="1"/>
  <c r="N420" i="14" s="1"/>
  <c r="F516" i="14"/>
  <c r="L516" i="14" s="1"/>
  <c r="N516" i="14" s="1"/>
  <c r="F803" i="14"/>
  <c r="L803" i="14" s="1"/>
  <c r="N803" i="14" s="1"/>
  <c r="F255" i="14"/>
  <c r="L255" i="14" s="1"/>
  <c r="N255" i="14" s="1"/>
  <c r="B622" i="14"/>
  <c r="B465" i="14"/>
  <c r="M1051" i="24"/>
  <c r="C285" i="16"/>
  <c r="C170" i="16"/>
  <c r="C110" i="16"/>
  <c r="C81" i="16"/>
  <c r="C65" i="16"/>
  <c r="C41" i="16"/>
  <c r="C21" i="16"/>
  <c r="C292" i="16"/>
  <c r="C240" i="16"/>
  <c r="C218" i="16"/>
  <c r="C179" i="16"/>
  <c r="C157" i="16"/>
  <c r="C133" i="16"/>
  <c r="C113" i="16"/>
  <c r="C92" i="16"/>
  <c r="C76" i="16"/>
  <c r="C60" i="16"/>
  <c r="C32" i="16"/>
  <c r="C12" i="16"/>
  <c r="C232" i="16"/>
  <c r="C138" i="16"/>
  <c r="C283" i="16"/>
  <c r="C254" i="16"/>
  <c r="C230" i="16"/>
  <c r="C132" i="16"/>
  <c r="C108" i="16"/>
  <c r="C87" i="16"/>
  <c r="C71" i="16"/>
  <c r="C51" i="16"/>
  <c r="C27" i="16"/>
  <c r="C11" i="16"/>
  <c r="C130" i="16"/>
  <c r="C286" i="16"/>
  <c r="C270" i="16"/>
  <c r="C229" i="16"/>
  <c r="C187" i="16"/>
  <c r="C151" i="16"/>
  <c r="C127" i="16"/>
  <c r="C102" i="16"/>
  <c r="C86" i="16"/>
  <c r="C70" i="16"/>
  <c r="C50" i="16"/>
  <c r="C34" i="16"/>
  <c r="C18" i="16"/>
  <c r="M1069" i="24"/>
  <c r="F926" i="14"/>
  <c r="L926" i="14" s="1"/>
  <c r="N926" i="14" s="1"/>
  <c r="B618" i="14"/>
  <c r="F765" i="14"/>
  <c r="L765" i="14" s="1"/>
  <c r="N765" i="14" s="1"/>
  <c r="B201" i="14"/>
  <c r="B128" i="17"/>
  <c r="B646" i="14"/>
  <c r="F685" i="14"/>
  <c r="M1101" i="24"/>
  <c r="B410" i="14"/>
  <c r="B96" i="17"/>
  <c r="C281" i="16"/>
  <c r="C150" i="16"/>
  <c r="C101" i="16"/>
  <c r="C77" i="16"/>
  <c r="C57" i="16"/>
  <c r="C37" i="16"/>
  <c r="C17" i="16"/>
  <c r="C288" i="16"/>
  <c r="C272" i="16"/>
  <c r="C236" i="16"/>
  <c r="C213" i="16"/>
  <c r="C173" i="16"/>
  <c r="C153" i="16"/>
  <c r="C129" i="16"/>
  <c r="C109" i="16"/>
  <c r="C88" i="16"/>
  <c r="C72" i="16"/>
  <c r="C56" i="16"/>
  <c r="C28" i="16"/>
  <c r="C293" i="16"/>
  <c r="C219" i="16"/>
  <c r="C89" i="16"/>
  <c r="C249" i="16"/>
  <c r="C226" i="16"/>
  <c r="C188" i="16"/>
  <c r="C164" i="16"/>
  <c r="C124" i="16"/>
  <c r="C103" i="16"/>
  <c r="C83" i="16"/>
  <c r="C67" i="16"/>
  <c r="C47" i="16"/>
  <c r="C23" i="16"/>
  <c r="C289" i="16"/>
  <c r="C166" i="16"/>
  <c r="C114" i="16"/>
  <c r="C282" i="16"/>
  <c r="C225" i="16"/>
  <c r="C175" i="16"/>
  <c r="C147" i="16"/>
  <c r="C123" i="16"/>
  <c r="C98" i="16"/>
  <c r="C82" i="16"/>
  <c r="C66" i="16"/>
  <c r="C46" i="16"/>
  <c r="C30" i="16"/>
  <c r="C14" i="16"/>
  <c r="M1065" i="24"/>
  <c r="F888" i="14"/>
  <c r="L888" i="14" s="1"/>
  <c r="N888" i="14" s="1"/>
  <c r="F108" i="14"/>
  <c r="L108" i="14" s="1"/>
  <c r="N108" i="14" s="1"/>
  <c r="B706" i="14"/>
  <c r="G179" i="17"/>
  <c r="B574" i="14"/>
  <c r="B354" i="14"/>
  <c r="B321" i="17"/>
  <c r="M1061" i="24"/>
  <c r="B444" i="14"/>
  <c r="B101" i="17"/>
  <c r="C237" i="16"/>
  <c r="C126" i="16"/>
  <c r="C97" i="16"/>
  <c r="C73" i="16"/>
  <c r="C53" i="16"/>
  <c r="C33" i="16"/>
  <c r="C13" i="16"/>
  <c r="C284" i="16"/>
  <c r="C250" i="16"/>
  <c r="C227" i="16"/>
  <c r="C195" i="16"/>
  <c r="C169" i="16"/>
  <c r="C145" i="16"/>
  <c r="C121" i="16"/>
  <c r="C105" i="16"/>
  <c r="C84" i="16"/>
  <c r="C68" i="16"/>
  <c r="C48" i="16"/>
  <c r="C24" i="16"/>
  <c r="C191" i="16"/>
  <c r="C291" i="16"/>
  <c r="C275" i="16"/>
  <c r="C244" i="16"/>
  <c r="C183" i="16"/>
  <c r="C99" i="16"/>
  <c r="C79" i="16"/>
  <c r="C63" i="16"/>
  <c r="C43" i="16"/>
  <c r="C19" i="16"/>
  <c r="C273" i="16"/>
  <c r="C154" i="16"/>
  <c r="C85" i="16"/>
  <c r="C278" i="16"/>
  <c r="C167" i="16"/>
  <c r="C139" i="16"/>
  <c r="C115" i="16"/>
  <c r="C94" i="16"/>
  <c r="C78" i="16"/>
  <c r="C62" i="16"/>
  <c r="C42" i="16"/>
  <c r="C26" i="16"/>
  <c r="M1059" i="24"/>
  <c r="F540" i="14"/>
  <c r="L540" i="14" s="1"/>
  <c r="N540" i="14" s="1"/>
  <c r="F459" i="14"/>
  <c r="N459" i="14" s="1"/>
  <c r="B409" i="14"/>
  <c r="B209" i="17"/>
  <c r="M1081" i="24"/>
  <c r="B623" i="14"/>
  <c r="B97" i="17"/>
  <c r="F925" i="14"/>
  <c r="L925" i="14" s="1"/>
  <c r="N925" i="14" s="1"/>
  <c r="F766" i="14"/>
  <c r="L766" i="14" s="1"/>
  <c r="N766" i="14" s="1"/>
  <c r="B202" i="14"/>
  <c r="M1091" i="24"/>
  <c r="G51" i="2"/>
  <c r="E51" i="2" s="1"/>
  <c r="L768" i="24"/>
  <c r="L752" i="24"/>
  <c r="L919" i="24"/>
  <c r="L771" i="24"/>
  <c r="L833" i="24"/>
  <c r="L809" i="24"/>
  <c r="L865" i="24"/>
  <c r="D207" i="25"/>
  <c r="D185" i="25"/>
  <c r="D192" i="25"/>
  <c r="D236" i="25"/>
  <c r="D233" i="25"/>
  <c r="L1034" i="24"/>
  <c r="L830" i="24"/>
  <c r="L848" i="24"/>
  <c r="L929" i="24"/>
  <c r="D226" i="25"/>
  <c r="D199" i="25"/>
  <c r="D211" i="25"/>
  <c r="D242" i="25"/>
  <c r="L1096" i="24"/>
  <c r="L1067" i="24"/>
  <c r="L814" i="24"/>
  <c r="L876" i="24"/>
  <c r="L943" i="24"/>
  <c r="D210" i="25"/>
  <c r="D217" i="25"/>
  <c r="D224" i="25"/>
  <c r="D255" i="25"/>
  <c r="D252" i="25"/>
  <c r="L1070" i="24"/>
  <c r="L1042" i="24"/>
  <c r="D194" i="25"/>
  <c r="D201" i="25"/>
  <c r="D208" i="25"/>
  <c r="D239" i="25"/>
  <c r="D249" i="25"/>
  <c r="L1085" i="24"/>
  <c r="L1063" i="24"/>
  <c r="L896" i="24"/>
  <c r="D195" i="25"/>
  <c r="D222" i="25"/>
  <c r="D206" i="25"/>
  <c r="D190" i="25"/>
  <c r="D183" i="25"/>
  <c r="D213" i="25"/>
  <c r="D197" i="25"/>
  <c r="D181" i="25"/>
  <c r="D203" i="25"/>
  <c r="D220" i="25"/>
  <c r="D204" i="25"/>
  <c r="D188" i="25"/>
  <c r="D256" i="25"/>
  <c r="D251" i="25"/>
  <c r="D235" i="25"/>
  <c r="D254" i="25"/>
  <c r="D238" i="25"/>
  <c r="D240" i="25"/>
  <c r="D245" i="25"/>
  <c r="D229" i="25"/>
  <c r="L1046" i="24"/>
  <c r="L1099" i="24"/>
  <c r="L1031" i="24"/>
  <c r="L1047" i="24"/>
  <c r="L1071" i="24"/>
  <c r="L1039" i="24"/>
  <c r="L1068" i="24"/>
  <c r="D187" i="25"/>
  <c r="D218" i="25"/>
  <c r="D202" i="25"/>
  <c r="D186" i="25"/>
  <c r="D225" i="25"/>
  <c r="D209" i="25"/>
  <c r="D193" i="25"/>
  <c r="D191" i="25"/>
  <c r="D216" i="25"/>
  <c r="D200" i="25"/>
  <c r="D184" i="25"/>
  <c r="D244" i="25"/>
  <c r="D247" i="25"/>
  <c r="D231" i="25"/>
  <c r="D250" i="25"/>
  <c r="D234" i="25"/>
  <c r="D228" i="25"/>
  <c r="D241" i="25"/>
  <c r="L1050" i="24"/>
  <c r="L1060" i="24"/>
  <c r="L1059" i="24"/>
  <c r="L1051" i="24"/>
  <c r="L1052" i="24"/>
  <c r="L1092" i="24"/>
  <c r="L1048" i="24"/>
  <c r="L1081" i="24"/>
  <c r="D219" i="25"/>
  <c r="D214" i="25"/>
  <c r="D198" i="25"/>
  <c r="D182" i="25"/>
  <c r="D215" i="25"/>
  <c r="D221" i="25"/>
  <c r="D205" i="25"/>
  <c r="D189" i="25"/>
  <c r="D223" i="25"/>
  <c r="D212" i="25"/>
  <c r="D196" i="25"/>
  <c r="D232" i="25"/>
  <c r="D243" i="25"/>
  <c r="D248" i="25"/>
  <c r="D246" i="25"/>
  <c r="D230" i="25"/>
  <c r="D253" i="25"/>
  <c r="D237" i="25"/>
  <c r="L1069" i="24"/>
  <c r="L1066" i="24"/>
  <c r="L1065" i="24"/>
  <c r="L1091" i="24"/>
  <c r="L1061" i="24"/>
  <c r="L1101" i="24"/>
  <c r="L1057" i="24"/>
  <c r="L1094" i="24"/>
  <c r="M631" i="24"/>
  <c r="M624" i="24"/>
  <c r="M728" i="24"/>
  <c r="M724" i="24"/>
  <c r="M720" i="24"/>
  <c r="M709" i="24"/>
  <c r="M702" i="24"/>
  <c r="M698" i="24"/>
  <c r="M685" i="24"/>
  <c r="M678" i="24"/>
  <c r="M673" i="24"/>
  <c r="M667" i="24"/>
  <c r="M656" i="24"/>
  <c r="M636" i="24"/>
  <c r="M652" i="24"/>
  <c r="M650" i="24"/>
  <c r="M659" i="24"/>
  <c r="M639" i="24"/>
  <c r="M660" i="24"/>
  <c r="M731" i="24"/>
  <c r="M727" i="24"/>
  <c r="M723" i="24"/>
  <c r="M715" i="24"/>
  <c r="M707" i="24"/>
  <c r="M701" i="24"/>
  <c r="M690" i="24"/>
  <c r="M684" i="24"/>
  <c r="M677" i="24"/>
  <c r="M672" i="24"/>
  <c r="M666" i="24"/>
  <c r="M655" i="24"/>
  <c r="M634" i="24"/>
  <c r="M663" i="24"/>
  <c r="M641" i="24"/>
  <c r="M657" i="24"/>
  <c r="M637" i="24"/>
  <c r="M642" i="24"/>
  <c r="M651" i="24"/>
  <c r="M730" i="24"/>
  <c r="M726" i="24"/>
  <c r="M722" i="24"/>
  <c r="M711" i="24"/>
  <c r="M705" i="24"/>
  <c r="M700" i="24"/>
  <c r="M689" i="24"/>
  <c r="M682" i="24"/>
  <c r="M676" i="24"/>
  <c r="M671" i="24"/>
  <c r="M665" i="24"/>
  <c r="M646" i="24"/>
  <c r="M643" i="24"/>
  <c r="M653" i="24"/>
  <c r="M630" i="24"/>
  <c r="M648" i="24"/>
  <c r="M626" i="24"/>
  <c r="M632" i="24"/>
  <c r="M640" i="24"/>
  <c r="M729" i="24"/>
  <c r="M725" i="24"/>
  <c r="M721" i="24"/>
  <c r="M710" i="24"/>
  <c r="M703" i="24"/>
  <c r="M699" i="24"/>
  <c r="M687" i="24"/>
  <c r="M679" i="24"/>
  <c r="M675" i="24"/>
  <c r="M669" i="24"/>
  <c r="M664" i="24"/>
  <c r="M645" i="24"/>
  <c r="M662" i="24"/>
  <c r="M661" i="24"/>
  <c r="M627" i="24"/>
  <c r="M647" i="24"/>
  <c r="M625" i="24"/>
  <c r="F107" i="14"/>
  <c r="L107" i="14" s="1"/>
  <c r="N107" i="14" s="1"/>
  <c r="E106" i="25"/>
  <c r="E140" i="25"/>
  <c r="E156" i="25"/>
  <c r="E164" i="25"/>
  <c r="E252" i="25"/>
  <c r="E244" i="25"/>
  <c r="E236" i="25"/>
  <c r="F256" i="25"/>
  <c r="G256" i="25" s="1"/>
  <c r="E102" i="25"/>
  <c r="E130" i="25"/>
  <c r="E144" i="25"/>
  <c r="E100" i="25"/>
  <c r="E109" i="25"/>
  <c r="E118" i="25"/>
  <c r="E128" i="25"/>
  <c r="E137" i="25"/>
  <c r="E146" i="25"/>
  <c r="E154" i="25"/>
  <c r="E162" i="25"/>
  <c r="E170" i="25"/>
  <c r="E251" i="25"/>
  <c r="E243" i="25"/>
  <c r="E235" i="25"/>
  <c r="E228" i="25"/>
  <c r="M150" i="24"/>
  <c r="E250" i="25"/>
  <c r="E242" i="25"/>
  <c r="E234" i="25"/>
  <c r="E134" i="25"/>
  <c r="E97" i="25"/>
  <c r="E105" i="25"/>
  <c r="E115" i="25"/>
  <c r="E123" i="25"/>
  <c r="E133" i="25"/>
  <c r="E143" i="25"/>
  <c r="E151" i="25"/>
  <c r="E159" i="25"/>
  <c r="E167" i="25"/>
  <c r="F228" i="25"/>
  <c r="G228" i="25" s="1"/>
  <c r="E98" i="25"/>
  <c r="E124" i="25"/>
  <c r="E249" i="25"/>
  <c r="E241" i="25"/>
  <c r="E233" i="25"/>
  <c r="E99" i="25"/>
  <c r="E108" i="25"/>
  <c r="E117" i="25"/>
  <c r="E127" i="25"/>
  <c r="E136" i="25"/>
  <c r="E145" i="25"/>
  <c r="E153" i="25"/>
  <c r="E161" i="25"/>
  <c r="E169" i="25"/>
  <c r="B107" i="14"/>
  <c r="E91" i="25"/>
  <c r="E160" i="25"/>
  <c r="E168" i="25"/>
  <c r="E256" i="25"/>
  <c r="E248" i="25"/>
  <c r="E240" i="25"/>
  <c r="E232" i="25"/>
  <c r="E116" i="25"/>
  <c r="E96" i="25"/>
  <c r="E104" i="25"/>
  <c r="E114" i="25"/>
  <c r="E122" i="25"/>
  <c r="E132" i="25"/>
  <c r="E142" i="25"/>
  <c r="E150" i="25"/>
  <c r="E158" i="25"/>
  <c r="E166" i="25"/>
  <c r="E255" i="25"/>
  <c r="E247" i="25"/>
  <c r="E239" i="25"/>
  <c r="E231" i="25"/>
  <c r="E152" i="25"/>
  <c r="E254" i="25"/>
  <c r="E246" i="25"/>
  <c r="E238" i="25"/>
  <c r="E230" i="25"/>
  <c r="F244" i="25"/>
  <c r="G244" i="25" s="1"/>
  <c r="E120" i="25"/>
  <c r="E148" i="25"/>
  <c r="E101" i="25"/>
  <c r="E110" i="25"/>
  <c r="E119" i="25"/>
  <c r="E129" i="25"/>
  <c r="E138" i="25"/>
  <c r="E147" i="25"/>
  <c r="E155" i="25"/>
  <c r="E163" i="25"/>
  <c r="E171" i="25"/>
  <c r="E112" i="25"/>
  <c r="E253" i="25"/>
  <c r="E245" i="25"/>
  <c r="E237" i="25"/>
  <c r="E229" i="25"/>
  <c r="E93" i="25"/>
  <c r="E103" i="25"/>
  <c r="E113" i="25"/>
  <c r="E121" i="25"/>
  <c r="E131" i="25"/>
  <c r="E141" i="25"/>
  <c r="E149" i="25"/>
  <c r="E157" i="25"/>
  <c r="E165" i="25"/>
  <c r="B893" i="14"/>
  <c r="F894" i="14"/>
  <c r="L894" i="14" s="1"/>
  <c r="B894" i="14"/>
  <c r="F893" i="14"/>
  <c r="F600" i="14"/>
  <c r="L600" i="14" s="1"/>
  <c r="N600" i="14" s="1"/>
  <c r="F599" i="14"/>
  <c r="F899" i="14"/>
  <c r="B899" i="14"/>
  <c r="B437" i="17"/>
  <c r="B600" i="14"/>
  <c r="B599" i="14"/>
  <c r="G437" i="17"/>
  <c r="B39" i="17"/>
  <c r="G156" i="17"/>
  <c r="B156" i="17"/>
  <c r="M618" i="24"/>
  <c r="M622" i="24"/>
  <c r="M619" i="24"/>
  <c r="M620" i="24"/>
  <c r="M621" i="24"/>
  <c r="C30" i="26"/>
  <c r="C33" i="26"/>
  <c r="C35" i="26"/>
  <c r="C29" i="26"/>
  <c r="C32" i="26"/>
  <c r="C36" i="26"/>
  <c r="D899" i="14"/>
  <c r="D894" i="14"/>
  <c r="D600" i="14"/>
  <c r="D893" i="14"/>
  <c r="D599" i="14"/>
  <c r="F32" i="5"/>
  <c r="J76" i="5"/>
  <c r="D150" i="20"/>
  <c r="D154" i="20" s="1"/>
  <c r="I33" i="7"/>
  <c r="J33" i="7" s="1"/>
  <c r="I72" i="15"/>
  <c r="I74" i="15" s="1"/>
  <c r="I76" i="15" s="1"/>
  <c r="I20" i="2" s="1"/>
  <c r="F30" i="20" s="1"/>
  <c r="A14" i="26"/>
  <c r="A17" i="26" s="1"/>
  <c r="C20" i="2"/>
  <c r="L912" i="24"/>
  <c r="L913" i="24"/>
  <c r="L1009" i="24"/>
  <c r="L959" i="24"/>
  <c r="L899" i="24"/>
  <c r="M1009" i="24"/>
  <c r="C17" i="26"/>
  <c r="C20" i="26"/>
  <c r="C27" i="26"/>
  <c r="F163" i="14"/>
  <c r="C9" i="26"/>
  <c r="C12" i="26"/>
  <c r="C23" i="26"/>
  <c r="C26" i="26"/>
  <c r="C5" i="26"/>
  <c r="C8" i="26"/>
  <c r="C15" i="26"/>
  <c r="C18" i="26"/>
  <c r="M23" i="24"/>
  <c r="C21" i="26"/>
  <c r="C24" i="26"/>
  <c r="C11" i="26"/>
  <c r="C14" i="26"/>
  <c r="B163" i="14"/>
  <c r="D17" i="20"/>
  <c r="D19" i="20" s="1"/>
  <c r="D21" i="20" s="1"/>
  <c r="J944" i="14"/>
  <c r="B36" i="21"/>
  <c r="M7" i="22" s="1"/>
  <c r="F19" i="7"/>
  <c r="F42" i="7" s="1"/>
  <c r="K28" i="21"/>
  <c r="K142" i="10"/>
  <c r="I241" i="15"/>
  <c r="I48" i="2" s="1"/>
  <c r="J231" i="15"/>
  <c r="M1000" i="24"/>
  <c r="G380" i="17"/>
  <c r="B396" i="17"/>
  <c r="M210" i="24"/>
  <c r="G396" i="17"/>
  <c r="M1004" i="24"/>
  <c r="C7" i="16"/>
  <c r="L975" i="24"/>
  <c r="L1030" i="24"/>
  <c r="L978" i="24"/>
  <c r="L1028" i="24"/>
  <c r="L1004" i="24"/>
  <c r="M293" i="24"/>
  <c r="M125" i="24"/>
  <c r="M322" i="24"/>
  <c r="M166" i="24"/>
  <c r="M555" i="24"/>
  <c r="M38" i="24"/>
  <c r="M81" i="24"/>
  <c r="M241" i="24"/>
  <c r="B230" i="14"/>
  <c r="M44" i="24"/>
  <c r="B419" i="17"/>
  <c r="M97" i="24"/>
  <c r="M141" i="24"/>
  <c r="M182" i="24"/>
  <c r="M273" i="24"/>
  <c r="M261" i="24"/>
  <c r="M354" i="24"/>
  <c r="M914" i="24"/>
  <c r="M49" i="24"/>
  <c r="M28" i="24"/>
  <c r="M195" i="24"/>
  <c r="M101" i="24"/>
  <c r="M145" i="24"/>
  <c r="M274" i="24"/>
  <c r="M280" i="24"/>
  <c r="M298" i="24"/>
  <c r="M446" i="24"/>
  <c r="M906" i="24"/>
  <c r="M54" i="24"/>
  <c r="M14" i="24"/>
  <c r="B372" i="17"/>
  <c r="M266" i="24"/>
  <c r="M117" i="24"/>
  <c r="M162" i="24"/>
  <c r="M202" i="24"/>
  <c r="M233" i="24"/>
  <c r="M316" i="24"/>
  <c r="M502" i="24"/>
  <c r="J257" i="15"/>
  <c r="I262" i="15"/>
  <c r="I51" i="2" s="1"/>
  <c r="M10" i="23"/>
  <c r="E39" i="21"/>
  <c r="L763" i="24"/>
  <c r="L799" i="24"/>
  <c r="L779" i="24"/>
  <c r="L818" i="24"/>
  <c r="L925" i="24"/>
  <c r="L845" i="24"/>
  <c r="L931" i="24"/>
  <c r="L961" i="24"/>
  <c r="L990" i="24"/>
  <c r="L979" i="24"/>
  <c r="M129" i="24"/>
  <c r="M245" i="24"/>
  <c r="M302" i="24"/>
  <c r="M335" i="24"/>
  <c r="M484" i="24"/>
  <c r="M757" i="24"/>
  <c r="M1003" i="24"/>
  <c r="L773" i="24"/>
  <c r="L760" i="24"/>
  <c r="L801" i="24"/>
  <c r="L815" i="24"/>
  <c r="L787" i="24"/>
  <c r="L798" i="24"/>
  <c r="L824" i="24"/>
  <c r="L784" i="24"/>
  <c r="L832" i="24"/>
  <c r="L860" i="24"/>
  <c r="L825" i="24"/>
  <c r="L849" i="24"/>
  <c r="L877" i="24"/>
  <c r="L937" i="24"/>
  <c r="L951" i="24"/>
  <c r="L963" i="24"/>
  <c r="L917" i="24"/>
  <c r="L994" i="24"/>
  <c r="L908" i="24"/>
  <c r="L991" i="24"/>
  <c r="L1012" i="24"/>
  <c r="L1010" i="24"/>
  <c r="L775" i="24"/>
  <c r="L813" i="24"/>
  <c r="L794" i="24"/>
  <c r="L776" i="24"/>
  <c r="L852" i="24"/>
  <c r="L880" i="24"/>
  <c r="L873" i="24"/>
  <c r="L947" i="24"/>
  <c r="L907" i="24"/>
  <c r="L900" i="24"/>
  <c r="L1006" i="24"/>
  <c r="L1005" i="24"/>
  <c r="M9" i="24"/>
  <c r="G388" i="17"/>
  <c r="M203" i="24"/>
  <c r="M85" i="24"/>
  <c r="M109" i="24"/>
  <c r="M149" i="24"/>
  <c r="M174" i="24"/>
  <c r="M283" i="24"/>
  <c r="M218" i="24"/>
  <c r="M225" i="24"/>
  <c r="M70" i="24"/>
  <c r="M65" i="24"/>
  <c r="M76" i="24"/>
  <c r="G361" i="17"/>
  <c r="K342" i="13" s="1"/>
  <c r="G414" i="17"/>
  <c r="M211" i="24"/>
  <c r="M93" i="24"/>
  <c r="M113" i="24"/>
  <c r="M133" i="24"/>
  <c r="M158" i="24"/>
  <c r="M178" i="24"/>
  <c r="M291" i="24"/>
  <c r="M259" i="24"/>
  <c r="M229" i="24"/>
  <c r="M249" i="24"/>
  <c r="M311" i="24"/>
  <c r="M343" i="24"/>
  <c r="M576" i="24"/>
  <c r="M849" i="24"/>
  <c r="L756" i="24"/>
  <c r="L762" i="24"/>
  <c r="L805" i="24"/>
  <c r="L822" i="24"/>
  <c r="L791" i="24"/>
  <c r="L802" i="24"/>
  <c r="L764" i="24"/>
  <c r="L792" i="24"/>
  <c r="L836" i="24"/>
  <c r="L868" i="24"/>
  <c r="L829" i="24"/>
  <c r="L857" i="24"/>
  <c r="L927" i="24"/>
  <c r="L939" i="24"/>
  <c r="L953" i="24"/>
  <c r="L895" i="24"/>
  <c r="L974" i="24"/>
  <c r="L884" i="24"/>
  <c r="L967" i="24"/>
  <c r="L995" i="24"/>
  <c r="L1020" i="24"/>
  <c r="D18" i="21"/>
  <c r="G10" i="22" s="1"/>
  <c r="C18" i="21"/>
  <c r="C40" i="21" s="1"/>
  <c r="M19" i="24"/>
  <c r="M33" i="24"/>
  <c r="M60" i="24"/>
  <c r="G347" i="17"/>
  <c r="G384" i="17"/>
  <c r="M187" i="24"/>
  <c r="M219" i="24"/>
  <c r="M89" i="24"/>
  <c r="M105" i="24"/>
  <c r="M121" i="24"/>
  <c r="M137" i="24"/>
  <c r="M154" i="24"/>
  <c r="M170" i="24"/>
  <c r="M186" i="24"/>
  <c r="M194" i="24"/>
  <c r="M264" i="24"/>
  <c r="M288" i="24"/>
  <c r="M237" i="24"/>
  <c r="M253" i="24"/>
  <c r="M306" i="24"/>
  <c r="M329" i="24"/>
  <c r="M439" i="24"/>
  <c r="M371" i="24"/>
  <c r="M803" i="24"/>
  <c r="M970" i="24"/>
  <c r="F225" i="14"/>
  <c r="L225" i="14" s="1"/>
  <c r="N225" i="14" s="1"/>
  <c r="F222" i="14"/>
  <c r="L222" i="14" s="1"/>
  <c r="N222" i="14" s="1"/>
  <c r="G42" i="7"/>
  <c r="M5" i="23"/>
  <c r="M9" i="23"/>
  <c r="H301" i="11"/>
  <c r="H24" i="4"/>
  <c r="F35" i="20"/>
  <c r="K90" i="8"/>
  <c r="K92" i="8" s="1"/>
  <c r="F150" i="20"/>
  <c r="F154" i="20" s="1"/>
  <c r="G18" i="21"/>
  <c r="G13" i="22" s="1"/>
  <c r="A4" i="11"/>
  <c r="G6" i="23"/>
  <c r="L1025" i="24"/>
  <c r="L1019" i="24"/>
  <c r="L999" i="24"/>
  <c r="L1016" i="24"/>
  <c r="L998" i="24"/>
  <c r="L987" i="24"/>
  <c r="L971" i="24"/>
  <c r="L904" i="24"/>
  <c r="L888" i="24"/>
  <c r="L986" i="24"/>
  <c r="L970" i="24"/>
  <c r="L903" i="24"/>
  <c r="L965" i="24"/>
  <c r="L957" i="24"/>
  <c r="L949" i="24"/>
  <c r="L941" i="24"/>
  <c r="L933" i="24"/>
  <c r="L887" i="24"/>
  <c r="L869" i="24"/>
  <c r="L853" i="24"/>
  <c r="L837" i="24"/>
  <c r="L821" i="24"/>
  <c r="L872" i="24"/>
  <c r="L856" i="24"/>
  <c r="L840" i="24"/>
  <c r="L923" i="24"/>
  <c r="L788" i="24"/>
  <c r="L772" i="24"/>
  <c r="L753" i="24"/>
  <c r="L810" i="24"/>
  <c r="A4" i="12"/>
  <c r="B39" i="21"/>
  <c r="N14" i="23"/>
  <c r="L758" i="24"/>
  <c r="L754" i="24"/>
  <c r="L797" i="24"/>
  <c r="L807" i="24"/>
  <c r="L817" i="24"/>
  <c r="L783" i="24"/>
  <c r="L806" i="24"/>
  <c r="L757" i="24"/>
  <c r="L780" i="24"/>
  <c r="L921" i="24"/>
  <c r="L844" i="24"/>
  <c r="L864" i="24"/>
  <c r="L885" i="24"/>
  <c r="L841" i="24"/>
  <c r="L861" i="24"/>
  <c r="L881" i="24"/>
  <c r="L935" i="24"/>
  <c r="L945" i="24"/>
  <c r="L955" i="24"/>
  <c r="L891" i="24"/>
  <c r="L911" i="24"/>
  <c r="L982" i="24"/>
  <c r="L892" i="24"/>
  <c r="L914" i="24"/>
  <c r="L983" i="24"/>
  <c r="L1001" i="24"/>
  <c r="L1024" i="24"/>
  <c r="L1015" i="24"/>
  <c r="D443" i="14"/>
  <c r="E4" i="19"/>
  <c r="G29" i="4"/>
  <c r="M324" i="24"/>
  <c r="B443" i="14"/>
  <c r="F443" i="14"/>
  <c r="L443" i="14" s="1"/>
  <c r="N443" i="14" s="1"/>
  <c r="C8" i="16"/>
  <c r="A12" i="16"/>
  <c r="I944" i="14"/>
  <c r="J138" i="10"/>
  <c r="J142" i="10" s="1"/>
  <c r="G241" i="15"/>
  <c r="G48" i="2" s="1"/>
  <c r="N297" i="17"/>
  <c r="N459" i="17"/>
  <c r="N458" i="17" s="1"/>
  <c r="D853" i="27"/>
  <c r="M16" i="24"/>
  <c r="M12" i="24"/>
  <c r="M59" i="24"/>
  <c r="E222" i="25"/>
  <c r="M67" i="24"/>
  <c r="E226" i="25"/>
  <c r="E206" i="25"/>
  <c r="E190" i="25"/>
  <c r="E174" i="25"/>
  <c r="M1029" i="24"/>
  <c r="M27" i="24"/>
  <c r="E218" i="25"/>
  <c r="E202" i="25"/>
  <c r="E186" i="25"/>
  <c r="E87" i="25"/>
  <c r="E212" i="25"/>
  <c r="E196" i="25"/>
  <c r="E180" i="25"/>
  <c r="E81" i="25"/>
  <c r="E210" i="25"/>
  <c r="E178" i="25"/>
  <c r="M1031" i="24"/>
  <c r="E220" i="25"/>
  <c r="E200" i="25"/>
  <c r="E176" i="25"/>
  <c r="M1011" i="24"/>
  <c r="E215" i="25"/>
  <c r="E183" i="25"/>
  <c r="E74" i="25"/>
  <c r="E56" i="25"/>
  <c r="E38" i="25"/>
  <c r="E22" i="25"/>
  <c r="E6" i="25"/>
  <c r="M964" i="24"/>
  <c r="M956" i="24"/>
  <c r="M948" i="24"/>
  <c r="M940" i="24"/>
  <c r="M932" i="24"/>
  <c r="M924" i="24"/>
  <c r="E221" i="25"/>
  <c r="E189" i="25"/>
  <c r="E77" i="25"/>
  <c r="E59" i="25"/>
  <c r="E41" i="25"/>
  <c r="E25" i="25"/>
  <c r="E9" i="25"/>
  <c r="M999" i="24"/>
  <c r="M994" i="24"/>
  <c r="E203" i="25"/>
  <c r="E88" i="25"/>
  <c r="E68" i="25"/>
  <c r="E50" i="25"/>
  <c r="E32" i="25"/>
  <c r="E16" i="25"/>
  <c r="M1024" i="24"/>
  <c r="M1006" i="24"/>
  <c r="M1001" i="24"/>
  <c r="M959" i="24"/>
  <c r="M951" i="24"/>
  <c r="M943" i="24"/>
  <c r="M935" i="24"/>
  <c r="M927" i="24"/>
  <c r="M919" i="24"/>
  <c r="E57" i="25"/>
  <c r="M1026" i="24"/>
  <c r="M988" i="24"/>
  <c r="M984" i="24"/>
  <c r="M980" i="24"/>
  <c r="M976" i="24"/>
  <c r="M972" i="24"/>
  <c r="M968" i="24"/>
  <c r="E177" i="25"/>
  <c r="E19" i="25"/>
  <c r="M995" i="24"/>
  <c r="E201" i="25"/>
  <c r="E31" i="25"/>
  <c r="M1012" i="24"/>
  <c r="E61" i="25"/>
  <c r="M1017" i="24"/>
  <c r="M916" i="24"/>
  <c r="M898" i="24"/>
  <c r="M829" i="24"/>
  <c r="M821" i="24"/>
  <c r="M814" i="24"/>
  <c r="M806" i="24"/>
  <c r="M798" i="24"/>
  <c r="M617" i="24"/>
  <c r="M613" i="24"/>
  <c r="M609" i="24"/>
  <c r="M574" i="24"/>
  <c r="M899" i="24"/>
  <c r="M789" i="24"/>
  <c r="M781" i="24"/>
  <c r="M773" i="24"/>
  <c r="M765" i="24"/>
  <c r="M754" i="24"/>
  <c r="M904" i="24"/>
  <c r="M885" i="24"/>
  <c r="M880" i="24"/>
  <c r="M876" i="24"/>
  <c r="M872" i="24"/>
  <c r="M35" i="24"/>
  <c r="E198" i="25"/>
  <c r="E216" i="25"/>
  <c r="E192" i="25"/>
  <c r="E89" i="25"/>
  <c r="E207" i="25"/>
  <c r="E175" i="25"/>
  <c r="E70" i="25"/>
  <c r="E52" i="25"/>
  <c r="E34" i="25"/>
  <c r="E18" i="25"/>
  <c r="M1021" i="24"/>
  <c r="M962" i="24"/>
  <c r="M954" i="24"/>
  <c r="M946" i="24"/>
  <c r="M938" i="24"/>
  <c r="M930" i="24"/>
  <c r="M922" i="24"/>
  <c r="E213" i="25"/>
  <c r="E181" i="25"/>
  <c r="E73" i="25"/>
  <c r="E55" i="25"/>
  <c r="E37" i="25"/>
  <c r="E21" i="25"/>
  <c r="E5" i="25"/>
  <c r="M998" i="24"/>
  <c r="M992" i="24"/>
  <c r="E195" i="25"/>
  <c r="E62" i="25"/>
  <c r="E44" i="25"/>
  <c r="E28" i="25"/>
  <c r="E12" i="25"/>
  <c r="M1010" i="24"/>
  <c r="M1005" i="24"/>
  <c r="M965" i="24"/>
  <c r="M957" i="24"/>
  <c r="M949" i="24"/>
  <c r="M941" i="24"/>
  <c r="M933" i="24"/>
  <c r="M925" i="24"/>
  <c r="E217" i="25"/>
  <c r="E39" i="25"/>
  <c r="M1018" i="24"/>
  <c r="M987" i="24"/>
  <c r="M983" i="24"/>
  <c r="M979" i="24"/>
  <c r="M975" i="24"/>
  <c r="M971" i="24"/>
  <c r="M967" i="24"/>
  <c r="E71" i="25"/>
  <c r="M1027" i="24"/>
  <c r="M991" i="24"/>
  <c r="E86" i="25"/>
  <c r="E15" i="25"/>
  <c r="E225" i="25"/>
  <c r="E43" i="25"/>
  <c r="M1013" i="24"/>
  <c r="M910" i="24"/>
  <c r="M894" i="24"/>
  <c r="M828" i="24"/>
  <c r="M820" i="24"/>
  <c r="M812" i="24"/>
  <c r="M804" i="24"/>
  <c r="M796" i="24"/>
  <c r="M616" i="24"/>
  <c r="M612" i="24"/>
  <c r="M608" i="24"/>
  <c r="M911" i="24"/>
  <c r="M895" i="24"/>
  <c r="M787" i="24"/>
  <c r="M779" i="24"/>
  <c r="M771" i="24"/>
  <c r="M763" i="24"/>
  <c r="M752" i="24"/>
  <c r="M900" i="24"/>
  <c r="M883" i="24"/>
  <c r="M879" i="24"/>
  <c r="M875" i="24"/>
  <c r="E214" i="25"/>
  <c r="E204" i="25"/>
  <c r="E223" i="25"/>
  <c r="E78" i="25"/>
  <c r="E42" i="25"/>
  <c r="E10" i="25"/>
  <c r="M958" i="24"/>
  <c r="M942" i="24"/>
  <c r="M926" i="24"/>
  <c r="E82" i="25"/>
  <c r="E46" i="25"/>
  <c r="E13" i="25"/>
  <c r="M996" i="24"/>
  <c r="E211" i="25"/>
  <c r="E72" i="25"/>
  <c r="E36" i="25"/>
  <c r="M1025" i="24"/>
  <c r="M1002" i="24"/>
  <c r="M953" i="24"/>
  <c r="M937" i="24"/>
  <c r="M921" i="24"/>
  <c r="E7" i="25"/>
  <c r="M985" i="24"/>
  <c r="M977" i="24"/>
  <c r="M969" i="24"/>
  <c r="E35" i="25"/>
  <c r="M1016" i="24"/>
  <c r="E11" i="25"/>
  <c r="M902" i="24"/>
  <c r="M824" i="24"/>
  <c r="M808" i="24"/>
  <c r="M761" i="24"/>
  <c r="M610" i="24"/>
  <c r="M903" i="24"/>
  <c r="M783" i="24"/>
  <c r="M767" i="24"/>
  <c r="M908" i="24"/>
  <c r="M881" i="24"/>
  <c r="M873" i="24"/>
  <c r="M868" i="24"/>
  <c r="M864" i="24"/>
  <c r="M860" i="24"/>
  <c r="M856" i="24"/>
  <c r="M852" i="24"/>
  <c r="M848" i="24"/>
  <c r="M844" i="24"/>
  <c r="M840" i="24"/>
  <c r="M836" i="24"/>
  <c r="M832" i="24"/>
  <c r="M826" i="24"/>
  <c r="M817" i="24"/>
  <c r="M809" i="24"/>
  <c r="M801" i="24"/>
  <c r="M793" i="24"/>
  <c r="M901" i="24"/>
  <c r="M887" i="24"/>
  <c r="M790" i="24"/>
  <c r="M782" i="24"/>
  <c r="M774" i="24"/>
  <c r="M766" i="24"/>
  <c r="M755" i="24"/>
  <c r="M604" i="24"/>
  <c r="M596" i="24"/>
  <c r="M588" i="24"/>
  <c r="M580" i="24"/>
  <c r="M571" i="24"/>
  <c r="M562" i="24"/>
  <c r="M558" i="24"/>
  <c r="M554" i="24"/>
  <c r="M550" i="24"/>
  <c r="M546" i="24"/>
  <c r="M542" i="24"/>
  <c r="M538" i="24"/>
  <c r="M513" i="24"/>
  <c r="M509" i="24"/>
  <c r="M505" i="24"/>
  <c r="M474" i="24"/>
  <c r="M470" i="24"/>
  <c r="M466" i="24"/>
  <c r="M462" i="24"/>
  <c r="M386" i="24"/>
  <c r="M382" i="24"/>
  <c r="M378" i="24"/>
  <c r="M374" i="24"/>
  <c r="M370" i="24"/>
  <c r="M605" i="24"/>
  <c r="M597" i="24"/>
  <c r="M589" i="24"/>
  <c r="M581" i="24"/>
  <c r="M531" i="24"/>
  <c r="M527" i="24"/>
  <c r="M523" i="24"/>
  <c r="M568" i="24"/>
  <c r="M496" i="24"/>
  <c r="M452" i="24"/>
  <c r="M436" i="24"/>
  <c r="M420" i="24"/>
  <c r="M404" i="24"/>
  <c r="M532" i="24"/>
  <c r="M491" i="24"/>
  <c r="M482" i="24"/>
  <c r="M457" i="24"/>
  <c r="M441" i="24"/>
  <c r="M425" i="24"/>
  <c r="M409" i="24"/>
  <c r="M579" i="24"/>
  <c r="M498" i="24"/>
  <c r="M458" i="24"/>
  <c r="M442" i="24"/>
  <c r="M426" i="24"/>
  <c r="M410" i="24"/>
  <c r="M394" i="24"/>
  <c r="M516" i="24"/>
  <c r="M489" i="24"/>
  <c r="M480" i="24"/>
  <c r="M451" i="24"/>
  <c r="M435" i="24"/>
  <c r="M419" i="24"/>
  <c r="M403" i="24"/>
  <c r="M388" i="24"/>
  <c r="M392" i="24"/>
  <c r="M365" i="24"/>
  <c r="M361" i="24"/>
  <c r="M357" i="24"/>
  <c r="M47" i="24"/>
  <c r="E194" i="25"/>
  <c r="E188" i="25"/>
  <c r="E199" i="25"/>
  <c r="E64" i="25"/>
  <c r="E30" i="25"/>
  <c r="M1020" i="24"/>
  <c r="M952" i="24"/>
  <c r="M936" i="24"/>
  <c r="M920" i="24"/>
  <c r="E205" i="25"/>
  <c r="E69" i="25"/>
  <c r="E33" i="25"/>
  <c r="M1023" i="24"/>
  <c r="M990" i="24"/>
  <c r="E187" i="25"/>
  <c r="E58" i="25"/>
  <c r="E24" i="25"/>
  <c r="M1008" i="24"/>
  <c r="M963" i="24"/>
  <c r="M947" i="24"/>
  <c r="M931" i="24"/>
  <c r="E185" i="25"/>
  <c r="M1014" i="24"/>
  <c r="M982" i="24"/>
  <c r="M974" i="24"/>
  <c r="M1019" i="24"/>
  <c r="E65" i="25"/>
  <c r="E193" i="25"/>
  <c r="M993" i="24"/>
  <c r="M890" i="24"/>
  <c r="M818" i="24"/>
  <c r="M802" i="24"/>
  <c r="M615" i="24"/>
  <c r="M607" i="24"/>
  <c r="M891" i="24"/>
  <c r="M777" i="24"/>
  <c r="M758" i="24"/>
  <c r="M896" i="24"/>
  <c r="M878" i="24"/>
  <c r="M871" i="24"/>
  <c r="M867" i="24"/>
  <c r="M863" i="24"/>
  <c r="M859" i="24"/>
  <c r="M855" i="24"/>
  <c r="M851" i="24"/>
  <c r="M847" i="24"/>
  <c r="M843" i="24"/>
  <c r="M839" i="24"/>
  <c r="M835" i="24"/>
  <c r="M831" i="24"/>
  <c r="M823" i="24"/>
  <c r="M815" i="24"/>
  <c r="M807" i="24"/>
  <c r="M799" i="24"/>
  <c r="M915" i="24"/>
  <c r="M897" i="24"/>
  <c r="M886" i="24"/>
  <c r="M788" i="24"/>
  <c r="M780" i="24"/>
  <c r="M772" i="24"/>
  <c r="M764" i="24"/>
  <c r="M753" i="24"/>
  <c r="M602" i="24"/>
  <c r="M594" i="24"/>
  <c r="M586" i="24"/>
  <c r="M578" i="24"/>
  <c r="M567" i="24"/>
  <c r="M561" i="24"/>
  <c r="M557" i="24"/>
  <c r="M553" i="24"/>
  <c r="M549" i="24"/>
  <c r="M545" i="24"/>
  <c r="M541" i="24"/>
  <c r="M537" i="24"/>
  <c r="M512" i="24"/>
  <c r="M508" i="24"/>
  <c r="M504" i="24"/>
  <c r="M473" i="24"/>
  <c r="M469" i="24"/>
  <c r="M465" i="24"/>
  <c r="M461" i="24"/>
  <c r="M385" i="24"/>
  <c r="M381" i="24"/>
  <c r="M377" i="24"/>
  <c r="M373" i="24"/>
  <c r="M369" i="24"/>
  <c r="M603" i="24"/>
  <c r="M595" i="24"/>
  <c r="M587" i="24"/>
  <c r="M573" i="24"/>
  <c r="M530" i="24"/>
  <c r="M526" i="24"/>
  <c r="M522" i="24"/>
  <c r="M533" i="24"/>
  <c r="M492" i="24"/>
  <c r="M448" i="24"/>
  <c r="M432" i="24"/>
  <c r="M416" i="24"/>
  <c r="M400" i="24"/>
  <c r="M518" i="24"/>
  <c r="M488" i="24"/>
  <c r="M481" i="24"/>
  <c r="M453" i="24"/>
  <c r="M437" i="24"/>
  <c r="M421" i="24"/>
  <c r="M405" i="24"/>
  <c r="M535" i="24"/>
  <c r="M494" i="24"/>
  <c r="M454" i="24"/>
  <c r="M438" i="24"/>
  <c r="M422" i="24"/>
  <c r="M406" i="24"/>
  <c r="M572" i="24"/>
  <c r="M501" i="24"/>
  <c r="M487" i="24"/>
  <c r="M479" i="24"/>
  <c r="M447" i="24"/>
  <c r="M431" i="24"/>
  <c r="M415" i="24"/>
  <c r="M399" i="24"/>
  <c r="M389" i="24"/>
  <c r="M390" i="24"/>
  <c r="M364" i="24"/>
  <c r="M360" i="24"/>
  <c r="M356" i="24"/>
  <c r="M352" i="24"/>
  <c r="M348" i="24"/>
  <c r="M344" i="24"/>
  <c r="M340" i="24"/>
  <c r="M336" i="24"/>
  <c r="M332" i="24"/>
  <c r="M328" i="24"/>
  <c r="M323" i="24"/>
  <c r="M318" i="24"/>
  <c r="M314" i="24"/>
  <c r="M310" i="24"/>
  <c r="E84" i="25"/>
  <c r="E83" i="25"/>
  <c r="E14" i="25"/>
  <c r="M944" i="24"/>
  <c r="E51" i="25"/>
  <c r="M997" i="24"/>
  <c r="E76" i="25"/>
  <c r="E8" i="25"/>
  <c r="M955" i="24"/>
  <c r="M923" i="24"/>
  <c r="E23" i="25"/>
  <c r="M978" i="24"/>
  <c r="M1028" i="24"/>
  <c r="E27" i="25"/>
  <c r="M825" i="24"/>
  <c r="M794" i="24"/>
  <c r="M907" i="24"/>
  <c r="M769" i="24"/>
  <c r="M882" i="24"/>
  <c r="M869" i="24"/>
  <c r="M861" i="24"/>
  <c r="M853" i="24"/>
  <c r="M845" i="24"/>
  <c r="M837" i="24"/>
  <c r="M827" i="24"/>
  <c r="M811" i="24"/>
  <c r="M795" i="24"/>
  <c r="M889" i="24"/>
  <c r="M784" i="24"/>
  <c r="M768" i="24"/>
  <c r="M606" i="24"/>
  <c r="M590" i="24"/>
  <c r="M570" i="24"/>
  <c r="M559" i="24"/>
  <c r="M551" i="24"/>
  <c r="M543" i="24"/>
  <c r="M515" i="24"/>
  <c r="M506" i="24"/>
  <c r="M471" i="24"/>
  <c r="M463" i="24"/>
  <c r="M383" i="24"/>
  <c r="M375" i="24"/>
  <c r="M762" i="24"/>
  <c r="M591" i="24"/>
  <c r="M566" i="24"/>
  <c r="M524" i="24"/>
  <c r="M500" i="24"/>
  <c r="M440" i="24"/>
  <c r="M408" i="24"/>
  <c r="M495" i="24"/>
  <c r="M459" i="24"/>
  <c r="M429" i="24"/>
  <c r="M397" i="24"/>
  <c r="M475" i="24"/>
  <c r="M430" i="24"/>
  <c r="M398" i="24"/>
  <c r="M493" i="24"/>
  <c r="M455" i="24"/>
  <c r="M423" i="24"/>
  <c r="M391" i="24"/>
  <c r="M366" i="24"/>
  <c r="M358" i="24"/>
  <c r="M351" i="24"/>
  <c r="M346" i="24"/>
  <c r="M341" i="24"/>
  <c r="E182" i="25"/>
  <c r="E224" i="25"/>
  <c r="M1030" i="24"/>
  <c r="E60" i="25"/>
  <c r="M966" i="24"/>
  <c r="M934" i="24"/>
  <c r="E197" i="25"/>
  <c r="E29" i="25"/>
  <c r="C6" i="26"/>
  <c r="E54" i="25"/>
  <c r="M1007" i="24"/>
  <c r="M945" i="24"/>
  <c r="M989" i="24"/>
  <c r="M973" i="24"/>
  <c r="E209" i="25"/>
  <c r="M917" i="24"/>
  <c r="M816" i="24"/>
  <c r="M614" i="24"/>
  <c r="M791" i="24"/>
  <c r="M756" i="24"/>
  <c r="M877" i="24"/>
  <c r="M866" i="24"/>
  <c r="M858" i="24"/>
  <c r="M850" i="24"/>
  <c r="M842" i="24"/>
  <c r="M834" i="24"/>
  <c r="M822" i="24"/>
  <c r="M805" i="24"/>
  <c r="M909" i="24"/>
  <c r="M884" i="24"/>
  <c r="M778" i="24"/>
  <c r="M759" i="24"/>
  <c r="M600" i="24"/>
  <c r="M584" i="24"/>
  <c r="M564" i="24"/>
  <c r="M556" i="24"/>
  <c r="M548" i="24"/>
  <c r="M540" i="24"/>
  <c r="M511" i="24"/>
  <c r="M503" i="24"/>
  <c r="M468" i="24"/>
  <c r="M460" i="24"/>
  <c r="M380" i="24"/>
  <c r="M372" i="24"/>
  <c r="M601" i="24"/>
  <c r="M585" i="24"/>
  <c r="M529" i="24"/>
  <c r="M514" i="24"/>
  <c r="M477" i="24"/>
  <c r="M428" i="24"/>
  <c r="M396" i="24"/>
  <c r="M486" i="24"/>
  <c r="M449" i="24"/>
  <c r="M417" i="24"/>
  <c r="M521" i="24"/>
  <c r="M450" i="24"/>
  <c r="M418" i="24"/>
  <c r="M534" i="24"/>
  <c r="M485" i="24"/>
  <c r="M443" i="24"/>
  <c r="M411" i="24"/>
  <c r="M393" i="24"/>
  <c r="M363" i="24"/>
  <c r="M355" i="24"/>
  <c r="M350" i="24"/>
  <c r="M345" i="24"/>
  <c r="M339" i="24"/>
  <c r="M334" i="24"/>
  <c r="E184" i="25"/>
  <c r="E191" i="25"/>
  <c r="E26" i="25"/>
  <c r="M950" i="24"/>
  <c r="M918" i="24"/>
  <c r="E63" i="25"/>
  <c r="M1022" i="24"/>
  <c r="E179" i="25"/>
  <c r="E20" i="25"/>
  <c r="M961" i="24"/>
  <c r="M929" i="24"/>
  <c r="E75" i="25"/>
  <c r="M981" i="24"/>
  <c r="M1015" i="24"/>
  <c r="E49" i="25"/>
  <c r="E79" i="25"/>
  <c r="M888" i="24"/>
  <c r="M800" i="24"/>
  <c r="M575" i="24"/>
  <c r="M775" i="24"/>
  <c r="M892" i="24"/>
  <c r="M870" i="24"/>
  <c r="M862" i="24"/>
  <c r="M854" i="24"/>
  <c r="M846" i="24"/>
  <c r="M838" i="24"/>
  <c r="M830" i="24"/>
  <c r="M813" i="24"/>
  <c r="M797" i="24"/>
  <c r="M893" i="24"/>
  <c r="M786" i="24"/>
  <c r="M770" i="24"/>
  <c r="M760" i="24"/>
  <c r="M592" i="24"/>
  <c r="M577" i="24"/>
  <c r="M560" i="24"/>
  <c r="M552" i="24"/>
  <c r="M544" i="24"/>
  <c r="M536" i="24"/>
  <c r="M507" i="24"/>
  <c r="M472" i="24"/>
  <c r="M464" i="24"/>
  <c r="M384" i="24"/>
  <c r="M376" i="24"/>
  <c r="M368" i="24"/>
  <c r="M593" i="24"/>
  <c r="M569" i="24"/>
  <c r="M525" i="24"/>
  <c r="M519" i="24"/>
  <c r="M444" i="24"/>
  <c r="M412" i="24"/>
  <c r="M499" i="24"/>
  <c r="M478" i="24"/>
  <c r="M433" i="24"/>
  <c r="M401" i="24"/>
  <c r="M490" i="24"/>
  <c r="M434" i="24"/>
  <c r="M402" i="24"/>
  <c r="M497" i="24"/>
  <c r="M476" i="24"/>
  <c r="M427" i="24"/>
  <c r="M395" i="24"/>
  <c r="M367" i="24"/>
  <c r="M359" i="24"/>
  <c r="M74" i="24"/>
  <c r="M58" i="24"/>
  <c r="M42" i="24"/>
  <c r="M26" i="24"/>
  <c r="M7" i="24"/>
  <c r="M69" i="24"/>
  <c r="M53" i="24"/>
  <c r="M37" i="24"/>
  <c r="M18" i="24"/>
  <c r="M64" i="24"/>
  <c r="M48" i="24"/>
  <c r="M32" i="24"/>
  <c r="M13" i="24"/>
  <c r="G346" i="17"/>
  <c r="G360" i="17"/>
  <c r="B371" i="17"/>
  <c r="G379" i="17"/>
  <c r="K229" i="13" s="1"/>
  <c r="G383" i="17"/>
  <c r="G387" i="17"/>
  <c r="G395" i="17"/>
  <c r="B418" i="17"/>
  <c r="B452" i="17"/>
  <c r="M193" i="24"/>
  <c r="M201" i="24"/>
  <c r="M209" i="24"/>
  <c r="M217" i="24"/>
  <c r="M262" i="24"/>
  <c r="M80" i="24"/>
  <c r="M84" i="24"/>
  <c r="M88" i="24"/>
  <c r="M92" i="24"/>
  <c r="M96" i="24"/>
  <c r="M100" i="24"/>
  <c r="M104" i="24"/>
  <c r="M108" i="24"/>
  <c r="M112" i="24"/>
  <c r="M116" i="24"/>
  <c r="M120" i="24"/>
  <c r="M124" i="24"/>
  <c r="M128" i="24"/>
  <c r="M132" i="24"/>
  <c r="M136" i="24"/>
  <c r="M140" i="24"/>
  <c r="M144" i="24"/>
  <c r="M148" i="24"/>
  <c r="M153" i="24"/>
  <c r="M157" i="24"/>
  <c r="M161" i="24"/>
  <c r="M165" i="24"/>
  <c r="M169" i="24"/>
  <c r="M173" i="24"/>
  <c r="M177" i="24"/>
  <c r="M181" i="24"/>
  <c r="M185" i="24"/>
  <c r="M272" i="24"/>
  <c r="M281" i="24"/>
  <c r="M289" i="24"/>
  <c r="M192" i="24"/>
  <c r="M200" i="24"/>
  <c r="M208" i="24"/>
  <c r="M216" i="24"/>
  <c r="M260" i="24"/>
  <c r="M255" i="24"/>
  <c r="M271" i="24"/>
  <c r="M278" i="24"/>
  <c r="M286" i="24"/>
  <c r="M224" i="24"/>
  <c r="M228" i="24"/>
  <c r="M232" i="24"/>
  <c r="M236" i="24"/>
  <c r="M240" i="24"/>
  <c r="M244" i="24"/>
  <c r="M248" i="24"/>
  <c r="M252" i="24"/>
  <c r="M258" i="24"/>
  <c r="M297" i="24"/>
  <c r="M301" i="24"/>
  <c r="M305" i="24"/>
  <c r="M309" i="24"/>
  <c r="M315" i="24"/>
  <c r="M321" i="24"/>
  <c r="M327" i="24"/>
  <c r="M333" i="24"/>
  <c r="M342" i="24"/>
  <c r="M353" i="24"/>
  <c r="M407" i="24"/>
  <c r="M414" i="24"/>
  <c r="M445" i="24"/>
  <c r="M456" i="24"/>
  <c r="M599" i="24"/>
  <c r="M467" i="24"/>
  <c r="M547" i="24"/>
  <c r="M598" i="24"/>
  <c r="M905" i="24"/>
  <c r="M841" i="24"/>
  <c r="M874" i="24"/>
  <c r="M810" i="24"/>
  <c r="E53" i="25"/>
  <c r="M939" i="24"/>
  <c r="E48" i="25"/>
  <c r="M66" i="24"/>
  <c r="M50" i="24"/>
  <c r="M34" i="24"/>
  <c r="M15" i="24"/>
  <c r="M77" i="24"/>
  <c r="M61" i="24"/>
  <c r="M45" i="24"/>
  <c r="M29" i="24"/>
  <c r="M10" i="24"/>
  <c r="M72" i="24"/>
  <c r="M56" i="24"/>
  <c r="M40" i="24"/>
  <c r="M24" i="24"/>
  <c r="M5" i="24"/>
  <c r="G355" i="17"/>
  <c r="G362" i="17"/>
  <c r="B373" i="17"/>
  <c r="G381" i="17"/>
  <c r="G385" i="17"/>
  <c r="B391" i="17"/>
  <c r="G415" i="17"/>
  <c r="B450" i="17"/>
  <c r="M189" i="24"/>
  <c r="M197" i="24"/>
  <c r="M205" i="24"/>
  <c r="M213" i="24"/>
  <c r="M221" i="24"/>
  <c r="M269" i="24"/>
  <c r="M82" i="24"/>
  <c r="M86" i="24"/>
  <c r="M90" i="24"/>
  <c r="M94" i="24"/>
  <c r="M98" i="24"/>
  <c r="M102" i="24"/>
  <c r="M106" i="24"/>
  <c r="M110" i="24"/>
  <c r="M114" i="24"/>
  <c r="M118" i="24"/>
  <c r="M122" i="24"/>
  <c r="M126" i="24"/>
  <c r="M130" i="24"/>
  <c r="M134" i="24"/>
  <c r="M138" i="24"/>
  <c r="M142" i="24"/>
  <c r="M146" i="24"/>
  <c r="M151" i="24"/>
  <c r="M155" i="24"/>
  <c r="M159" i="24"/>
  <c r="M163" i="24"/>
  <c r="M167" i="24"/>
  <c r="M171" i="24"/>
  <c r="M175" i="24"/>
  <c r="M179" i="24"/>
  <c r="M183" i="24"/>
  <c r="M257" i="24"/>
  <c r="M277" i="24"/>
  <c r="M285" i="24"/>
  <c r="M188" i="24"/>
  <c r="M196" i="24"/>
  <c r="M204" i="24"/>
  <c r="M212" i="24"/>
  <c r="M220" i="24"/>
  <c r="M268" i="24"/>
  <c r="M263" i="24"/>
  <c r="M275" i="24"/>
  <c r="M282" i="24"/>
  <c r="M290" i="24"/>
  <c r="M226" i="24"/>
  <c r="M230" i="24"/>
  <c r="M234" i="24"/>
  <c r="M238" i="24"/>
  <c r="M242" i="24"/>
  <c r="M246" i="24"/>
  <c r="M250" i="24"/>
  <c r="M254" i="24"/>
  <c r="M295" i="24"/>
  <c r="M299" i="24"/>
  <c r="M303" i="24"/>
  <c r="M307" i="24"/>
  <c r="M312" i="24"/>
  <c r="M317" i="24"/>
  <c r="M325" i="24"/>
  <c r="M330" i="24"/>
  <c r="M337" i="24"/>
  <c r="M347" i="24"/>
  <c r="M362" i="24"/>
  <c r="M483" i="24"/>
  <c r="M517" i="24"/>
  <c r="M565" i="24"/>
  <c r="M528" i="24"/>
  <c r="M379" i="24"/>
  <c r="M510" i="24"/>
  <c r="M563" i="24"/>
  <c r="M776" i="24"/>
  <c r="M819" i="24"/>
  <c r="M857" i="24"/>
  <c r="M785" i="24"/>
  <c r="M986" i="24"/>
  <c r="E40" i="25"/>
  <c r="E17" i="25"/>
  <c r="M928" i="24"/>
  <c r="E208" i="25"/>
  <c r="E80" i="25"/>
  <c r="M78" i="24"/>
  <c r="M62" i="24"/>
  <c r="M46" i="24"/>
  <c r="M30" i="24"/>
  <c r="M11" i="24"/>
  <c r="M73" i="24"/>
  <c r="M57" i="24"/>
  <c r="M41" i="24"/>
  <c r="M25" i="24"/>
  <c r="M6" i="24"/>
  <c r="M68" i="24"/>
  <c r="M52" i="24"/>
  <c r="M36" i="24"/>
  <c r="M17" i="24"/>
  <c r="G345" i="17"/>
  <c r="G356" i="17"/>
  <c r="B370" i="17"/>
  <c r="G378" i="17"/>
  <c r="G382" i="17"/>
  <c r="G100" i="18" s="1"/>
  <c r="H24" i="5" s="1"/>
  <c r="F10" i="20" s="1"/>
  <c r="G386" i="17"/>
  <c r="G394" i="17"/>
  <c r="B417" i="17"/>
  <c r="B451" i="17"/>
  <c r="M191" i="24"/>
  <c r="M199" i="24"/>
  <c r="M207" i="24"/>
  <c r="M215" i="24"/>
  <c r="M223" i="24"/>
  <c r="M294" i="24"/>
  <c r="M83" i="24"/>
  <c r="M87" i="24"/>
  <c r="M91" i="24"/>
  <c r="M95" i="24"/>
  <c r="M99" i="24"/>
  <c r="M103" i="24"/>
  <c r="M107" i="24"/>
  <c r="M111" i="24"/>
  <c r="M115" i="24"/>
  <c r="M119" i="24"/>
  <c r="M123" i="24"/>
  <c r="M127" i="24"/>
  <c r="M131" i="24"/>
  <c r="M135" i="24"/>
  <c r="M139" i="24"/>
  <c r="M143" i="24"/>
  <c r="M147" i="24"/>
  <c r="M152" i="24"/>
  <c r="M156" i="24"/>
  <c r="M160" i="24"/>
  <c r="M164" i="24"/>
  <c r="M168" i="24"/>
  <c r="M172" i="24"/>
  <c r="M176" i="24"/>
  <c r="M180" i="24"/>
  <c r="M184" i="24"/>
  <c r="M265" i="24"/>
  <c r="M279" i="24"/>
  <c r="M287" i="24"/>
  <c r="M190" i="24"/>
  <c r="M198" i="24"/>
  <c r="M206" i="24"/>
  <c r="M214" i="24"/>
  <c r="M222" i="24"/>
  <c r="M270" i="24"/>
  <c r="M267" i="24"/>
  <c r="M276" i="24"/>
  <c r="M284" i="24"/>
  <c r="M292" i="24"/>
  <c r="M227" i="24"/>
  <c r="M231" i="24"/>
  <c r="M235" i="24"/>
  <c r="M239" i="24"/>
  <c r="M243" i="24"/>
  <c r="M247" i="24"/>
  <c r="M251" i="24"/>
  <c r="M256" i="24"/>
  <c r="M296" i="24"/>
  <c r="M300" i="24"/>
  <c r="M304" i="24"/>
  <c r="M308" i="24"/>
  <c r="M313" i="24"/>
  <c r="M320" i="24"/>
  <c r="M326" i="24"/>
  <c r="M331" i="24"/>
  <c r="M338" i="24"/>
  <c r="M349" i="24"/>
  <c r="M319" i="24"/>
  <c r="M520" i="24"/>
  <c r="M413" i="24"/>
  <c r="M424" i="24"/>
  <c r="M583" i="24"/>
  <c r="M387" i="24"/>
  <c r="M539" i="24"/>
  <c r="M582" i="24"/>
  <c r="M792" i="24"/>
  <c r="M833" i="24"/>
  <c r="M865" i="24"/>
  <c r="M611" i="24"/>
  <c r="E219" i="25"/>
  <c r="E173" i="25"/>
  <c r="M960" i="24"/>
  <c r="B161" i="14"/>
  <c r="B162" i="14"/>
  <c r="M22" i="24"/>
  <c r="F162" i="14"/>
  <c r="L162" i="14" s="1"/>
  <c r="M21" i="24"/>
  <c r="F219" i="14"/>
  <c r="F220" i="14"/>
  <c r="F161" i="14"/>
  <c r="K49" i="8"/>
  <c r="K51" i="8" s="1"/>
  <c r="K28" i="10"/>
  <c r="K30" i="10" s="1"/>
  <c r="E18" i="21"/>
  <c r="E40" i="21" s="1"/>
  <c r="D39" i="21"/>
  <c r="H33" i="7"/>
  <c r="H38" i="7" s="1"/>
  <c r="M63" i="24"/>
  <c r="M43" i="24"/>
  <c r="M79" i="24"/>
  <c r="M20" i="24"/>
  <c r="M39" i="24"/>
  <c r="M55" i="24"/>
  <c r="M71" i="24"/>
  <c r="M75" i="24"/>
  <c r="M51" i="24"/>
  <c r="M31" i="24"/>
  <c r="M8" i="24"/>
  <c r="C39" i="21"/>
  <c r="O384" i="24"/>
  <c r="O565" i="24"/>
  <c r="M12" i="23"/>
  <c r="G39" i="21"/>
  <c r="F39" i="21"/>
  <c r="F18" i="21"/>
  <c r="G12" i="22" s="1"/>
  <c r="O186" i="24"/>
  <c r="O182" i="24"/>
  <c r="O174" i="24"/>
  <c r="O166" i="24"/>
  <c r="O158" i="24"/>
  <c r="O149" i="24"/>
  <c r="O141" i="24"/>
  <c r="O133" i="24"/>
  <c r="O125" i="24"/>
  <c r="O117" i="24"/>
  <c r="O109" i="24"/>
  <c r="O101" i="24"/>
  <c r="O93" i="24"/>
  <c r="O85" i="24"/>
  <c r="O77" i="24"/>
  <c r="O73" i="24"/>
  <c r="O69" i="24"/>
  <c r="O65" i="24"/>
  <c r="O61" i="24"/>
  <c r="O57" i="24"/>
  <c r="O53" i="24"/>
  <c r="O49" i="24"/>
  <c r="O45" i="24"/>
  <c r="O41" i="24"/>
  <c r="O37" i="24"/>
  <c r="O33" i="24"/>
  <c r="O29" i="24"/>
  <c r="O25" i="24"/>
  <c r="O18" i="24"/>
  <c r="O14" i="24"/>
  <c r="O10" i="24"/>
  <c r="O6" i="24"/>
  <c r="O385" i="24"/>
  <c r="F36" i="21"/>
  <c r="M12" i="22" s="1"/>
  <c r="O184" i="24"/>
  <c r="O180" i="24"/>
  <c r="O176" i="24"/>
  <c r="O172" i="24"/>
  <c r="O168" i="24"/>
  <c r="O164" i="24"/>
  <c r="O160" i="24"/>
  <c r="O156" i="24"/>
  <c r="O152" i="24"/>
  <c r="O147" i="24"/>
  <c r="O143" i="24"/>
  <c r="O139" i="24"/>
  <c r="O135" i="24"/>
  <c r="O131" i="24"/>
  <c r="O127" i="24"/>
  <c r="O123" i="24"/>
  <c r="O119" i="24"/>
  <c r="O115" i="24"/>
  <c r="O111" i="24"/>
  <c r="O107" i="24"/>
  <c r="O103" i="24"/>
  <c r="O99" i="24"/>
  <c r="O95" i="24"/>
  <c r="O91" i="24"/>
  <c r="O87" i="24"/>
  <c r="O83" i="24"/>
  <c r="O79" i="24"/>
  <c r="O75" i="24"/>
  <c r="O71" i="24"/>
  <c r="O67" i="24"/>
  <c r="O63" i="24"/>
  <c r="O59" i="24"/>
  <c r="O55" i="24"/>
  <c r="O51" i="24"/>
  <c r="O47" i="24"/>
  <c r="O43" i="24"/>
  <c r="O39" i="24"/>
  <c r="O35" i="24"/>
  <c r="O31" i="24"/>
  <c r="O27" i="24"/>
  <c r="O20" i="24"/>
  <c r="O16" i="24"/>
  <c r="O12" i="24"/>
  <c r="O8" i="24"/>
  <c r="F7" i="19"/>
  <c r="A36" i="21"/>
  <c r="A40" i="21"/>
  <c r="B153" i="20"/>
  <c r="L2" i="14"/>
  <c r="F932" i="14"/>
  <c r="C855" i="27"/>
  <c r="O5" i="24"/>
  <c r="L826" i="24"/>
  <c r="L781" i="24"/>
  <c r="L789" i="24"/>
  <c r="L796" i="24"/>
  <c r="L804" i="24"/>
  <c r="L812" i="24"/>
  <c r="L820" i="24"/>
  <c r="L755" i="24"/>
  <c r="L766" i="24"/>
  <c r="L774" i="24"/>
  <c r="L782" i="24"/>
  <c r="L790" i="24"/>
  <c r="L920" i="24"/>
  <c r="L924" i="24"/>
  <c r="L834" i="24"/>
  <c r="L842" i="24"/>
  <c r="L850" i="24"/>
  <c r="L858" i="24"/>
  <c r="L866" i="24"/>
  <c r="L874" i="24"/>
  <c r="L882" i="24"/>
  <c r="L823" i="24"/>
  <c r="L831" i="24"/>
  <c r="L839" i="24"/>
  <c r="L847" i="24"/>
  <c r="L855" i="24"/>
  <c r="L863" i="24"/>
  <c r="L871" i="24"/>
  <c r="L879" i="24"/>
  <c r="L1011" i="24"/>
  <c r="L930" i="24"/>
  <c r="L934" i="24"/>
  <c r="L938" i="24"/>
  <c r="L942" i="24"/>
  <c r="L946" i="24"/>
  <c r="L950" i="24"/>
  <c r="L954" i="24"/>
  <c r="L958" i="24"/>
  <c r="L962" i="24"/>
  <c r="L966" i="24"/>
  <c r="L897" i="24"/>
  <c r="L905" i="24"/>
  <c r="L915" i="24"/>
  <c r="L972" i="24"/>
  <c r="L980" i="24"/>
  <c r="L988" i="24"/>
  <c r="L996" i="24"/>
  <c r="L890" i="24"/>
  <c r="L898" i="24"/>
  <c r="L906" i="24"/>
  <c r="L916" i="24"/>
  <c r="L973" i="24"/>
  <c r="L981" i="24"/>
  <c r="L989" i="24"/>
  <c r="L1029" i="24"/>
  <c r="L1000" i="24"/>
  <c r="L1008" i="24"/>
  <c r="L1018" i="24"/>
  <c r="L1026" i="24"/>
  <c r="L1002" i="24"/>
  <c r="L1013" i="24"/>
  <c r="L1021" i="24"/>
  <c r="G448" i="17"/>
  <c r="G447" i="17"/>
  <c r="G119" i="18" s="1"/>
  <c r="G446" i="17"/>
  <c r="G116" i="18" s="1"/>
  <c r="G445" i="17"/>
  <c r="G115" i="18" s="1"/>
  <c r="G444" i="17"/>
  <c r="G114" i="18" s="1"/>
  <c r="G443" i="17"/>
  <c r="G433" i="17"/>
  <c r="B416" i="17"/>
  <c r="G392" i="17"/>
  <c r="G389" i="17"/>
  <c r="B388" i="17"/>
  <c r="B384" i="17"/>
  <c r="B380" i="17"/>
  <c r="B377" i="17"/>
  <c r="G374" i="17"/>
  <c r="G371" i="17"/>
  <c r="B361" i="17"/>
  <c r="G351" i="17"/>
  <c r="K341" i="13" s="1"/>
  <c r="G350" i="17"/>
  <c r="G349" i="17"/>
  <c r="G348" i="17"/>
  <c r="B347" i="17"/>
  <c r="B344" i="17"/>
  <c r="G341" i="17"/>
  <c r="B338" i="17"/>
  <c r="B337" i="17"/>
  <c r="B328" i="17"/>
  <c r="B327" i="17"/>
  <c r="G309" i="17"/>
  <c r="G308" i="17"/>
  <c r="G307" i="17"/>
  <c r="G306" i="17"/>
  <c r="G305" i="17"/>
  <c r="G304" i="17"/>
  <c r="G303" i="17"/>
  <c r="G302" i="17"/>
  <c r="G301" i="17"/>
  <c r="G300" i="17"/>
  <c r="G299" i="17"/>
  <c r="G287" i="17"/>
  <c r="G286" i="17"/>
  <c r="G285" i="17"/>
  <c r="G284" i="17"/>
  <c r="B282" i="17"/>
  <c r="B281" i="17"/>
  <c r="B280" i="17"/>
  <c r="B279" i="17"/>
  <c r="B278" i="17"/>
  <c r="B277" i="17"/>
  <c r="G270" i="17"/>
  <c r="G269" i="17"/>
  <c r="G268" i="17"/>
  <c r="G267" i="17"/>
  <c r="G266" i="17"/>
  <c r="G259" i="17"/>
  <c r="G258" i="17"/>
  <c r="B246" i="17"/>
  <c r="B245" i="17"/>
  <c r="G239" i="17"/>
  <c r="B217" i="17"/>
  <c r="B207" i="17"/>
  <c r="B206" i="17"/>
  <c r="G197" i="17"/>
  <c r="B196" i="17"/>
  <c r="B195" i="17"/>
  <c r="G192" i="17"/>
  <c r="G191" i="17"/>
  <c r="G186" i="17"/>
  <c r="G185" i="17"/>
  <c r="G184" i="17"/>
  <c r="G178" i="17"/>
  <c r="G170" i="17"/>
  <c r="G169" i="17"/>
  <c r="G168" i="17"/>
  <c r="G167" i="17"/>
  <c r="G166" i="17"/>
  <c r="G165" i="17"/>
  <c r="G164" i="17"/>
  <c r="G153" i="17"/>
  <c r="G152" i="17"/>
  <c r="B126" i="17"/>
  <c r="B125" i="17"/>
  <c r="B124" i="17"/>
  <c r="B123" i="17"/>
  <c r="B122" i="17"/>
  <c r="B121" i="17"/>
  <c r="B120" i="17"/>
  <c r="B119" i="17"/>
  <c r="B118" i="17"/>
  <c r="B117" i="17"/>
  <c r="B92" i="17"/>
  <c r="B91" i="17"/>
  <c r="B90" i="17"/>
  <c r="B89" i="17"/>
  <c r="B88" i="17"/>
  <c r="B87" i="17"/>
  <c r="G83" i="17"/>
  <c r="G82" i="17"/>
  <c r="G81" i="17"/>
  <c r="G80" i="17"/>
  <c r="G79" i="17"/>
  <c r="G78" i="17"/>
  <c r="G77" i="17"/>
  <c r="G76" i="17"/>
  <c r="G75" i="17"/>
  <c r="G74" i="17"/>
  <c r="G73" i="17"/>
  <c r="G72" i="17"/>
  <c r="G71" i="17"/>
  <c r="G70" i="17"/>
  <c r="G69" i="17"/>
  <c r="B68" i="17"/>
  <c r="G65" i="17"/>
  <c r="G64" i="17"/>
  <c r="G63" i="17"/>
  <c r="G62" i="17"/>
  <c r="G61" i="17"/>
  <c r="G60" i="17"/>
  <c r="G59" i="17"/>
  <c r="G58" i="17"/>
  <c r="G57" i="17"/>
  <c r="G56" i="17"/>
  <c r="G55" i="17"/>
  <c r="G54" i="17"/>
  <c r="G53" i="17"/>
  <c r="G52" i="17"/>
  <c r="G38" i="17"/>
  <c r="G37" i="17"/>
  <c r="G36" i="17"/>
  <c r="B28" i="17"/>
  <c r="B27" i="17"/>
  <c r="B26" i="17"/>
  <c r="G14" i="17"/>
  <c r="G13" i="17"/>
  <c r="G12" i="17"/>
  <c r="G11" i="17"/>
  <c r="G10" i="17"/>
  <c r="G9" i="17"/>
  <c r="G452" i="17"/>
  <c r="J72" i="11" s="1"/>
  <c r="G449" i="17"/>
  <c r="B433" i="17"/>
  <c r="B432" i="17"/>
  <c r="B431" i="17"/>
  <c r="G417" i="17"/>
  <c r="G16" i="18" s="1"/>
  <c r="B414" i="17"/>
  <c r="B395" i="17"/>
  <c r="G393" i="17"/>
  <c r="B392" i="17"/>
  <c r="G390" i="17"/>
  <c r="B389" i="17"/>
  <c r="B385" i="17"/>
  <c r="B381" i="17"/>
  <c r="B378" i="17"/>
  <c r="G375" i="17"/>
  <c r="B374" i="17"/>
  <c r="G372" i="17"/>
  <c r="G368" i="17"/>
  <c r="G367" i="17"/>
  <c r="G366" i="17"/>
  <c r="G365" i="17"/>
  <c r="G364" i="17"/>
  <c r="G363" i="17"/>
  <c r="B362" i="17"/>
  <c r="B355" i="17"/>
  <c r="B348" i="17"/>
  <c r="B345" i="17"/>
  <c r="G342" i="17"/>
  <c r="B341" i="17"/>
  <c r="B340" i="17"/>
  <c r="B339" i="17"/>
  <c r="B333" i="17"/>
  <c r="B330" i="17"/>
  <c r="B329" i="17"/>
  <c r="B320" i="17"/>
  <c r="B319" i="17"/>
  <c r="B318" i="17"/>
  <c r="B317" i="17"/>
  <c r="B316" i="17"/>
  <c r="B284" i="17"/>
  <c r="B283" i="17"/>
  <c r="B274" i="17"/>
  <c r="B273" i="17"/>
  <c r="G263" i="17"/>
  <c r="G262" i="17"/>
  <c r="G261" i="17"/>
  <c r="G260" i="17"/>
  <c r="G255" i="17"/>
  <c r="G254" i="17"/>
  <c r="G253" i="17"/>
  <c r="G252" i="17"/>
  <c r="G251" i="17"/>
  <c r="G250" i="17"/>
  <c r="G249" i="17"/>
  <c r="G243" i="17"/>
  <c r="G242" i="17"/>
  <c r="G241" i="17"/>
  <c r="G240" i="17"/>
  <c r="G235" i="17"/>
  <c r="G234" i="17"/>
  <c r="G233" i="17"/>
  <c r="G232" i="17"/>
  <c r="G231" i="17"/>
  <c r="G223" i="17"/>
  <c r="G222" i="17"/>
  <c r="G221" i="17"/>
  <c r="G204" i="17"/>
  <c r="G203" i="17"/>
  <c r="G198" i="17"/>
  <c r="B197" i="17"/>
  <c r="G193" i="17"/>
  <c r="G77" i="18" s="1"/>
  <c r="B191" i="17"/>
  <c r="B184" i="17"/>
  <c r="B183" i="17"/>
  <c r="G174" i="17"/>
  <c r="G173" i="17"/>
  <c r="G172" i="17"/>
  <c r="G171" i="17"/>
  <c r="G157" i="17"/>
  <c r="G155" i="17"/>
  <c r="G154" i="17"/>
  <c r="G141" i="17"/>
  <c r="G140" i="17"/>
  <c r="G139" i="17"/>
  <c r="G138" i="17"/>
  <c r="G137" i="17"/>
  <c r="G136" i="17"/>
  <c r="G115" i="17"/>
  <c r="G114" i="17"/>
  <c r="G113" i="17"/>
  <c r="G112" i="17"/>
  <c r="G111" i="17"/>
  <c r="G110" i="17"/>
  <c r="G109" i="17"/>
  <c r="G108" i="17"/>
  <c r="G107" i="17"/>
  <c r="G106" i="17"/>
  <c r="G85" i="17"/>
  <c r="G84" i="17"/>
  <c r="B69" i="17"/>
  <c r="G66" i="17"/>
  <c r="G453" i="17"/>
  <c r="J205" i="11" s="1"/>
  <c r="G450" i="17"/>
  <c r="G117" i="18" s="1"/>
  <c r="B449" i="17"/>
  <c r="B448" i="17"/>
  <c r="B447" i="17"/>
  <c r="B446" i="17"/>
  <c r="B445" i="17"/>
  <c r="B444" i="17"/>
  <c r="B443" i="17"/>
  <c r="G418" i="17"/>
  <c r="B393" i="17"/>
  <c r="B390" i="17"/>
  <c r="B386" i="17"/>
  <c r="B382" i="17"/>
  <c r="G376" i="17"/>
  <c r="B375" i="17"/>
  <c r="G369" i="17"/>
  <c r="B363" i="17"/>
  <c r="B360" i="17"/>
  <c r="B356" i="17"/>
  <c r="B351" i="17"/>
  <c r="B350" i="17"/>
  <c r="B349" i="17"/>
  <c r="G343" i="17"/>
  <c r="B342" i="17"/>
  <c r="G337" i="17"/>
  <c r="G327" i="17"/>
  <c r="B309" i="17"/>
  <c r="B308" i="17"/>
  <c r="B307" i="17"/>
  <c r="B306" i="17"/>
  <c r="B305" i="17"/>
  <c r="B304" i="17"/>
  <c r="B303" i="17"/>
  <c r="B302" i="17"/>
  <c r="B301" i="17"/>
  <c r="B300" i="17"/>
  <c r="B299" i="17"/>
  <c r="B287" i="17"/>
  <c r="B286" i="17"/>
  <c r="B285" i="17"/>
  <c r="G281" i="17"/>
  <c r="G280" i="17"/>
  <c r="G279" i="17"/>
  <c r="G278" i="17"/>
  <c r="B270" i="17"/>
  <c r="B269" i="17"/>
  <c r="B268" i="17"/>
  <c r="B267" i="17"/>
  <c r="B266" i="17"/>
  <c r="B260" i="17"/>
  <c r="B259" i="17"/>
  <c r="B258" i="17"/>
  <c r="G246" i="17"/>
  <c r="G245" i="17"/>
  <c r="G244" i="17"/>
  <c r="B240" i="17"/>
  <c r="B239" i="17"/>
  <c r="B231" i="17"/>
  <c r="G217" i="17"/>
  <c r="G216" i="17"/>
  <c r="G207" i="17"/>
  <c r="G206" i="17"/>
  <c r="G205" i="17"/>
  <c r="G199" i="17"/>
  <c r="B198" i="17"/>
  <c r="G195" i="17"/>
  <c r="G194" i="17"/>
  <c r="B193" i="17"/>
  <c r="B192" i="17"/>
  <c r="B186" i="17"/>
  <c r="B185" i="17"/>
  <c r="B178" i="17"/>
  <c r="B171" i="17"/>
  <c r="B170" i="17"/>
  <c r="B169" i="17"/>
  <c r="B168" i="17"/>
  <c r="B167" i="17"/>
  <c r="B166" i="17"/>
  <c r="B165" i="17"/>
  <c r="B164" i="17"/>
  <c r="B154" i="17"/>
  <c r="B153" i="17"/>
  <c r="B152" i="17"/>
  <c r="G126" i="17"/>
  <c r="G125" i="17"/>
  <c r="G124" i="17"/>
  <c r="G123" i="17"/>
  <c r="G122" i="17"/>
  <c r="G121" i="17"/>
  <c r="G120" i="17"/>
  <c r="G119" i="17"/>
  <c r="G118" i="17"/>
  <c r="G117" i="17"/>
  <c r="G116" i="17"/>
  <c r="G92" i="17"/>
  <c r="G91" i="17"/>
  <c r="G90" i="17"/>
  <c r="G89" i="17"/>
  <c r="G88" i="17"/>
  <c r="G87" i="17"/>
  <c r="G86" i="17"/>
  <c r="B84" i="17"/>
  <c r="B83" i="17"/>
  <c r="B82" i="17"/>
  <c r="B81" i="17"/>
  <c r="B80" i="17"/>
  <c r="B79" i="17"/>
  <c r="B453" i="17"/>
  <c r="G451" i="17"/>
  <c r="G118" i="18" s="1"/>
  <c r="G432" i="17"/>
  <c r="G431" i="17"/>
  <c r="G419" i="17"/>
  <c r="G416" i="17"/>
  <c r="B415" i="17"/>
  <c r="B394" i="17"/>
  <c r="G391" i="17"/>
  <c r="B387" i="17"/>
  <c r="B383" i="17"/>
  <c r="B379" i="17"/>
  <c r="G377" i="17"/>
  <c r="B376" i="17"/>
  <c r="G373" i="17"/>
  <c r="G370" i="17"/>
  <c r="B369" i="17"/>
  <c r="B368" i="17"/>
  <c r="B367" i="17"/>
  <c r="B366" i="17"/>
  <c r="B365" i="17"/>
  <c r="B364" i="17"/>
  <c r="B346" i="17"/>
  <c r="G344" i="17"/>
  <c r="B343" i="17"/>
  <c r="G340" i="17"/>
  <c r="G339" i="17"/>
  <c r="G338" i="17"/>
  <c r="G333" i="17"/>
  <c r="G330" i="17"/>
  <c r="G329" i="17"/>
  <c r="G328" i="17"/>
  <c r="G320" i="17"/>
  <c r="G319" i="17"/>
  <c r="G318" i="17"/>
  <c r="G317" i="17"/>
  <c r="G316" i="17"/>
  <c r="G283" i="17"/>
  <c r="G282" i="17"/>
  <c r="G277" i="17"/>
  <c r="G274" i="17"/>
  <c r="G273" i="17"/>
  <c r="B263" i="17"/>
  <c r="B262" i="17"/>
  <c r="B261" i="17"/>
  <c r="B255" i="17"/>
  <c r="B254" i="17"/>
  <c r="B253" i="17"/>
  <c r="B252" i="17"/>
  <c r="B251" i="17"/>
  <c r="B250" i="17"/>
  <c r="B249" i="17"/>
  <c r="B244" i="17"/>
  <c r="B243" i="17"/>
  <c r="B242" i="17"/>
  <c r="B241" i="17"/>
  <c r="B235" i="17"/>
  <c r="B234" i="17"/>
  <c r="B233" i="17"/>
  <c r="B232" i="17"/>
  <c r="B223" i="17"/>
  <c r="B222" i="17"/>
  <c r="B221" i="17"/>
  <c r="B216" i="17"/>
  <c r="B205" i="17"/>
  <c r="B204" i="17"/>
  <c r="B203" i="17"/>
  <c r="B199" i="17"/>
  <c r="G196" i="17"/>
  <c r="B194" i="17"/>
  <c r="G183" i="17"/>
  <c r="B174" i="17"/>
  <c r="B173" i="17"/>
  <c r="B172" i="17"/>
  <c r="B157" i="17"/>
  <c r="B155" i="17"/>
  <c r="B141" i="17"/>
  <c r="B140" i="17"/>
  <c r="B139" i="17"/>
  <c r="B138" i="17"/>
  <c r="B137" i="17"/>
  <c r="B136" i="17"/>
  <c r="B116" i="17"/>
  <c r="B115" i="17"/>
  <c r="B114" i="17"/>
  <c r="B113" i="17"/>
  <c r="B112" i="17"/>
  <c r="B111" i="17"/>
  <c r="B110" i="17"/>
  <c r="B109" i="17"/>
  <c r="B108" i="17"/>
  <c r="B107" i="17"/>
  <c r="B106" i="17"/>
  <c r="B86" i="17"/>
  <c r="B85" i="17"/>
  <c r="G68" i="17"/>
  <c r="B67" i="17"/>
  <c r="G51" i="17"/>
  <c r="G50" i="17"/>
  <c r="G49" i="17"/>
  <c r="G35" i="17"/>
  <c r="G26" i="18" s="1"/>
  <c r="G34" i="17"/>
  <c r="G34" i="18" s="1"/>
  <c r="G33" i="17"/>
  <c r="G32" i="17"/>
  <c r="K333" i="13" s="1"/>
  <c r="G31" i="17"/>
  <c r="G30" i="17"/>
  <c r="G33" i="18" s="1"/>
  <c r="G29" i="17"/>
  <c r="G32" i="18" s="1"/>
  <c r="G28" i="17"/>
  <c r="G22" i="17"/>
  <c r="G21" i="17"/>
  <c r="G20" i="17"/>
  <c r="G8" i="17"/>
  <c r="G7" i="17"/>
  <c r="G6" i="17"/>
  <c r="B78" i="17"/>
  <c r="B76" i="17"/>
  <c r="B74" i="17"/>
  <c r="B72" i="17"/>
  <c r="B70" i="17"/>
  <c r="G67" i="17"/>
  <c r="B65" i="17"/>
  <c r="B63" i="17"/>
  <c r="B61" i="17"/>
  <c r="B59" i="17"/>
  <c r="B57" i="17"/>
  <c r="B53" i="17"/>
  <c r="B51" i="17"/>
  <c r="B49" i="17"/>
  <c r="B38" i="17"/>
  <c r="G26" i="17"/>
  <c r="B11" i="17"/>
  <c r="B857" i="14"/>
  <c r="B825" i="14"/>
  <c r="B817" i="14"/>
  <c r="F801" i="14"/>
  <c r="F795" i="14"/>
  <c r="B788" i="14"/>
  <c r="B780" i="14"/>
  <c r="B760" i="14"/>
  <c r="B752" i="14"/>
  <c r="F744" i="14"/>
  <c r="F736" i="14"/>
  <c r="B726" i="14"/>
  <c r="F721" i="14"/>
  <c r="F684" i="14"/>
  <c r="B678" i="14"/>
  <c r="F670" i="14"/>
  <c r="F661" i="14"/>
  <c r="F652" i="14"/>
  <c r="F613" i="14"/>
  <c r="F586" i="14"/>
  <c r="F578" i="14"/>
  <c r="F560" i="14"/>
  <c r="F552" i="14"/>
  <c r="F534" i="14"/>
  <c r="B524" i="14"/>
  <c r="B508" i="14"/>
  <c r="F497" i="14"/>
  <c r="F491" i="14"/>
  <c r="B482" i="14"/>
  <c r="B453" i="14"/>
  <c r="B438" i="14"/>
  <c r="B425" i="14"/>
  <c r="B402" i="14"/>
  <c r="B392" i="14"/>
  <c r="B384" i="14"/>
  <c r="F378" i="14"/>
  <c r="F363" i="14"/>
  <c r="F350" i="14"/>
  <c r="B343" i="14"/>
  <c r="F334" i="14"/>
  <c r="F322" i="14"/>
  <c r="F314" i="14"/>
  <c r="F289" i="14"/>
  <c r="F277" i="14"/>
  <c r="F269" i="14"/>
  <c r="F261" i="14"/>
  <c r="B249" i="14"/>
  <c r="B228" i="14"/>
  <c r="B222" i="14"/>
  <c r="B214" i="14"/>
  <c r="F187" i="14"/>
  <c r="F179" i="14"/>
  <c r="F173" i="14"/>
  <c r="F165" i="14"/>
  <c r="F154" i="14"/>
  <c r="F142" i="14"/>
  <c r="B121" i="14"/>
  <c r="F104" i="14"/>
  <c r="F89" i="14"/>
  <c r="B82" i="14"/>
  <c r="F55" i="14"/>
  <c r="F47" i="14"/>
  <c r="F41" i="14"/>
  <c r="F31" i="14"/>
  <c r="F23" i="14"/>
  <c r="F15" i="14"/>
  <c r="F7" i="14"/>
  <c r="B54" i="17"/>
  <c r="B34" i="17"/>
  <c r="B32" i="17"/>
  <c r="B30" i="17"/>
  <c r="B21" i="17"/>
  <c r="B12" i="17"/>
  <c r="B9" i="17"/>
  <c r="B7" i="17"/>
  <c r="B923" i="14"/>
  <c r="F919" i="14"/>
  <c r="J222" i="15" s="1"/>
  <c r="B918" i="14"/>
  <c r="F916" i="14"/>
  <c r="B914" i="14"/>
  <c r="F912" i="14"/>
  <c r="F903" i="14"/>
  <c r="F887" i="14"/>
  <c r="B886" i="14"/>
  <c r="F884" i="14"/>
  <c r="F874" i="14"/>
  <c r="F872" i="14"/>
  <c r="F870" i="14"/>
  <c r="F864" i="14"/>
  <c r="F862" i="14"/>
  <c r="F860" i="14"/>
  <c r="F858" i="14"/>
  <c r="F856" i="14"/>
  <c r="F854" i="14"/>
  <c r="F852" i="14"/>
  <c r="F850" i="14"/>
  <c r="F848" i="14"/>
  <c r="F846" i="14"/>
  <c r="F844" i="14"/>
  <c r="F835" i="14"/>
  <c r="F831" i="14"/>
  <c r="F824" i="14"/>
  <c r="B822" i="14"/>
  <c r="B820" i="14"/>
  <c r="B818" i="14"/>
  <c r="F816" i="14"/>
  <c r="F811" i="14"/>
  <c r="B803" i="14"/>
  <c r="B801" i="14"/>
  <c r="B799" i="14"/>
  <c r="B797" i="14"/>
  <c r="B795" i="14"/>
  <c r="B793" i="14"/>
  <c r="B791" i="14"/>
  <c r="B789" i="14"/>
  <c r="F787" i="14"/>
  <c r="F785" i="14"/>
  <c r="F783" i="14"/>
  <c r="F781" i="14"/>
  <c r="F779" i="14"/>
  <c r="F777" i="14"/>
  <c r="F775" i="14"/>
  <c r="F761" i="14"/>
  <c r="F759" i="14"/>
  <c r="F757" i="14"/>
  <c r="F755" i="14"/>
  <c r="F753" i="14"/>
  <c r="F751" i="14"/>
  <c r="F749" i="14"/>
  <c r="F747" i="14"/>
  <c r="F745" i="14"/>
  <c r="B744" i="14"/>
  <c r="B742" i="14"/>
  <c r="B740" i="14"/>
  <c r="B738" i="14"/>
  <c r="B736" i="14"/>
  <c r="B734" i="14"/>
  <c r="F725" i="14"/>
  <c r="B724" i="14"/>
  <c r="B721" i="14"/>
  <c r="B719" i="14"/>
  <c r="B717" i="14"/>
  <c r="B703" i="14"/>
  <c r="B701" i="14"/>
  <c r="B699" i="14"/>
  <c r="B697" i="14"/>
  <c r="B695" i="14"/>
  <c r="B684" i="14"/>
  <c r="F682" i="14"/>
  <c r="F680" i="14"/>
  <c r="F677" i="14"/>
  <c r="B676" i="14"/>
  <c r="B674" i="14"/>
  <c r="B672" i="14"/>
  <c r="B670" i="14"/>
  <c r="F664" i="14"/>
  <c r="B663" i="14"/>
  <c r="F659" i="14"/>
  <c r="B658" i="14"/>
  <c r="B652" i="14"/>
  <c r="B644" i="14"/>
  <c r="B638" i="14"/>
  <c r="B615" i="14"/>
  <c r="B613" i="14"/>
  <c r="B611" i="14"/>
  <c r="B588" i="14"/>
  <c r="B586" i="14"/>
  <c r="B584" i="14"/>
  <c r="B582" i="14"/>
  <c r="B580" i="14"/>
  <c r="B578" i="14"/>
  <c r="B573" i="14"/>
  <c r="B568" i="14"/>
  <c r="B560" i="14"/>
  <c r="B558" i="14"/>
  <c r="B556" i="14"/>
  <c r="B554" i="14"/>
  <c r="B552" i="14"/>
  <c r="B550" i="14"/>
  <c r="B548" i="14"/>
  <c r="B546" i="14"/>
  <c r="B538" i="14"/>
  <c r="B536" i="14"/>
  <c r="B534" i="14"/>
  <c r="B532" i="14"/>
  <c r="B530" i="14"/>
  <c r="B528" i="14"/>
  <c r="B526" i="14"/>
  <c r="B513" i="14"/>
  <c r="F509" i="14"/>
  <c r="F507" i="14"/>
  <c r="B506" i="14"/>
  <c r="B504" i="14"/>
  <c r="B499" i="14"/>
  <c r="B497" i="14"/>
  <c r="B495" i="14"/>
  <c r="B493" i="14"/>
  <c r="B491" i="14"/>
  <c r="B489" i="14"/>
  <c r="B487" i="14"/>
  <c r="B485" i="14"/>
  <c r="F477" i="14"/>
  <c r="F469" i="14"/>
  <c r="F464" i="14"/>
  <c r="F458" i="14"/>
  <c r="F456" i="14"/>
  <c r="F454" i="14"/>
  <c r="F441" i="14"/>
  <c r="F439" i="14"/>
  <c r="F437" i="14"/>
  <c r="F435" i="14"/>
  <c r="F433" i="14"/>
  <c r="F426" i="14"/>
  <c r="F405" i="14"/>
  <c r="F403" i="14"/>
  <c r="F401" i="14"/>
  <c r="F399" i="14"/>
  <c r="F397" i="14"/>
  <c r="F395" i="14"/>
  <c r="F393" i="14"/>
  <c r="F391" i="14"/>
  <c r="F389" i="14"/>
  <c r="F387" i="14"/>
  <c r="F385" i="14"/>
  <c r="F383" i="14"/>
  <c r="F381" i="14"/>
  <c r="B380" i="14"/>
  <c r="B378" i="14"/>
  <c r="B376" i="14"/>
  <c r="B369" i="14"/>
  <c r="B367" i="14"/>
  <c r="B365" i="14"/>
  <c r="B363" i="14"/>
  <c r="B361" i="14"/>
  <c r="B352" i="14"/>
  <c r="B350" i="14"/>
  <c r="B348" i="14"/>
  <c r="F344" i="14"/>
  <c r="F342" i="14"/>
  <c r="F340" i="14"/>
  <c r="F338" i="14"/>
  <c r="B336" i="14"/>
  <c r="B334" i="14"/>
  <c r="B332" i="14"/>
  <c r="B330" i="14"/>
  <c r="B324" i="14"/>
  <c r="B322" i="14"/>
  <c r="B320" i="14"/>
  <c r="B318" i="14"/>
  <c r="B316" i="14"/>
  <c r="B314" i="14"/>
  <c r="B312" i="14"/>
  <c r="F304" i="14"/>
  <c r="B297" i="14"/>
  <c r="B295" i="14"/>
  <c r="B293" i="14"/>
  <c r="B291" i="14"/>
  <c r="B289" i="14"/>
  <c r="B287" i="14"/>
  <c r="B285" i="14"/>
  <c r="B283" i="14"/>
  <c r="B277" i="14"/>
  <c r="B275" i="14"/>
  <c r="B273" i="14"/>
  <c r="B271" i="14"/>
  <c r="B269" i="14"/>
  <c r="B267" i="14"/>
  <c r="B265" i="14"/>
  <c r="B263" i="14"/>
  <c r="B261" i="14"/>
  <c r="B259" i="14"/>
  <c r="F254" i="14"/>
  <c r="F252" i="14"/>
  <c r="F250" i="14"/>
  <c r="F248" i="14"/>
  <c r="F246" i="14"/>
  <c r="F244" i="14"/>
  <c r="F229" i="14"/>
  <c r="F227" i="14"/>
  <c r="F223" i="14"/>
  <c r="F221" i="14"/>
  <c r="F217" i="14"/>
  <c r="F215" i="14"/>
  <c r="F213" i="14"/>
  <c r="F193" i="14"/>
  <c r="B191" i="14"/>
  <c r="B189" i="14"/>
  <c r="B187" i="14"/>
  <c r="B185" i="14"/>
  <c r="B183" i="14"/>
  <c r="B181" i="14"/>
  <c r="B179" i="14"/>
  <c r="B177" i="14"/>
  <c r="B175" i="14"/>
  <c r="B173" i="14"/>
  <c r="B171" i="14"/>
  <c r="B169" i="14"/>
  <c r="B167" i="14"/>
  <c r="B165" i="14"/>
  <c r="B160" i="14"/>
  <c r="B158" i="14"/>
  <c r="B156" i="14"/>
  <c r="B154" i="14"/>
  <c r="B152" i="14"/>
  <c r="B150" i="14"/>
  <c r="B148" i="14"/>
  <c r="B142" i="14"/>
  <c r="B140" i="14"/>
  <c r="B138" i="14"/>
  <c r="F122" i="14"/>
  <c r="B117" i="14"/>
  <c r="B106" i="14"/>
  <c r="B104" i="14"/>
  <c r="B102" i="14"/>
  <c r="B100" i="14"/>
  <c r="F94" i="14"/>
  <c r="B89" i="14"/>
  <c r="F87" i="14"/>
  <c r="F85" i="14"/>
  <c r="F83" i="14"/>
  <c r="F81" i="14"/>
  <c r="F79" i="14"/>
  <c r="F77" i="14"/>
  <c r="F75" i="14"/>
  <c r="F71" i="14"/>
  <c r="F69" i="14"/>
  <c r="F67" i="14"/>
  <c r="F65" i="14"/>
  <c r="F63" i="14"/>
  <c r="F61" i="14"/>
  <c r="B59" i="14"/>
  <c r="B57" i="14"/>
  <c r="B55" i="14"/>
  <c r="B53" i="14"/>
  <c r="B51" i="14"/>
  <c r="B49" i="14"/>
  <c r="B47" i="14"/>
  <c r="B45" i="14"/>
  <c r="B43" i="14"/>
  <c r="B41" i="14"/>
  <c r="B39" i="14"/>
  <c r="B37" i="14"/>
  <c r="B35" i="14"/>
  <c r="B33" i="14"/>
  <c r="B31" i="14"/>
  <c r="B29" i="14"/>
  <c r="B27" i="14"/>
  <c r="B25" i="14"/>
  <c r="B23" i="14"/>
  <c r="B21" i="14"/>
  <c r="B19" i="14"/>
  <c r="B17" i="14"/>
  <c r="B15" i="14"/>
  <c r="B13" i="14"/>
  <c r="B11" i="14"/>
  <c r="B9" i="14"/>
  <c r="B7" i="14"/>
  <c r="B798" i="14"/>
  <c r="F786" i="14"/>
  <c r="F780" i="14"/>
  <c r="F776" i="14"/>
  <c r="F762" i="14"/>
  <c r="F758" i="14"/>
  <c r="F754" i="14"/>
  <c r="F750" i="14"/>
  <c r="F746" i="14"/>
  <c r="B743" i="14"/>
  <c r="B739" i="14"/>
  <c r="B735" i="14"/>
  <c r="B728" i="14"/>
  <c r="F724" i="14"/>
  <c r="B722" i="14"/>
  <c r="B718" i="14"/>
  <c r="B704" i="14"/>
  <c r="B698" i="14"/>
  <c r="F676" i="14"/>
  <c r="B671" i="14"/>
  <c r="F663" i="14"/>
  <c r="F660" i="14"/>
  <c r="B653" i="14"/>
  <c r="B610" i="14"/>
  <c r="B587" i="14"/>
  <c r="B581" i="14"/>
  <c r="B567" i="14"/>
  <c r="B557" i="14"/>
  <c r="B549" i="14"/>
  <c r="B539" i="14"/>
  <c r="B535" i="14"/>
  <c r="B529" i="14"/>
  <c r="F510" i="14"/>
  <c r="B505" i="14"/>
  <c r="B498" i="14"/>
  <c r="B492" i="14"/>
  <c r="B486" i="14"/>
  <c r="F478" i="14"/>
  <c r="F470" i="14"/>
  <c r="F455" i="14"/>
  <c r="F449" i="14"/>
  <c r="F438" i="14"/>
  <c r="F432" i="14"/>
  <c r="F406" i="14"/>
  <c r="F400" i="14"/>
  <c r="F394" i="14"/>
  <c r="F388" i="14"/>
  <c r="F384" i="14"/>
  <c r="B379" i="14"/>
  <c r="B370" i="14"/>
  <c r="B364" i="14"/>
  <c r="B353" i="14"/>
  <c r="B347" i="14"/>
  <c r="F341" i="14"/>
  <c r="B335" i="14"/>
  <c r="B321" i="14"/>
  <c r="B315" i="14"/>
  <c r="B298" i="14"/>
  <c r="B294" i="14"/>
  <c r="B288" i="14"/>
  <c r="B270" i="14"/>
  <c r="B262" i="14"/>
  <c r="F253" i="14"/>
  <c r="F249" i="14"/>
  <c r="F245" i="14"/>
  <c r="F216" i="14"/>
  <c r="F194" i="14"/>
  <c r="B188" i="14"/>
  <c r="B182" i="14"/>
  <c r="B178" i="14"/>
  <c r="B172" i="14"/>
  <c r="B166" i="14"/>
  <c r="B157" i="14"/>
  <c r="B153" i="14"/>
  <c r="B147" i="14"/>
  <c r="B139" i="14"/>
  <c r="F121" i="14"/>
  <c r="B103" i="14"/>
  <c r="B99" i="14"/>
  <c r="F86" i="14"/>
  <c r="F80" i="14"/>
  <c r="F62" i="14"/>
  <c r="B56" i="14"/>
  <c r="B52" i="14"/>
  <c r="B46" i="14"/>
  <c r="B40" i="14"/>
  <c r="B34" i="14"/>
  <c r="B28" i="14"/>
  <c r="B22" i="14"/>
  <c r="B16" i="14"/>
  <c r="B10" i="14"/>
  <c r="F921" i="14"/>
  <c r="B920" i="14"/>
  <c r="F914" i="14"/>
  <c r="B913" i="14"/>
  <c r="B904" i="14"/>
  <c r="F886" i="14"/>
  <c r="B885" i="14"/>
  <c r="F875" i="14"/>
  <c r="B871" i="14"/>
  <c r="B869" i="14"/>
  <c r="B861" i="14"/>
  <c r="B855" i="14"/>
  <c r="B849" i="14"/>
  <c r="F797" i="14"/>
  <c r="F789" i="14"/>
  <c r="B782" i="14"/>
  <c r="B774" i="14"/>
  <c r="B758" i="14"/>
  <c r="B750" i="14"/>
  <c r="F742" i="14"/>
  <c r="F734" i="14"/>
  <c r="F717" i="14"/>
  <c r="F703" i="14"/>
  <c r="F699" i="14"/>
  <c r="B683" i="14"/>
  <c r="F658" i="14"/>
  <c r="F638" i="14"/>
  <c r="F611" i="14"/>
  <c r="F588" i="14"/>
  <c r="F580" i="14"/>
  <c r="F556" i="14"/>
  <c r="F548" i="14"/>
  <c r="F538" i="14"/>
  <c r="F530" i="14"/>
  <c r="F513" i="14"/>
  <c r="F495" i="14"/>
  <c r="F487" i="14"/>
  <c r="B478" i="14"/>
  <c r="B457" i="14"/>
  <c r="B442" i="14"/>
  <c r="B434" i="14"/>
  <c r="B406" i="14"/>
  <c r="B398" i="14"/>
  <c r="B390" i="14"/>
  <c r="B382" i="14"/>
  <c r="F365" i="14"/>
  <c r="F352" i="14"/>
  <c r="B345" i="14"/>
  <c r="B341" i="14"/>
  <c r="F332" i="14"/>
  <c r="F320" i="14"/>
  <c r="F312" i="14"/>
  <c r="F295" i="14"/>
  <c r="F287" i="14"/>
  <c r="F275" i="14"/>
  <c r="F267" i="14"/>
  <c r="F259" i="14"/>
  <c r="B247" i="14"/>
  <c r="B224" i="14"/>
  <c r="B216" i="14"/>
  <c r="B194" i="14"/>
  <c r="F185" i="14"/>
  <c r="F177" i="14"/>
  <c r="F169" i="14"/>
  <c r="F158" i="14"/>
  <c r="F150" i="14"/>
  <c r="F106" i="14"/>
  <c r="B95" i="14"/>
  <c r="B84" i="14"/>
  <c r="B76" i="14"/>
  <c r="B68" i="14"/>
  <c r="B62" i="14"/>
  <c r="F53" i="14"/>
  <c r="F45" i="14"/>
  <c r="F37" i="14"/>
  <c r="F29" i="14"/>
  <c r="F21" i="14"/>
  <c r="F13" i="14"/>
  <c r="B77" i="17"/>
  <c r="B75" i="17"/>
  <c r="B73" i="17"/>
  <c r="B71" i="17"/>
  <c r="B66" i="17"/>
  <c r="B64" i="17"/>
  <c r="B62" i="17"/>
  <c r="B60" i="17"/>
  <c r="B58" i="17"/>
  <c r="B55" i="17"/>
  <c r="B52" i="17"/>
  <c r="B50" i="17"/>
  <c r="G27" i="17"/>
  <c r="B13" i="17"/>
  <c r="F922" i="14"/>
  <c r="B921" i="14"/>
  <c r="B919" i="14"/>
  <c r="F917" i="14"/>
  <c r="B916" i="14"/>
  <c r="F913" i="14"/>
  <c r="F906" i="14"/>
  <c r="B905" i="14"/>
  <c r="B903" i="14"/>
  <c r="B887" i="14"/>
  <c r="F885" i="14"/>
  <c r="B884" i="14"/>
  <c r="B874" i="14"/>
  <c r="B872" i="14"/>
  <c r="B870" i="14"/>
  <c r="B864" i="14"/>
  <c r="B862" i="14"/>
  <c r="B860" i="14"/>
  <c r="B858" i="14"/>
  <c r="B856" i="14"/>
  <c r="B854" i="14"/>
  <c r="B852" i="14"/>
  <c r="B850" i="14"/>
  <c r="B848" i="14"/>
  <c r="B846" i="14"/>
  <c r="B844" i="14"/>
  <c r="B839" i="14"/>
  <c r="B835" i="14"/>
  <c r="B831" i="14"/>
  <c r="F825" i="14"/>
  <c r="B823" i="14"/>
  <c r="F821" i="14"/>
  <c r="F819" i="14"/>
  <c r="F817" i="14"/>
  <c r="B816" i="14"/>
  <c r="F802" i="14"/>
  <c r="F800" i="14"/>
  <c r="F798" i="14"/>
  <c r="F796" i="14"/>
  <c r="F794" i="14"/>
  <c r="F792" i="14"/>
  <c r="F790" i="14"/>
  <c r="F788" i="14"/>
  <c r="B787" i="14"/>
  <c r="B785" i="14"/>
  <c r="B783" i="14"/>
  <c r="B781" i="14"/>
  <c r="B779" i="14"/>
  <c r="B777" i="14"/>
  <c r="B775" i="14"/>
  <c r="B761" i="14"/>
  <c r="B759" i="14"/>
  <c r="B757" i="14"/>
  <c r="B755" i="14"/>
  <c r="B753" i="14"/>
  <c r="B751" i="14"/>
  <c r="B749" i="14"/>
  <c r="B747" i="14"/>
  <c r="F743" i="14"/>
  <c r="F741" i="14"/>
  <c r="F739" i="14"/>
  <c r="F737" i="14"/>
  <c r="F735" i="14"/>
  <c r="F733" i="14"/>
  <c r="F728" i="14"/>
  <c r="B727" i="14"/>
  <c r="B725" i="14"/>
  <c r="F723" i="14"/>
  <c r="F722" i="14"/>
  <c r="F720" i="14"/>
  <c r="F718" i="14"/>
  <c r="F716" i="14"/>
  <c r="F712" i="14"/>
  <c r="F704" i="14"/>
  <c r="F702" i="14"/>
  <c r="F700" i="14"/>
  <c r="F698" i="14"/>
  <c r="F696" i="14"/>
  <c r="F683" i="14"/>
  <c r="B682" i="14"/>
  <c r="B679" i="14"/>
  <c r="B677" i="14"/>
  <c r="F675" i="14"/>
  <c r="F673" i="14"/>
  <c r="F671" i="14"/>
  <c r="F669" i="14"/>
  <c r="F665" i="14"/>
  <c r="B664" i="14"/>
  <c r="F662" i="14"/>
  <c r="B661" i="14"/>
  <c r="F657" i="14"/>
  <c r="F653" i="14"/>
  <c r="F643" i="14"/>
  <c r="F616" i="14"/>
  <c r="F614" i="14"/>
  <c r="F612" i="14"/>
  <c r="F610" i="14"/>
  <c r="F595" i="14"/>
  <c r="F589" i="14"/>
  <c r="F587" i="14"/>
  <c r="F585" i="14"/>
  <c r="F583" i="14"/>
  <c r="F581" i="14"/>
  <c r="F579" i="14"/>
  <c r="F567" i="14"/>
  <c r="F561" i="14"/>
  <c r="F559" i="14"/>
  <c r="F557" i="14"/>
  <c r="F555" i="14"/>
  <c r="F553" i="14"/>
  <c r="F551" i="14"/>
  <c r="F549" i="14"/>
  <c r="F547" i="14"/>
  <c r="F545" i="14"/>
  <c r="F539" i="14"/>
  <c r="F537" i="14"/>
  <c r="F535" i="14"/>
  <c r="F533" i="14"/>
  <c r="F531" i="14"/>
  <c r="F529" i="14"/>
  <c r="F527" i="14"/>
  <c r="F525" i="14"/>
  <c r="F512" i="14"/>
  <c r="B511" i="14"/>
  <c r="B509" i="14"/>
  <c r="B507" i="14"/>
  <c r="F505" i="14"/>
  <c r="F498" i="14"/>
  <c r="F496" i="14"/>
  <c r="F494" i="14"/>
  <c r="F492" i="14"/>
  <c r="F490" i="14"/>
  <c r="F488" i="14"/>
  <c r="F486" i="14"/>
  <c r="F484" i="14"/>
  <c r="B483" i="14"/>
  <c r="B477" i="14"/>
  <c r="B469" i="14"/>
  <c r="B464" i="14"/>
  <c r="B458" i="14"/>
  <c r="B456" i="14"/>
  <c r="B454" i="14"/>
  <c r="B441" i="14"/>
  <c r="B439" i="14"/>
  <c r="B437" i="14"/>
  <c r="B435" i="14"/>
  <c r="B433" i="14"/>
  <c r="B426" i="14"/>
  <c r="B405" i="14"/>
  <c r="B403" i="14"/>
  <c r="B401" i="14"/>
  <c r="B399" i="14"/>
  <c r="B397" i="14"/>
  <c r="B395" i="14"/>
  <c r="B393" i="14"/>
  <c r="B391" i="14"/>
  <c r="B389" i="14"/>
  <c r="B387" i="14"/>
  <c r="B385" i="14"/>
  <c r="B383" i="14"/>
  <c r="F379" i="14"/>
  <c r="F370" i="14"/>
  <c r="F368" i="14"/>
  <c r="F366" i="14"/>
  <c r="F364" i="14"/>
  <c r="F362" i="14"/>
  <c r="F360" i="14"/>
  <c r="F353" i="14"/>
  <c r="F351" i="14"/>
  <c r="F349" i="14"/>
  <c r="F347" i="14"/>
  <c r="B346" i="14"/>
  <c r="B344" i="14"/>
  <c r="B342" i="14"/>
  <c r="B340" i="14"/>
  <c r="F337" i="14"/>
  <c r="F335" i="14"/>
  <c r="F333" i="14"/>
  <c r="F331" i="14"/>
  <c r="F323" i="14"/>
  <c r="F321" i="14"/>
  <c r="F319" i="14"/>
  <c r="F317" i="14"/>
  <c r="F315" i="14"/>
  <c r="F313" i="14"/>
  <c r="F311" i="14"/>
  <c r="B310" i="14"/>
  <c r="B304" i="14"/>
  <c r="F298" i="14"/>
  <c r="F296" i="14"/>
  <c r="F294" i="14"/>
  <c r="F292" i="14"/>
  <c r="F290" i="14"/>
  <c r="F288" i="14"/>
  <c r="F286" i="14"/>
  <c r="F284" i="14"/>
  <c r="F276" i="14"/>
  <c r="F274" i="14"/>
  <c r="F272" i="14"/>
  <c r="F270" i="14"/>
  <c r="F268" i="14"/>
  <c r="F266" i="14"/>
  <c r="F264" i="14"/>
  <c r="F262" i="14"/>
  <c r="F260" i="14"/>
  <c r="B254" i="14"/>
  <c r="B252" i="14"/>
  <c r="B250" i="14"/>
  <c r="B248" i="14"/>
  <c r="B246" i="14"/>
  <c r="B244" i="14"/>
  <c r="B229" i="14"/>
  <c r="B227" i="14"/>
  <c r="B225" i="14"/>
  <c r="B223" i="14"/>
  <c r="B221" i="14"/>
  <c r="B219" i="14"/>
  <c r="B217" i="14"/>
  <c r="B215" i="14"/>
  <c r="F212" i="14"/>
  <c r="F192" i="14"/>
  <c r="F190" i="14"/>
  <c r="F188" i="14"/>
  <c r="F186" i="14"/>
  <c r="F184" i="14"/>
  <c r="F182" i="14"/>
  <c r="F180" i="14"/>
  <c r="F178" i="14"/>
  <c r="F176" i="14"/>
  <c r="F174" i="14"/>
  <c r="F172" i="14"/>
  <c r="F170" i="14"/>
  <c r="F168" i="14"/>
  <c r="F166" i="14"/>
  <c r="F164" i="14"/>
  <c r="F159" i="14"/>
  <c r="F157" i="14"/>
  <c r="F155" i="14"/>
  <c r="F153" i="14"/>
  <c r="F151" i="14"/>
  <c r="F149" i="14"/>
  <c r="F147" i="14"/>
  <c r="F143" i="14"/>
  <c r="F141" i="14"/>
  <c r="F139" i="14"/>
  <c r="B122" i="14"/>
  <c r="F105" i="14"/>
  <c r="F103" i="14"/>
  <c r="F101" i="14"/>
  <c r="F99" i="14"/>
  <c r="F88" i="14"/>
  <c r="B87" i="14"/>
  <c r="B85" i="14"/>
  <c r="B83" i="14"/>
  <c r="B81" i="14"/>
  <c r="B79" i="14"/>
  <c r="B77" i="14"/>
  <c r="B75" i="14"/>
  <c r="B71" i="14"/>
  <c r="B69" i="14"/>
  <c r="B67" i="14"/>
  <c r="B65" i="14"/>
  <c r="B63" i="14"/>
  <c r="F60" i="14"/>
  <c r="F58" i="14"/>
  <c r="F56" i="14"/>
  <c r="F54" i="14"/>
  <c r="F52" i="14"/>
  <c r="F50" i="14"/>
  <c r="F48" i="14"/>
  <c r="F46" i="14"/>
  <c r="F44" i="14"/>
  <c r="F42" i="14"/>
  <c r="F40" i="14"/>
  <c r="F38" i="14"/>
  <c r="F36" i="14"/>
  <c r="F34" i="14"/>
  <c r="F32" i="14"/>
  <c r="F30" i="14"/>
  <c r="F28" i="14"/>
  <c r="F26" i="14"/>
  <c r="F24" i="14"/>
  <c r="F22" i="14"/>
  <c r="F20" i="14"/>
  <c r="F18" i="14"/>
  <c r="F16" i="14"/>
  <c r="F14" i="14"/>
  <c r="F12" i="14"/>
  <c r="F10" i="14"/>
  <c r="F8" i="14"/>
  <c r="B733" i="14"/>
  <c r="B712" i="14"/>
  <c r="B700" i="14"/>
  <c r="B680" i="14"/>
  <c r="F678" i="14"/>
  <c r="B673" i="14"/>
  <c r="B659" i="14"/>
  <c r="B616" i="14"/>
  <c r="B612" i="14"/>
  <c r="B589" i="14"/>
  <c r="B583" i="14"/>
  <c r="B561" i="14"/>
  <c r="B555" i="14"/>
  <c r="B551" i="14"/>
  <c r="B545" i="14"/>
  <c r="B537" i="14"/>
  <c r="B531" i="14"/>
  <c r="F524" i="14"/>
  <c r="F508" i="14"/>
  <c r="B494" i="14"/>
  <c r="B488" i="14"/>
  <c r="F482" i="14"/>
  <c r="F453" i="14"/>
  <c r="F440" i="14"/>
  <c r="F434" i="14"/>
  <c r="F427" i="14"/>
  <c r="F404" i="14"/>
  <c r="F398" i="14"/>
  <c r="F392" i="14"/>
  <c r="F386" i="14"/>
  <c r="B381" i="14"/>
  <c r="B366" i="14"/>
  <c r="B360" i="14"/>
  <c r="B351" i="14"/>
  <c r="F345" i="14"/>
  <c r="F339" i="14"/>
  <c r="B333" i="14"/>
  <c r="B323" i="14"/>
  <c r="B317" i="14"/>
  <c r="B313" i="14"/>
  <c r="B292" i="14"/>
  <c r="B286" i="14"/>
  <c r="B276" i="14"/>
  <c r="B272" i="14"/>
  <c r="B268" i="14"/>
  <c r="B264" i="14"/>
  <c r="F228" i="14"/>
  <c r="F224" i="14"/>
  <c r="F218" i="14"/>
  <c r="B190" i="14"/>
  <c r="B184" i="14"/>
  <c r="B180" i="14"/>
  <c r="B174" i="14"/>
  <c r="B168" i="14"/>
  <c r="B159" i="14"/>
  <c r="B151" i="14"/>
  <c r="B143" i="14"/>
  <c r="B101" i="14"/>
  <c r="F95" i="14"/>
  <c r="F82" i="14"/>
  <c r="F76" i="14"/>
  <c r="F68" i="14"/>
  <c r="F66" i="14"/>
  <c r="B60" i="14"/>
  <c r="B54" i="14"/>
  <c r="B50" i="14"/>
  <c r="B44" i="14"/>
  <c r="B38" i="14"/>
  <c r="B32" i="14"/>
  <c r="B26" i="14"/>
  <c r="B24" i="14"/>
  <c r="B18" i="14"/>
  <c r="B12" i="14"/>
  <c r="B917" i="14"/>
  <c r="F905" i="14"/>
  <c r="B873" i="14"/>
  <c r="B865" i="14"/>
  <c r="B859" i="14"/>
  <c r="B853" i="14"/>
  <c r="B847" i="14"/>
  <c r="F820" i="14"/>
  <c r="F799" i="14"/>
  <c r="F791" i="14"/>
  <c r="B784" i="14"/>
  <c r="B776" i="14"/>
  <c r="B756" i="14"/>
  <c r="B748" i="14"/>
  <c r="F740" i="14"/>
  <c r="F719" i="14"/>
  <c r="F701" i="14"/>
  <c r="F697" i="14"/>
  <c r="B681" i="14"/>
  <c r="F674" i="14"/>
  <c r="B665" i="14"/>
  <c r="B660" i="14"/>
  <c r="F644" i="14"/>
  <c r="F615" i="14"/>
  <c r="F584" i="14"/>
  <c r="F573" i="14"/>
  <c r="F558" i="14"/>
  <c r="F550" i="14"/>
  <c r="F536" i="14"/>
  <c r="F528" i="14"/>
  <c r="F511" i="14"/>
  <c r="F504" i="14"/>
  <c r="F493" i="14"/>
  <c r="F485" i="14"/>
  <c r="B476" i="14"/>
  <c r="B455" i="14"/>
  <c r="B440" i="14"/>
  <c r="B432" i="14"/>
  <c r="B404" i="14"/>
  <c r="B396" i="14"/>
  <c r="B388" i="14"/>
  <c r="F380" i="14"/>
  <c r="F369" i="14"/>
  <c r="F361" i="14"/>
  <c r="F348" i="14"/>
  <c r="B339" i="14"/>
  <c r="F330" i="14"/>
  <c r="F318" i="14"/>
  <c r="F310" i="14"/>
  <c r="F293" i="14"/>
  <c r="F285" i="14"/>
  <c r="F273" i="14"/>
  <c r="F265" i="14"/>
  <c r="B253" i="14"/>
  <c r="B245" i="14"/>
  <c r="B226" i="14"/>
  <c r="B218" i="14"/>
  <c r="F191" i="14"/>
  <c r="F183" i="14"/>
  <c r="F175" i="14"/>
  <c r="F167" i="14"/>
  <c r="F156" i="14"/>
  <c r="F148" i="14"/>
  <c r="F138" i="14"/>
  <c r="F102" i="14"/>
  <c r="B86" i="14"/>
  <c r="B78" i="14"/>
  <c r="B66" i="14"/>
  <c r="F59" i="14"/>
  <c r="F51" i="14"/>
  <c r="F43" i="14"/>
  <c r="F35" i="14"/>
  <c r="F27" i="14"/>
  <c r="F19" i="14"/>
  <c r="F11" i="14"/>
  <c r="B56" i="17"/>
  <c r="B37" i="17"/>
  <c r="B35" i="17"/>
  <c r="B33" i="17"/>
  <c r="B31" i="17"/>
  <c r="B29" i="17"/>
  <c r="B22" i="17"/>
  <c r="B20" i="17"/>
  <c r="B14" i="17"/>
  <c r="B10" i="17"/>
  <c r="B8" i="17"/>
  <c r="B6" i="17"/>
  <c r="F923" i="14"/>
  <c r="B922" i="14"/>
  <c r="F920" i="14"/>
  <c r="F918" i="14"/>
  <c r="F915" i="14"/>
  <c r="B912" i="14"/>
  <c r="B906" i="14"/>
  <c r="F904" i="14"/>
  <c r="F873" i="14"/>
  <c r="F871" i="14"/>
  <c r="F869" i="14"/>
  <c r="F865" i="14"/>
  <c r="F863" i="14"/>
  <c r="F861" i="14"/>
  <c r="F859" i="14"/>
  <c r="F857" i="14"/>
  <c r="F855" i="14"/>
  <c r="F853" i="14"/>
  <c r="F851" i="14"/>
  <c r="F849" i="14"/>
  <c r="F847" i="14"/>
  <c r="F845" i="14"/>
  <c r="B824" i="14"/>
  <c r="F822" i="14"/>
  <c r="B821" i="14"/>
  <c r="B819" i="14"/>
  <c r="B802" i="14"/>
  <c r="B800" i="14"/>
  <c r="B796" i="14"/>
  <c r="B794" i="14"/>
  <c r="B792" i="14"/>
  <c r="B790" i="14"/>
  <c r="F784" i="14"/>
  <c r="F782" i="14"/>
  <c r="F778" i="14"/>
  <c r="F774" i="14"/>
  <c r="F760" i="14"/>
  <c r="F756" i="14"/>
  <c r="F752" i="14"/>
  <c r="F748" i="14"/>
  <c r="B745" i="14"/>
  <c r="B741" i="14"/>
  <c r="B737" i="14"/>
  <c r="F726" i="14"/>
  <c r="B723" i="14"/>
  <c r="B720" i="14"/>
  <c r="B716" i="14"/>
  <c r="B702" i="14"/>
  <c r="B696" i="14"/>
  <c r="F681" i="14"/>
  <c r="B675" i="14"/>
  <c r="B669" i="14"/>
  <c r="B662" i="14"/>
  <c r="B657" i="14"/>
  <c r="B643" i="14"/>
  <c r="B614" i="14"/>
  <c r="B595" i="14"/>
  <c r="B585" i="14"/>
  <c r="B579" i="14"/>
  <c r="B559" i="14"/>
  <c r="B553" i="14"/>
  <c r="B547" i="14"/>
  <c r="B533" i="14"/>
  <c r="B527" i="14"/>
  <c r="B512" i="14"/>
  <c r="F506" i="14"/>
  <c r="B496" i="14"/>
  <c r="B490" i="14"/>
  <c r="B484" i="14"/>
  <c r="F476" i="14"/>
  <c r="F457" i="14"/>
  <c r="F442" i="14"/>
  <c r="F436" i="14"/>
  <c r="F425" i="14"/>
  <c r="F402" i="14"/>
  <c r="F396" i="14"/>
  <c r="F390" i="14"/>
  <c r="F382" i="14"/>
  <c r="B368" i="14"/>
  <c r="B362" i="14"/>
  <c r="B349" i="14"/>
  <c r="F343" i="14"/>
  <c r="B337" i="14"/>
  <c r="B331" i="14"/>
  <c r="B319" i="14"/>
  <c r="B311" i="14"/>
  <c r="B296" i="14"/>
  <c r="B290" i="14"/>
  <c r="B284" i="14"/>
  <c r="B274" i="14"/>
  <c r="B266" i="14"/>
  <c r="B260" i="14"/>
  <c r="F251" i="14"/>
  <c r="F247" i="14"/>
  <c r="F226" i="14"/>
  <c r="F214" i="14"/>
  <c r="B192" i="14"/>
  <c r="B186" i="14"/>
  <c r="B176" i="14"/>
  <c r="B170" i="14"/>
  <c r="B164" i="14"/>
  <c r="B155" i="14"/>
  <c r="B149" i="14"/>
  <c r="B141" i="14"/>
  <c r="B105" i="14"/>
  <c r="B94" i="14"/>
  <c r="F84" i="14"/>
  <c r="F78" i="14"/>
  <c r="F70" i="14"/>
  <c r="F64" i="14"/>
  <c r="B58" i="14"/>
  <c r="B48" i="14"/>
  <c r="B42" i="14"/>
  <c r="B36" i="14"/>
  <c r="B30" i="14"/>
  <c r="B20" i="14"/>
  <c r="B14" i="14"/>
  <c r="B8" i="14"/>
  <c r="B863" i="14"/>
  <c r="B851" i="14"/>
  <c r="B845" i="14"/>
  <c r="F823" i="14"/>
  <c r="F818" i="14"/>
  <c r="F793" i="14"/>
  <c r="B786" i="14"/>
  <c r="B778" i="14"/>
  <c r="B762" i="14"/>
  <c r="B754" i="14"/>
  <c r="B746" i="14"/>
  <c r="F738" i="14"/>
  <c r="F727" i="14"/>
  <c r="F695" i="14"/>
  <c r="F679" i="14"/>
  <c r="F672" i="14"/>
  <c r="F582" i="14"/>
  <c r="F568" i="14"/>
  <c r="F554" i="14"/>
  <c r="F546" i="14"/>
  <c r="F532" i="14"/>
  <c r="F526" i="14"/>
  <c r="B510" i="14"/>
  <c r="F499" i="14"/>
  <c r="F489" i="14"/>
  <c r="F483" i="14"/>
  <c r="B470" i="14"/>
  <c r="B449" i="14"/>
  <c r="B436" i="14"/>
  <c r="B427" i="14"/>
  <c r="B400" i="14"/>
  <c r="B394" i="14"/>
  <c r="B386" i="14"/>
  <c r="F376" i="14"/>
  <c r="F367" i="14"/>
  <c r="F346" i="14"/>
  <c r="F336" i="14"/>
  <c r="F324" i="14"/>
  <c r="F316" i="14"/>
  <c r="F297" i="14"/>
  <c r="F291" i="14"/>
  <c r="F283" i="14"/>
  <c r="F271" i="14"/>
  <c r="F263" i="14"/>
  <c r="B251" i="14"/>
  <c r="B220" i="14"/>
  <c r="B211" i="14"/>
  <c r="F189" i="14"/>
  <c r="F181" i="14"/>
  <c r="F171" i="14"/>
  <c r="F160" i="14"/>
  <c r="F152" i="14"/>
  <c r="F140" i="14"/>
  <c r="F117" i="14"/>
  <c r="F100" i="14"/>
  <c r="B88" i="14"/>
  <c r="B80" i="14"/>
  <c r="B70" i="14"/>
  <c r="B64" i="14"/>
  <c r="F57" i="14"/>
  <c r="F49" i="14"/>
  <c r="F39" i="14"/>
  <c r="F33" i="14"/>
  <c r="F25" i="14"/>
  <c r="F17" i="14"/>
  <c r="F9" i="14"/>
  <c r="B18" i="1"/>
  <c r="B17" i="1"/>
  <c r="B9" i="1"/>
  <c r="B19" i="1"/>
  <c r="B15" i="1"/>
  <c r="B20" i="1"/>
  <c r="A6" i="21" s="1"/>
  <c r="A24" i="21" s="1"/>
  <c r="B199" i="20"/>
  <c r="B138" i="20"/>
  <c r="E446" i="17"/>
  <c r="E318" i="17"/>
  <c r="E235" i="17"/>
  <c r="E372" i="17"/>
  <c r="E330" i="17"/>
  <c r="E328" i="17"/>
  <c r="E433" i="17"/>
  <c r="E388" i="17"/>
  <c r="E451" i="17"/>
  <c r="E450" i="17"/>
  <c r="E165" i="17"/>
  <c r="E367" i="17"/>
  <c r="E329" i="17"/>
  <c r="E363" i="17"/>
  <c r="E432" i="17"/>
  <c r="E386" i="17"/>
  <c r="E152" i="17"/>
  <c r="E154" i="17"/>
  <c r="E362" i="17"/>
  <c r="E360" i="17"/>
  <c r="E174" i="17"/>
  <c r="E173" i="17"/>
  <c r="E274" i="17"/>
  <c r="E284" i="17"/>
  <c r="E287" i="17"/>
  <c r="E282" i="17"/>
  <c r="E270" i="17"/>
  <c r="E286" i="17"/>
  <c r="E268" i="17"/>
  <c r="E262" i="17"/>
  <c r="E444" i="17"/>
  <c r="E385" i="17"/>
  <c r="E382" i="17"/>
  <c r="E100" i="18" s="1"/>
  <c r="E350" i="17"/>
  <c r="E349" i="17"/>
  <c r="E348" i="17"/>
  <c r="E347" i="17"/>
  <c r="E381" i="17"/>
  <c r="E345" i="17"/>
  <c r="E344" i="17"/>
  <c r="E343" i="17"/>
  <c r="E342" i="17"/>
  <c r="E340" i="17"/>
  <c r="E338" i="17"/>
  <c r="E395" i="17"/>
  <c r="E113" i="17"/>
  <c r="E109" i="17"/>
  <c r="E92" i="17"/>
  <c r="E90" i="17"/>
  <c r="E84" i="17"/>
  <c r="E82" i="17"/>
  <c r="E80" i="17"/>
  <c r="E78" i="17"/>
  <c r="E69" i="17"/>
  <c r="D923" i="14"/>
  <c r="D922" i="14"/>
  <c r="D865" i="14"/>
  <c r="D458" i="14"/>
  <c r="D88" i="14"/>
  <c r="D11" i="14"/>
  <c r="D914" i="14"/>
  <c r="E253" i="17"/>
  <c r="E252" i="17"/>
  <c r="E244" i="17"/>
  <c r="E242" i="17"/>
  <c r="E279" i="17"/>
  <c r="E306" i="17"/>
  <c r="E303" i="17"/>
  <c r="E302" i="17"/>
  <c r="E301" i="17"/>
  <c r="E126" i="17"/>
  <c r="E394" i="17"/>
  <c r="E390" i="17"/>
  <c r="E300" i="17"/>
  <c r="E199" i="17"/>
  <c r="E197" i="17"/>
  <c r="E195" i="17"/>
  <c r="E112" i="17"/>
  <c r="E61" i="17"/>
  <c r="E57" i="17"/>
  <c r="E55" i="17"/>
  <c r="E53" i="17"/>
  <c r="E51" i="17"/>
  <c r="E10" i="17"/>
  <c r="E14" i="17"/>
  <c r="E285" i="17"/>
  <c r="E259" i="17"/>
  <c r="E115" i="17"/>
  <c r="E111" i="17"/>
  <c r="E91" i="17"/>
  <c r="E89" i="17"/>
  <c r="E87" i="17"/>
  <c r="E85" i="17"/>
  <c r="E83" i="17"/>
  <c r="E81" i="17"/>
  <c r="E79" i="17"/>
  <c r="E73" i="17"/>
  <c r="E68" i="17"/>
  <c r="E110" i="17"/>
  <c r="E65" i="17"/>
  <c r="E137" i="17"/>
  <c r="E60" i="17"/>
  <c r="E58" i="17"/>
  <c r="E56" i="17"/>
  <c r="E52" i="17"/>
  <c r="E11" i="17"/>
  <c r="E7" i="17"/>
  <c r="D920" i="14"/>
  <c r="D904" i="14"/>
  <c r="D918" i="14"/>
  <c r="D916" i="14"/>
  <c r="D905" i="14"/>
  <c r="D885" i="14"/>
  <c r="D660" i="14"/>
  <c r="D662" i="14"/>
  <c r="D659" i="14"/>
  <c r="D658" i="14"/>
  <c r="D661" i="14"/>
  <c r="D864" i="14"/>
  <c r="D863" i="14"/>
  <c r="D862" i="14"/>
  <c r="D861" i="14"/>
  <c r="D860" i="14"/>
  <c r="D859" i="14"/>
  <c r="D858" i="14"/>
  <c r="D857" i="14"/>
  <c r="D856" i="14"/>
  <c r="D855" i="14"/>
  <c r="D854" i="14"/>
  <c r="D853" i="14"/>
  <c r="D852" i="14"/>
  <c r="D851" i="14"/>
  <c r="D850" i="14"/>
  <c r="D849" i="14"/>
  <c r="D848" i="14"/>
  <c r="D846" i="14"/>
  <c r="D845" i="14"/>
  <c r="D820" i="14"/>
  <c r="D801" i="14"/>
  <c r="D397" i="14"/>
  <c r="D871" i="14"/>
  <c r="D733" i="14"/>
  <c r="D786" i="14"/>
  <c r="D792" i="14"/>
  <c r="D395" i="14"/>
  <c r="D719" i="14"/>
  <c r="D718" i="14"/>
  <c r="D781" i="14"/>
  <c r="D780" i="14"/>
  <c r="D779" i="14"/>
  <c r="D777" i="14"/>
  <c r="D790" i="14"/>
  <c r="D785" i="14"/>
  <c r="D728" i="14"/>
  <c r="D778" i="14"/>
  <c r="D831" i="14"/>
  <c r="D738" i="14"/>
  <c r="D89" i="14"/>
  <c r="D87" i="14"/>
  <c r="D86" i="14"/>
  <c r="D85" i="14"/>
  <c r="D84" i="14"/>
  <c r="D83" i="14"/>
  <c r="D82" i="14"/>
  <c r="D81" i="14"/>
  <c r="D80" i="14"/>
  <c r="D79" i="14"/>
  <c r="D78" i="14"/>
  <c r="D77" i="14"/>
  <c r="D76" i="14"/>
  <c r="D75" i="14"/>
  <c r="D561" i="14"/>
  <c r="D560" i="14"/>
  <c r="D559" i="14"/>
  <c r="D558" i="14"/>
  <c r="D573" i="14"/>
  <c r="D557" i="14"/>
  <c r="D917" i="14"/>
  <c r="D912" i="14"/>
  <c r="D903" i="14"/>
  <c r="D887" i="14"/>
  <c r="D507" i="14"/>
  <c r="D872" i="14"/>
  <c r="D818" i="14"/>
  <c r="D391" i="14"/>
  <c r="D819" i="14"/>
  <c r="D817" i="14"/>
  <c r="D404" i="14"/>
  <c r="D886" i="14"/>
  <c r="D825" i="14"/>
  <c r="D726" i="14"/>
  <c r="D675" i="14"/>
  <c r="D653" i="14"/>
  <c r="D724" i="14"/>
  <c r="D782" i="14"/>
  <c r="D791" i="14"/>
  <c r="D788" i="14"/>
  <c r="D698" i="14"/>
  <c r="D669" i="14"/>
  <c r="D762" i="14"/>
  <c r="D758" i="14"/>
  <c r="D754" i="14"/>
  <c r="D722" i="14"/>
  <c r="D797" i="14"/>
  <c r="D712" i="14"/>
  <c r="D795" i="14"/>
  <c r="D743" i="14"/>
  <c r="D793" i="14"/>
  <c r="D189" i="14"/>
  <c r="D638" i="14"/>
  <c r="D511" i="14"/>
  <c r="D824" i="14"/>
  <c r="D680" i="14"/>
  <c r="D678" i="14"/>
  <c r="D745" i="14"/>
  <c r="D702" i="14"/>
  <c r="D670" i="14"/>
  <c r="D759" i="14"/>
  <c r="D755" i="14"/>
  <c r="D751" i="14"/>
  <c r="D716" i="14"/>
  <c r="D746" i="14"/>
  <c r="D744" i="14"/>
  <c r="D740" i="14"/>
  <c r="D906" i="14"/>
  <c r="D506" i="14"/>
  <c r="D823" i="14"/>
  <c r="D683" i="14"/>
  <c r="D679" i="14"/>
  <c r="D677" i="14"/>
  <c r="D673" i="14"/>
  <c r="D725" i="14"/>
  <c r="D802" i="14"/>
  <c r="D799" i="14"/>
  <c r="D696" i="14"/>
  <c r="D720" i="14"/>
  <c r="D760" i="14"/>
  <c r="D756" i="14"/>
  <c r="D752" i="14"/>
  <c r="D723" i="14"/>
  <c r="D796" i="14"/>
  <c r="D747" i="14"/>
  <c r="D750" i="14"/>
  <c r="D811" i="14"/>
  <c r="D775" i="14"/>
  <c r="D921" i="14"/>
  <c r="D870" i="14"/>
  <c r="D510" i="14"/>
  <c r="D727" i="14"/>
  <c r="D676" i="14"/>
  <c r="D774" i="14"/>
  <c r="D700" i="14"/>
  <c r="D671" i="14"/>
  <c r="D736" i="14"/>
  <c r="D757" i="14"/>
  <c r="D753" i="14"/>
  <c r="D721" i="14"/>
  <c r="D717" i="14"/>
  <c r="D748" i="14"/>
  <c r="D794" i="14"/>
  <c r="D776" i="14"/>
  <c r="D613" i="14"/>
  <c r="D94" i="14"/>
  <c r="D513" i="14"/>
  <c r="D612" i="14"/>
  <c r="D95" i="14"/>
  <c r="D556" i="14"/>
  <c r="D555" i="14"/>
  <c r="D554" i="14"/>
  <c r="D553" i="14"/>
  <c r="D552" i="14"/>
  <c r="D551" i="14"/>
  <c r="D550" i="14"/>
  <c r="D549" i="14"/>
  <c r="D548" i="14"/>
  <c r="D547" i="14"/>
  <c r="D546" i="14"/>
  <c r="D545" i="14"/>
  <c r="D587" i="14"/>
  <c r="D589" i="14"/>
  <c r="D588" i="14"/>
  <c r="D586" i="14"/>
  <c r="D539" i="14"/>
  <c r="D585" i="14"/>
  <c r="D584" i="14"/>
  <c r="D595" i="14"/>
  <c r="D583" i="14"/>
  <c r="D538" i="14"/>
  <c r="D582" i="14"/>
  <c r="D537" i="14"/>
  <c r="D568" i="14"/>
  <c r="D567" i="14"/>
  <c r="D581" i="14"/>
  <c r="D580" i="14"/>
  <c r="D579" i="14"/>
  <c r="D536" i="14"/>
  <c r="D535" i="14"/>
  <c r="D534" i="14"/>
  <c r="D533" i="14"/>
  <c r="D532" i="14"/>
  <c r="D531" i="14"/>
  <c r="D530" i="14"/>
  <c r="D529" i="14"/>
  <c r="D528" i="14"/>
  <c r="D527" i="14"/>
  <c r="D578" i="14"/>
  <c r="D526" i="14"/>
  <c r="D525" i="14"/>
  <c r="D524" i="14"/>
  <c r="D442" i="14"/>
  <c r="D441" i="14"/>
  <c r="D449" i="14"/>
  <c r="D496" i="14"/>
  <c r="D512" i="14"/>
  <c r="D440" i="14"/>
  <c r="D439" i="14"/>
  <c r="D438" i="14"/>
  <c r="D437" i="14"/>
  <c r="D436" i="14"/>
  <c r="D499" i="14"/>
  <c r="D498" i="14"/>
  <c r="D435" i="14"/>
  <c r="D434" i="14"/>
  <c r="D497" i="14"/>
  <c r="D495" i="14"/>
  <c r="D494" i="14"/>
  <c r="D493" i="14"/>
  <c r="D492" i="14"/>
  <c r="D491" i="14"/>
  <c r="D433" i="14"/>
  <c r="D432" i="14"/>
  <c r="D490" i="14"/>
  <c r="D489" i="14"/>
  <c r="D488" i="14"/>
  <c r="D455" i="14"/>
  <c r="D454" i="14"/>
  <c r="D406" i="14"/>
  <c r="D402" i="14"/>
  <c r="D400" i="14"/>
  <c r="D398" i="14"/>
  <c r="D478" i="14"/>
  <c r="D277" i="14"/>
  <c r="D276" i="14"/>
  <c r="D275" i="14"/>
  <c r="D274" i="14"/>
  <c r="D273" i="14"/>
  <c r="D272" i="14"/>
  <c r="D271" i="14"/>
  <c r="D270" i="14"/>
  <c r="D269" i="14"/>
  <c r="D268" i="14"/>
  <c r="D267" i="14"/>
  <c r="D266" i="14"/>
  <c r="D265" i="14"/>
  <c r="D264" i="14"/>
  <c r="D262" i="14"/>
  <c r="D261" i="14"/>
  <c r="D260" i="14"/>
  <c r="D259" i="14"/>
  <c r="D485" i="14"/>
  <c r="D345" i="14"/>
  <c r="D304" i="14"/>
  <c r="D324" i="14"/>
  <c r="D323" i="14"/>
  <c r="D322" i="14"/>
  <c r="D321" i="14"/>
  <c r="D320" i="14"/>
  <c r="D378" i="14"/>
  <c r="D370" i="14"/>
  <c r="D509" i="14"/>
  <c r="D874" i="14"/>
  <c r="D399" i="14"/>
  <c r="D317" i="14"/>
  <c r="D350" i="14"/>
  <c r="D314" i="14"/>
  <c r="D347" i="14"/>
  <c r="D342" i="14"/>
  <c r="D340" i="14"/>
  <c r="D338" i="14"/>
  <c r="D334" i="14"/>
  <c r="D367" i="14"/>
  <c r="D313" i="14"/>
  <c r="D332" i="14"/>
  <c r="D366" i="14"/>
  <c r="D312" i="14"/>
  <c r="D364" i="14"/>
  <c r="D362" i="14"/>
  <c r="D360" i="14"/>
  <c r="D487" i="14"/>
  <c r="D484" i="14"/>
  <c r="D482" i="14"/>
  <c r="D427" i="14"/>
  <c r="D425" i="14"/>
  <c r="D387" i="14"/>
  <c r="D386" i="14"/>
  <c r="D393" i="14"/>
  <c r="D383" i="14"/>
  <c r="D353" i="14"/>
  <c r="D405" i="14"/>
  <c r="D457" i="14"/>
  <c r="D382" i="14"/>
  <c r="D379" i="14"/>
  <c r="D401" i="14"/>
  <c r="D318" i="14"/>
  <c r="D351" i="14"/>
  <c r="D315" i="14"/>
  <c r="D349" i="14"/>
  <c r="D348" i="14"/>
  <c r="D343" i="14"/>
  <c r="D341" i="14"/>
  <c r="D339" i="14"/>
  <c r="D335" i="14"/>
  <c r="D333" i="14"/>
  <c r="D331" i="14"/>
  <c r="D311" i="14"/>
  <c r="D330" i="14"/>
  <c r="D365" i="14"/>
  <c r="D344" i="14"/>
  <c r="D363" i="14"/>
  <c r="D361" i="14"/>
  <c r="D298" i="14"/>
  <c r="D252" i="14"/>
  <c r="D251" i="14"/>
  <c r="D249" i="14"/>
  <c r="D297" i="14"/>
  <c r="D248" i="14"/>
  <c r="D247" i="14"/>
  <c r="D246" i="14"/>
  <c r="D296" i="14"/>
  <c r="D295" i="14"/>
  <c r="D245" i="14"/>
  <c r="D253" i="14"/>
  <c r="D244" i="14"/>
  <c r="D292" i="14"/>
  <c r="D291" i="14"/>
  <c r="D290" i="14"/>
  <c r="D288" i="14"/>
  <c r="D287" i="14"/>
  <c r="D286" i="14"/>
  <c r="D285" i="14"/>
  <c r="D283" i="14"/>
  <c r="D284" i="14"/>
  <c r="D369" i="14"/>
  <c r="D477" i="14"/>
  <c r="D476" i="14"/>
  <c r="D254" i="14"/>
  <c r="D106" i="14"/>
  <c r="D105" i="14"/>
  <c r="D469" i="14"/>
  <c r="D104" i="14"/>
  <c r="D117" i="14"/>
  <c r="D652" i="14"/>
  <c r="D470" i="14"/>
  <c r="D103" i="14"/>
  <c r="D122" i="14"/>
  <c r="D121" i="14"/>
  <c r="D101" i="14"/>
  <c r="D100" i="14"/>
  <c r="D99" i="14"/>
  <c r="D143" i="14"/>
  <c r="D194" i="14"/>
  <c r="D142" i="14"/>
  <c r="D141" i="14"/>
  <c r="D140" i="14"/>
  <c r="D139" i="14"/>
  <c r="D138" i="14"/>
  <c r="D71" i="14"/>
  <c r="D70" i="14"/>
  <c r="D69" i="14"/>
  <c r="D68" i="14"/>
  <c r="D67" i="14"/>
  <c r="D66" i="14"/>
  <c r="D65" i="14"/>
  <c r="D64" i="14"/>
  <c r="D63" i="14"/>
  <c r="D61" i="14"/>
  <c r="D62" i="14"/>
  <c r="D60" i="14"/>
  <c r="D172" i="14"/>
  <c r="D59" i="14"/>
  <c r="D58" i="14"/>
  <c r="D57" i="14"/>
  <c r="D56" i="14"/>
  <c r="D55" i="14"/>
  <c r="D229"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453" i="14"/>
  <c r="D486" i="14"/>
  <c r="D483" i="14"/>
  <c r="D396" i="14"/>
  <c r="D394" i="14"/>
  <c r="D388" i="14"/>
  <c r="D426" i="14"/>
  <c r="D385" i="14"/>
  <c r="D384" i="14"/>
  <c r="D352" i="14"/>
  <c r="D389" i="14"/>
  <c r="D16" i="14"/>
  <c r="D13" i="14"/>
  <c r="D190" i="14"/>
  <c r="D223" i="14"/>
  <c r="D221" i="14"/>
  <c r="D218" i="14"/>
  <c r="D214" i="14"/>
  <c r="D211" i="14"/>
  <c r="D182" i="14"/>
  <c r="D178" i="14"/>
  <c r="D174" i="14"/>
  <c r="D212" i="14"/>
  <c r="D165" i="14"/>
  <c r="D158" i="14"/>
  <c r="D154" i="14"/>
  <c r="D150" i="14"/>
  <c r="D19" i="14"/>
  <c r="D8" i="14"/>
  <c r="D12" i="14"/>
  <c r="D226" i="14"/>
  <c r="D186" i="14"/>
  <c r="D220" i="14"/>
  <c r="D217" i="14"/>
  <c r="D171" i="14"/>
  <c r="D181" i="14"/>
  <c r="D177" i="14"/>
  <c r="D173" i="14"/>
  <c r="D168" i="14"/>
  <c r="D164" i="14"/>
  <c r="D157" i="14"/>
  <c r="D153" i="14"/>
  <c r="D149" i="14"/>
  <c r="D18" i="14"/>
  <c r="D15" i="14"/>
  <c r="D10" i="14"/>
  <c r="D193" i="14"/>
  <c r="D187" i="14"/>
  <c r="D219" i="14"/>
  <c r="D216" i="14"/>
  <c r="D185" i="14"/>
  <c r="D183" i="14"/>
  <c r="D180" i="14"/>
  <c r="D176" i="14"/>
  <c r="D169" i="14"/>
  <c r="D167" i="14"/>
  <c r="D160" i="14"/>
  <c r="D156" i="14"/>
  <c r="D152" i="14"/>
  <c r="D148" i="14"/>
  <c r="D17" i="14"/>
  <c r="D14" i="14"/>
  <c r="D228" i="14"/>
  <c r="D192" i="14"/>
  <c r="D224" i="14"/>
  <c r="D9" i="14"/>
  <c r="D191" i="14"/>
  <c r="D215" i="14"/>
  <c r="D170" i="14"/>
  <c r="D188" i="14"/>
  <c r="D179" i="14"/>
  <c r="D175" i="14"/>
  <c r="D213" i="14"/>
  <c r="D166" i="14"/>
  <c r="D159" i="14"/>
  <c r="D155" i="14"/>
  <c r="D151" i="14"/>
  <c r="D147" i="14"/>
  <c r="A30" i="21"/>
  <c r="A39" i="21"/>
  <c r="L769" i="24"/>
  <c r="L767" i="24"/>
  <c r="L765" i="24"/>
  <c r="L795" i="24"/>
  <c r="L803" i="24"/>
  <c r="L811" i="24"/>
  <c r="L819" i="24"/>
  <c r="L777" i="24"/>
  <c r="L785" i="24"/>
  <c r="L761" i="24"/>
  <c r="L800" i="24"/>
  <c r="L808" i="24"/>
  <c r="L816" i="24"/>
  <c r="L828" i="24"/>
  <c r="L759" i="24"/>
  <c r="L770" i="24"/>
  <c r="L778" i="24"/>
  <c r="L786" i="24"/>
  <c r="L918" i="24"/>
  <c r="L922" i="24"/>
  <c r="L926" i="24"/>
  <c r="L838" i="24"/>
  <c r="L846" i="24"/>
  <c r="L854" i="24"/>
  <c r="L862" i="24"/>
  <c r="L870" i="24"/>
  <c r="L878" i="24"/>
  <c r="L889" i="24"/>
  <c r="L827" i="24"/>
  <c r="L835" i="24"/>
  <c r="L843" i="24"/>
  <c r="L851" i="24"/>
  <c r="L859" i="24"/>
  <c r="L867" i="24"/>
  <c r="L875" i="24"/>
  <c r="L883" i="24"/>
  <c r="L928" i="24"/>
  <c r="L932" i="24"/>
  <c r="L936" i="24"/>
  <c r="L940" i="24"/>
  <c r="L944" i="24"/>
  <c r="L948" i="24"/>
  <c r="L952" i="24"/>
  <c r="L956" i="24"/>
  <c r="L960" i="24"/>
  <c r="L964" i="24"/>
  <c r="L893" i="24"/>
  <c r="L901" i="24"/>
  <c r="L909" i="24"/>
  <c r="L968" i="24"/>
  <c r="L976" i="24"/>
  <c r="L984" i="24"/>
  <c r="L992" i="24"/>
  <c r="L886" i="24"/>
  <c r="L894" i="24"/>
  <c r="L902" i="24"/>
  <c r="L910" i="24"/>
  <c r="L969" i="24"/>
  <c r="L977" i="24"/>
  <c r="L985" i="24"/>
  <c r="L993" i="24"/>
  <c r="L1003" i="24"/>
  <c r="L1014" i="24"/>
  <c r="L1022" i="24"/>
  <c r="L997" i="24"/>
  <c r="L1007" i="24"/>
  <c r="L1017" i="24"/>
  <c r="H19" i="7"/>
  <c r="H24" i="7" s="1"/>
  <c r="D52" i="4"/>
  <c r="I40" i="15"/>
  <c r="A382" i="13"/>
  <c r="A367" i="11"/>
  <c r="A247" i="11"/>
  <c r="A117" i="11"/>
  <c r="A157" i="11"/>
  <c r="A253" i="13"/>
  <c r="A309" i="11"/>
  <c r="J119" i="15"/>
  <c r="H9" i="4"/>
  <c r="G43" i="15"/>
  <c r="I79" i="7"/>
  <c r="M8" i="23"/>
  <c r="I36" i="21"/>
  <c r="M9" i="22" s="1"/>
  <c r="G7" i="22"/>
  <c r="J49" i="8"/>
  <c r="J51" i="8" s="1"/>
  <c r="E49" i="4"/>
  <c r="G8" i="23"/>
  <c r="I18" i="21"/>
  <c r="I39" i="21"/>
  <c r="H12" i="21"/>
  <c r="K6" i="21"/>
  <c r="K12" i="21" s="1"/>
  <c r="F119" i="20"/>
  <c r="M30" i="3"/>
  <c r="C45" i="4"/>
  <c r="C52" i="4" s="1"/>
  <c r="E45" i="4"/>
  <c r="J41" i="15"/>
  <c r="I85" i="7"/>
  <c r="I87" i="7" s="1"/>
  <c r="G62" i="15"/>
  <c r="D24" i="20"/>
  <c r="J44" i="15"/>
  <c r="I80" i="7"/>
  <c r="J19" i="7"/>
  <c r="I24" i="7"/>
  <c r="F42" i="4"/>
  <c r="H42" i="4" s="1"/>
  <c r="K24" i="21"/>
  <c r="H30" i="21"/>
  <c r="H36" i="21" s="1"/>
  <c r="J18" i="21"/>
  <c r="J40" i="21" s="1"/>
  <c r="J39" i="21"/>
  <c r="F35" i="4"/>
  <c r="H35" i="4" s="1"/>
  <c r="G41" i="7"/>
  <c r="G151" i="11"/>
  <c r="C26" i="2"/>
  <c r="Q48" i="2" l="1"/>
  <c r="E48" i="2"/>
  <c r="I144" i="10" s="1"/>
  <c r="H625" i="14"/>
  <c r="J625" i="14" s="1"/>
  <c r="H620" i="14"/>
  <c r="J620" i="14" s="1"/>
  <c r="F129" i="14"/>
  <c r="L602" i="14"/>
  <c r="N602" i="14" s="1"/>
  <c r="M64" i="7"/>
  <c r="H889" i="14"/>
  <c r="J889" i="14" s="1"/>
  <c r="AQ21" i="14"/>
  <c r="AQ401" i="14"/>
  <c r="AQ402" i="14"/>
  <c r="AR917" i="14"/>
  <c r="AQ458" i="14"/>
  <c r="AQ186" i="14"/>
  <c r="AQ28" i="14"/>
  <c r="AQ36" i="14"/>
  <c r="AQ59" i="14"/>
  <c r="AQ275" i="14"/>
  <c r="AR922" i="14"/>
  <c r="AQ413" i="14"/>
  <c r="AQ193" i="14"/>
  <c r="AR916" i="14"/>
  <c r="AR923" i="14"/>
  <c r="AQ231" i="14"/>
  <c r="AR921" i="14"/>
  <c r="AR918" i="14"/>
  <c r="AQ417" i="14"/>
  <c r="AQ405" i="14"/>
  <c r="AQ15" i="14"/>
  <c r="AQ229" i="14"/>
  <c r="AQ194" i="14"/>
  <c r="AR712" i="14"/>
  <c r="AR887" i="14"/>
  <c r="AR871" i="14"/>
  <c r="AR914" i="14"/>
  <c r="AQ411" i="14"/>
  <c r="AQ168" i="14"/>
  <c r="AQ223" i="14"/>
  <c r="AQ12" i="14"/>
  <c r="AQ178" i="14"/>
  <c r="AQ183" i="14"/>
  <c r="AQ32" i="14"/>
  <c r="AR652" i="14"/>
  <c r="AQ404" i="14"/>
  <c r="AR831" i="14"/>
  <c r="AR920" i="14"/>
  <c r="AQ305" i="14"/>
  <c r="AQ188" i="14"/>
  <c r="AR912" i="14"/>
  <c r="AQ408" i="14"/>
  <c r="AQ509" i="14"/>
  <c r="AR899" i="14"/>
  <c r="AQ228" i="14"/>
  <c r="AQ226" i="14"/>
  <c r="AQ49" i="14"/>
  <c r="AR874" i="14"/>
  <c r="AQ57" i="14"/>
  <c r="AQ224" i="14"/>
  <c r="AQ220" i="14"/>
  <c r="AQ27" i="14"/>
  <c r="AQ58" i="14"/>
  <c r="AQ406" i="14"/>
  <c r="AQ189" i="14"/>
  <c r="AQ412" i="14"/>
  <c r="N428" i="14"/>
  <c r="L430" i="14"/>
  <c r="K57" i="13"/>
  <c r="G98" i="18"/>
  <c r="D60" i="4"/>
  <c r="D65" i="4" s="1"/>
  <c r="E356" i="17"/>
  <c r="O356" i="17" s="1"/>
  <c r="E34" i="17"/>
  <c r="E34" i="18" s="1"/>
  <c r="E36" i="17"/>
  <c r="O36" i="17" s="1"/>
  <c r="E33" i="17"/>
  <c r="O33" i="17" s="1"/>
  <c r="E376" i="17"/>
  <c r="R376" i="17" s="1"/>
  <c r="E393" i="17"/>
  <c r="O393" i="17" s="1"/>
  <c r="E380" i="17"/>
  <c r="R380" i="17" s="1"/>
  <c r="E355" i="17"/>
  <c r="O355" i="17" s="1"/>
  <c r="E223" i="17"/>
  <c r="O223" i="17" s="1"/>
  <c r="E136" i="17"/>
  <c r="O136" i="17" s="1"/>
  <c r="E193" i="17"/>
  <c r="E77" i="18" s="1"/>
  <c r="E304" i="17"/>
  <c r="R304" i="17" s="1"/>
  <c r="E240" i="17"/>
  <c r="O240" i="17" s="1"/>
  <c r="E254" i="17"/>
  <c r="O254" i="17" s="1"/>
  <c r="E184" i="17"/>
  <c r="O184" i="17" s="1"/>
  <c r="E21" i="17"/>
  <c r="R21" i="17" s="1"/>
  <c r="E305" i="17"/>
  <c r="R305" i="17" s="1"/>
  <c r="E333" i="17"/>
  <c r="O333" i="17" s="1"/>
  <c r="E370" i="17"/>
  <c r="O370" i="17" s="1"/>
  <c r="E9" i="17"/>
  <c r="O9" i="17" s="1"/>
  <c r="E309" i="17"/>
  <c r="R309" i="17" s="1"/>
  <c r="E384" i="17"/>
  <c r="O384" i="17" s="1"/>
  <c r="E283" i="17"/>
  <c r="O283" i="17" s="1"/>
  <c r="E206" i="17"/>
  <c r="O206" i="17" s="1"/>
  <c r="E121" i="17"/>
  <c r="O121" i="17" s="1"/>
  <c r="E365" i="17"/>
  <c r="O365" i="17" s="1"/>
  <c r="E164" i="17"/>
  <c r="O164" i="17" s="1"/>
  <c r="E12" i="17"/>
  <c r="O12" i="17" s="1"/>
  <c r="E122" i="17"/>
  <c r="O122" i="17" s="1"/>
  <c r="E250" i="17"/>
  <c r="O250" i="17" s="1"/>
  <c r="E198" i="17"/>
  <c r="O198" i="17" s="1"/>
  <c r="E241" i="17"/>
  <c r="O241" i="17" s="1"/>
  <c r="E260" i="17"/>
  <c r="O260" i="17" s="1"/>
  <c r="E269" i="17"/>
  <c r="O269" i="17" s="1"/>
  <c r="E364" i="17"/>
  <c r="O364" i="17" s="1"/>
  <c r="E374" i="17"/>
  <c r="O374" i="17" s="1"/>
  <c r="E120" i="17"/>
  <c r="R120" i="17" s="1"/>
  <c r="E267" i="17"/>
  <c r="O267" i="17" s="1"/>
  <c r="E216" i="17"/>
  <c r="O216" i="17" s="1"/>
  <c r="E59" i="17"/>
  <c r="O59" i="17" s="1"/>
  <c r="E249" i="17"/>
  <c r="O249" i="17" s="1"/>
  <c r="E273" i="17"/>
  <c r="E276" i="17" s="1"/>
  <c r="E292" i="17" s="1"/>
  <c r="E66" i="18" s="1"/>
  <c r="E153" i="17"/>
  <c r="O153" i="17" s="1"/>
  <c r="E233" i="17"/>
  <c r="O233" i="17" s="1"/>
  <c r="E389" i="17"/>
  <c r="O389" i="17" s="1"/>
  <c r="E30" i="17"/>
  <c r="O30" i="17" s="1"/>
  <c r="E392" i="17"/>
  <c r="O392" i="17" s="1"/>
  <c r="E341" i="17"/>
  <c r="O341" i="17" s="1"/>
  <c r="E32" i="17"/>
  <c r="J333" i="13" s="1"/>
  <c r="E387" i="17"/>
  <c r="O387" i="17" s="1"/>
  <c r="E170" i="17"/>
  <c r="O170" i="17" s="1"/>
  <c r="E139" i="17"/>
  <c r="O139" i="17" s="1"/>
  <c r="E75" i="17"/>
  <c r="O75" i="17" s="1"/>
  <c r="E417" i="17"/>
  <c r="O417" i="17" s="1"/>
  <c r="E123" i="17"/>
  <c r="O123" i="17" s="1"/>
  <c r="E280" i="17"/>
  <c r="O280" i="17" s="1"/>
  <c r="E251" i="17"/>
  <c r="O251" i="17" s="1"/>
  <c r="E49" i="17"/>
  <c r="O49" i="17" s="1"/>
  <c r="E62" i="17"/>
  <c r="O62" i="17" s="1"/>
  <c r="E77" i="17"/>
  <c r="O77" i="17" s="1"/>
  <c r="E107" i="17"/>
  <c r="R107" i="17" s="1"/>
  <c r="E22" i="17"/>
  <c r="O22" i="17" s="1"/>
  <c r="E63" i="17"/>
  <c r="O63" i="17" s="1"/>
  <c r="E191" i="17"/>
  <c r="O191" i="17" s="1"/>
  <c r="E124" i="17"/>
  <c r="O124" i="17" s="1"/>
  <c r="E277" i="17"/>
  <c r="O277" i="17" s="1"/>
  <c r="E261" i="17"/>
  <c r="R261" i="17" s="1"/>
  <c r="E217" i="17"/>
  <c r="O217" i="17" s="1"/>
  <c r="E167" i="17"/>
  <c r="O167" i="17" s="1"/>
  <c r="E27" i="17"/>
  <c r="O27" i="17" s="1"/>
  <c r="E366" i="17"/>
  <c r="O366" i="17" s="1"/>
  <c r="E377" i="17"/>
  <c r="E192" i="17"/>
  <c r="O192" i="17" s="1"/>
  <c r="E299" i="17"/>
  <c r="R299" i="17" s="1"/>
  <c r="E125" i="17"/>
  <c r="O125" i="17" s="1"/>
  <c r="E243" i="17"/>
  <c r="O243" i="17" s="1"/>
  <c r="E337" i="17"/>
  <c r="O337" i="17" s="1"/>
  <c r="E351" i="17"/>
  <c r="O351" i="17" s="1"/>
  <c r="E281" i="17"/>
  <c r="O281" i="17" s="1"/>
  <c r="E169" i="17"/>
  <c r="O169" i="17" s="1"/>
  <c r="E37" i="17"/>
  <c r="E37" i="18" s="1"/>
  <c r="E28" i="17"/>
  <c r="O28" i="17" s="1"/>
  <c r="E232" i="17"/>
  <c r="O232" i="17" s="1"/>
  <c r="E317" i="17"/>
  <c r="R317" i="17" s="1"/>
  <c r="E156" i="17"/>
  <c r="E119" i="17"/>
  <c r="O119" i="17" s="1"/>
  <c r="E383" i="17"/>
  <c r="E101" i="18" s="1"/>
  <c r="E38" i="17"/>
  <c r="O38" i="17" s="1"/>
  <c r="E54" i="17"/>
  <c r="O54" i="17" s="1"/>
  <c r="E106" i="17"/>
  <c r="O106" i="17" s="1"/>
  <c r="E116" i="17"/>
  <c r="R116" i="17" s="1"/>
  <c r="E194" i="17"/>
  <c r="O194" i="17" s="1"/>
  <c r="E278" i="17"/>
  <c r="O278" i="17" s="1"/>
  <c r="E255" i="17"/>
  <c r="O255" i="17" s="1"/>
  <c r="E263" i="17"/>
  <c r="O263" i="17" s="1"/>
  <c r="E183" i="17"/>
  <c r="O183" i="17" s="1"/>
  <c r="E369" i="17"/>
  <c r="O369" i="17" s="1"/>
  <c r="E171" i="17"/>
  <c r="O171" i="17" s="1"/>
  <c r="E29" i="17"/>
  <c r="O29" i="17" s="1"/>
  <c r="E234" i="17"/>
  <c r="O234" i="17" s="1"/>
  <c r="E245" i="17"/>
  <c r="O245" i="17" s="1"/>
  <c r="E157" i="17"/>
  <c r="O157" i="17" s="1"/>
  <c r="E67" i="17"/>
  <c r="O67" i="17" s="1"/>
  <c r="E339" i="17"/>
  <c r="O339" i="17" s="1"/>
  <c r="E346" i="17"/>
  <c r="O346" i="17" s="1"/>
  <c r="E266" i="17"/>
  <c r="O266" i="17" s="1"/>
  <c r="E361" i="17"/>
  <c r="O361" i="17" s="1"/>
  <c r="E371" i="17"/>
  <c r="O371" i="17" s="1"/>
  <c r="E320" i="17"/>
  <c r="O320" i="17" s="1"/>
  <c r="E114" i="17"/>
  <c r="O114" i="17" s="1"/>
  <c r="E431" i="17"/>
  <c r="O431" i="17" s="1"/>
  <c r="E8" i="17"/>
  <c r="O8" i="17" s="1"/>
  <c r="E221" i="17"/>
  <c r="O221" i="17" s="1"/>
  <c r="E196" i="17"/>
  <c r="O196" i="17" s="1"/>
  <c r="E246" i="17"/>
  <c r="O246" i="17" s="1"/>
  <c r="E74" i="17"/>
  <c r="O74" i="17" s="1"/>
  <c r="E437" i="17"/>
  <c r="R437" i="17" s="1"/>
  <c r="E185" i="17"/>
  <c r="O185" i="17" s="1"/>
  <c r="E231" i="17"/>
  <c r="O231" i="17" s="1"/>
  <c r="E375" i="17"/>
  <c r="O375" i="17" s="1"/>
  <c r="E239" i="17"/>
  <c r="O239" i="17" s="1"/>
  <c r="E172" i="17"/>
  <c r="O172" i="17" s="1"/>
  <c r="E368" i="17"/>
  <c r="O368" i="17" s="1"/>
  <c r="E39" i="17"/>
  <c r="G39" i="18"/>
  <c r="J29" i="11" s="1"/>
  <c r="J230" i="11" s="1"/>
  <c r="D689" i="14"/>
  <c r="D770" i="14"/>
  <c r="E438" i="17"/>
  <c r="AR629" i="14"/>
  <c r="H415" i="14"/>
  <c r="AQ415" i="14"/>
  <c r="D631" i="14"/>
  <c r="H414" i="14"/>
  <c r="AQ414" i="14"/>
  <c r="E454" i="17"/>
  <c r="E44" i="17"/>
  <c r="D460" i="14"/>
  <c r="D632" i="14"/>
  <c r="D112" i="14"/>
  <c r="E41" i="17"/>
  <c r="H767" i="14"/>
  <c r="AR767" i="14"/>
  <c r="D113" i="14"/>
  <c r="D633" i="14"/>
  <c r="E160" i="17"/>
  <c r="D207" i="14"/>
  <c r="D690" i="14"/>
  <c r="D806" i="14"/>
  <c r="D908" i="14"/>
  <c r="AR768" i="14"/>
  <c r="H768" i="14"/>
  <c r="E43" i="17"/>
  <c r="D630" i="14"/>
  <c r="D691" i="14"/>
  <c r="D199" i="14"/>
  <c r="D708" i="14"/>
  <c r="F827" i="14"/>
  <c r="L826" i="14"/>
  <c r="N826" i="14" s="1"/>
  <c r="C60" i="4"/>
  <c r="C65" i="4" s="1"/>
  <c r="AQ99" i="14"/>
  <c r="H600" i="14"/>
  <c r="J600" i="14" s="1"/>
  <c r="AD107" i="14"/>
  <c r="H599" i="14"/>
  <c r="H526" i="14"/>
  <c r="J526" i="14" s="1"/>
  <c r="N894" i="14"/>
  <c r="N206" i="14"/>
  <c r="N1107" i="24"/>
  <c r="F157" i="25"/>
  <c r="G157" i="25" s="1"/>
  <c r="K160" i="10"/>
  <c r="G468" i="17"/>
  <c r="F152" i="25"/>
  <c r="G152" i="25" s="1"/>
  <c r="J48" i="2"/>
  <c r="L48" i="2" s="1"/>
  <c r="J32" i="5"/>
  <c r="Q32" i="5"/>
  <c r="L325" i="14"/>
  <c r="N325" i="14" s="1"/>
  <c r="L626" i="14"/>
  <c r="N626" i="14" s="1"/>
  <c r="J73" i="11"/>
  <c r="H20" i="5" s="1"/>
  <c r="H67" i="5" s="1"/>
  <c r="H26" i="5" s="1"/>
  <c r="J70" i="11"/>
  <c r="K107" i="10" s="1"/>
  <c r="L645" i="14"/>
  <c r="N645" i="14" s="1"/>
  <c r="L646" i="14"/>
  <c r="N646" i="14" s="1"/>
  <c r="H19" i="3"/>
  <c r="G105" i="18"/>
  <c r="J93" i="11" s="1"/>
  <c r="F91" i="25"/>
  <c r="G91" i="25" s="1"/>
  <c r="L195" i="14"/>
  <c r="N195" i="14" s="1"/>
  <c r="L326" i="14"/>
  <c r="N326" i="14" s="1"/>
  <c r="L113" i="14"/>
  <c r="N113" i="14" s="1"/>
  <c r="L630" i="14"/>
  <c r="N630" i="14" s="1"/>
  <c r="W48" i="2"/>
  <c r="X48" i="2" s="1"/>
  <c r="W51" i="2"/>
  <c r="X51" i="2" s="1"/>
  <c r="L197" i="14"/>
  <c r="N197" i="14" s="1"/>
  <c r="L687" i="14"/>
  <c r="N687" i="14" s="1"/>
  <c r="G104" i="18"/>
  <c r="J83" i="11" s="1"/>
  <c r="F134" i="25"/>
  <c r="G134" i="25" s="1"/>
  <c r="E129" i="17"/>
  <c r="F103" i="25"/>
  <c r="G103" i="25" s="1"/>
  <c r="F253" i="25"/>
  <c r="G253" i="25" s="1"/>
  <c r="F229" i="25"/>
  <c r="G229" i="25" s="1"/>
  <c r="F231" i="25"/>
  <c r="G231" i="25" s="1"/>
  <c r="F242" i="25"/>
  <c r="G242" i="25" s="1"/>
  <c r="F155" i="25"/>
  <c r="F233" i="25"/>
  <c r="G233" i="25" s="1"/>
  <c r="D196" i="14"/>
  <c r="O224" i="17"/>
  <c r="D907" i="14"/>
  <c r="D628" i="14"/>
  <c r="E421" i="17"/>
  <c r="E97" i="17"/>
  <c r="D516" i="14"/>
  <c r="F149" i="25"/>
  <c r="G149" i="25" s="1"/>
  <c r="F164" i="25"/>
  <c r="G164" i="25" s="1"/>
  <c r="Z51" i="2"/>
  <c r="F165" i="25"/>
  <c r="F130" i="25"/>
  <c r="G130" i="25" s="1"/>
  <c r="F255" i="25"/>
  <c r="G255" i="25" s="1"/>
  <c r="F251" i="25"/>
  <c r="G251" i="25" s="1"/>
  <c r="O137" i="17"/>
  <c r="O89" i="17"/>
  <c r="O340" i="17"/>
  <c r="O350" i="17"/>
  <c r="O268" i="17"/>
  <c r="O300" i="17"/>
  <c r="O303" i="17"/>
  <c r="O78" i="17"/>
  <c r="O68" i="17"/>
  <c r="O83" i="17"/>
  <c r="O259" i="17"/>
  <c r="O53" i="17"/>
  <c r="O195" i="17"/>
  <c r="O390" i="17"/>
  <c r="O126" i="17"/>
  <c r="O242" i="17"/>
  <c r="O252" i="17"/>
  <c r="O80" i="17"/>
  <c r="O344" i="17"/>
  <c r="O282" i="17"/>
  <c r="O284" i="17"/>
  <c r="O154" i="17"/>
  <c r="O329" i="17"/>
  <c r="O433" i="17"/>
  <c r="O73" i="17"/>
  <c r="O115" i="17"/>
  <c r="O61" i="17"/>
  <c r="O394" i="17"/>
  <c r="O306" i="17"/>
  <c r="O109" i="17"/>
  <c r="O343" i="17"/>
  <c r="O386" i="17"/>
  <c r="O56" i="17"/>
  <c r="O65" i="17"/>
  <c r="O91" i="17"/>
  <c r="O14" i="17"/>
  <c r="O112" i="17"/>
  <c r="O113" i="17"/>
  <c r="O347" i="17"/>
  <c r="O286" i="17"/>
  <c r="O367" i="17"/>
  <c r="O165" i="17"/>
  <c r="O372" i="17"/>
  <c r="O11" i="17"/>
  <c r="O58" i="17"/>
  <c r="O85" i="17"/>
  <c r="O285" i="17"/>
  <c r="O10" i="17"/>
  <c r="O55" i="17"/>
  <c r="O199" i="17"/>
  <c r="O301" i="17"/>
  <c r="O279" i="17"/>
  <c r="O253" i="17"/>
  <c r="O82" i="17"/>
  <c r="O90" i="17"/>
  <c r="O338" i="17"/>
  <c r="O345" i="17"/>
  <c r="O348" i="17"/>
  <c r="O287" i="17"/>
  <c r="O274" i="17"/>
  <c r="O363" i="17"/>
  <c r="O328" i="17"/>
  <c r="O235" i="17"/>
  <c r="O318" i="17"/>
  <c r="O7" i="17"/>
  <c r="O52" i="17"/>
  <c r="O60" i="17"/>
  <c r="O110" i="17"/>
  <c r="O79" i="17"/>
  <c r="O87" i="17"/>
  <c r="O111" i="17"/>
  <c r="O57" i="17"/>
  <c r="O197" i="17"/>
  <c r="O302" i="17"/>
  <c r="O244" i="17"/>
  <c r="O69" i="17"/>
  <c r="O84" i="17"/>
  <c r="O92" i="17"/>
  <c r="O342" i="17"/>
  <c r="O349" i="17"/>
  <c r="O270" i="17"/>
  <c r="O173" i="17"/>
  <c r="O362" i="17"/>
  <c r="O432" i="17"/>
  <c r="O330" i="17"/>
  <c r="O81" i="17"/>
  <c r="O51" i="17"/>
  <c r="O395" i="17"/>
  <c r="O381" i="17"/>
  <c r="O262" i="17"/>
  <c r="O174" i="17"/>
  <c r="F131" i="25"/>
  <c r="G131" i="25" s="1"/>
  <c r="F162" i="25"/>
  <c r="G162" i="25" s="1"/>
  <c r="F246" i="25"/>
  <c r="G246" i="25" s="1"/>
  <c r="F239" i="25"/>
  <c r="G239" i="25" s="1"/>
  <c r="F235" i="25"/>
  <c r="G235" i="25" s="1"/>
  <c r="F163" i="25"/>
  <c r="G163" i="25" s="1"/>
  <c r="F122" i="25"/>
  <c r="G122" i="25" s="1"/>
  <c r="F245" i="25"/>
  <c r="G245" i="25" s="1"/>
  <c r="F159" i="25"/>
  <c r="G159" i="25" s="1"/>
  <c r="F243" i="25"/>
  <c r="G243" i="25" s="1"/>
  <c r="F254" i="25"/>
  <c r="G254" i="25" s="1"/>
  <c r="F247" i="25"/>
  <c r="G247" i="25" s="1"/>
  <c r="F232" i="25"/>
  <c r="G232" i="25" s="1"/>
  <c r="F170" i="25"/>
  <c r="F238" i="25"/>
  <c r="G238" i="25" s="1"/>
  <c r="F168" i="25"/>
  <c r="G168" i="25" s="1"/>
  <c r="F234" i="25"/>
  <c r="G234" i="25" s="1"/>
  <c r="F153" i="25"/>
  <c r="G153" i="25" s="1"/>
  <c r="F151" i="25"/>
  <c r="G151" i="25" s="1"/>
  <c r="F93" i="25"/>
  <c r="G93" i="25" s="1"/>
  <c r="F249" i="25"/>
  <c r="G249" i="25" s="1"/>
  <c r="F230" i="25"/>
  <c r="G230" i="25" s="1"/>
  <c r="F237" i="25"/>
  <c r="G237" i="25" s="1"/>
  <c r="F250" i="25"/>
  <c r="G250" i="25" s="1"/>
  <c r="F145" i="25"/>
  <c r="G145" i="25" s="1"/>
  <c r="F154" i="25"/>
  <c r="G154" i="25" s="1"/>
  <c r="F110" i="25"/>
  <c r="G110" i="25" s="1"/>
  <c r="F150" i="25"/>
  <c r="G150" i="25" s="1"/>
  <c r="F240" i="25"/>
  <c r="G240" i="25" s="1"/>
  <c r="F248" i="25"/>
  <c r="G248" i="25" s="1"/>
  <c r="F236" i="25"/>
  <c r="G236" i="25" s="1"/>
  <c r="F156" i="25"/>
  <c r="G156" i="25" s="1"/>
  <c r="F143" i="25"/>
  <c r="G143" i="25" s="1"/>
  <c r="F105" i="25"/>
  <c r="G105" i="25" s="1"/>
  <c r="F161" i="25"/>
  <c r="G161" i="25" s="1"/>
  <c r="F160" i="25"/>
  <c r="G160" i="25" s="1"/>
  <c r="F252" i="25"/>
  <c r="G252" i="25" s="1"/>
  <c r="F158" i="25"/>
  <c r="H11" i="4"/>
  <c r="H13" i="4" s="1"/>
  <c r="G49" i="18"/>
  <c r="J42" i="11" s="1"/>
  <c r="G48" i="18"/>
  <c r="J43" i="11" s="1"/>
  <c r="G127" i="18"/>
  <c r="J203" i="11" s="1"/>
  <c r="N357" i="11"/>
  <c r="N416" i="11"/>
  <c r="G440" i="17"/>
  <c r="H17" i="3" s="1"/>
  <c r="G25" i="18"/>
  <c r="L840" i="14"/>
  <c r="N840" i="14" s="1"/>
  <c r="H413" i="14"/>
  <c r="J413" i="14" s="1"/>
  <c r="AD413" i="14"/>
  <c r="H412" i="14"/>
  <c r="J412" i="14" s="1"/>
  <c r="AD412" i="14"/>
  <c r="AD411" i="14"/>
  <c r="H411" i="14"/>
  <c r="J411" i="14" s="1"/>
  <c r="AD417" i="14"/>
  <c r="H417" i="14"/>
  <c r="J417" i="14" s="1"/>
  <c r="AD408" i="14"/>
  <c r="H408" i="14"/>
  <c r="J408" i="14" s="1"/>
  <c r="G181" i="17"/>
  <c r="G91" i="18" s="1"/>
  <c r="J87" i="11" s="1"/>
  <c r="J270" i="10"/>
  <c r="J51" i="2"/>
  <c r="I977" i="14"/>
  <c r="D79" i="20"/>
  <c r="AD305" i="14"/>
  <c r="H305" i="14"/>
  <c r="J305" i="14" s="1"/>
  <c r="H231" i="14"/>
  <c r="J231" i="14" s="1"/>
  <c r="AD231" i="14"/>
  <c r="L201" i="14"/>
  <c r="N201" i="14" s="1"/>
  <c r="L562" i="14"/>
  <c r="N562" i="14" s="1"/>
  <c r="L202" i="14"/>
  <c r="N202" i="14" s="1"/>
  <c r="L541" i="14"/>
  <c r="N541" i="14" s="1"/>
  <c r="L685" i="14"/>
  <c r="N685" i="14" s="1"/>
  <c r="L617" i="14"/>
  <c r="N617" i="14" s="1"/>
  <c r="L109" i="14"/>
  <c r="N109" i="14" s="1"/>
  <c r="AD600" i="14"/>
  <c r="G24" i="18"/>
  <c r="D798" i="14"/>
  <c r="D803" i="14"/>
  <c r="F79" i="20"/>
  <c r="F82" i="20" s="1"/>
  <c r="J977" i="14"/>
  <c r="J262" i="15"/>
  <c r="K270" i="10"/>
  <c r="D289" i="14"/>
  <c r="D293" i="14"/>
  <c r="D294" i="14"/>
  <c r="D250" i="14"/>
  <c r="D380" i="14"/>
  <c r="D316" i="14"/>
  <c r="D368" i="14"/>
  <c r="D614" i="14"/>
  <c r="D697" i="14"/>
  <c r="D663" i="14"/>
  <c r="D749" i="14"/>
  <c r="D695" i="14"/>
  <c r="D672" i="14"/>
  <c r="D390" i="14"/>
  <c r="D504" i="14"/>
  <c r="D657" i="14"/>
  <c r="D884" i="14"/>
  <c r="D346" i="14"/>
  <c r="F182" i="25"/>
  <c r="G182" i="25" s="1"/>
  <c r="F186" i="25"/>
  <c r="G186" i="25" s="1"/>
  <c r="F184" i="25"/>
  <c r="G184" i="25" s="1"/>
  <c r="F196" i="25"/>
  <c r="G196" i="25" s="1"/>
  <c r="F210" i="25"/>
  <c r="G210" i="25" s="1"/>
  <c r="F199" i="25"/>
  <c r="G199" i="25" s="1"/>
  <c r="F221" i="25"/>
  <c r="G221" i="25" s="1"/>
  <c r="F204" i="25"/>
  <c r="G204" i="25" s="1"/>
  <c r="F208" i="25"/>
  <c r="G208" i="25" s="1"/>
  <c r="F225" i="25"/>
  <c r="G225" i="25" s="1"/>
  <c r="F223" i="25"/>
  <c r="G223" i="25" s="1"/>
  <c r="F222" i="25"/>
  <c r="G222" i="25" s="1"/>
  <c r="D162" i="14"/>
  <c r="H107" i="14"/>
  <c r="J107" i="14" s="1"/>
  <c r="D392" i="14"/>
  <c r="D337" i="14"/>
  <c r="D336" i="14"/>
  <c r="D263" i="14"/>
  <c r="D456" i="14"/>
  <c r="D610" i="14"/>
  <c r="D616" i="14"/>
  <c r="D761" i="14"/>
  <c r="D704" i="14"/>
  <c r="D741" i="14"/>
  <c r="D735" i="14"/>
  <c r="D699" i="14"/>
  <c r="D664" i="14"/>
  <c r="D615" i="14"/>
  <c r="D665" i="14"/>
  <c r="D505" i="14"/>
  <c r="D310" i="14"/>
  <c r="D873" i="14"/>
  <c r="D611" i="14"/>
  <c r="D821" i="14"/>
  <c r="D847" i="14"/>
  <c r="E416" i="17"/>
  <c r="F188" i="25"/>
  <c r="G188" i="25" s="1"/>
  <c r="F181" i="25"/>
  <c r="G181" i="25" s="1"/>
  <c r="F185" i="25"/>
  <c r="G185" i="25" s="1"/>
  <c r="F194" i="25"/>
  <c r="G194" i="25" s="1"/>
  <c r="F197" i="25"/>
  <c r="G197" i="25" s="1"/>
  <c r="F190" i="25"/>
  <c r="G190" i="25" s="1"/>
  <c r="F200" i="25"/>
  <c r="G200" i="25" s="1"/>
  <c r="F203" i="25"/>
  <c r="G203" i="25" s="1"/>
  <c r="F218" i="25"/>
  <c r="G218" i="25" s="1"/>
  <c r="F219" i="25"/>
  <c r="G219" i="25" s="1"/>
  <c r="F220" i="25"/>
  <c r="G220" i="25" s="1"/>
  <c r="F211" i="25"/>
  <c r="G211" i="25" s="1"/>
  <c r="F224" i="25"/>
  <c r="G224" i="25" s="1"/>
  <c r="F201" i="25"/>
  <c r="G201" i="25" s="1"/>
  <c r="F206" i="25"/>
  <c r="G206" i="25" s="1"/>
  <c r="F215" i="25"/>
  <c r="G215" i="25" s="1"/>
  <c r="F216" i="25"/>
  <c r="G216" i="25" s="1"/>
  <c r="D184" i="14"/>
  <c r="D102" i="14"/>
  <c r="D376" i="14"/>
  <c r="D319" i="14"/>
  <c r="D742" i="14"/>
  <c r="D839" i="14"/>
  <c r="D703" i="14"/>
  <c r="D789" i="14"/>
  <c r="D739" i="14"/>
  <c r="D734" i="14"/>
  <c r="D674" i="14"/>
  <c r="D822" i="14"/>
  <c r="D800" i="14"/>
  <c r="D835" i="14"/>
  <c r="D737" i="14"/>
  <c r="D783" i="14"/>
  <c r="D844" i="14"/>
  <c r="D869" i="14"/>
  <c r="F183" i="25"/>
  <c r="G183" i="25" s="1"/>
  <c r="F193" i="25"/>
  <c r="G193" i="25" s="1"/>
  <c r="F195" i="25"/>
  <c r="G195" i="25" s="1"/>
  <c r="F198" i="25"/>
  <c r="G198" i="25" s="1"/>
  <c r="F187" i="25"/>
  <c r="G187" i="25" s="1"/>
  <c r="F191" i="25"/>
  <c r="G191" i="25" s="1"/>
  <c r="F202" i="25"/>
  <c r="G202" i="25" s="1"/>
  <c r="F205" i="25"/>
  <c r="G205" i="25" s="1"/>
  <c r="F213" i="25"/>
  <c r="G213" i="25" s="1"/>
  <c r="F207" i="25"/>
  <c r="G207" i="25" s="1"/>
  <c r="F209" i="25"/>
  <c r="G209" i="25" s="1"/>
  <c r="F226" i="25"/>
  <c r="G226" i="25" s="1"/>
  <c r="D161" i="14"/>
  <c r="F5" i="25"/>
  <c r="D163" i="14"/>
  <c r="D464" i="14"/>
  <c r="D381" i="14"/>
  <c r="D643" i="14"/>
  <c r="D682" i="14"/>
  <c r="D787" i="14"/>
  <c r="D644" i="14"/>
  <c r="D701" i="14"/>
  <c r="D681" i="14"/>
  <c r="D508" i="14"/>
  <c r="D784" i="14"/>
  <c r="D684" i="14"/>
  <c r="D403" i="14"/>
  <c r="D913" i="14"/>
  <c r="F189" i="25"/>
  <c r="G189" i="25" s="1"/>
  <c r="F192" i="25"/>
  <c r="G192" i="25" s="1"/>
  <c r="F212" i="25"/>
  <c r="G212" i="25" s="1"/>
  <c r="F214" i="25"/>
  <c r="G214" i="25" s="1"/>
  <c r="F217" i="25"/>
  <c r="G217" i="25" s="1"/>
  <c r="D919" i="14"/>
  <c r="AD599" i="14"/>
  <c r="AD894" i="14"/>
  <c r="H894" i="14"/>
  <c r="J894" i="14" s="1"/>
  <c r="AD893" i="14"/>
  <c r="H893" i="14"/>
  <c r="D901" i="14"/>
  <c r="AD899" i="14"/>
  <c r="H899" i="14"/>
  <c r="H901" i="14" s="1"/>
  <c r="F897" i="14"/>
  <c r="L893" i="14"/>
  <c r="L899" i="14"/>
  <c r="L901" i="14" s="1"/>
  <c r="F901" i="14"/>
  <c r="F604" i="14"/>
  <c r="L599" i="14"/>
  <c r="G358" i="17"/>
  <c r="G97" i="18" s="1"/>
  <c r="J106" i="11" s="1"/>
  <c r="Z48" i="2"/>
  <c r="I42" i="7"/>
  <c r="I38" i="7"/>
  <c r="J38" i="7" s="1"/>
  <c r="F24" i="7"/>
  <c r="F41" i="7" s="1"/>
  <c r="K144" i="10"/>
  <c r="A20" i="26"/>
  <c r="A23" i="26" s="1"/>
  <c r="A26" i="26" s="1"/>
  <c r="G40" i="21"/>
  <c r="D40" i="21"/>
  <c r="B40" i="21"/>
  <c r="J40" i="15"/>
  <c r="J77" i="7"/>
  <c r="J79" i="7" s="1"/>
  <c r="J81" i="7" s="1"/>
  <c r="L163" i="14"/>
  <c r="N163" i="14" s="1"/>
  <c r="K30" i="21"/>
  <c r="K36" i="21" s="1"/>
  <c r="G103" i="18"/>
  <c r="J86" i="11" s="1"/>
  <c r="J141" i="11" s="1"/>
  <c r="L230" i="14"/>
  <c r="N230" i="14" s="1"/>
  <c r="F36" i="20"/>
  <c r="D37" i="20" s="1"/>
  <c r="G14" i="23"/>
  <c r="K246" i="10"/>
  <c r="K247" i="10" s="1"/>
  <c r="K12" i="8"/>
  <c r="F118" i="20"/>
  <c r="D120" i="20" s="1"/>
  <c r="F946" i="14"/>
  <c r="M882" i="14"/>
  <c r="I49" i="15" s="1"/>
  <c r="G6" i="22"/>
  <c r="J175" i="13"/>
  <c r="K175" i="13" s="1"/>
  <c r="G25" i="7"/>
  <c r="F40" i="21"/>
  <c r="J300" i="11"/>
  <c r="J301" i="11" s="1"/>
  <c r="AD175" i="14"/>
  <c r="AD192" i="14"/>
  <c r="AD167" i="14"/>
  <c r="AD15" i="14"/>
  <c r="AD173" i="14"/>
  <c r="AD19" i="14"/>
  <c r="AD178" i="14"/>
  <c r="AD352" i="14"/>
  <c r="AD483" i="14"/>
  <c r="AD21" i="14"/>
  <c r="AD29" i="14"/>
  <c r="AD37" i="14"/>
  <c r="AD45" i="14"/>
  <c r="AD53" i="14"/>
  <c r="AD172" i="14"/>
  <c r="AD67" i="14"/>
  <c r="AD141" i="14"/>
  <c r="AD121" i="14"/>
  <c r="AD283" i="14"/>
  <c r="AD292" i="14"/>
  <c r="AD246" i="14"/>
  <c r="AD298" i="14"/>
  <c r="AD333" i="14"/>
  <c r="AD315" i="14"/>
  <c r="AD457" i="14"/>
  <c r="AD425" i="14"/>
  <c r="AD312" i="14"/>
  <c r="AD367" i="14"/>
  <c r="AD340" i="14"/>
  <c r="AD399" i="14"/>
  <c r="AD345" i="14"/>
  <c r="AD265" i="14"/>
  <c r="AD273" i="14"/>
  <c r="AD400" i="14"/>
  <c r="AD432" i="14"/>
  <c r="AD434" i="14"/>
  <c r="AD439" i="14"/>
  <c r="AD525" i="14"/>
  <c r="AD532" i="14"/>
  <c r="AD567" i="14"/>
  <c r="AD585" i="14"/>
  <c r="AD547" i="14"/>
  <c r="AD555" i="14"/>
  <c r="AD612" i="14"/>
  <c r="AD794" i="14"/>
  <c r="AD870" i="14"/>
  <c r="AD747" i="14"/>
  <c r="AD696" i="14"/>
  <c r="AD802" i="14"/>
  <c r="AD906" i="14"/>
  <c r="AD744" i="14"/>
  <c r="AD670" i="14"/>
  <c r="AD678" i="14"/>
  <c r="AD743" i="14"/>
  <c r="AD669" i="14"/>
  <c r="AD724" i="14"/>
  <c r="AD391" i="14"/>
  <c r="AD558" i="14"/>
  <c r="AD75" i="14"/>
  <c r="AD83" i="14"/>
  <c r="AD738" i="14"/>
  <c r="AD777" i="14"/>
  <c r="AD849" i="14"/>
  <c r="AD857" i="14"/>
  <c r="AD661" i="14"/>
  <c r="AD916" i="14"/>
  <c r="AD458" i="14"/>
  <c r="L100" i="14"/>
  <c r="N100" i="14" s="1"/>
  <c r="L271" i="14"/>
  <c r="N271" i="14" s="1"/>
  <c r="L367" i="14"/>
  <c r="N367" i="14" s="1"/>
  <c r="L679" i="14"/>
  <c r="N679" i="14" s="1"/>
  <c r="L247" i="14"/>
  <c r="N247" i="14" s="1"/>
  <c r="L506" i="14"/>
  <c r="N506" i="14" s="1"/>
  <c r="L681" i="14"/>
  <c r="N681" i="14" s="1"/>
  <c r="L845" i="14"/>
  <c r="N845" i="14" s="1"/>
  <c r="L361" i="14"/>
  <c r="N361" i="14" s="1"/>
  <c r="L218" i="14"/>
  <c r="N218" i="14" s="1"/>
  <c r="L14" i="14"/>
  <c r="N14" i="14" s="1"/>
  <c r="L164" i="14"/>
  <c r="N164" i="14" s="1"/>
  <c r="L180" i="14"/>
  <c r="N180" i="14" s="1"/>
  <c r="L272" i="14"/>
  <c r="N272" i="14" s="1"/>
  <c r="L505" i="14"/>
  <c r="N505" i="14" s="1"/>
  <c r="L531" i="14"/>
  <c r="N531" i="14" s="1"/>
  <c r="L665" i="14"/>
  <c r="N665" i="14" s="1"/>
  <c r="L683" i="14"/>
  <c r="N683" i="14" s="1"/>
  <c r="L718" i="14"/>
  <c r="N718" i="14" s="1"/>
  <c r="L788" i="14"/>
  <c r="N788" i="14" s="1"/>
  <c r="L21" i="14"/>
  <c r="N21" i="14" s="1"/>
  <c r="L734" i="14"/>
  <c r="N734" i="14" s="1"/>
  <c r="L921" i="14"/>
  <c r="N921" i="14" s="1"/>
  <c r="L87" i="14"/>
  <c r="I92" i="15" s="1"/>
  <c r="L217" i="14"/>
  <c r="N217" i="14" s="1"/>
  <c r="L248" i="14"/>
  <c r="N248" i="14" s="1"/>
  <c r="L751" i="14"/>
  <c r="N751" i="14" s="1"/>
  <c r="L759" i="14"/>
  <c r="N759" i="14" s="1"/>
  <c r="L787" i="14"/>
  <c r="N787" i="14" s="1"/>
  <c r="L856" i="14"/>
  <c r="N856" i="14" s="1"/>
  <c r="L919" i="14"/>
  <c r="N919" i="14" s="1"/>
  <c r="L31" i="14"/>
  <c r="N31" i="14" s="1"/>
  <c r="L142" i="14"/>
  <c r="N142" i="14" s="1"/>
  <c r="L179" i="14"/>
  <c r="N179" i="14" s="1"/>
  <c r="L670" i="14"/>
  <c r="N670" i="14" s="1"/>
  <c r="L219" i="14"/>
  <c r="N219" i="14" s="1"/>
  <c r="AD159" i="14"/>
  <c r="AD191" i="14"/>
  <c r="AD152" i="14"/>
  <c r="AD185" i="14"/>
  <c r="AD18" i="14"/>
  <c r="AD157" i="14"/>
  <c r="AD217" i="14"/>
  <c r="AD182" i="14"/>
  <c r="AD13" i="14"/>
  <c r="AD388" i="14"/>
  <c r="AD22" i="14"/>
  <c r="AD30" i="14"/>
  <c r="AD38" i="14"/>
  <c r="AD46" i="14"/>
  <c r="AD54" i="14"/>
  <c r="AD60" i="14"/>
  <c r="AD68" i="14"/>
  <c r="AD142" i="14"/>
  <c r="AD122" i="14"/>
  <c r="AD105" i="14"/>
  <c r="AD285" i="14"/>
  <c r="AD247" i="14"/>
  <c r="AD361" i="14"/>
  <c r="AD335" i="14"/>
  <c r="AD351" i="14"/>
  <c r="AD405" i="14"/>
  <c r="AD360" i="14"/>
  <c r="AD334" i="14"/>
  <c r="AD323" i="14"/>
  <c r="AD262" i="14"/>
  <c r="AD270" i="14"/>
  <c r="AD488" i="14"/>
  <c r="AD494" i="14"/>
  <c r="AD436" i="14"/>
  <c r="AD440" i="14"/>
  <c r="AD441" i="14"/>
  <c r="AD529" i="14"/>
  <c r="AD579" i="14"/>
  <c r="AD539" i="14"/>
  <c r="AD556" i="14"/>
  <c r="AD513" i="14"/>
  <c r="AD748" i="14"/>
  <c r="AD921" i="14"/>
  <c r="AD811" i="14"/>
  <c r="AD796" i="14"/>
  <c r="AD760" i="14"/>
  <c r="AD799" i="14"/>
  <c r="AD725" i="14"/>
  <c r="AD683" i="14"/>
  <c r="AD755" i="14"/>
  <c r="AD745" i="14"/>
  <c r="AD638" i="14"/>
  <c r="AD754" i="14"/>
  <c r="AD788" i="14"/>
  <c r="AD404" i="14"/>
  <c r="AD818" i="14"/>
  <c r="AD903" i="14"/>
  <c r="AD559" i="14"/>
  <c r="AD80" i="14"/>
  <c r="AD89" i="14"/>
  <c r="AD728" i="14"/>
  <c r="AD871" i="14"/>
  <c r="AD846" i="14"/>
  <c r="AD854" i="14"/>
  <c r="AD862" i="14"/>
  <c r="AD918" i="14"/>
  <c r="AD914" i="14"/>
  <c r="AD11" i="14"/>
  <c r="L376" i="14"/>
  <c r="N376" i="14" s="1"/>
  <c r="L251" i="14"/>
  <c r="N251" i="14" s="1"/>
  <c r="L436" i="14"/>
  <c r="N436" i="14" s="1"/>
  <c r="L784" i="14"/>
  <c r="N784" i="14" s="1"/>
  <c r="L855" i="14"/>
  <c r="N855" i="14" s="1"/>
  <c r="L863" i="14"/>
  <c r="N863" i="14" s="1"/>
  <c r="L923" i="14"/>
  <c r="N923" i="14" s="1"/>
  <c r="L166" i="14"/>
  <c r="N166" i="14" s="1"/>
  <c r="L182" i="14"/>
  <c r="N182" i="14" s="1"/>
  <c r="L266" i="14"/>
  <c r="N266" i="14" s="1"/>
  <c r="L583" i="14"/>
  <c r="N583" i="14" s="1"/>
  <c r="L704" i="14"/>
  <c r="N704" i="14" s="1"/>
  <c r="L798" i="14"/>
  <c r="N798" i="14" s="1"/>
  <c r="L169" i="14"/>
  <c r="N169" i="14" s="1"/>
  <c r="L742" i="14"/>
  <c r="N742" i="14" s="1"/>
  <c r="L221" i="14"/>
  <c r="N221" i="14" s="1"/>
  <c r="L250" i="14"/>
  <c r="N250" i="14" s="1"/>
  <c r="AD147" i="14"/>
  <c r="AD166" i="14"/>
  <c r="AD188" i="14"/>
  <c r="AD9" i="14"/>
  <c r="AD14" i="14"/>
  <c r="AD156" i="14"/>
  <c r="AD176" i="14"/>
  <c r="AD216" i="14"/>
  <c r="AD193" i="14"/>
  <c r="AD164" i="14"/>
  <c r="AD181" i="14"/>
  <c r="AD220" i="14"/>
  <c r="AD12" i="14"/>
  <c r="AD150" i="14"/>
  <c r="AD212" i="14"/>
  <c r="AD223" i="14"/>
  <c r="AD16" i="14"/>
  <c r="AD394" i="14"/>
  <c r="AD453" i="14"/>
  <c r="AD23" i="14"/>
  <c r="AD27" i="14"/>
  <c r="AD31" i="14"/>
  <c r="AD35" i="14"/>
  <c r="AD39" i="14"/>
  <c r="AD43" i="14"/>
  <c r="AD47" i="14"/>
  <c r="AD51" i="14"/>
  <c r="AD229" i="14"/>
  <c r="AD58" i="14"/>
  <c r="AD62" i="14"/>
  <c r="AD65" i="14"/>
  <c r="AD69" i="14"/>
  <c r="AD139" i="14"/>
  <c r="AD194" i="14"/>
  <c r="AD101" i="14"/>
  <c r="AD103" i="14"/>
  <c r="AD104" i="14"/>
  <c r="AD106" i="14"/>
  <c r="AD369" i="14"/>
  <c r="AD286" i="14"/>
  <c r="AD290" i="14"/>
  <c r="AD244" i="14"/>
  <c r="AD295" i="14"/>
  <c r="AD248" i="14"/>
  <c r="AD251" i="14"/>
  <c r="AD363" i="14"/>
  <c r="AD311" i="14"/>
  <c r="AD348" i="14"/>
  <c r="AD318" i="14"/>
  <c r="AD382" i="14"/>
  <c r="AD353" i="14"/>
  <c r="AD386" i="14"/>
  <c r="AD482" i="14"/>
  <c r="AD362" i="14"/>
  <c r="AD332" i="14"/>
  <c r="AD347" i="14"/>
  <c r="AD317" i="14"/>
  <c r="AD874" i="14"/>
  <c r="AD320" i="14"/>
  <c r="AD324" i="14"/>
  <c r="AD259" i="14"/>
  <c r="AD267" i="14"/>
  <c r="AD271" i="14"/>
  <c r="AD275" i="14"/>
  <c r="AD478" i="14"/>
  <c r="AD406" i="14"/>
  <c r="AD489" i="14"/>
  <c r="AD491" i="14"/>
  <c r="AD495" i="14"/>
  <c r="AD437" i="14"/>
  <c r="AD512" i="14"/>
  <c r="AD442" i="14"/>
  <c r="AD578" i="14"/>
  <c r="AD530" i="14"/>
  <c r="AD534" i="14"/>
  <c r="AD580" i="14"/>
  <c r="AD537" i="14"/>
  <c r="AD595" i="14"/>
  <c r="AD586" i="14"/>
  <c r="AD545" i="14"/>
  <c r="AD549" i="14"/>
  <c r="AD553" i="14"/>
  <c r="AD94" i="14"/>
  <c r="AD717" i="14"/>
  <c r="AD676" i="14"/>
  <c r="AD510" i="14"/>
  <c r="AD723" i="14"/>
  <c r="AD673" i="14"/>
  <c r="AD823" i="14"/>
  <c r="AD716" i="14"/>
  <c r="AD759" i="14"/>
  <c r="AD824" i="14"/>
  <c r="AD189" i="14"/>
  <c r="AD712" i="14"/>
  <c r="AD758" i="14"/>
  <c r="AD698" i="14"/>
  <c r="AD791" i="14"/>
  <c r="AD675" i="14"/>
  <c r="AD825" i="14"/>
  <c r="AD817" i="14"/>
  <c r="AD872" i="14"/>
  <c r="AD912" i="14"/>
  <c r="AD557" i="14"/>
  <c r="AD560" i="14"/>
  <c r="AD77" i="14"/>
  <c r="AD81" i="14"/>
  <c r="AD85" i="14"/>
  <c r="AD778" i="14"/>
  <c r="AD785" i="14"/>
  <c r="AD718" i="14"/>
  <c r="AD792" i="14"/>
  <c r="AD397" i="14"/>
  <c r="AD851" i="14"/>
  <c r="AD855" i="14"/>
  <c r="AD859" i="14"/>
  <c r="AD863" i="14"/>
  <c r="AD659" i="14"/>
  <c r="AD885" i="14"/>
  <c r="AD922" i="14"/>
  <c r="L49" i="14"/>
  <c r="N49" i="14" s="1"/>
  <c r="L214" i="14"/>
  <c r="N214" i="14" s="1"/>
  <c r="L822" i="14"/>
  <c r="N822" i="14" s="1"/>
  <c r="L849" i="14"/>
  <c r="N849" i="14" s="1"/>
  <c r="L918" i="14"/>
  <c r="N918" i="14" s="1"/>
  <c r="L697" i="14"/>
  <c r="N697" i="14" s="1"/>
  <c r="L791" i="14"/>
  <c r="N791" i="14" s="1"/>
  <c r="L66" i="14"/>
  <c r="N66" i="14" s="1"/>
  <c r="L228" i="14"/>
  <c r="N228" i="14" s="1"/>
  <c r="L10" i="14"/>
  <c r="N10" i="14" s="1"/>
  <c r="L18" i="14"/>
  <c r="N18" i="14" s="1"/>
  <c r="L101" i="14"/>
  <c r="N101" i="14" s="1"/>
  <c r="L139" i="14"/>
  <c r="N139" i="14" s="1"/>
  <c r="L184" i="14"/>
  <c r="N184" i="14" s="1"/>
  <c r="L527" i="14"/>
  <c r="N527" i="14" s="1"/>
  <c r="L535" i="14"/>
  <c r="N535" i="14" s="1"/>
  <c r="L662" i="14"/>
  <c r="N662" i="14" s="1"/>
  <c r="L671" i="14"/>
  <c r="N671" i="14" s="1"/>
  <c r="L722" i="14"/>
  <c r="N722" i="14" s="1"/>
  <c r="L728" i="14"/>
  <c r="N728" i="14" s="1"/>
  <c r="L739" i="14"/>
  <c r="N739" i="14" s="1"/>
  <c r="L792" i="14"/>
  <c r="N792" i="14" s="1"/>
  <c r="L800" i="14"/>
  <c r="N800" i="14" s="1"/>
  <c r="L37" i="14"/>
  <c r="N37" i="14" s="1"/>
  <c r="L106" i="14"/>
  <c r="N106" i="14" s="1"/>
  <c r="L177" i="14"/>
  <c r="N177" i="14" s="1"/>
  <c r="L352" i="14"/>
  <c r="N352" i="14" s="1"/>
  <c r="L513" i="14"/>
  <c r="N513" i="14" s="1"/>
  <c r="L703" i="14"/>
  <c r="N703" i="14" s="1"/>
  <c r="L789" i="14"/>
  <c r="N789" i="14" s="1"/>
  <c r="L216" i="14"/>
  <c r="N216" i="14" s="1"/>
  <c r="L676" i="14"/>
  <c r="N676" i="14" s="1"/>
  <c r="L780" i="14"/>
  <c r="N780" i="14" s="1"/>
  <c r="L252" i="14"/>
  <c r="N252" i="14" s="1"/>
  <c r="L426" i="14"/>
  <c r="I162" i="15" s="1"/>
  <c r="L439" i="14"/>
  <c r="N439" i="14" s="1"/>
  <c r="L682" i="14"/>
  <c r="N682" i="14" s="1"/>
  <c r="L747" i="14"/>
  <c r="N747" i="14" s="1"/>
  <c r="L755" i="14"/>
  <c r="N755" i="14" s="1"/>
  <c r="L824" i="14"/>
  <c r="N824" i="14" s="1"/>
  <c r="L860" i="14"/>
  <c r="N860" i="14" s="1"/>
  <c r="L916" i="14"/>
  <c r="N916" i="14" s="1"/>
  <c r="L15" i="14"/>
  <c r="N15" i="14" s="1"/>
  <c r="L104" i="14"/>
  <c r="N104" i="14" s="1"/>
  <c r="L261" i="14"/>
  <c r="N261" i="14" s="1"/>
  <c r="L684" i="14"/>
  <c r="N684" i="14" s="1"/>
  <c r="AD155" i="14"/>
  <c r="AD215" i="14"/>
  <c r="AD148" i="14"/>
  <c r="AD183" i="14"/>
  <c r="AD153" i="14"/>
  <c r="AD171" i="14"/>
  <c r="AD158" i="14"/>
  <c r="AD218" i="14"/>
  <c r="AD426" i="14"/>
  <c r="AD25" i="14"/>
  <c r="AD33" i="14"/>
  <c r="AD41" i="14"/>
  <c r="AD49" i="14"/>
  <c r="AD56" i="14"/>
  <c r="AD63" i="14"/>
  <c r="AD71" i="14"/>
  <c r="AD99" i="14"/>
  <c r="AD652" i="14"/>
  <c r="AD476" i="14"/>
  <c r="AD288" i="14"/>
  <c r="AD245" i="14"/>
  <c r="AD249" i="14"/>
  <c r="AD365" i="14"/>
  <c r="AD341" i="14"/>
  <c r="AD393" i="14"/>
  <c r="AD487" i="14"/>
  <c r="AD350" i="14"/>
  <c r="AD370" i="14"/>
  <c r="AD322" i="14"/>
  <c r="AD261" i="14"/>
  <c r="AD269" i="14"/>
  <c r="AD277" i="14"/>
  <c r="AD455" i="14"/>
  <c r="AD493" i="14"/>
  <c r="AD499" i="14"/>
  <c r="AD449" i="14"/>
  <c r="AD528" i="14"/>
  <c r="AD536" i="14"/>
  <c r="AD538" i="14"/>
  <c r="AD589" i="14"/>
  <c r="AD551" i="14"/>
  <c r="AD776" i="14"/>
  <c r="AD753" i="14"/>
  <c r="AD671" i="14"/>
  <c r="AD756" i="14"/>
  <c r="AD679" i="14"/>
  <c r="AD751" i="14"/>
  <c r="AD702" i="14"/>
  <c r="AD511" i="14"/>
  <c r="AD722" i="14"/>
  <c r="AD886" i="14"/>
  <c r="AD887" i="14"/>
  <c r="AD79" i="14"/>
  <c r="AD87" i="14"/>
  <c r="AD781" i="14"/>
  <c r="AD733" i="14"/>
  <c r="AD845" i="14"/>
  <c r="AD853" i="14"/>
  <c r="AD861" i="14"/>
  <c r="AD660" i="14"/>
  <c r="AD904" i="14"/>
  <c r="L33" i="14"/>
  <c r="N33" i="14" s="1"/>
  <c r="L160" i="14"/>
  <c r="N160" i="14" s="1"/>
  <c r="L738" i="14"/>
  <c r="N738" i="14" s="1"/>
  <c r="L782" i="14"/>
  <c r="N782" i="14" s="1"/>
  <c r="L853" i="14"/>
  <c r="N853" i="14" s="1"/>
  <c r="L861" i="14"/>
  <c r="N861" i="14" s="1"/>
  <c r="L153" i="14"/>
  <c r="N153" i="14" s="1"/>
  <c r="L172" i="14"/>
  <c r="N172" i="14" s="1"/>
  <c r="L188" i="14"/>
  <c r="N188" i="14" s="1"/>
  <c r="L264" i="14"/>
  <c r="N264" i="14" s="1"/>
  <c r="L539" i="14"/>
  <c r="N539" i="14" s="1"/>
  <c r="L675" i="14"/>
  <c r="N675" i="14" s="1"/>
  <c r="L702" i="14"/>
  <c r="N702" i="14" s="1"/>
  <c r="L735" i="14"/>
  <c r="N735" i="14" s="1"/>
  <c r="L796" i="14"/>
  <c r="N796" i="14" s="1"/>
  <c r="L53" i="14"/>
  <c r="N53" i="14" s="1"/>
  <c r="L158" i="14"/>
  <c r="N158" i="14" s="1"/>
  <c r="L538" i="14"/>
  <c r="N538" i="14" s="1"/>
  <c r="L86" i="14"/>
  <c r="N86" i="14" s="1"/>
  <c r="L510" i="14"/>
  <c r="N510" i="14" s="1"/>
  <c r="L746" i="14"/>
  <c r="N746" i="14" s="1"/>
  <c r="L435" i="14"/>
  <c r="N435" i="14" s="1"/>
  <c r="L864" i="14"/>
  <c r="N864" i="14" s="1"/>
  <c r="AD179" i="14"/>
  <c r="AD228" i="14"/>
  <c r="AD169" i="14"/>
  <c r="AD187" i="14"/>
  <c r="AD177" i="14"/>
  <c r="AD226" i="14"/>
  <c r="AD165" i="14"/>
  <c r="AD221" i="14"/>
  <c r="AD384" i="14"/>
  <c r="AD486" i="14"/>
  <c r="AD26" i="14"/>
  <c r="AD34" i="14"/>
  <c r="AD42" i="14"/>
  <c r="AD50" i="14"/>
  <c r="AD57" i="14"/>
  <c r="AD64" i="14"/>
  <c r="AD138" i="14"/>
  <c r="AD100" i="14"/>
  <c r="AD117" i="14"/>
  <c r="AD477" i="14"/>
  <c r="AD330" i="14"/>
  <c r="AD343" i="14"/>
  <c r="AD379" i="14"/>
  <c r="AD427" i="14"/>
  <c r="AD366" i="14"/>
  <c r="AD342" i="14"/>
  <c r="AD378" i="14"/>
  <c r="AD485" i="14"/>
  <c r="AD266" i="14"/>
  <c r="AD274" i="14"/>
  <c r="AD402" i="14"/>
  <c r="AD433" i="14"/>
  <c r="AD435" i="14"/>
  <c r="AD526" i="14"/>
  <c r="AD533" i="14"/>
  <c r="AD568" i="14"/>
  <c r="AD583" i="14"/>
  <c r="AD587" i="14"/>
  <c r="AD548" i="14"/>
  <c r="AD552" i="14"/>
  <c r="AD757" i="14"/>
  <c r="AD774" i="14"/>
  <c r="AD746" i="14"/>
  <c r="AD680" i="14"/>
  <c r="AD795" i="14"/>
  <c r="AD653" i="14"/>
  <c r="AD76" i="14"/>
  <c r="AD84" i="14"/>
  <c r="AD831" i="14"/>
  <c r="AD779" i="14"/>
  <c r="AD395" i="14"/>
  <c r="AD820" i="14"/>
  <c r="AD850" i="14"/>
  <c r="AD858" i="14"/>
  <c r="AD658" i="14"/>
  <c r="AD920" i="14"/>
  <c r="AD865" i="14"/>
  <c r="L39" i="14"/>
  <c r="N39" i="14" s="1"/>
  <c r="L171" i="14"/>
  <c r="N171" i="14" s="1"/>
  <c r="L915" i="14"/>
  <c r="N915" i="14" s="1"/>
  <c r="L11" i="14"/>
  <c r="N11" i="14" s="1"/>
  <c r="L82" i="14"/>
  <c r="N82" i="14" s="1"/>
  <c r="L224" i="14"/>
  <c r="N224" i="14" s="1"/>
  <c r="L155" i="14"/>
  <c r="N155" i="14" s="1"/>
  <c r="L174" i="14"/>
  <c r="N174" i="14" s="1"/>
  <c r="L190" i="14"/>
  <c r="N190" i="14" s="1"/>
  <c r="L525" i="14"/>
  <c r="N525" i="14" s="1"/>
  <c r="L696" i="14"/>
  <c r="N696" i="14" s="1"/>
  <c r="L720" i="14"/>
  <c r="N720" i="14" s="1"/>
  <c r="L790" i="14"/>
  <c r="N790" i="14" s="1"/>
  <c r="L29" i="14"/>
  <c r="N29" i="14" s="1"/>
  <c r="L267" i="14"/>
  <c r="N267" i="14" s="1"/>
  <c r="L229" i="14"/>
  <c r="N229" i="14" s="1"/>
  <c r="L680" i="14"/>
  <c r="N680" i="14" s="1"/>
  <c r="L745" i="14"/>
  <c r="N745" i="14" s="1"/>
  <c r="L753" i="14"/>
  <c r="N753" i="14" s="1"/>
  <c r="L761" i="14"/>
  <c r="N761" i="14" s="1"/>
  <c r="L870" i="14"/>
  <c r="N870" i="14" s="1"/>
  <c r="L41" i="14"/>
  <c r="N41" i="14" s="1"/>
  <c r="L89" i="14"/>
  <c r="N89" i="14" s="1"/>
  <c r="L187" i="14"/>
  <c r="N187" i="14" s="1"/>
  <c r="L736" i="14"/>
  <c r="N736" i="14" s="1"/>
  <c r="AD151" i="14"/>
  <c r="AD213" i="14"/>
  <c r="AD170" i="14"/>
  <c r="AD224" i="14"/>
  <c r="AD17" i="14"/>
  <c r="AD160" i="14"/>
  <c r="AD180" i="14"/>
  <c r="AD219" i="14"/>
  <c r="AD10" i="14"/>
  <c r="AD149" i="14"/>
  <c r="AD168" i="14"/>
  <c r="AD186" i="14"/>
  <c r="AD154" i="14"/>
  <c r="AD174" i="14"/>
  <c r="AD214" i="14"/>
  <c r="AD190" i="14"/>
  <c r="AD389" i="14"/>
  <c r="AD385" i="14"/>
  <c r="AD396" i="14"/>
  <c r="AD20" i="14"/>
  <c r="AD24" i="14"/>
  <c r="AD28" i="14"/>
  <c r="AD32" i="14"/>
  <c r="AD36" i="14"/>
  <c r="AD40" i="14"/>
  <c r="AD44" i="14"/>
  <c r="AD48" i="14"/>
  <c r="AD52" i="14"/>
  <c r="AD55" i="14"/>
  <c r="AD59" i="14"/>
  <c r="AD61" i="14"/>
  <c r="AD66" i="14"/>
  <c r="AD70" i="14"/>
  <c r="AD140" i="14"/>
  <c r="AD143" i="14"/>
  <c r="AD470" i="14"/>
  <c r="AD469" i="14"/>
  <c r="AD254" i="14"/>
  <c r="AD284" i="14"/>
  <c r="AD287" i="14"/>
  <c r="AD291" i="14"/>
  <c r="AD253" i="14"/>
  <c r="AD296" i="14"/>
  <c r="AD297" i="14"/>
  <c r="AD252" i="14"/>
  <c r="AD344" i="14"/>
  <c r="AD331" i="14"/>
  <c r="AD339" i="14"/>
  <c r="AD349" i="14"/>
  <c r="AD401" i="14"/>
  <c r="AD383" i="14"/>
  <c r="AD387" i="14"/>
  <c r="AD484" i="14"/>
  <c r="AD364" i="14"/>
  <c r="AD313" i="14"/>
  <c r="AD338" i="14"/>
  <c r="AD314" i="14"/>
  <c r="AD509" i="14"/>
  <c r="AD321" i="14"/>
  <c r="AD304" i="14"/>
  <c r="AD260" i="14"/>
  <c r="AD264" i="14"/>
  <c r="AD268" i="14"/>
  <c r="AD272" i="14"/>
  <c r="AD276" i="14"/>
  <c r="AD398" i="14"/>
  <c r="AD454" i="14"/>
  <c r="AD490" i="14"/>
  <c r="AD492" i="14"/>
  <c r="AD497" i="14"/>
  <c r="AD498" i="14"/>
  <c r="AD438" i="14"/>
  <c r="AD496" i="14"/>
  <c r="AD524" i="14"/>
  <c r="AD527" i="14"/>
  <c r="AD531" i="14"/>
  <c r="AD535" i="14"/>
  <c r="AD581" i="14"/>
  <c r="AD582" i="14"/>
  <c r="AD584" i="14"/>
  <c r="AD588" i="14"/>
  <c r="AD546" i="14"/>
  <c r="AD550" i="14"/>
  <c r="AD554" i="14"/>
  <c r="AD95" i="14"/>
  <c r="AD613" i="14"/>
  <c r="AD721" i="14"/>
  <c r="AD736" i="14"/>
  <c r="AD700" i="14"/>
  <c r="AD727" i="14"/>
  <c r="AD775" i="14"/>
  <c r="AD750" i="14"/>
  <c r="AD752" i="14"/>
  <c r="AD720" i="14"/>
  <c r="AD677" i="14"/>
  <c r="AD506" i="14"/>
  <c r="AD740" i="14"/>
  <c r="AD793" i="14"/>
  <c r="AD797" i="14"/>
  <c r="AD762" i="14"/>
  <c r="AD782" i="14"/>
  <c r="AD726" i="14"/>
  <c r="AD819" i="14"/>
  <c r="AD507" i="14"/>
  <c r="AD917" i="14"/>
  <c r="AD573" i="14"/>
  <c r="AD561" i="14"/>
  <c r="AD78" i="14"/>
  <c r="AD82" i="14"/>
  <c r="AD86" i="14"/>
  <c r="AD790" i="14"/>
  <c r="AD780" i="14"/>
  <c r="AD719" i="14"/>
  <c r="AD786" i="14"/>
  <c r="AD801" i="14"/>
  <c r="AD848" i="14"/>
  <c r="AD852" i="14"/>
  <c r="AD856" i="14"/>
  <c r="AD860" i="14"/>
  <c r="AD864" i="14"/>
  <c r="AD662" i="14"/>
  <c r="AD905" i="14"/>
  <c r="AD88" i="14"/>
  <c r="AD923" i="14"/>
  <c r="L25" i="14"/>
  <c r="N25" i="14" s="1"/>
  <c r="L57" i="14"/>
  <c r="N57" i="14" s="1"/>
  <c r="L263" i="14"/>
  <c r="N263" i="14" s="1"/>
  <c r="L672" i="14"/>
  <c r="N672" i="14" s="1"/>
  <c r="L727" i="14"/>
  <c r="N727" i="14" s="1"/>
  <c r="L226" i="14"/>
  <c r="N226" i="14" s="1"/>
  <c r="L752" i="14"/>
  <c r="N752" i="14" s="1"/>
  <c r="L778" i="14"/>
  <c r="N778" i="14" s="1"/>
  <c r="L920" i="14"/>
  <c r="N920" i="14" s="1"/>
  <c r="L102" i="14"/>
  <c r="N102" i="14" s="1"/>
  <c r="L265" i="14"/>
  <c r="N265" i="14" s="1"/>
  <c r="L701" i="14"/>
  <c r="N701" i="14" s="1"/>
  <c r="L68" i="14"/>
  <c r="N68" i="14" s="1"/>
  <c r="L20" i="14"/>
  <c r="N20" i="14" s="1"/>
  <c r="L28" i="14"/>
  <c r="N28" i="14" s="1"/>
  <c r="L44" i="14"/>
  <c r="N44" i="14" s="1"/>
  <c r="L212" i="14"/>
  <c r="N212" i="14" s="1"/>
  <c r="L262" i="14"/>
  <c r="N262" i="14" s="1"/>
  <c r="L270" i="14"/>
  <c r="N270" i="14" s="1"/>
  <c r="L700" i="14"/>
  <c r="N700" i="14" s="1"/>
  <c r="L723" i="14"/>
  <c r="N723" i="14" s="1"/>
  <c r="L794" i="14"/>
  <c r="N794" i="14" s="1"/>
  <c r="L917" i="14"/>
  <c r="N917" i="14" s="1"/>
  <c r="L45" i="14"/>
  <c r="N45" i="14" s="1"/>
  <c r="L150" i="14"/>
  <c r="N150" i="14" s="1"/>
  <c r="L185" i="14"/>
  <c r="N185" i="14" s="1"/>
  <c r="L530" i="14"/>
  <c r="N530" i="14" s="1"/>
  <c r="L717" i="14"/>
  <c r="N717" i="14" s="1"/>
  <c r="L886" i="14"/>
  <c r="N886" i="14" s="1"/>
  <c r="L724" i="14"/>
  <c r="N724" i="14" s="1"/>
  <c r="L786" i="14"/>
  <c r="N786" i="14" s="1"/>
  <c r="L85" i="14"/>
  <c r="N85" i="14" s="1"/>
  <c r="L246" i="14"/>
  <c r="N246" i="14" s="1"/>
  <c r="L254" i="14"/>
  <c r="N254" i="14" s="1"/>
  <c r="L749" i="14"/>
  <c r="N749" i="14" s="1"/>
  <c r="L757" i="14"/>
  <c r="N757" i="14" s="1"/>
  <c r="L874" i="14"/>
  <c r="N874" i="14" s="1"/>
  <c r="L23" i="14"/>
  <c r="N23" i="14" s="1"/>
  <c r="L269" i="14"/>
  <c r="N269" i="14" s="1"/>
  <c r="L721" i="14"/>
  <c r="N721" i="14" s="1"/>
  <c r="L220" i="14"/>
  <c r="N220" i="14" s="1"/>
  <c r="J241" i="15"/>
  <c r="G129" i="18"/>
  <c r="H33" i="3" s="1"/>
  <c r="C100" i="31"/>
  <c r="A15" i="16"/>
  <c r="A19" i="16" s="1"/>
  <c r="A20" i="16" s="1"/>
  <c r="J144" i="10"/>
  <c r="AD211" i="14"/>
  <c r="D225" i="14"/>
  <c r="D227" i="14"/>
  <c r="D222" i="14"/>
  <c r="G11" i="22"/>
  <c r="H41" i="7"/>
  <c r="AD443" i="14"/>
  <c r="H443" i="14"/>
  <c r="J443" i="14" s="1"/>
  <c r="G31" i="4"/>
  <c r="H29" i="4"/>
  <c r="J947" i="14"/>
  <c r="M15" i="22"/>
  <c r="I974" i="14"/>
  <c r="K52" i="8"/>
  <c r="G101" i="18"/>
  <c r="H25" i="5" s="1"/>
  <c r="J104" i="11"/>
  <c r="N162" i="14"/>
  <c r="G197" i="15"/>
  <c r="F46" i="4" s="1"/>
  <c r="H46" i="4" s="1"/>
  <c r="L161" i="14"/>
  <c r="N161" i="14" s="1"/>
  <c r="H18" i="5"/>
  <c r="M14" i="23"/>
  <c r="N875" i="14"/>
  <c r="J42" i="7"/>
  <c r="G272" i="17"/>
  <c r="G294" i="17" s="1"/>
  <c r="G68" i="18" s="1"/>
  <c r="J58" i="11" s="1"/>
  <c r="G276" i="17"/>
  <c r="G292" i="17" s="1"/>
  <c r="G66" i="18" s="1"/>
  <c r="J56" i="11" s="1"/>
  <c r="G24" i="17"/>
  <c r="G8" i="18" s="1"/>
  <c r="G289" i="17"/>
  <c r="G296" i="17" s="1"/>
  <c r="G70" i="18" s="1"/>
  <c r="J60" i="11" s="1"/>
  <c r="J317" i="11"/>
  <c r="H159" i="14"/>
  <c r="J159" i="14" s="1"/>
  <c r="H160" i="14"/>
  <c r="J160" i="14" s="1"/>
  <c r="H219" i="14"/>
  <c r="J219" i="14" s="1"/>
  <c r="H174" i="14"/>
  <c r="J174" i="14" s="1"/>
  <c r="H190" i="14"/>
  <c r="J190" i="14" s="1"/>
  <c r="H28" i="14"/>
  <c r="J28" i="14" s="1"/>
  <c r="H32" i="14"/>
  <c r="J32" i="14" s="1"/>
  <c r="H44" i="14"/>
  <c r="J44" i="14" s="1"/>
  <c r="H48" i="14"/>
  <c r="J48" i="14" s="1"/>
  <c r="H55" i="14"/>
  <c r="J55" i="14" s="1"/>
  <c r="H59" i="14"/>
  <c r="J59" i="14" s="1"/>
  <c r="H61" i="14"/>
  <c r="J61" i="14" s="1"/>
  <c r="H70" i="14"/>
  <c r="J70" i="14" s="1"/>
  <c r="H140" i="14"/>
  <c r="J140" i="14" s="1"/>
  <c r="H143" i="14"/>
  <c r="J143" i="14" s="1"/>
  <c r="H470" i="14"/>
  <c r="J470" i="14" s="1"/>
  <c r="H469" i="14"/>
  <c r="H254" i="14"/>
  <c r="J254" i="14" s="1"/>
  <c r="H287" i="14"/>
  <c r="J287" i="14" s="1"/>
  <c r="H291" i="14"/>
  <c r="J291" i="14" s="1"/>
  <c r="H253" i="14"/>
  <c r="J253" i="14" s="1"/>
  <c r="H297" i="14"/>
  <c r="J297" i="14" s="1"/>
  <c r="H252" i="14"/>
  <c r="J252" i="14" s="1"/>
  <c r="H727" i="14"/>
  <c r="J727" i="14" s="1"/>
  <c r="H917" i="14"/>
  <c r="J917" i="14" s="1"/>
  <c r="H86" i="14"/>
  <c r="J86" i="14" s="1"/>
  <c r="H905" i="14"/>
  <c r="J905" i="14" s="1"/>
  <c r="H88" i="14"/>
  <c r="J88" i="14" s="1"/>
  <c r="E114" i="18"/>
  <c r="O444" i="17"/>
  <c r="O450" i="17"/>
  <c r="E117" i="18"/>
  <c r="O388" i="17"/>
  <c r="H179" i="14"/>
  <c r="J179" i="14" s="1"/>
  <c r="H169" i="14"/>
  <c r="J169" i="14" s="1"/>
  <c r="H180" i="14"/>
  <c r="J180" i="14" s="1"/>
  <c r="H10" i="14"/>
  <c r="J10" i="14" s="1"/>
  <c r="H154" i="14"/>
  <c r="J154" i="14" s="1"/>
  <c r="H214" i="14"/>
  <c r="J214" i="14" s="1"/>
  <c r="H24" i="14"/>
  <c r="J24" i="14" s="1"/>
  <c r="H40" i="14"/>
  <c r="J40" i="14" s="1"/>
  <c r="H155" i="14"/>
  <c r="J155" i="14" s="1"/>
  <c r="H175" i="14"/>
  <c r="J175" i="14" s="1"/>
  <c r="H215" i="14"/>
  <c r="J215" i="14" s="1"/>
  <c r="H192" i="14"/>
  <c r="J192" i="14" s="1"/>
  <c r="H148" i="14"/>
  <c r="J148" i="14" s="1"/>
  <c r="H167" i="14"/>
  <c r="J167" i="14" s="1"/>
  <c r="H183" i="14"/>
  <c r="J183" i="14" s="1"/>
  <c r="H15" i="14"/>
  <c r="J15" i="14" s="1"/>
  <c r="H158" i="14"/>
  <c r="J158" i="14" s="1"/>
  <c r="H178" i="14"/>
  <c r="J178" i="14" s="1"/>
  <c r="H218" i="14"/>
  <c r="J218" i="14" s="1"/>
  <c r="H483" i="14"/>
  <c r="J483" i="14" s="1"/>
  <c r="H25" i="14"/>
  <c r="J25" i="14" s="1"/>
  <c r="H41" i="14"/>
  <c r="J41" i="14" s="1"/>
  <c r="H56" i="14"/>
  <c r="J56" i="14" s="1"/>
  <c r="H71" i="14"/>
  <c r="J71" i="14" s="1"/>
  <c r="D655" i="14"/>
  <c r="H652" i="14"/>
  <c r="J652" i="14" s="1"/>
  <c r="H288" i="14"/>
  <c r="J288" i="14" s="1"/>
  <c r="H679" i="14"/>
  <c r="J679" i="14" s="1"/>
  <c r="H511" i="14"/>
  <c r="J511" i="14" s="1"/>
  <c r="H886" i="14"/>
  <c r="J886" i="14" s="1"/>
  <c r="H661" i="14"/>
  <c r="J661" i="14" s="1"/>
  <c r="E116" i="18"/>
  <c r="O446" i="17"/>
  <c r="H152" i="14"/>
  <c r="J152" i="14" s="1"/>
  <c r="H187" i="14"/>
  <c r="J187" i="14" s="1"/>
  <c r="H165" i="14"/>
  <c r="J165" i="14" s="1"/>
  <c r="H221" i="14"/>
  <c r="J221" i="14" s="1"/>
  <c r="H22" i="14"/>
  <c r="J22" i="14" s="1"/>
  <c r="H30" i="14"/>
  <c r="J30" i="14" s="1"/>
  <c r="H38" i="14"/>
  <c r="J38" i="14" s="1"/>
  <c r="H46" i="14"/>
  <c r="J46" i="14" s="1"/>
  <c r="H50" i="14"/>
  <c r="J50" i="14" s="1"/>
  <c r="H57" i="14"/>
  <c r="J57" i="14" s="1"/>
  <c r="H60" i="14"/>
  <c r="J60" i="14" s="1"/>
  <c r="H64" i="14"/>
  <c r="J64" i="14" s="1"/>
  <c r="H68" i="14"/>
  <c r="J68" i="14" s="1"/>
  <c r="D145" i="14"/>
  <c r="H138" i="14"/>
  <c r="J138" i="14" s="1"/>
  <c r="H142" i="14"/>
  <c r="J142" i="14" s="1"/>
  <c r="H100" i="14"/>
  <c r="J100" i="14" s="1"/>
  <c r="H122" i="14"/>
  <c r="J122" i="14" s="1"/>
  <c r="H117" i="14"/>
  <c r="D119" i="14"/>
  <c r="H105" i="14"/>
  <c r="J105" i="14" s="1"/>
  <c r="H477" i="14"/>
  <c r="J477" i="14" s="1"/>
  <c r="H285" i="14"/>
  <c r="J285" i="14" s="1"/>
  <c r="H247" i="14"/>
  <c r="J247" i="14" s="1"/>
  <c r="H921" i="14"/>
  <c r="J921" i="14" s="1"/>
  <c r="H683" i="14"/>
  <c r="J683" i="14" s="1"/>
  <c r="H745" i="14"/>
  <c r="J745" i="14" s="1"/>
  <c r="H680" i="14"/>
  <c r="J680" i="14" s="1"/>
  <c r="H788" i="14"/>
  <c r="J788" i="14" s="1"/>
  <c r="H918" i="14"/>
  <c r="J918" i="14" s="1"/>
  <c r="O382" i="17"/>
  <c r="O152" i="17"/>
  <c r="H228" i="14"/>
  <c r="J228" i="14" s="1"/>
  <c r="H185" i="14"/>
  <c r="J185" i="14" s="1"/>
  <c r="H18" i="14"/>
  <c r="J18" i="14" s="1"/>
  <c r="H182" i="14"/>
  <c r="J182" i="14" s="1"/>
  <c r="H13" i="14"/>
  <c r="J13" i="14" s="1"/>
  <c r="H26" i="14"/>
  <c r="J26" i="14" s="1"/>
  <c r="H34" i="14"/>
  <c r="J34" i="14" s="1"/>
  <c r="H42" i="14"/>
  <c r="J42" i="14" s="1"/>
  <c r="H54" i="14"/>
  <c r="J54" i="14" s="1"/>
  <c r="H147" i="14"/>
  <c r="J147" i="14" s="1"/>
  <c r="H166" i="14"/>
  <c r="J166" i="14" s="1"/>
  <c r="H188" i="14"/>
  <c r="J188" i="14" s="1"/>
  <c r="H9" i="14"/>
  <c r="J9" i="14" s="1"/>
  <c r="H14" i="14"/>
  <c r="J14" i="14" s="1"/>
  <c r="H156" i="14"/>
  <c r="J156" i="14" s="1"/>
  <c r="H176" i="14"/>
  <c r="J176" i="14" s="1"/>
  <c r="H216" i="14"/>
  <c r="J216" i="14" s="1"/>
  <c r="H193" i="14"/>
  <c r="J193" i="14" s="1"/>
  <c r="H150" i="14"/>
  <c r="J150" i="14" s="1"/>
  <c r="H212" i="14"/>
  <c r="J212" i="14" s="1"/>
  <c r="H223" i="14"/>
  <c r="J223" i="14" s="1"/>
  <c r="H16" i="14"/>
  <c r="J16" i="14" s="1"/>
  <c r="H23" i="14"/>
  <c r="J23" i="14" s="1"/>
  <c r="H39" i="14"/>
  <c r="J39" i="14" s="1"/>
  <c r="H229" i="14"/>
  <c r="J229" i="14" s="1"/>
  <c r="H69" i="14"/>
  <c r="J69" i="14" s="1"/>
  <c r="H103" i="14"/>
  <c r="J103" i="14" s="1"/>
  <c r="H286" i="14"/>
  <c r="J286" i="14" s="1"/>
  <c r="H248" i="14"/>
  <c r="J248" i="14" s="1"/>
  <c r="H676" i="14"/>
  <c r="J676" i="14" s="1"/>
  <c r="H823" i="14"/>
  <c r="J823" i="14" s="1"/>
  <c r="H824" i="14"/>
  <c r="J824" i="14" s="1"/>
  <c r="H825" i="14"/>
  <c r="J825" i="14" s="1"/>
  <c r="H912" i="14"/>
  <c r="J912" i="14" s="1"/>
  <c r="H85" i="14"/>
  <c r="J85" i="14" s="1"/>
  <c r="H785" i="14"/>
  <c r="J785" i="14" s="1"/>
  <c r="H659" i="14"/>
  <c r="J659" i="14" s="1"/>
  <c r="H33" i="14"/>
  <c r="J33" i="14" s="1"/>
  <c r="D480" i="14"/>
  <c r="H476" i="14"/>
  <c r="J476" i="14" s="1"/>
  <c r="H62" i="14"/>
  <c r="J62" i="14" s="1"/>
  <c r="H217" i="14"/>
  <c r="J217" i="14" s="1"/>
  <c r="H486" i="14"/>
  <c r="J486" i="14" s="1"/>
  <c r="H361" i="14"/>
  <c r="J361" i="14" s="1"/>
  <c r="H343" i="14"/>
  <c r="J343" i="14" s="1"/>
  <c r="H405" i="14"/>
  <c r="J405" i="14" s="1"/>
  <c r="H360" i="14"/>
  <c r="H342" i="14"/>
  <c r="J342" i="14" s="1"/>
  <c r="H378" i="14"/>
  <c r="H262" i="14"/>
  <c r="J262" i="14" s="1"/>
  <c r="H274" i="14"/>
  <c r="J274" i="14" s="1"/>
  <c r="H488" i="14"/>
  <c r="J488" i="14" s="1"/>
  <c r="H435" i="14"/>
  <c r="J435" i="14" s="1"/>
  <c r="H441" i="14"/>
  <c r="J441" i="14" s="1"/>
  <c r="H533" i="14"/>
  <c r="J533" i="14" s="1"/>
  <c r="H583" i="14"/>
  <c r="J583" i="14" s="1"/>
  <c r="H548" i="14"/>
  <c r="J548" i="14" s="1"/>
  <c r="H513" i="14"/>
  <c r="J513" i="14" s="1"/>
  <c r="H757" i="14"/>
  <c r="J757" i="14" s="1"/>
  <c r="H796" i="14"/>
  <c r="J796" i="14" s="1"/>
  <c r="H754" i="14"/>
  <c r="J754" i="14" s="1"/>
  <c r="H653" i="14"/>
  <c r="G279" i="15" s="1"/>
  <c r="H818" i="14"/>
  <c r="J818" i="14" s="1"/>
  <c r="H80" i="14"/>
  <c r="J80" i="14" s="1"/>
  <c r="H831" i="14"/>
  <c r="D833" i="14"/>
  <c r="H820" i="14"/>
  <c r="J820" i="14" s="1"/>
  <c r="H858" i="14"/>
  <c r="J858" i="14" s="1"/>
  <c r="H920" i="14"/>
  <c r="J920" i="14" s="1"/>
  <c r="H914" i="14"/>
  <c r="J914" i="14" s="1"/>
  <c r="L818" i="14"/>
  <c r="N818" i="14" s="1"/>
  <c r="L390" i="14"/>
  <c r="N390" i="14" s="1"/>
  <c r="L865" i="14"/>
  <c r="N865" i="14" s="1"/>
  <c r="L183" i="14"/>
  <c r="N183" i="14" s="1"/>
  <c r="L330" i="14"/>
  <c r="N330" i="14" s="1"/>
  <c r="F357" i="14"/>
  <c r="L558" i="14"/>
  <c r="N558" i="14" s="1"/>
  <c r="L427" i="14"/>
  <c r="N427" i="14" s="1"/>
  <c r="F543" i="14"/>
  <c r="L524" i="14"/>
  <c r="L8" i="14"/>
  <c r="N8" i="14" s="1"/>
  <c r="L32" i="14"/>
  <c r="N32" i="14" s="1"/>
  <c r="H94" i="14"/>
  <c r="J94" i="14" s="1"/>
  <c r="D97" i="14"/>
  <c r="L286" i="14"/>
  <c r="N286" i="14" s="1"/>
  <c r="L317" i="14"/>
  <c r="N317" i="14" s="1"/>
  <c r="L347" i="14"/>
  <c r="N347" i="14" s="1"/>
  <c r="L498" i="14"/>
  <c r="N498" i="14" s="1"/>
  <c r="L537" i="14"/>
  <c r="N537" i="14" s="1"/>
  <c r="L579" i="14"/>
  <c r="N579" i="14" s="1"/>
  <c r="L922" i="14"/>
  <c r="N922" i="14" s="1"/>
  <c r="L275" i="14"/>
  <c r="N275" i="14" s="1"/>
  <c r="L548" i="14"/>
  <c r="N548" i="14" s="1"/>
  <c r="H724" i="14"/>
  <c r="J724" i="14" s="1"/>
  <c r="L797" i="14"/>
  <c r="N797" i="14" s="1"/>
  <c r="L914" i="14"/>
  <c r="N914" i="14" s="1"/>
  <c r="L245" i="14"/>
  <c r="N245" i="14" s="1"/>
  <c r="L762" i="14"/>
  <c r="N762" i="14" s="1"/>
  <c r="L381" i="14"/>
  <c r="N381" i="14" s="1"/>
  <c r="L405" i="14"/>
  <c r="N405" i="14" s="1"/>
  <c r="L477" i="14"/>
  <c r="N477" i="14" s="1"/>
  <c r="L507" i="14"/>
  <c r="N507" i="14" s="1"/>
  <c r="L854" i="14"/>
  <c r="N854" i="14" s="1"/>
  <c r="L47" i="14"/>
  <c r="N47" i="14" s="1"/>
  <c r="L560" i="14"/>
  <c r="N560" i="14" s="1"/>
  <c r="L744" i="14"/>
  <c r="N744" i="14" s="1"/>
  <c r="E52" i="4"/>
  <c r="H151" i="14"/>
  <c r="J151" i="14" s="1"/>
  <c r="H170" i="14"/>
  <c r="J170" i="14" s="1"/>
  <c r="H17" i="14"/>
  <c r="J17" i="14" s="1"/>
  <c r="H99" i="14"/>
  <c r="J99" i="14" s="1"/>
  <c r="H47" i="14"/>
  <c r="J47" i="14" s="1"/>
  <c r="H244" i="14"/>
  <c r="J244" i="14" s="1"/>
  <c r="H153" i="14"/>
  <c r="J153" i="14" s="1"/>
  <c r="H173" i="14"/>
  <c r="J173" i="14" s="1"/>
  <c r="H171" i="14"/>
  <c r="J171" i="14" s="1"/>
  <c r="H19" i="14"/>
  <c r="J19" i="14" s="1"/>
  <c r="H352" i="14"/>
  <c r="J352" i="14" s="1"/>
  <c r="H426" i="14"/>
  <c r="H21" i="14"/>
  <c r="J21" i="14" s="1"/>
  <c r="H29" i="14"/>
  <c r="J29" i="14" s="1"/>
  <c r="H37" i="14"/>
  <c r="J37" i="14" s="1"/>
  <c r="H45" i="14"/>
  <c r="J45" i="14" s="1"/>
  <c r="H53" i="14"/>
  <c r="J53" i="14" s="1"/>
  <c r="H172" i="14"/>
  <c r="J172" i="14" s="1"/>
  <c r="H67" i="14"/>
  <c r="J67" i="14" s="1"/>
  <c r="H141" i="14"/>
  <c r="J141" i="14" s="1"/>
  <c r="H121" i="14"/>
  <c r="D124" i="14"/>
  <c r="H283" i="14"/>
  <c r="J283" i="14" s="1"/>
  <c r="H292" i="14"/>
  <c r="J292" i="14" s="1"/>
  <c r="H246" i="14"/>
  <c r="J246" i="14" s="1"/>
  <c r="H249" i="14"/>
  <c r="J249" i="14" s="1"/>
  <c r="H298" i="14"/>
  <c r="J298" i="14" s="1"/>
  <c r="H365" i="14"/>
  <c r="J365" i="14" s="1"/>
  <c r="H333" i="14"/>
  <c r="J333" i="14" s="1"/>
  <c r="H341" i="14"/>
  <c r="J341" i="14" s="1"/>
  <c r="H315" i="14"/>
  <c r="J315" i="14" s="1"/>
  <c r="H457" i="14"/>
  <c r="J457" i="14" s="1"/>
  <c r="H393" i="14"/>
  <c r="J393" i="14" s="1"/>
  <c r="H425" i="14"/>
  <c r="H487" i="14"/>
  <c r="J487" i="14" s="1"/>
  <c r="H312" i="14"/>
  <c r="J312" i="14" s="1"/>
  <c r="H367" i="14"/>
  <c r="J367" i="14" s="1"/>
  <c r="H340" i="14"/>
  <c r="J340" i="14" s="1"/>
  <c r="H350" i="14"/>
  <c r="J350" i="14" s="1"/>
  <c r="H399" i="14"/>
  <c r="J399" i="14" s="1"/>
  <c r="H370" i="14"/>
  <c r="J370" i="14" s="1"/>
  <c r="H322" i="14"/>
  <c r="J322" i="14" s="1"/>
  <c r="H345" i="14"/>
  <c r="J345" i="14" s="1"/>
  <c r="H261" i="14"/>
  <c r="J261" i="14" s="1"/>
  <c r="H265" i="14"/>
  <c r="J265" i="14" s="1"/>
  <c r="H269" i="14"/>
  <c r="J269" i="14" s="1"/>
  <c r="H273" i="14"/>
  <c r="J273" i="14" s="1"/>
  <c r="H277" i="14"/>
  <c r="J277" i="14" s="1"/>
  <c r="H400" i="14"/>
  <c r="J400" i="14" s="1"/>
  <c r="H455" i="14"/>
  <c r="J455" i="14" s="1"/>
  <c r="H432" i="14"/>
  <c r="H493" i="14"/>
  <c r="J493" i="14" s="1"/>
  <c r="H434" i="14"/>
  <c r="J434" i="14" s="1"/>
  <c r="H499" i="14"/>
  <c r="J499" i="14" s="1"/>
  <c r="H439" i="14"/>
  <c r="J439" i="14" s="1"/>
  <c r="D451" i="14"/>
  <c r="H449" i="14"/>
  <c r="H525" i="14"/>
  <c r="J525" i="14" s="1"/>
  <c r="H528" i="14"/>
  <c r="J528" i="14" s="1"/>
  <c r="H532" i="14"/>
  <c r="J532" i="14" s="1"/>
  <c r="H536" i="14"/>
  <c r="J536" i="14" s="1"/>
  <c r="H567" i="14"/>
  <c r="H538" i="14"/>
  <c r="J538" i="14" s="1"/>
  <c r="H585" i="14"/>
  <c r="J585" i="14" s="1"/>
  <c r="H589" i="14"/>
  <c r="J589" i="14" s="1"/>
  <c r="H547" i="14"/>
  <c r="J547" i="14" s="1"/>
  <c r="H551" i="14"/>
  <c r="J551" i="14" s="1"/>
  <c r="H555" i="14"/>
  <c r="J555" i="14" s="1"/>
  <c r="H612" i="14"/>
  <c r="J612" i="14" s="1"/>
  <c r="H776" i="14"/>
  <c r="H794" i="14"/>
  <c r="J794" i="14" s="1"/>
  <c r="H753" i="14"/>
  <c r="J753" i="14" s="1"/>
  <c r="H671" i="14"/>
  <c r="J671" i="14" s="1"/>
  <c r="H870" i="14"/>
  <c r="J870" i="14" s="1"/>
  <c r="H747" i="14"/>
  <c r="J747" i="14" s="1"/>
  <c r="H756" i="14"/>
  <c r="J756" i="14" s="1"/>
  <c r="H696" i="14"/>
  <c r="J696" i="14" s="1"/>
  <c r="H802" i="14"/>
  <c r="J802" i="14" s="1"/>
  <c r="H906" i="14"/>
  <c r="J906" i="14" s="1"/>
  <c r="H744" i="14"/>
  <c r="J744" i="14" s="1"/>
  <c r="H751" i="14"/>
  <c r="J751" i="14" s="1"/>
  <c r="H670" i="14"/>
  <c r="J670" i="14" s="1"/>
  <c r="H702" i="14"/>
  <c r="J702" i="14" s="1"/>
  <c r="H678" i="14"/>
  <c r="J678" i="14" s="1"/>
  <c r="H743" i="14"/>
  <c r="J743" i="14" s="1"/>
  <c r="H722" i="14"/>
  <c r="J722" i="14" s="1"/>
  <c r="H669" i="14"/>
  <c r="H391" i="14"/>
  <c r="J391" i="14" s="1"/>
  <c r="H887" i="14"/>
  <c r="J887" i="14" s="1"/>
  <c r="H558" i="14"/>
  <c r="J558" i="14" s="1"/>
  <c r="H75" i="14"/>
  <c r="D92" i="14"/>
  <c r="H79" i="14"/>
  <c r="J79" i="14" s="1"/>
  <c r="H83" i="14"/>
  <c r="J83" i="14" s="1"/>
  <c r="H87" i="14"/>
  <c r="J87" i="14" s="1"/>
  <c r="H738" i="14"/>
  <c r="J738" i="14" s="1"/>
  <c r="H777" i="14"/>
  <c r="J777" i="14" s="1"/>
  <c r="H733" i="14"/>
  <c r="H845" i="14"/>
  <c r="J845" i="14" s="1"/>
  <c r="H849" i="14"/>
  <c r="J849" i="14" s="1"/>
  <c r="H853" i="14"/>
  <c r="J853" i="14" s="1"/>
  <c r="H857" i="14"/>
  <c r="J857" i="14" s="1"/>
  <c r="H861" i="14"/>
  <c r="J861" i="14" s="1"/>
  <c r="H660" i="14"/>
  <c r="J660" i="14" s="1"/>
  <c r="H916" i="14"/>
  <c r="J916" i="14" s="1"/>
  <c r="H904" i="14"/>
  <c r="J904" i="14" s="1"/>
  <c r="H458" i="14"/>
  <c r="O360" i="17"/>
  <c r="L152" i="14"/>
  <c r="N152" i="14" s="1"/>
  <c r="L189" i="14"/>
  <c r="N189" i="14" s="1"/>
  <c r="L297" i="14"/>
  <c r="N297" i="14" s="1"/>
  <c r="L346" i="14"/>
  <c r="N346" i="14" s="1"/>
  <c r="L499" i="14"/>
  <c r="N499" i="14" s="1"/>
  <c r="L546" i="14"/>
  <c r="N546" i="14" s="1"/>
  <c r="L793" i="14"/>
  <c r="N793" i="14" s="1"/>
  <c r="L70" i="14"/>
  <c r="N70" i="14" s="1"/>
  <c r="L343" i="14"/>
  <c r="N343" i="14" s="1"/>
  <c r="L382" i="14"/>
  <c r="N382" i="14" s="1"/>
  <c r="F430" i="14"/>
  <c r="L425" i="14"/>
  <c r="L476" i="14"/>
  <c r="N476" i="14" s="1"/>
  <c r="F480" i="14"/>
  <c r="L756" i="14"/>
  <c r="N756" i="14" s="1"/>
  <c r="L847" i="14"/>
  <c r="N847" i="14" s="1"/>
  <c r="L873" i="14"/>
  <c r="N873" i="14" s="1"/>
  <c r="L35" i="14"/>
  <c r="N35" i="14" s="1"/>
  <c r="L138" i="14"/>
  <c r="N138" i="14" s="1"/>
  <c r="F145" i="14"/>
  <c r="L175" i="14"/>
  <c r="N175" i="14" s="1"/>
  <c r="L273" i="14"/>
  <c r="N273" i="14" s="1"/>
  <c r="L318" i="14"/>
  <c r="N318" i="14" s="1"/>
  <c r="L504" i="14"/>
  <c r="N504" i="14" s="1"/>
  <c r="L550" i="14"/>
  <c r="N550" i="14" s="1"/>
  <c r="L615" i="14"/>
  <c r="N615" i="14" s="1"/>
  <c r="L674" i="14"/>
  <c r="N674" i="14" s="1"/>
  <c r="L719" i="14"/>
  <c r="N719" i="14" s="1"/>
  <c r="L820" i="14"/>
  <c r="N820" i="14" s="1"/>
  <c r="L76" i="14"/>
  <c r="N76" i="14" s="1"/>
  <c r="L345" i="14"/>
  <c r="N345" i="14" s="1"/>
  <c r="L404" i="14"/>
  <c r="N404" i="14" s="1"/>
  <c r="L453" i="14"/>
  <c r="N453" i="14" s="1"/>
  <c r="F462" i="14"/>
  <c r="K95" i="13" s="1"/>
  <c r="L508" i="14"/>
  <c r="N508" i="14" s="1"/>
  <c r="L22" i="14"/>
  <c r="N22" i="14" s="1"/>
  <c r="L30" i="14"/>
  <c r="N30" i="14" s="1"/>
  <c r="L38" i="14"/>
  <c r="N38" i="14" s="1"/>
  <c r="L46" i="14"/>
  <c r="N46" i="14" s="1"/>
  <c r="L54" i="14"/>
  <c r="N54" i="14" s="1"/>
  <c r="L88" i="14"/>
  <c r="N88" i="14" s="1"/>
  <c r="L103" i="14"/>
  <c r="N103" i="14" s="1"/>
  <c r="L141" i="14"/>
  <c r="N141" i="14" s="1"/>
  <c r="L151" i="14"/>
  <c r="N151" i="14" s="1"/>
  <c r="L159" i="14"/>
  <c r="N159" i="14" s="1"/>
  <c r="L170" i="14"/>
  <c r="N170" i="14" s="1"/>
  <c r="L178" i="14"/>
  <c r="N178" i="14" s="1"/>
  <c r="L186" i="14"/>
  <c r="N186" i="14" s="1"/>
  <c r="L284" i="14"/>
  <c r="N284" i="14" s="1"/>
  <c r="L292" i="14"/>
  <c r="N292" i="14" s="1"/>
  <c r="L315" i="14"/>
  <c r="N315" i="14" s="1"/>
  <c r="L323" i="14"/>
  <c r="N323" i="14" s="1"/>
  <c r="L337" i="14"/>
  <c r="I295" i="15" s="1"/>
  <c r="L353" i="14"/>
  <c r="N353" i="14" s="1"/>
  <c r="L366" i="14"/>
  <c r="N366" i="14" s="1"/>
  <c r="L488" i="14"/>
  <c r="N488" i="14" s="1"/>
  <c r="L496" i="14"/>
  <c r="N496" i="14" s="1"/>
  <c r="L547" i="14"/>
  <c r="N547" i="14" s="1"/>
  <c r="L555" i="14"/>
  <c r="N555" i="14" s="1"/>
  <c r="L567" i="14"/>
  <c r="F571" i="14"/>
  <c r="L585" i="14"/>
  <c r="N585" i="14" s="1"/>
  <c r="L610" i="14"/>
  <c r="F635" i="14"/>
  <c r="L643" i="14"/>
  <c r="F649" i="14"/>
  <c r="L669" i="14"/>
  <c r="F693" i="14"/>
  <c r="L743" i="14"/>
  <c r="N743" i="14" s="1"/>
  <c r="L802" i="14"/>
  <c r="N802" i="14" s="1"/>
  <c r="L821" i="14"/>
  <c r="N821" i="14" s="1"/>
  <c r="L913" i="14"/>
  <c r="N913" i="14" s="1"/>
  <c r="L312" i="14"/>
  <c r="N312" i="14" s="1"/>
  <c r="L495" i="14"/>
  <c r="N495" i="14" s="1"/>
  <c r="L588" i="14"/>
  <c r="N588" i="14" s="1"/>
  <c r="L80" i="14"/>
  <c r="N80" i="14" s="1"/>
  <c r="L121" i="14"/>
  <c r="N121" i="14" s="1"/>
  <c r="F124" i="14"/>
  <c r="F133" i="14" s="1"/>
  <c r="L133" i="14" s="1"/>
  <c r="N133" i="14" s="1"/>
  <c r="L341" i="14"/>
  <c r="N341" i="14" s="1"/>
  <c r="L394" i="14"/>
  <c r="N394" i="14" s="1"/>
  <c r="L438" i="14"/>
  <c r="N438" i="14" s="1"/>
  <c r="L478" i="14"/>
  <c r="I154" i="15" s="1"/>
  <c r="K204" i="8" s="1"/>
  <c r="L660" i="14"/>
  <c r="N660" i="14" s="1"/>
  <c r="L758" i="14"/>
  <c r="N758" i="14" s="1"/>
  <c r="L67" i="14"/>
  <c r="N67" i="14" s="1"/>
  <c r="L77" i="14"/>
  <c r="N77" i="14" s="1"/>
  <c r="L215" i="14"/>
  <c r="N215" i="14" s="1"/>
  <c r="L223" i="14"/>
  <c r="N223" i="14" s="1"/>
  <c r="L244" i="14"/>
  <c r="F257" i="14"/>
  <c r="L304" i="14"/>
  <c r="F307" i="14"/>
  <c r="L344" i="14"/>
  <c r="N344" i="14" s="1"/>
  <c r="L387" i="14"/>
  <c r="N387" i="14" s="1"/>
  <c r="L395" i="14"/>
  <c r="N395" i="14" s="1"/>
  <c r="L403" i="14"/>
  <c r="N403" i="14" s="1"/>
  <c r="L454" i="14"/>
  <c r="N454" i="14" s="1"/>
  <c r="L469" i="14"/>
  <c r="F473" i="14"/>
  <c r="L777" i="14"/>
  <c r="N777" i="14" s="1"/>
  <c r="L785" i="14"/>
  <c r="N785" i="14" s="1"/>
  <c r="L844" i="14"/>
  <c r="F867" i="14"/>
  <c r="L852" i="14"/>
  <c r="N852" i="14" s="1"/>
  <c r="L872" i="14"/>
  <c r="N872" i="14" s="1"/>
  <c r="L887" i="14"/>
  <c r="N887" i="14" s="1"/>
  <c r="L7" i="14"/>
  <c r="F73" i="14"/>
  <c r="L154" i="14"/>
  <c r="N154" i="14" s="1"/>
  <c r="L289" i="14"/>
  <c r="N289" i="14" s="1"/>
  <c r="L497" i="14"/>
  <c r="N497" i="14" s="1"/>
  <c r="L552" i="14"/>
  <c r="N552" i="14" s="1"/>
  <c r="L613" i="14"/>
  <c r="N613" i="14" s="1"/>
  <c r="H19" i="5"/>
  <c r="J24" i="11"/>
  <c r="F160" i="20"/>
  <c r="J22" i="11"/>
  <c r="G189" i="17"/>
  <c r="G89" i="18" s="1"/>
  <c r="G325" i="17"/>
  <c r="G335" i="17"/>
  <c r="G150" i="17"/>
  <c r="G50" i="18" s="1"/>
  <c r="J41" i="11" s="1"/>
  <c r="G257" i="17"/>
  <c r="G293" i="17" s="1"/>
  <c r="G67" i="18" s="1"/>
  <c r="J57" i="11" s="1"/>
  <c r="G412" i="17"/>
  <c r="G176" i="17"/>
  <c r="G76" i="18"/>
  <c r="G201" i="17"/>
  <c r="G471" i="17"/>
  <c r="G248" i="17"/>
  <c r="G291" i="17" s="1"/>
  <c r="G470" i="17"/>
  <c r="H4" i="19"/>
  <c r="G7" i="19"/>
  <c r="I4" i="19" s="1"/>
  <c r="H191" i="14"/>
  <c r="J191" i="14" s="1"/>
  <c r="H177" i="14"/>
  <c r="J177" i="14" s="1"/>
  <c r="H388" i="14"/>
  <c r="J388" i="14" s="1"/>
  <c r="H335" i="14"/>
  <c r="J335" i="14" s="1"/>
  <c r="H379" i="14"/>
  <c r="J379" i="14" s="1"/>
  <c r="H427" i="14"/>
  <c r="J427" i="14" s="1"/>
  <c r="H334" i="14"/>
  <c r="J334" i="14" s="1"/>
  <c r="H485" i="14"/>
  <c r="J485" i="14" s="1"/>
  <c r="H270" i="14"/>
  <c r="J270" i="14" s="1"/>
  <c r="H402" i="14"/>
  <c r="J402" i="14" s="1"/>
  <c r="H494" i="14"/>
  <c r="J494" i="14" s="1"/>
  <c r="H440" i="14"/>
  <c r="J440" i="14" s="1"/>
  <c r="H529" i="14"/>
  <c r="J529" i="14" s="1"/>
  <c r="H568" i="14"/>
  <c r="J568" i="14" s="1"/>
  <c r="H587" i="14"/>
  <c r="J587" i="14" s="1"/>
  <c r="H556" i="14"/>
  <c r="J556" i="14" s="1"/>
  <c r="H748" i="14"/>
  <c r="J748" i="14" s="1"/>
  <c r="H774" i="14"/>
  <c r="D813" i="14"/>
  <c r="H811" i="14"/>
  <c r="H813" i="14" s="1"/>
  <c r="G287" i="15" s="1"/>
  <c r="H799" i="14"/>
  <c r="J799" i="14" s="1"/>
  <c r="H755" i="14"/>
  <c r="J755" i="14" s="1"/>
  <c r="D641" i="14"/>
  <c r="H638" i="14"/>
  <c r="J638" i="14" s="1"/>
  <c r="J641" i="14" s="1"/>
  <c r="H559" i="14"/>
  <c r="J559" i="14" s="1"/>
  <c r="H84" i="14"/>
  <c r="J84" i="14" s="1"/>
  <c r="H89" i="14"/>
  <c r="J89" i="14" s="1"/>
  <c r="H779" i="14"/>
  <c r="J779" i="14" s="1"/>
  <c r="H871" i="14"/>
  <c r="J871" i="14" s="1"/>
  <c r="H850" i="14"/>
  <c r="J850" i="14" s="1"/>
  <c r="H862" i="14"/>
  <c r="J862" i="14" s="1"/>
  <c r="H11" i="14"/>
  <c r="J11" i="14" s="1"/>
  <c r="L78" i="14"/>
  <c r="N78" i="14" s="1"/>
  <c r="L760" i="14"/>
  <c r="N760" i="14" s="1"/>
  <c r="H817" i="14"/>
  <c r="J817" i="14" s="1"/>
  <c r="L857" i="14"/>
  <c r="N857" i="14" s="1"/>
  <c r="H885" i="14"/>
  <c r="J885" i="14" s="1"/>
  <c r="L148" i="14"/>
  <c r="N148" i="14" s="1"/>
  <c r="L285" i="14"/>
  <c r="N285" i="14" s="1"/>
  <c r="L482" i="14"/>
  <c r="F502" i="14"/>
  <c r="L16" i="14"/>
  <c r="N16" i="14" s="1"/>
  <c r="L40" i="14"/>
  <c r="N40" i="14" s="1"/>
  <c r="L56" i="14"/>
  <c r="N56" i="14" s="1"/>
  <c r="L143" i="14"/>
  <c r="N143" i="14" s="1"/>
  <c r="L294" i="14"/>
  <c r="N294" i="14" s="1"/>
  <c r="L331" i="14"/>
  <c r="N331" i="14" s="1"/>
  <c r="L360" i="14"/>
  <c r="N360" i="14" s="1"/>
  <c r="F372" i="14"/>
  <c r="L490" i="14"/>
  <c r="N490" i="14" s="1"/>
  <c r="L529" i="14"/>
  <c r="N529" i="14" s="1"/>
  <c r="L557" i="14"/>
  <c r="N557" i="14" s="1"/>
  <c r="L612" i="14"/>
  <c r="N612" i="14" s="1"/>
  <c r="L320" i="14"/>
  <c r="N320" i="14" s="1"/>
  <c r="L611" i="14"/>
  <c r="L663" i="14"/>
  <c r="N663" i="14" s="1"/>
  <c r="L61" i="14"/>
  <c r="N61" i="14" s="1"/>
  <c r="L79" i="14"/>
  <c r="N79" i="14" s="1"/>
  <c r="L122" i="14"/>
  <c r="N122" i="14" s="1"/>
  <c r="L389" i="14"/>
  <c r="N389" i="14" s="1"/>
  <c r="L437" i="14"/>
  <c r="N437" i="14" s="1"/>
  <c r="L831" i="14"/>
  <c r="N831" i="14" s="1"/>
  <c r="N833" i="14" s="1"/>
  <c r="F833" i="14"/>
  <c r="L862" i="14"/>
  <c r="N862" i="14" s="1"/>
  <c r="F910" i="14"/>
  <c r="L903" i="14"/>
  <c r="N903" i="14" s="1"/>
  <c r="L350" i="14"/>
  <c r="N350" i="14" s="1"/>
  <c r="L652" i="14"/>
  <c r="N652" i="14" s="1"/>
  <c r="F655" i="14"/>
  <c r="G435" i="17"/>
  <c r="H16" i="3" s="1"/>
  <c r="G469" i="17"/>
  <c r="G214" i="17"/>
  <c r="O385" i="17"/>
  <c r="E118" i="18"/>
  <c r="O451" i="17"/>
  <c r="H213" i="14"/>
  <c r="J213" i="14" s="1"/>
  <c r="H224" i="14"/>
  <c r="J224" i="14" s="1"/>
  <c r="H49" i="14"/>
  <c r="J49" i="14" s="1"/>
  <c r="H245" i="14"/>
  <c r="J245" i="14" s="1"/>
  <c r="H194" i="14"/>
  <c r="J194" i="14" s="1"/>
  <c r="H781" i="14"/>
  <c r="J781" i="14" s="1"/>
  <c r="D7" i="14"/>
  <c r="H164" i="14"/>
  <c r="J164" i="14" s="1"/>
  <c r="H181" i="14"/>
  <c r="J181" i="14" s="1"/>
  <c r="H220" i="14"/>
  <c r="J220" i="14" s="1"/>
  <c r="H12" i="14"/>
  <c r="J12" i="14" s="1"/>
  <c r="H394" i="14"/>
  <c r="J394" i="14" s="1"/>
  <c r="H453" i="14"/>
  <c r="H27" i="14"/>
  <c r="J27" i="14" s="1"/>
  <c r="H35" i="14"/>
  <c r="J35" i="14" s="1"/>
  <c r="H43" i="14"/>
  <c r="J43" i="14" s="1"/>
  <c r="H51" i="14"/>
  <c r="J51" i="14" s="1"/>
  <c r="H58" i="14"/>
  <c r="J58" i="14" s="1"/>
  <c r="H65" i="14"/>
  <c r="J65" i="14" s="1"/>
  <c r="H139" i="14"/>
  <c r="J139" i="14" s="1"/>
  <c r="H101" i="14"/>
  <c r="J101" i="14" s="1"/>
  <c r="H104" i="14"/>
  <c r="J104" i="14" s="1"/>
  <c r="H369" i="14"/>
  <c r="J369" i="14" s="1"/>
  <c r="H290" i="14"/>
  <c r="J290" i="14" s="1"/>
  <c r="H295" i="14"/>
  <c r="J295" i="14" s="1"/>
  <c r="H251" i="14"/>
  <c r="J251" i="14" s="1"/>
  <c r="H363" i="14"/>
  <c r="J363" i="14" s="1"/>
  <c r="H311" i="14"/>
  <c r="J311" i="14" s="1"/>
  <c r="H348" i="14"/>
  <c r="J348" i="14" s="1"/>
  <c r="H318" i="14"/>
  <c r="J318" i="14" s="1"/>
  <c r="H382" i="14"/>
  <c r="J382" i="14" s="1"/>
  <c r="H353" i="14"/>
  <c r="J353" i="14" s="1"/>
  <c r="H386" i="14"/>
  <c r="J386" i="14" s="1"/>
  <c r="H482" i="14"/>
  <c r="H362" i="14"/>
  <c r="J362" i="14" s="1"/>
  <c r="H332" i="14"/>
  <c r="J332" i="14" s="1"/>
  <c r="H347" i="14"/>
  <c r="J347" i="14" s="1"/>
  <c r="H317" i="14"/>
  <c r="J317" i="14" s="1"/>
  <c r="H874" i="14"/>
  <c r="J874" i="14" s="1"/>
  <c r="H320" i="14"/>
  <c r="J320" i="14" s="1"/>
  <c r="H324" i="14"/>
  <c r="J324" i="14" s="1"/>
  <c r="H259" i="14"/>
  <c r="J259" i="14" s="1"/>
  <c r="H267" i="14"/>
  <c r="J267" i="14" s="1"/>
  <c r="H271" i="14"/>
  <c r="J271" i="14" s="1"/>
  <c r="H275" i="14"/>
  <c r="J275" i="14" s="1"/>
  <c r="H478" i="14"/>
  <c r="H406" i="14"/>
  <c r="J406" i="14" s="1"/>
  <c r="H489" i="14"/>
  <c r="J489" i="14" s="1"/>
  <c r="H491" i="14"/>
  <c r="J491" i="14" s="1"/>
  <c r="H495" i="14"/>
  <c r="J495" i="14" s="1"/>
  <c r="H437" i="14"/>
  <c r="J437" i="14" s="1"/>
  <c r="H512" i="14"/>
  <c r="J512" i="14" s="1"/>
  <c r="H442" i="14"/>
  <c r="J442" i="14" s="1"/>
  <c r="H578" i="14"/>
  <c r="D591" i="14"/>
  <c r="G11" i="15" s="1"/>
  <c r="H530" i="14"/>
  <c r="J530" i="14" s="1"/>
  <c r="H534" i="14"/>
  <c r="J534" i="14" s="1"/>
  <c r="H580" i="14"/>
  <c r="J580" i="14" s="1"/>
  <c r="H537" i="14"/>
  <c r="J537" i="14" s="1"/>
  <c r="D597" i="14"/>
  <c r="H595" i="14"/>
  <c r="H586" i="14"/>
  <c r="J586" i="14" s="1"/>
  <c r="H545" i="14"/>
  <c r="H549" i="14"/>
  <c r="J549" i="14" s="1"/>
  <c r="H553" i="14"/>
  <c r="J553" i="14" s="1"/>
  <c r="H717" i="14"/>
  <c r="J717" i="14" s="1"/>
  <c r="H510" i="14"/>
  <c r="J510" i="14" s="1"/>
  <c r="H723" i="14"/>
  <c r="J723" i="14" s="1"/>
  <c r="H673" i="14"/>
  <c r="J673" i="14" s="1"/>
  <c r="H716" i="14"/>
  <c r="H759" i="14"/>
  <c r="J759" i="14" s="1"/>
  <c r="H189" i="14"/>
  <c r="J189" i="14" s="1"/>
  <c r="D714" i="14"/>
  <c r="H712" i="14"/>
  <c r="H758" i="14"/>
  <c r="J758" i="14" s="1"/>
  <c r="H698" i="14"/>
  <c r="J698" i="14" s="1"/>
  <c r="H791" i="14"/>
  <c r="J791" i="14" s="1"/>
  <c r="H675" i="14"/>
  <c r="J675" i="14" s="1"/>
  <c r="H872" i="14"/>
  <c r="J872" i="14" s="1"/>
  <c r="H557" i="14"/>
  <c r="J557" i="14" s="1"/>
  <c r="H560" i="14"/>
  <c r="J560" i="14" s="1"/>
  <c r="H77" i="14"/>
  <c r="J77" i="14" s="1"/>
  <c r="H81" i="14"/>
  <c r="J81" i="14" s="1"/>
  <c r="H778" i="14"/>
  <c r="J778" i="14" s="1"/>
  <c r="H718" i="14"/>
  <c r="J718" i="14" s="1"/>
  <c r="H792" i="14"/>
  <c r="J792" i="14" s="1"/>
  <c r="H397" i="14"/>
  <c r="J397" i="14" s="1"/>
  <c r="H851" i="14"/>
  <c r="J851" i="14" s="1"/>
  <c r="H855" i="14"/>
  <c r="J855" i="14" s="1"/>
  <c r="H859" i="14"/>
  <c r="J859" i="14" s="1"/>
  <c r="H863" i="14"/>
  <c r="J863" i="14" s="1"/>
  <c r="H922" i="14"/>
  <c r="J922" i="14" s="1"/>
  <c r="L9" i="14"/>
  <c r="N9" i="14" s="1"/>
  <c r="L117" i="14"/>
  <c r="F119" i="14"/>
  <c r="L283" i="14"/>
  <c r="N283" i="14" s="1"/>
  <c r="F302" i="14"/>
  <c r="L324" i="14"/>
  <c r="N324" i="14" s="1"/>
  <c r="L483" i="14"/>
  <c r="N483" i="14" s="1"/>
  <c r="L526" i="14"/>
  <c r="N526" i="14" s="1"/>
  <c r="L568" i="14"/>
  <c r="N568" i="14" s="1"/>
  <c r="L823" i="14"/>
  <c r="N823" i="14" s="1"/>
  <c r="L84" i="14"/>
  <c r="I90" i="15" s="1"/>
  <c r="L396" i="14"/>
  <c r="N396" i="14" s="1"/>
  <c r="L442" i="14"/>
  <c r="N442" i="14" s="1"/>
  <c r="L726" i="14"/>
  <c r="N726" i="14" s="1"/>
  <c r="L748" i="14"/>
  <c r="N748" i="14" s="1"/>
  <c r="L774" i="14"/>
  <c r="F808" i="14"/>
  <c r="L851" i="14"/>
  <c r="N851" i="14" s="1"/>
  <c r="L859" i="14"/>
  <c r="N859" i="14" s="1"/>
  <c r="F107" i="20"/>
  <c r="F882" i="14"/>
  <c r="L869" i="14"/>
  <c r="L904" i="14"/>
  <c r="N904" i="14" s="1"/>
  <c r="L19" i="14"/>
  <c r="N19" i="14" s="1"/>
  <c r="L51" i="14"/>
  <c r="N51" i="14" s="1"/>
  <c r="L156" i="14"/>
  <c r="N156" i="14" s="1"/>
  <c r="L191" i="14"/>
  <c r="N191" i="14" s="1"/>
  <c r="L293" i="14"/>
  <c r="N293" i="14" s="1"/>
  <c r="L380" i="14"/>
  <c r="N380" i="14" s="1"/>
  <c r="L485" i="14"/>
  <c r="N485" i="14" s="1"/>
  <c r="L528" i="14"/>
  <c r="N528" i="14" s="1"/>
  <c r="L573" i="14"/>
  <c r="F576" i="14"/>
  <c r="L905" i="14"/>
  <c r="N905" i="14" s="1"/>
  <c r="L392" i="14"/>
  <c r="N392" i="14" s="1"/>
  <c r="L434" i="14"/>
  <c r="N434" i="14" s="1"/>
  <c r="L26" i="14"/>
  <c r="N26" i="14" s="1"/>
  <c r="L34" i="14"/>
  <c r="N34" i="14" s="1"/>
  <c r="L42" i="14"/>
  <c r="N42" i="14" s="1"/>
  <c r="L50" i="14"/>
  <c r="N50" i="14" s="1"/>
  <c r="L58" i="14"/>
  <c r="N58" i="14" s="1"/>
  <c r="F115" i="14"/>
  <c r="L99" i="14"/>
  <c r="L147" i="14"/>
  <c r="F209" i="14"/>
  <c r="I118" i="15" s="1"/>
  <c r="K130" i="8" s="1"/>
  <c r="L274" i="14"/>
  <c r="N274" i="14" s="1"/>
  <c r="L288" i="14"/>
  <c r="N288" i="14" s="1"/>
  <c r="L296" i="14"/>
  <c r="N296" i="14" s="1"/>
  <c r="L311" i="14"/>
  <c r="N311" i="14" s="1"/>
  <c r="L319" i="14"/>
  <c r="N319" i="14" s="1"/>
  <c r="L333" i="14"/>
  <c r="N333" i="14" s="1"/>
  <c r="L349" i="14"/>
  <c r="N349" i="14" s="1"/>
  <c r="L362" i="14"/>
  <c r="N362" i="14" s="1"/>
  <c r="L370" i="14"/>
  <c r="N370" i="14" s="1"/>
  <c r="L484" i="14"/>
  <c r="N484" i="14" s="1"/>
  <c r="L492" i="14"/>
  <c r="N492" i="14" s="1"/>
  <c r="L512" i="14"/>
  <c r="N512" i="14" s="1"/>
  <c r="L551" i="14"/>
  <c r="N551" i="14" s="1"/>
  <c r="L559" i="14"/>
  <c r="N559" i="14" s="1"/>
  <c r="L581" i="14"/>
  <c r="N581" i="14" s="1"/>
  <c r="L589" i="14"/>
  <c r="N589" i="14" s="1"/>
  <c r="L614" i="14"/>
  <c r="N614" i="14" s="1"/>
  <c r="F667" i="14"/>
  <c r="L657" i="14"/>
  <c r="L673" i="14"/>
  <c r="N673" i="14" s="1"/>
  <c r="L698" i="14"/>
  <c r="N698" i="14" s="1"/>
  <c r="L712" i="14"/>
  <c r="L714" i="14" s="1"/>
  <c r="I292" i="15" s="1"/>
  <c r="F714" i="14"/>
  <c r="L817" i="14"/>
  <c r="N817" i="14" s="1"/>
  <c r="L885" i="14"/>
  <c r="N885" i="14" s="1"/>
  <c r="L906" i="14"/>
  <c r="N906" i="14" s="1"/>
  <c r="L13" i="14"/>
  <c r="N13" i="14" s="1"/>
  <c r="L287" i="14"/>
  <c r="N287" i="14" s="1"/>
  <c r="L332" i="14"/>
  <c r="N332" i="14" s="1"/>
  <c r="L365" i="14"/>
  <c r="N365" i="14" s="1"/>
  <c r="L556" i="14"/>
  <c r="N556" i="14" s="1"/>
  <c r="F641" i="14"/>
  <c r="L638" i="14"/>
  <c r="L699" i="14"/>
  <c r="N699" i="14" s="1"/>
  <c r="L194" i="14"/>
  <c r="N194" i="14" s="1"/>
  <c r="L249" i="14"/>
  <c r="N249" i="14" s="1"/>
  <c r="L384" i="14"/>
  <c r="N384" i="14" s="1"/>
  <c r="L406" i="14"/>
  <c r="N406" i="14" s="1"/>
  <c r="L455" i="14"/>
  <c r="N455" i="14" s="1"/>
  <c r="L750" i="14"/>
  <c r="N750" i="14" s="1"/>
  <c r="L776" i="14"/>
  <c r="L63" i="14"/>
  <c r="N63" i="14" s="1"/>
  <c r="L71" i="14"/>
  <c r="N71" i="14" s="1"/>
  <c r="L81" i="14"/>
  <c r="N81" i="14" s="1"/>
  <c r="L193" i="14"/>
  <c r="N193" i="14" s="1"/>
  <c r="L227" i="14"/>
  <c r="N227" i="14" s="1"/>
  <c r="L340" i="14"/>
  <c r="N340" i="14" s="1"/>
  <c r="L383" i="14"/>
  <c r="N383" i="14" s="1"/>
  <c r="L391" i="14"/>
  <c r="N391" i="14" s="1"/>
  <c r="L399" i="14"/>
  <c r="N399" i="14" s="1"/>
  <c r="L458" i="14"/>
  <c r="I157" i="15" s="1"/>
  <c r="L509" i="14"/>
  <c r="N509" i="14" s="1"/>
  <c r="L664" i="14"/>
  <c r="N664" i="14" s="1"/>
  <c r="L725" i="14"/>
  <c r="N725" i="14" s="1"/>
  <c r="L781" i="14"/>
  <c r="N781" i="14" s="1"/>
  <c r="L811" i="14"/>
  <c r="L813" i="14" s="1"/>
  <c r="I287" i="15" s="1"/>
  <c r="F813" i="14"/>
  <c r="L835" i="14"/>
  <c r="L837" i="14" s="1"/>
  <c r="F837" i="14"/>
  <c r="L848" i="14"/>
  <c r="N848" i="14" s="1"/>
  <c r="F891" i="14"/>
  <c r="L884" i="14"/>
  <c r="L55" i="14"/>
  <c r="N55" i="14" s="1"/>
  <c r="L173" i="14"/>
  <c r="N173" i="14" s="1"/>
  <c r="L322" i="14"/>
  <c r="N322" i="14" s="1"/>
  <c r="L363" i="14"/>
  <c r="N363" i="14" s="1"/>
  <c r="L578" i="14"/>
  <c r="F591" i="14"/>
  <c r="I11" i="15" s="1"/>
  <c r="I12" i="2" s="1"/>
  <c r="L661" i="14"/>
  <c r="N661" i="14" s="1"/>
  <c r="L795" i="14"/>
  <c r="N795" i="14" s="1"/>
  <c r="G461" i="17"/>
  <c r="G18" i="17"/>
  <c r="G29" i="18"/>
  <c r="G104" i="17"/>
  <c r="G467" i="17"/>
  <c r="G428" i="17"/>
  <c r="G219" i="17"/>
  <c r="G93" i="18" s="1"/>
  <c r="J90" i="11" s="1"/>
  <c r="G134" i="17"/>
  <c r="G51" i="18" s="1"/>
  <c r="J44" i="11" s="1"/>
  <c r="J318" i="11"/>
  <c r="G237" i="17"/>
  <c r="G90" i="18" s="1"/>
  <c r="J105" i="11" s="1"/>
  <c r="G472" i="17"/>
  <c r="G162" i="17"/>
  <c r="H157" i="14"/>
  <c r="J157" i="14" s="1"/>
  <c r="H226" i="14"/>
  <c r="J226" i="14" s="1"/>
  <c r="H384" i="14"/>
  <c r="J384" i="14" s="1"/>
  <c r="H330" i="14"/>
  <c r="J330" i="14" s="1"/>
  <c r="H351" i="14"/>
  <c r="G163" i="15" s="1"/>
  <c r="H366" i="14"/>
  <c r="J366" i="14" s="1"/>
  <c r="H323" i="14"/>
  <c r="J323" i="14" s="1"/>
  <c r="H266" i="14"/>
  <c r="J266" i="14" s="1"/>
  <c r="H433" i="14"/>
  <c r="J433" i="14" s="1"/>
  <c r="H436" i="14"/>
  <c r="J436" i="14" s="1"/>
  <c r="H579" i="14"/>
  <c r="J579" i="14" s="1"/>
  <c r="H539" i="14"/>
  <c r="J539" i="14" s="1"/>
  <c r="H552" i="14"/>
  <c r="J552" i="14" s="1"/>
  <c r="H760" i="14"/>
  <c r="J760" i="14" s="1"/>
  <c r="H725" i="14"/>
  <c r="J725" i="14" s="1"/>
  <c r="H746" i="14"/>
  <c r="J746" i="14" s="1"/>
  <c r="H795" i="14"/>
  <c r="J795" i="14" s="1"/>
  <c r="H404" i="14"/>
  <c r="J404" i="14" s="1"/>
  <c r="H903" i="14"/>
  <c r="H76" i="14"/>
  <c r="J76" i="14" s="1"/>
  <c r="H728" i="14"/>
  <c r="J728" i="14" s="1"/>
  <c r="H395" i="14"/>
  <c r="J395" i="14" s="1"/>
  <c r="H846" i="14"/>
  <c r="J846" i="14" s="1"/>
  <c r="H854" i="14"/>
  <c r="J854" i="14" s="1"/>
  <c r="H658" i="14"/>
  <c r="H865" i="14"/>
  <c r="J865" i="14" s="1"/>
  <c r="L316" i="14"/>
  <c r="N316" i="14" s="1"/>
  <c r="L554" i="14"/>
  <c r="N554" i="14" s="1"/>
  <c r="L43" i="14"/>
  <c r="N43" i="14" s="1"/>
  <c r="L369" i="14"/>
  <c r="N369" i="14" s="1"/>
  <c r="L511" i="14"/>
  <c r="N511" i="14" s="1"/>
  <c r="L644" i="14"/>
  <c r="L740" i="14"/>
  <c r="N740" i="14" s="1"/>
  <c r="L211" i="14"/>
  <c r="N211" i="14" s="1"/>
  <c r="F235" i="14"/>
  <c r="L386" i="14"/>
  <c r="N386" i="14" s="1"/>
  <c r="L24" i="14"/>
  <c r="N24" i="14" s="1"/>
  <c r="L48" i="14"/>
  <c r="N48" i="14" s="1"/>
  <c r="L105" i="14"/>
  <c r="N105" i="14" s="1"/>
  <c r="L368" i="14"/>
  <c r="N368" i="14" s="1"/>
  <c r="L549" i="14"/>
  <c r="N549" i="14" s="1"/>
  <c r="L587" i="14"/>
  <c r="N587" i="14" s="1"/>
  <c r="L653" i="14"/>
  <c r="I279" i="15" s="1"/>
  <c r="K343" i="10" s="1"/>
  <c r="L737" i="14"/>
  <c r="N737" i="14" s="1"/>
  <c r="H506" i="14"/>
  <c r="J506" i="14" s="1"/>
  <c r="H923" i="14"/>
  <c r="J923" i="14" s="1"/>
  <c r="L400" i="14"/>
  <c r="N400" i="14" s="1"/>
  <c r="F451" i="14"/>
  <c r="L449" i="14"/>
  <c r="L69" i="14"/>
  <c r="N69" i="14" s="1"/>
  <c r="L338" i="14"/>
  <c r="N338" i="14" s="1"/>
  <c r="L397" i="14"/>
  <c r="N397" i="14" s="1"/>
  <c r="L456" i="14"/>
  <c r="N456" i="14" s="1"/>
  <c r="L779" i="14"/>
  <c r="N779" i="14" s="1"/>
  <c r="L846" i="14"/>
  <c r="N846" i="14" s="1"/>
  <c r="L165" i="14"/>
  <c r="N165" i="14" s="1"/>
  <c r="L314" i="14"/>
  <c r="N314" i="14" s="1"/>
  <c r="G353" i="17"/>
  <c r="G95" i="18" s="1"/>
  <c r="J82" i="11" s="1"/>
  <c r="H42" i="7"/>
  <c r="H63" i="14"/>
  <c r="J63" i="14" s="1"/>
  <c r="H31" i="14"/>
  <c r="J31" i="14" s="1"/>
  <c r="H106" i="14"/>
  <c r="J106" i="14" s="1"/>
  <c r="H149" i="14"/>
  <c r="J149" i="14" s="1"/>
  <c r="H168" i="14"/>
  <c r="J168" i="14" s="1"/>
  <c r="H186" i="14"/>
  <c r="J186" i="14" s="1"/>
  <c r="H8" i="14"/>
  <c r="J8" i="14" s="1"/>
  <c r="AD8" i="14"/>
  <c r="H389" i="14"/>
  <c r="J389" i="14" s="1"/>
  <c r="H385" i="14"/>
  <c r="J385" i="14" s="1"/>
  <c r="H396" i="14"/>
  <c r="J396" i="14" s="1"/>
  <c r="H20" i="14"/>
  <c r="J20" i="14" s="1"/>
  <c r="H36" i="14"/>
  <c r="J36" i="14" s="1"/>
  <c r="H52" i="14"/>
  <c r="J52" i="14" s="1"/>
  <c r="H66" i="14"/>
  <c r="J66" i="14" s="1"/>
  <c r="H284" i="14"/>
  <c r="J284" i="14" s="1"/>
  <c r="H296" i="14"/>
  <c r="J296" i="14" s="1"/>
  <c r="H344" i="14"/>
  <c r="J344" i="14" s="1"/>
  <c r="H331" i="14"/>
  <c r="J331" i="14" s="1"/>
  <c r="H339" i="14"/>
  <c r="J339" i="14" s="1"/>
  <c r="H349" i="14"/>
  <c r="J349" i="14" s="1"/>
  <c r="H401" i="14"/>
  <c r="J401" i="14" s="1"/>
  <c r="H383" i="14"/>
  <c r="J383" i="14" s="1"/>
  <c r="H387" i="14"/>
  <c r="J387" i="14" s="1"/>
  <c r="H484" i="14"/>
  <c r="J484" i="14" s="1"/>
  <c r="H364" i="14"/>
  <c r="J364" i="14" s="1"/>
  <c r="H313" i="14"/>
  <c r="J313" i="14" s="1"/>
  <c r="H338" i="14"/>
  <c r="J338" i="14" s="1"/>
  <c r="H314" i="14"/>
  <c r="J314" i="14" s="1"/>
  <c r="H509" i="14"/>
  <c r="J509" i="14" s="1"/>
  <c r="H321" i="14"/>
  <c r="J321" i="14" s="1"/>
  <c r="H304" i="14"/>
  <c r="G161" i="15" s="1"/>
  <c r="D307" i="14"/>
  <c r="H260" i="14"/>
  <c r="J260" i="14" s="1"/>
  <c r="H264" i="14"/>
  <c r="J264" i="14" s="1"/>
  <c r="H268" i="14"/>
  <c r="J268" i="14" s="1"/>
  <c r="H272" i="14"/>
  <c r="J272" i="14" s="1"/>
  <c r="H276" i="14"/>
  <c r="J276" i="14" s="1"/>
  <c r="H398" i="14"/>
  <c r="J398" i="14" s="1"/>
  <c r="H454" i="14"/>
  <c r="J454" i="14" s="1"/>
  <c r="H490" i="14"/>
  <c r="J490" i="14" s="1"/>
  <c r="H492" i="14"/>
  <c r="J492" i="14" s="1"/>
  <c r="H497" i="14"/>
  <c r="J497" i="14" s="1"/>
  <c r="H498" i="14"/>
  <c r="J498" i="14" s="1"/>
  <c r="H438" i="14"/>
  <c r="J438" i="14" s="1"/>
  <c r="H496" i="14"/>
  <c r="J496" i="14" s="1"/>
  <c r="H524" i="14"/>
  <c r="H527" i="14"/>
  <c r="J527" i="14" s="1"/>
  <c r="H531" i="14"/>
  <c r="J531" i="14" s="1"/>
  <c r="H535" i="14"/>
  <c r="J535" i="14" s="1"/>
  <c r="H581" i="14"/>
  <c r="J581" i="14" s="1"/>
  <c r="H582" i="14"/>
  <c r="J582" i="14" s="1"/>
  <c r="H584" i="14"/>
  <c r="J584" i="14" s="1"/>
  <c r="H588" i="14"/>
  <c r="J588" i="14" s="1"/>
  <c r="H546" i="14"/>
  <c r="J546" i="14" s="1"/>
  <c r="H550" i="14"/>
  <c r="J550" i="14" s="1"/>
  <c r="H554" i="14"/>
  <c r="J554" i="14" s="1"/>
  <c r="H95" i="14"/>
  <c r="J95" i="14" s="1"/>
  <c r="H613" i="14"/>
  <c r="J613" i="14" s="1"/>
  <c r="H721" i="14"/>
  <c r="J721" i="14" s="1"/>
  <c r="H736" i="14"/>
  <c r="J736" i="14" s="1"/>
  <c r="H700" i="14"/>
  <c r="J700" i="14" s="1"/>
  <c r="H775" i="14"/>
  <c r="J775" i="14" s="1"/>
  <c r="H750" i="14"/>
  <c r="J750" i="14" s="1"/>
  <c r="H752" i="14"/>
  <c r="J752" i="14" s="1"/>
  <c r="H720" i="14"/>
  <c r="J720" i="14" s="1"/>
  <c r="H677" i="14"/>
  <c r="J677" i="14" s="1"/>
  <c r="H740" i="14"/>
  <c r="J740" i="14" s="1"/>
  <c r="H793" i="14"/>
  <c r="J793" i="14" s="1"/>
  <c r="H797" i="14"/>
  <c r="J797" i="14" s="1"/>
  <c r="H762" i="14"/>
  <c r="J762" i="14" s="1"/>
  <c r="H782" i="14"/>
  <c r="J782" i="14" s="1"/>
  <c r="H726" i="14"/>
  <c r="J726" i="14" s="1"/>
  <c r="H819" i="14"/>
  <c r="J819" i="14" s="1"/>
  <c r="H507" i="14"/>
  <c r="J507" i="14" s="1"/>
  <c r="H573" i="14"/>
  <c r="H561" i="14"/>
  <c r="J561" i="14" s="1"/>
  <c r="H78" i="14"/>
  <c r="J78" i="14" s="1"/>
  <c r="H82" i="14"/>
  <c r="J82" i="14" s="1"/>
  <c r="H790" i="14"/>
  <c r="J790" i="14" s="1"/>
  <c r="H780" i="14"/>
  <c r="J780" i="14" s="1"/>
  <c r="H719" i="14"/>
  <c r="J719" i="14" s="1"/>
  <c r="H786" i="14"/>
  <c r="J786" i="14" s="1"/>
  <c r="H801" i="14"/>
  <c r="J801" i="14" s="1"/>
  <c r="D231" i="20"/>
  <c r="H848" i="14"/>
  <c r="J848" i="14" s="1"/>
  <c r="H852" i="14"/>
  <c r="J852" i="14" s="1"/>
  <c r="H856" i="14"/>
  <c r="J856" i="14" s="1"/>
  <c r="H860" i="14"/>
  <c r="J860" i="14" s="1"/>
  <c r="H864" i="14"/>
  <c r="J864" i="14" s="1"/>
  <c r="H662" i="14"/>
  <c r="J662" i="14" s="1"/>
  <c r="L17" i="14"/>
  <c r="N17" i="14" s="1"/>
  <c r="L140" i="14"/>
  <c r="N140" i="14" s="1"/>
  <c r="L181" i="14"/>
  <c r="N181" i="14" s="1"/>
  <c r="L291" i="14"/>
  <c r="N291" i="14" s="1"/>
  <c r="L336" i="14"/>
  <c r="N336" i="14" s="1"/>
  <c r="L489" i="14"/>
  <c r="N489" i="14" s="1"/>
  <c r="L532" i="14"/>
  <c r="N532" i="14" s="1"/>
  <c r="L582" i="14"/>
  <c r="N582" i="14" s="1"/>
  <c r="L695" i="14"/>
  <c r="F710" i="14"/>
  <c r="L64" i="14"/>
  <c r="N64" i="14" s="1"/>
  <c r="L402" i="14"/>
  <c r="N402" i="14" s="1"/>
  <c r="L457" i="14"/>
  <c r="N457" i="14" s="1"/>
  <c r="L871" i="14"/>
  <c r="N871" i="14" s="1"/>
  <c r="L27" i="14"/>
  <c r="N27" i="14" s="1"/>
  <c r="L59" i="14"/>
  <c r="N59" i="14" s="1"/>
  <c r="L167" i="14"/>
  <c r="N167" i="14" s="1"/>
  <c r="F328" i="14"/>
  <c r="L310" i="14"/>
  <c r="L348" i="14"/>
  <c r="N348" i="14" s="1"/>
  <c r="L493" i="14"/>
  <c r="N493" i="14" s="1"/>
  <c r="L536" i="14"/>
  <c r="N536" i="14" s="1"/>
  <c r="L584" i="14"/>
  <c r="N584" i="14" s="1"/>
  <c r="L799" i="14"/>
  <c r="N799" i="14" s="1"/>
  <c r="L95" i="14"/>
  <c r="N95" i="14" s="1"/>
  <c r="L339" i="14"/>
  <c r="N339" i="14" s="1"/>
  <c r="L398" i="14"/>
  <c r="N398" i="14" s="1"/>
  <c r="L440" i="14"/>
  <c r="N440" i="14" s="1"/>
  <c r="L678" i="14"/>
  <c r="N678" i="14" s="1"/>
  <c r="L12" i="14"/>
  <c r="N12" i="14" s="1"/>
  <c r="K80" i="8"/>
  <c r="I24" i="9" s="1"/>
  <c r="L36" i="14"/>
  <c r="N36" i="14" s="1"/>
  <c r="L52" i="14"/>
  <c r="N52" i="14" s="1"/>
  <c r="L60" i="14"/>
  <c r="N60" i="14" s="1"/>
  <c r="L149" i="14"/>
  <c r="N149" i="14" s="1"/>
  <c r="L157" i="14"/>
  <c r="N157" i="14" s="1"/>
  <c r="L168" i="14"/>
  <c r="N168" i="14" s="1"/>
  <c r="L176" i="14"/>
  <c r="N176" i="14" s="1"/>
  <c r="L192" i="14"/>
  <c r="N192" i="14" s="1"/>
  <c r="L260" i="14"/>
  <c r="N260" i="14" s="1"/>
  <c r="L268" i="14"/>
  <c r="N268" i="14" s="1"/>
  <c r="L276" i="14"/>
  <c r="N276" i="14" s="1"/>
  <c r="L290" i="14"/>
  <c r="N290" i="14" s="1"/>
  <c r="L298" i="14"/>
  <c r="N298" i="14" s="1"/>
  <c r="L313" i="14"/>
  <c r="N313" i="14" s="1"/>
  <c r="L321" i="14"/>
  <c r="N321" i="14" s="1"/>
  <c r="L335" i="14"/>
  <c r="N335" i="14" s="1"/>
  <c r="L351" i="14"/>
  <c r="I163" i="15" s="1"/>
  <c r="L364" i="14"/>
  <c r="N364" i="14" s="1"/>
  <c r="L379" i="14"/>
  <c r="N379" i="14" s="1"/>
  <c r="L486" i="14"/>
  <c r="N486" i="14" s="1"/>
  <c r="L494" i="14"/>
  <c r="N494" i="14" s="1"/>
  <c r="L533" i="14"/>
  <c r="N533" i="14" s="1"/>
  <c r="L545" i="14"/>
  <c r="F565" i="14"/>
  <c r="L553" i="14"/>
  <c r="N553" i="14" s="1"/>
  <c r="L561" i="14"/>
  <c r="N561" i="14" s="1"/>
  <c r="L595" i="14"/>
  <c r="F597" i="14"/>
  <c r="L616" i="14"/>
  <c r="N616" i="14" s="1"/>
  <c r="L716" i="14"/>
  <c r="F730" i="14"/>
  <c r="L733" i="14"/>
  <c r="F772" i="14"/>
  <c r="L741" i="14"/>
  <c r="L819" i="14"/>
  <c r="N819" i="14" s="1"/>
  <c r="L825" i="14"/>
  <c r="N825" i="14" s="1"/>
  <c r="L259" i="14"/>
  <c r="F281" i="14"/>
  <c r="L295" i="14"/>
  <c r="N295" i="14" s="1"/>
  <c r="L487" i="14"/>
  <c r="N487" i="14" s="1"/>
  <c r="L580" i="14"/>
  <c r="N580" i="14" s="1"/>
  <c r="L658" i="14"/>
  <c r="N658" i="14" s="1"/>
  <c r="L62" i="14"/>
  <c r="N62" i="14" s="1"/>
  <c r="L253" i="14"/>
  <c r="N253" i="14" s="1"/>
  <c r="L388" i="14"/>
  <c r="N388" i="14" s="1"/>
  <c r="L432" i="14"/>
  <c r="N432" i="14" s="1"/>
  <c r="F446" i="14"/>
  <c r="L470" i="14"/>
  <c r="N470" i="14" s="1"/>
  <c r="L754" i="14"/>
  <c r="N754" i="14" s="1"/>
  <c r="L65" i="14"/>
  <c r="N65" i="14" s="1"/>
  <c r="L75" i="14"/>
  <c r="F92" i="14"/>
  <c r="L83" i="14"/>
  <c r="N83" i="14" s="1"/>
  <c r="L94" i="14"/>
  <c r="F97" i="14"/>
  <c r="L213" i="14"/>
  <c r="N213" i="14" s="1"/>
  <c r="L342" i="14"/>
  <c r="N342" i="14" s="1"/>
  <c r="L385" i="14"/>
  <c r="N385" i="14" s="1"/>
  <c r="L393" i="14"/>
  <c r="N393" i="14" s="1"/>
  <c r="L401" i="14"/>
  <c r="N401" i="14" s="1"/>
  <c r="L433" i="14"/>
  <c r="N433" i="14" s="1"/>
  <c r="L441" i="14"/>
  <c r="N441" i="14" s="1"/>
  <c r="F467" i="14"/>
  <c r="L464" i="14"/>
  <c r="L659" i="14"/>
  <c r="N659" i="14" s="1"/>
  <c r="L677" i="14"/>
  <c r="N677" i="14" s="1"/>
  <c r="L775" i="14"/>
  <c r="N775" i="14" s="1"/>
  <c r="L783" i="14"/>
  <c r="N783" i="14" s="1"/>
  <c r="L816" i="14"/>
  <c r="F842" i="14"/>
  <c r="L839" i="14"/>
  <c r="L850" i="14"/>
  <c r="N850" i="14" s="1"/>
  <c r="L858" i="14"/>
  <c r="N858" i="14" s="1"/>
  <c r="L912" i="14"/>
  <c r="F930" i="14"/>
  <c r="L277" i="14"/>
  <c r="N277" i="14" s="1"/>
  <c r="L334" i="14"/>
  <c r="N334" i="14" s="1"/>
  <c r="L378" i="14"/>
  <c r="F423" i="14"/>
  <c r="L491" i="14"/>
  <c r="N491" i="14" s="1"/>
  <c r="L534" i="14"/>
  <c r="N534" i="14" s="1"/>
  <c r="L586" i="14"/>
  <c r="N586" i="14" s="1"/>
  <c r="L801" i="14"/>
  <c r="N801" i="14" s="1"/>
  <c r="F231" i="20"/>
  <c r="G47" i="17"/>
  <c r="G462" i="17"/>
  <c r="J23" i="11"/>
  <c r="F175" i="20"/>
  <c r="F172" i="20"/>
  <c r="G229" i="17"/>
  <c r="G94" i="18" s="1"/>
  <c r="J89" i="11" s="1"/>
  <c r="G37" i="18"/>
  <c r="J11" i="11"/>
  <c r="G265" i="17"/>
  <c r="G295" i="17" s="1"/>
  <c r="G69" i="18" s="1"/>
  <c r="J59" i="11" s="1"/>
  <c r="G313" i="17"/>
  <c r="G113" i="18"/>
  <c r="G120" i="18" s="1"/>
  <c r="G457" i="17"/>
  <c r="G475" i="17"/>
  <c r="I43" i="15"/>
  <c r="I45" i="15" s="1"/>
  <c r="I47" i="15" s="1"/>
  <c r="I18" i="2" s="1"/>
  <c r="I40" i="21"/>
  <c r="G9" i="22"/>
  <c r="K18" i="21"/>
  <c r="I25" i="7"/>
  <c r="J24" i="7"/>
  <c r="H39" i="21"/>
  <c r="H18" i="21"/>
  <c r="I81" i="7"/>
  <c r="F49" i="4"/>
  <c r="H49" i="4" s="1"/>
  <c r="J974" i="14"/>
  <c r="G45" i="15"/>
  <c r="D816" i="14"/>
  <c r="C27" i="2"/>
  <c r="A127" i="8"/>
  <c r="L604" i="14" l="1"/>
  <c r="J304" i="14"/>
  <c r="AR616" i="14"/>
  <c r="H162" i="14"/>
  <c r="J162" i="14" s="1"/>
  <c r="AQ196" i="14"/>
  <c r="AD161" i="14"/>
  <c r="AR691" i="14"/>
  <c r="AQ207" i="14"/>
  <c r="AR632" i="14"/>
  <c r="AR913" i="14"/>
  <c r="AR835" i="14"/>
  <c r="AR839" i="14"/>
  <c r="AR847" i="14"/>
  <c r="AQ516" i="14"/>
  <c r="AR630" i="14"/>
  <c r="AD460" i="14"/>
  <c r="AQ403" i="14"/>
  <c r="AR633" i="14"/>
  <c r="AR919" i="14"/>
  <c r="AQ294" i="14"/>
  <c r="AQ113" i="14"/>
  <c r="AQ222" i="14"/>
  <c r="AR663" i="14"/>
  <c r="AQ293" i="14"/>
  <c r="AR770" i="14"/>
  <c r="AQ227" i="14"/>
  <c r="AR907" i="14"/>
  <c r="AR689" i="14"/>
  <c r="AQ225" i="14"/>
  <c r="H163" i="14"/>
  <c r="J163" i="14" s="1"/>
  <c r="AR844" i="14"/>
  <c r="AQ184" i="14"/>
  <c r="AR657" i="14"/>
  <c r="AR708" i="14"/>
  <c r="AR806" i="14"/>
  <c r="AR631" i="14"/>
  <c r="AQ199" i="14"/>
  <c r="AR690" i="14"/>
  <c r="AQ112" i="14"/>
  <c r="O97" i="17"/>
  <c r="K165" i="10"/>
  <c r="J69" i="13" s="1"/>
  <c r="O421" i="17"/>
  <c r="K69" i="13"/>
  <c r="R377" i="17"/>
  <c r="I10" i="15"/>
  <c r="I13" i="2" s="1"/>
  <c r="J939" i="14" s="1"/>
  <c r="F829" i="14"/>
  <c r="F998" i="14" s="1"/>
  <c r="F520" i="14"/>
  <c r="O376" i="17"/>
  <c r="R240" i="17"/>
  <c r="O309" i="17"/>
  <c r="D223" i="20"/>
  <c r="F224" i="20"/>
  <c r="O34" i="17"/>
  <c r="O305" i="17"/>
  <c r="E103" i="18"/>
  <c r="I86" i="11" s="1"/>
  <c r="I141" i="11" s="1"/>
  <c r="O193" i="17"/>
  <c r="O201" i="17" s="1"/>
  <c r="O380" i="17"/>
  <c r="R75" i="17"/>
  <c r="R320" i="17"/>
  <c r="O32" i="17"/>
  <c r="R74" i="17"/>
  <c r="I11" i="11"/>
  <c r="O437" i="17"/>
  <c r="O440" i="17" s="1"/>
  <c r="R63" i="17"/>
  <c r="R389" i="17"/>
  <c r="E76" i="18"/>
  <c r="O317" i="17"/>
  <c r="E33" i="18"/>
  <c r="F19" i="5" s="1"/>
  <c r="Q19" i="5" s="1"/>
  <c r="O273" i="17"/>
  <c r="O276" i="17" s="1"/>
  <c r="O292" i="17" s="1"/>
  <c r="R383" i="17"/>
  <c r="E16" i="18"/>
  <c r="O299" i="17"/>
  <c r="E353" i="17"/>
  <c r="E95" i="18" s="1"/>
  <c r="I82" i="11" s="1"/>
  <c r="E29" i="18"/>
  <c r="F59" i="5" s="1"/>
  <c r="E272" i="17"/>
  <c r="E294" i="17" s="1"/>
  <c r="E68" i="18" s="1"/>
  <c r="I58" i="11" s="1"/>
  <c r="O107" i="17"/>
  <c r="O120" i="17"/>
  <c r="R431" i="17"/>
  <c r="E435" i="17"/>
  <c r="F16" i="3" s="1"/>
  <c r="O261" i="17"/>
  <c r="R232" i="17"/>
  <c r="R125" i="17"/>
  <c r="E289" i="17"/>
  <c r="E296" i="17" s="1"/>
  <c r="E70" i="18" s="1"/>
  <c r="H70" i="18" s="1"/>
  <c r="E248" i="17"/>
  <c r="E291" i="17" s="1"/>
  <c r="E65" i="18" s="1"/>
  <c r="O377" i="17"/>
  <c r="E219" i="17"/>
  <c r="E93" i="18" s="1"/>
  <c r="I90" i="11" s="1"/>
  <c r="E237" i="17"/>
  <c r="E90" i="18" s="1"/>
  <c r="I105" i="11" s="1"/>
  <c r="O37" i="17"/>
  <c r="E471" i="17"/>
  <c r="O383" i="17"/>
  <c r="R29" i="17"/>
  <c r="E201" i="17"/>
  <c r="E32" i="18"/>
  <c r="I23" i="11" s="1"/>
  <c r="E257" i="17"/>
  <c r="E293" i="17" s="1"/>
  <c r="E67" i="18" s="1"/>
  <c r="H67" i="18" s="1"/>
  <c r="O116" i="17"/>
  <c r="R67" i="17"/>
  <c r="E25" i="18"/>
  <c r="F17" i="5" s="1"/>
  <c r="K41" i="15" s="1"/>
  <c r="E440" i="17"/>
  <c r="J65" i="7" s="1"/>
  <c r="E379" i="17"/>
  <c r="R379" i="17" s="1"/>
  <c r="E327" i="17"/>
  <c r="E335" i="17" s="1"/>
  <c r="E87" i="18" s="1"/>
  <c r="I101" i="11" s="1"/>
  <c r="E118" i="17"/>
  <c r="O118" i="17" s="1"/>
  <c r="E358" i="17"/>
  <c r="E36" i="18" s="1"/>
  <c r="I28" i="11" s="1"/>
  <c r="O304" i="17"/>
  <c r="E415" i="17"/>
  <c r="E20" i="17"/>
  <c r="R20" i="17" s="1"/>
  <c r="E319" i="17"/>
  <c r="O319" i="17" s="1"/>
  <c r="E204" i="17"/>
  <c r="R204" i="17" s="1"/>
  <c r="E222" i="17"/>
  <c r="O222" i="17" s="1"/>
  <c r="O229" i="17" s="1"/>
  <c r="E117" i="17"/>
  <c r="R117" i="17" s="1"/>
  <c r="E418" i="17"/>
  <c r="E378" i="17"/>
  <c r="R378" i="17" s="1"/>
  <c r="E203" i="17"/>
  <c r="R203" i="17" s="1"/>
  <c r="E207" i="17"/>
  <c r="R207" i="17" s="1"/>
  <c r="E71" i="17"/>
  <c r="O71" i="17" s="1"/>
  <c r="E141" i="17"/>
  <c r="R141" i="17" s="1"/>
  <c r="E419" i="17"/>
  <c r="E50" i="17"/>
  <c r="O50" i="17" s="1"/>
  <c r="E166" i="17"/>
  <c r="R166" i="17" s="1"/>
  <c r="E443" i="17"/>
  <c r="O443" i="17" s="1"/>
  <c r="E155" i="17"/>
  <c r="O155" i="17" s="1"/>
  <c r="E66" i="17"/>
  <c r="O66" i="17" s="1"/>
  <c r="E447" i="17"/>
  <c r="O447" i="17" s="1"/>
  <c r="E373" i="17"/>
  <c r="R373" i="17" s="1"/>
  <c r="O21" i="17"/>
  <c r="E205" i="17"/>
  <c r="O205" i="17" s="1"/>
  <c r="E453" i="17"/>
  <c r="E178" i="17"/>
  <c r="O178" i="17" s="1"/>
  <c r="E308" i="17"/>
  <c r="O308" i="17" s="1"/>
  <c r="E64" i="17"/>
  <c r="O64" i="17" s="1"/>
  <c r="E316" i="17"/>
  <c r="O316" i="17" s="1"/>
  <c r="E186" i="17"/>
  <c r="O186" i="17" s="1"/>
  <c r="E35" i="17"/>
  <c r="O35" i="17" s="1"/>
  <c r="E76" i="17"/>
  <c r="O76" i="17" s="1"/>
  <c r="E140" i="17"/>
  <c r="R140" i="17" s="1"/>
  <c r="E448" i="17"/>
  <c r="O448" i="17" s="1"/>
  <c r="E445" i="17"/>
  <c r="R445" i="17" s="1"/>
  <c r="E138" i="17"/>
  <c r="O138" i="17" s="1"/>
  <c r="E396" i="17"/>
  <c r="O396" i="17" s="1"/>
  <c r="E449" i="17"/>
  <c r="O449" i="17" s="1"/>
  <c r="E31" i="17"/>
  <c r="D196" i="20" s="1"/>
  <c r="E307" i="17"/>
  <c r="O307" i="17" s="1"/>
  <c r="E452" i="17"/>
  <c r="I72" i="11" s="1"/>
  <c r="E258" i="17"/>
  <c r="O258" i="17" s="1"/>
  <c r="E88" i="17"/>
  <c r="R88" i="17" s="1"/>
  <c r="E414" i="17"/>
  <c r="E13" i="17"/>
  <c r="R13" i="17" s="1"/>
  <c r="E26" i="17"/>
  <c r="E72" i="17"/>
  <c r="R72" i="17" s="1"/>
  <c r="E168" i="17"/>
  <c r="R168" i="17" s="1"/>
  <c r="E86" i="17"/>
  <c r="O86" i="17" s="1"/>
  <c r="E108" i="17"/>
  <c r="R108" i="17" s="1"/>
  <c r="E142" i="17"/>
  <c r="O142" i="17" s="1"/>
  <c r="E70" i="17"/>
  <c r="R70" i="17" s="1"/>
  <c r="I73" i="11"/>
  <c r="F20" i="5" s="1"/>
  <c r="Q20" i="5" s="1"/>
  <c r="H460" i="14"/>
  <c r="J460" i="14" s="1"/>
  <c r="H689" i="14"/>
  <c r="J689" i="14" s="1"/>
  <c r="AD770" i="14"/>
  <c r="H770" i="14"/>
  <c r="J770" i="14" s="1"/>
  <c r="AD633" i="14"/>
  <c r="H633" i="14"/>
  <c r="J633" i="14" s="1"/>
  <c r="AD689" i="14"/>
  <c r="H112" i="14"/>
  <c r="J112" i="14" s="1"/>
  <c r="H806" i="14"/>
  <c r="J806" i="14" s="1"/>
  <c r="AD629" i="14"/>
  <c r="AD631" i="14"/>
  <c r="H708" i="14"/>
  <c r="J708" i="14" s="1"/>
  <c r="AD708" i="14"/>
  <c r="AD112" i="14"/>
  <c r="H199" i="14"/>
  <c r="J199" i="14" s="1"/>
  <c r="AD691" i="14"/>
  <c r="H631" i="14"/>
  <c r="J631" i="14" s="1"/>
  <c r="H690" i="14"/>
  <c r="J690" i="14" s="1"/>
  <c r="AD199" i="14"/>
  <c r="AD806" i="14"/>
  <c r="AD113" i="14"/>
  <c r="H629" i="14"/>
  <c r="J629" i="14" s="1"/>
  <c r="AD207" i="14"/>
  <c r="H207" i="14"/>
  <c r="J207" i="14" s="1"/>
  <c r="H691" i="14"/>
  <c r="J691" i="14" s="1"/>
  <c r="H113" i="14"/>
  <c r="J113" i="14" s="1"/>
  <c r="H632" i="14"/>
  <c r="J632" i="14" s="1"/>
  <c r="AD690" i="14"/>
  <c r="AD632" i="14"/>
  <c r="E469" i="17"/>
  <c r="AD630" i="14"/>
  <c r="H630" i="14"/>
  <c r="J630" i="14" s="1"/>
  <c r="AR908" i="14"/>
  <c r="AD908" i="14"/>
  <c r="H908" i="14"/>
  <c r="J908" i="14" s="1"/>
  <c r="N816" i="14"/>
  <c r="E60" i="4"/>
  <c r="E65" i="4" s="1"/>
  <c r="N7" i="14"/>
  <c r="N73" i="14" s="1"/>
  <c r="L73" i="14"/>
  <c r="I87" i="15" s="1"/>
  <c r="I23" i="9" s="1"/>
  <c r="AD682" i="14"/>
  <c r="AD869" i="14"/>
  <c r="AD847" i="14"/>
  <c r="H913" i="14"/>
  <c r="J913" i="14" s="1"/>
  <c r="H644" i="14"/>
  <c r="AD822" i="14"/>
  <c r="AD742" i="14"/>
  <c r="H665" i="14"/>
  <c r="J665" i="14" s="1"/>
  <c r="AD761" i="14"/>
  <c r="H390" i="14"/>
  <c r="J390" i="14" s="1"/>
  <c r="H316" i="14"/>
  <c r="J316" i="14" s="1"/>
  <c r="H628" i="14"/>
  <c r="J628" i="14" s="1"/>
  <c r="AD787" i="14"/>
  <c r="AD674" i="14"/>
  <c r="AD319" i="14"/>
  <c r="H615" i="14"/>
  <c r="J615" i="14" s="1"/>
  <c r="H616" i="14"/>
  <c r="J616" i="14" s="1"/>
  <c r="AD672" i="14"/>
  <c r="AD380" i="14"/>
  <c r="AD907" i="14"/>
  <c r="H734" i="14"/>
  <c r="J734" i="14" s="1"/>
  <c r="AD684" i="14"/>
  <c r="K401" i="37"/>
  <c r="K402" i="37" s="1"/>
  <c r="AD844" i="14"/>
  <c r="H739" i="14"/>
  <c r="J739" i="14" s="1"/>
  <c r="H102" i="14"/>
  <c r="J102" i="14" s="1"/>
  <c r="AD821" i="14"/>
  <c r="AD699" i="14"/>
  <c r="AD749" i="14"/>
  <c r="AD294" i="14"/>
  <c r="H798" i="14"/>
  <c r="J798" i="14" s="1"/>
  <c r="AD196" i="14"/>
  <c r="H932" i="14"/>
  <c r="H784" i="14"/>
  <c r="J784" i="14" s="1"/>
  <c r="H381" i="14"/>
  <c r="J381" i="14" s="1"/>
  <c r="AD783" i="14"/>
  <c r="AD184" i="14"/>
  <c r="AD611" i="14"/>
  <c r="H735" i="14"/>
  <c r="J735" i="14" s="1"/>
  <c r="AD263" i="14"/>
  <c r="AD346" i="14"/>
  <c r="AD663" i="14"/>
  <c r="H293" i="14"/>
  <c r="J293" i="14" s="1"/>
  <c r="H403" i="14"/>
  <c r="J403" i="14" s="1"/>
  <c r="AD376" i="14"/>
  <c r="AD508" i="14"/>
  <c r="H464" i="14"/>
  <c r="J464" i="14" s="1"/>
  <c r="H737" i="14"/>
  <c r="J737" i="14" s="1"/>
  <c r="H789" i="14"/>
  <c r="J789" i="14" s="1"/>
  <c r="AD873" i="14"/>
  <c r="AD741" i="14"/>
  <c r="H336" i="14"/>
  <c r="J336" i="14" s="1"/>
  <c r="AD697" i="14"/>
  <c r="AD289" i="14"/>
  <c r="H516" i="14"/>
  <c r="J516" i="14" s="1"/>
  <c r="AD664" i="14"/>
  <c r="AD681" i="14"/>
  <c r="AD835" i="14"/>
  <c r="H703" i="14"/>
  <c r="J703" i="14" s="1"/>
  <c r="AD310" i="14"/>
  <c r="H337" i="14"/>
  <c r="AD657" i="14"/>
  <c r="AD610" i="14"/>
  <c r="AD695" i="14"/>
  <c r="AD701" i="14"/>
  <c r="AD800" i="14"/>
  <c r="AD505" i="14"/>
  <c r="H704" i="14"/>
  <c r="J704" i="14" s="1"/>
  <c r="AD392" i="14"/>
  <c r="AD504" i="14"/>
  <c r="AD368" i="14"/>
  <c r="K162" i="10"/>
  <c r="J26" i="11"/>
  <c r="H15" i="5"/>
  <c r="AD628" i="14"/>
  <c r="H907" i="14"/>
  <c r="J907" i="14" s="1"/>
  <c r="D910" i="14"/>
  <c r="I305" i="15"/>
  <c r="H196" i="14"/>
  <c r="J196" i="14" s="1"/>
  <c r="K346" i="10"/>
  <c r="AD516" i="14"/>
  <c r="G459" i="17"/>
  <c r="G480" i="17" s="1"/>
  <c r="O358" i="17"/>
  <c r="J25" i="11"/>
  <c r="F195" i="20" s="1"/>
  <c r="H17" i="5"/>
  <c r="L423" i="14"/>
  <c r="G106" i="18"/>
  <c r="N611" i="14"/>
  <c r="O435" i="17"/>
  <c r="AD614" i="14"/>
  <c r="F25" i="7"/>
  <c r="O416" i="17"/>
  <c r="I41" i="7"/>
  <c r="J41" i="7"/>
  <c r="G47" i="18"/>
  <c r="G53" i="18" s="1"/>
  <c r="H15" i="3" s="1"/>
  <c r="H27" i="5"/>
  <c r="F74" i="20" s="1"/>
  <c r="I53" i="15"/>
  <c r="I50" i="2" s="1"/>
  <c r="D876" i="14"/>
  <c r="J63" i="7"/>
  <c r="J64" i="7" s="1"/>
  <c r="K347" i="16"/>
  <c r="K348" i="16" s="1"/>
  <c r="D230" i="14"/>
  <c r="AD336" i="14"/>
  <c r="A21" i="16"/>
  <c r="D875" i="14"/>
  <c r="AD875" i="14" s="1"/>
  <c r="I306" i="15"/>
  <c r="K226" i="10" s="1"/>
  <c r="AD798" i="14"/>
  <c r="D372" i="14"/>
  <c r="H505" i="14"/>
  <c r="J505" i="14" s="1"/>
  <c r="D730" i="14"/>
  <c r="AD803" i="14"/>
  <c r="H803" i="14"/>
  <c r="J803" i="14" s="1"/>
  <c r="H508" i="14"/>
  <c r="J508" i="14" s="1"/>
  <c r="D107" i="20"/>
  <c r="K107" i="20" s="1"/>
  <c r="H835" i="14"/>
  <c r="H837" i="14" s="1"/>
  <c r="G314" i="15" s="1"/>
  <c r="AD734" i="14"/>
  <c r="AD703" i="14"/>
  <c r="H783" i="14"/>
  <c r="J783" i="14" s="1"/>
  <c r="H643" i="14"/>
  <c r="H504" i="14"/>
  <c r="J504" i="14" s="1"/>
  <c r="H742" i="14"/>
  <c r="J742" i="14" s="1"/>
  <c r="H184" i="14"/>
  <c r="J184" i="14" s="1"/>
  <c r="H456" i="14"/>
  <c r="J456" i="14" s="1"/>
  <c r="H392" i="14"/>
  <c r="J392" i="14" s="1"/>
  <c r="H787" i="14"/>
  <c r="J787" i="14" s="1"/>
  <c r="AD616" i="14"/>
  <c r="H884" i="14"/>
  <c r="J884" i="14" s="1"/>
  <c r="H368" i="14"/>
  <c r="J368" i="14" s="1"/>
  <c r="H380" i="14"/>
  <c r="J380" i="14" s="1"/>
  <c r="H672" i="14"/>
  <c r="J672" i="14" s="1"/>
  <c r="AD884" i="14"/>
  <c r="H697" i="14"/>
  <c r="J697" i="14" s="1"/>
  <c r="AD643" i="14"/>
  <c r="AD464" i="14"/>
  <c r="H684" i="14"/>
  <c r="J684" i="14" s="1"/>
  <c r="H701" i="14"/>
  <c r="J701" i="14" s="1"/>
  <c r="AD615" i="14"/>
  <c r="AD704" i="14"/>
  <c r="G821" i="14"/>
  <c r="H741" i="14"/>
  <c r="J741" i="14" s="1"/>
  <c r="H873" i="14"/>
  <c r="J873" i="14" s="1"/>
  <c r="H869" i="14"/>
  <c r="J869" i="14" s="1"/>
  <c r="AD456" i="14"/>
  <c r="H699" i="14"/>
  <c r="J699" i="14" s="1"/>
  <c r="H821" i="14"/>
  <c r="J821" i="14" s="1"/>
  <c r="H822" i="14"/>
  <c r="J822" i="14" s="1"/>
  <c r="H161" i="14"/>
  <c r="J161" i="14" s="1"/>
  <c r="AD316" i="14"/>
  <c r="H749" i="14"/>
  <c r="J749" i="14" s="1"/>
  <c r="H294" i="14"/>
  <c r="J294" i="14" s="1"/>
  <c r="D80" i="20"/>
  <c r="D82" i="20" s="1"/>
  <c r="AD162" i="14"/>
  <c r="H289" i="14"/>
  <c r="J289" i="14" s="1"/>
  <c r="D837" i="14"/>
  <c r="F38" i="20"/>
  <c r="AD644" i="14"/>
  <c r="AD665" i="14"/>
  <c r="H319" i="14"/>
  <c r="J319" i="14" s="1"/>
  <c r="AD913" i="14"/>
  <c r="AD784" i="14"/>
  <c r="M357" i="11"/>
  <c r="AD403" i="14"/>
  <c r="D667" i="14"/>
  <c r="AD839" i="14"/>
  <c r="AD381" i="14"/>
  <c r="AD163" i="14"/>
  <c r="H800" i="14"/>
  <c r="J800" i="14" s="1"/>
  <c r="H674" i="14"/>
  <c r="J674" i="14" s="1"/>
  <c r="H847" i="14"/>
  <c r="J847" i="14" s="1"/>
  <c r="H611" i="14"/>
  <c r="J611" i="14" s="1"/>
  <c r="H761" i="14"/>
  <c r="J761" i="14" s="1"/>
  <c r="H263" i="14"/>
  <c r="J263" i="14" s="1"/>
  <c r="H13" i="5"/>
  <c r="H681" i="14"/>
  <c r="J681" i="14" s="1"/>
  <c r="AD739" i="14"/>
  <c r="AD735" i="14"/>
  <c r="D867" i="14"/>
  <c r="H310" i="14"/>
  <c r="J310" i="14" s="1"/>
  <c r="H664" i="14"/>
  <c r="J664" i="14" s="1"/>
  <c r="H839" i="14"/>
  <c r="AD737" i="14"/>
  <c r="AD789" i="14"/>
  <c r="AD102" i="14"/>
  <c r="AD337" i="14"/>
  <c r="H844" i="14"/>
  <c r="H682" i="14"/>
  <c r="J682" i="14" s="1"/>
  <c r="H610" i="14"/>
  <c r="J610" i="14" s="1"/>
  <c r="H346" i="14"/>
  <c r="J346" i="14" s="1"/>
  <c r="H250" i="14"/>
  <c r="J250" i="14" s="1"/>
  <c r="AD250" i="14"/>
  <c r="H614" i="14"/>
  <c r="J614" i="14" s="1"/>
  <c r="H657" i="14"/>
  <c r="J657" i="14" s="1"/>
  <c r="H695" i="14"/>
  <c r="J695" i="14" s="1"/>
  <c r="H663" i="14"/>
  <c r="J663" i="14" s="1"/>
  <c r="AD390" i="14"/>
  <c r="AD293" i="14"/>
  <c r="H919" i="14"/>
  <c r="J919" i="14" s="1"/>
  <c r="AD919" i="14"/>
  <c r="J599" i="14"/>
  <c r="N899" i="14"/>
  <c r="N901" i="14" s="1"/>
  <c r="J899" i="14"/>
  <c r="J901" i="14" s="1"/>
  <c r="J893" i="14"/>
  <c r="N599" i="14"/>
  <c r="N604" i="14" s="1"/>
  <c r="N893" i="14"/>
  <c r="N897" i="14" s="1"/>
  <c r="L897" i="14"/>
  <c r="I282" i="15" s="1"/>
  <c r="I60" i="2" s="1"/>
  <c r="G36" i="18"/>
  <c r="J28" i="11" s="1"/>
  <c r="J74" i="11"/>
  <c r="N337" i="14"/>
  <c r="K358" i="10"/>
  <c r="K91" i="13" s="1"/>
  <c r="I307" i="15"/>
  <c r="J356" i="11" s="1"/>
  <c r="H21" i="5"/>
  <c r="J69" i="5"/>
  <c r="A29" i="26"/>
  <c r="A32" i="26" s="1"/>
  <c r="G88" i="18"/>
  <c r="J94" i="11" s="1"/>
  <c r="G86" i="18"/>
  <c r="J96" i="11" s="1"/>
  <c r="G87" i="18"/>
  <c r="J101" i="11" s="1"/>
  <c r="K39" i="21"/>
  <c r="G18" i="18"/>
  <c r="F122" i="20"/>
  <c r="L827" i="14"/>
  <c r="N827" i="14" s="1"/>
  <c r="K18" i="8"/>
  <c r="K23" i="8" s="1"/>
  <c r="J38" i="8" s="1"/>
  <c r="P12" i="8"/>
  <c r="G15" i="22"/>
  <c r="J776" i="14"/>
  <c r="J345" i="10"/>
  <c r="N776" i="14"/>
  <c r="K345" i="10"/>
  <c r="N741" i="14"/>
  <c r="K340" i="10"/>
  <c r="G60" i="4"/>
  <c r="G65" i="4" s="1"/>
  <c r="C20" i="31"/>
  <c r="C52" i="31"/>
  <c r="C41" i="31"/>
  <c r="H32" i="3"/>
  <c r="K37" i="8" s="1"/>
  <c r="N426" i="14"/>
  <c r="M33" i="3"/>
  <c r="I94" i="15"/>
  <c r="N87" i="14"/>
  <c r="AD227" i="14"/>
  <c r="AD225" i="14"/>
  <c r="H222" i="14"/>
  <c r="J222" i="14" s="1"/>
  <c r="C101" i="31"/>
  <c r="C103" i="31" s="1"/>
  <c r="C113" i="31" s="1"/>
  <c r="D100" i="31"/>
  <c r="D101" i="31" s="1"/>
  <c r="D103" i="31" s="1"/>
  <c r="D113" i="31" s="1"/>
  <c r="AD816" i="14"/>
  <c r="H211" i="14"/>
  <c r="J211" i="14" s="1"/>
  <c r="O219" i="17"/>
  <c r="O289" i="17"/>
  <c r="O296" i="17" s="1"/>
  <c r="O257" i="17"/>
  <c r="O293" i="17" s="1"/>
  <c r="O272" i="17"/>
  <c r="O294" i="17" s="1"/>
  <c r="O353" i="17"/>
  <c r="H227" i="14"/>
  <c r="J227" i="14" s="1"/>
  <c r="H225" i="14"/>
  <c r="J225" i="14" s="1"/>
  <c r="AD222" i="14"/>
  <c r="H7" i="19"/>
  <c r="I224" i="15"/>
  <c r="G222" i="15" s="1"/>
  <c r="A22" i="16"/>
  <c r="F25" i="4"/>
  <c r="H25" i="4" s="1"/>
  <c r="H31" i="4" s="1"/>
  <c r="I376" i="14"/>
  <c r="H376" i="14" s="1"/>
  <c r="J95" i="11"/>
  <c r="O248" i="17"/>
  <c r="O291" i="17" s="1"/>
  <c r="O237" i="17"/>
  <c r="J319" i="11"/>
  <c r="L710" i="14"/>
  <c r="I291" i="15" s="1"/>
  <c r="N478" i="14"/>
  <c r="N480" i="14" s="1"/>
  <c r="G289" i="15"/>
  <c r="G96" i="18"/>
  <c r="J85" i="11" s="1"/>
  <c r="J469" i="14"/>
  <c r="L772" i="14"/>
  <c r="I274" i="15" s="1"/>
  <c r="G473" i="17"/>
  <c r="J811" i="14"/>
  <c r="J813" i="14" s="1"/>
  <c r="J653" i="14"/>
  <c r="J655" i="14" s="1"/>
  <c r="N653" i="14"/>
  <c r="N655" i="14" s="1"/>
  <c r="N458" i="14"/>
  <c r="N462" i="14" s="1"/>
  <c r="N910" i="14"/>
  <c r="N235" i="14"/>
  <c r="N372" i="14"/>
  <c r="J43" i="15"/>
  <c r="L97" i="14"/>
  <c r="N94" i="14"/>
  <c r="N97" i="14" s="1"/>
  <c r="N733" i="14"/>
  <c r="L597" i="14"/>
  <c r="N595" i="14"/>
  <c r="N597" i="14" s="1"/>
  <c r="J573" i="14"/>
  <c r="F233" i="20"/>
  <c r="D232" i="20"/>
  <c r="D233" i="20" s="1"/>
  <c r="N912" i="14"/>
  <c r="N930" i="14" s="1"/>
  <c r="L930" i="14"/>
  <c r="L446" i="14"/>
  <c r="I289" i="15"/>
  <c r="N259" i="14"/>
  <c r="N281" i="14" s="1"/>
  <c r="F958" i="14"/>
  <c r="L281" i="14"/>
  <c r="I152" i="15" s="1"/>
  <c r="N351" i="14"/>
  <c r="L328" i="14"/>
  <c r="I136" i="15" s="1"/>
  <c r="F220" i="20" s="1"/>
  <c r="F50" i="20" s="1"/>
  <c r="N310" i="14"/>
  <c r="N328" i="14" s="1"/>
  <c r="N695" i="14"/>
  <c r="N710" i="14" s="1"/>
  <c r="N644" i="14"/>
  <c r="J903" i="14"/>
  <c r="G7" i="18"/>
  <c r="J12" i="11"/>
  <c r="J14" i="11" s="1"/>
  <c r="N884" i="14"/>
  <c r="N891" i="14" s="1"/>
  <c r="L891" i="14"/>
  <c r="I281" i="15" s="1"/>
  <c r="K348" i="10" s="1"/>
  <c r="N835" i="14"/>
  <c r="N837" i="14" s="1"/>
  <c r="N811" i="14"/>
  <c r="N813" i="14" s="1"/>
  <c r="N147" i="14"/>
  <c r="N209" i="14" s="1"/>
  <c r="L209" i="14"/>
  <c r="N869" i="14"/>
  <c r="N882" i="14" s="1"/>
  <c r="L882" i="14"/>
  <c r="N774" i="14"/>
  <c r="L808" i="14"/>
  <c r="I277" i="15" s="1"/>
  <c r="J545" i="14"/>
  <c r="J453" i="14"/>
  <c r="H641" i="14"/>
  <c r="J774" i="14"/>
  <c r="G65" i="18"/>
  <c r="G297" i="17"/>
  <c r="F71" i="20"/>
  <c r="F952" i="14"/>
  <c r="L124" i="14"/>
  <c r="L462" i="14"/>
  <c r="I137" i="15" s="1"/>
  <c r="L145" i="14"/>
  <c r="I117" i="15" s="1"/>
  <c r="F954" i="14"/>
  <c r="I160" i="15"/>
  <c r="N425" i="14"/>
  <c r="J733" i="14"/>
  <c r="G162" i="15"/>
  <c r="J162" i="15" s="1"/>
  <c r="J426" i="14"/>
  <c r="L543" i="14"/>
  <c r="N524" i="14"/>
  <c r="N543" i="14" s="1"/>
  <c r="L357" i="14"/>
  <c r="H480" i="14"/>
  <c r="G159" i="15"/>
  <c r="I104" i="11"/>
  <c r="H100" i="18"/>
  <c r="F24" i="5"/>
  <c r="J117" i="14"/>
  <c r="J119" i="14" s="1"/>
  <c r="H119" i="14"/>
  <c r="G275" i="15"/>
  <c r="H655" i="14"/>
  <c r="J524" i="14"/>
  <c r="N449" i="14"/>
  <c r="N451" i="14" s="1"/>
  <c r="L451" i="14"/>
  <c r="F955" i="14"/>
  <c r="L235" i="14"/>
  <c r="I125" i="15" s="1"/>
  <c r="I128" i="15" s="1"/>
  <c r="I29" i="2" s="1"/>
  <c r="G463" i="17"/>
  <c r="N712" i="14"/>
  <c r="N714" i="14" s="1"/>
  <c r="F953" i="14"/>
  <c r="N99" i="14"/>
  <c r="N115" i="14" s="1"/>
  <c r="L115" i="14"/>
  <c r="L576" i="14"/>
  <c r="N573" i="14"/>
  <c r="N576" i="14" s="1"/>
  <c r="N84" i="14"/>
  <c r="N302" i="14"/>
  <c r="L119" i="14"/>
  <c r="N117" i="14"/>
  <c r="N119" i="14" s="1"/>
  <c r="F957" i="14"/>
  <c r="J716" i="14"/>
  <c r="G12" i="2"/>
  <c r="E12" i="2" s="1"/>
  <c r="D137" i="20" s="1"/>
  <c r="J11" i="15"/>
  <c r="J478" i="14"/>
  <c r="J480" i="14" s="1"/>
  <c r="G154" i="15"/>
  <c r="L910" i="14"/>
  <c r="L502" i="14"/>
  <c r="I135" i="15" s="1"/>
  <c r="G90" i="15"/>
  <c r="L867" i="14"/>
  <c r="I278" i="15" s="1"/>
  <c r="K342" i="10" s="1"/>
  <c r="L257" i="14"/>
  <c r="I142" i="15" s="1"/>
  <c r="F956" i="14"/>
  <c r="N244" i="14"/>
  <c r="N257" i="14" s="1"/>
  <c r="L649" i="14"/>
  <c r="N643" i="14"/>
  <c r="I247" i="15"/>
  <c r="F984" i="14"/>
  <c r="J449" i="14"/>
  <c r="J451" i="14" s="1"/>
  <c r="H451" i="14"/>
  <c r="J432" i="14"/>
  <c r="D128" i="14"/>
  <c r="D133" i="14"/>
  <c r="J97" i="14"/>
  <c r="H97" i="14"/>
  <c r="I9" i="15"/>
  <c r="J279" i="15"/>
  <c r="J343" i="10"/>
  <c r="J145" i="14"/>
  <c r="H145" i="14"/>
  <c r="G117" i="15" s="1"/>
  <c r="I22" i="11"/>
  <c r="J307" i="14"/>
  <c r="H307" i="14"/>
  <c r="G167" i="15" s="1"/>
  <c r="I151" i="15"/>
  <c r="F982" i="14"/>
  <c r="J163" i="15"/>
  <c r="G85" i="18"/>
  <c r="K278" i="13"/>
  <c r="I294" i="15"/>
  <c r="I314" i="15"/>
  <c r="N638" i="14"/>
  <c r="N641" i="14" s="1"/>
  <c r="L641" i="14"/>
  <c r="F983" i="14"/>
  <c r="F132" i="14"/>
  <c r="F136" i="14" s="1"/>
  <c r="L129" i="14"/>
  <c r="I107" i="15" s="1"/>
  <c r="F109" i="20"/>
  <c r="D108" i="20"/>
  <c r="K108" i="20" s="1"/>
  <c r="E6" i="17"/>
  <c r="J578" i="14"/>
  <c r="J591" i="14" s="1"/>
  <c r="D940" i="14"/>
  <c r="H591" i="14"/>
  <c r="J482" i="14"/>
  <c r="D73" i="14"/>
  <c r="AD7" i="14"/>
  <c r="H7" i="14"/>
  <c r="H73" i="14" s="1"/>
  <c r="I95" i="11"/>
  <c r="F25" i="5"/>
  <c r="H101" i="18"/>
  <c r="L655" i="14"/>
  <c r="I275" i="15"/>
  <c r="L372" i="14"/>
  <c r="K340" i="13"/>
  <c r="G78" i="18"/>
  <c r="G81" i="18" s="1"/>
  <c r="J102" i="11"/>
  <c r="N124" i="14"/>
  <c r="N669" i="14"/>
  <c r="N693" i="14" s="1"/>
  <c r="L693" i="14"/>
  <c r="I290" i="15" s="1"/>
  <c r="K360" i="10" s="1"/>
  <c r="N145" i="14"/>
  <c r="G157" i="15"/>
  <c r="J458" i="14"/>
  <c r="J75" i="14"/>
  <c r="H92" i="14"/>
  <c r="J669" i="14"/>
  <c r="J567" i="14"/>
  <c r="G160" i="15"/>
  <c r="J425" i="14"/>
  <c r="H124" i="14"/>
  <c r="J121" i="14"/>
  <c r="J124" i="14" s="1"/>
  <c r="N446" i="14"/>
  <c r="H833" i="14"/>
  <c r="G300" i="15" s="1"/>
  <c r="D985" i="14"/>
  <c r="J360" i="14"/>
  <c r="J658" i="14"/>
  <c r="J351" i="14"/>
  <c r="L842" i="14"/>
  <c r="I280" i="15" s="1"/>
  <c r="K344" i="10" s="1"/>
  <c r="N839" i="14"/>
  <c r="N842" i="14" s="1"/>
  <c r="N545" i="14"/>
  <c r="N565" i="14" s="1"/>
  <c r="L565" i="14"/>
  <c r="G27" i="18"/>
  <c r="N378" i="14"/>
  <c r="N423" i="14" s="1"/>
  <c r="L467" i="14"/>
  <c r="I141" i="15" s="1"/>
  <c r="N464" i="14"/>
  <c r="N467" i="14" s="1"/>
  <c r="N75" i="14"/>
  <c r="L92" i="14"/>
  <c r="L730" i="14"/>
  <c r="I293" i="15" s="1"/>
  <c r="N716" i="14"/>
  <c r="N730" i="14" s="1"/>
  <c r="H22" i="5"/>
  <c r="F940" i="14"/>
  <c r="L591" i="14"/>
  <c r="N578" i="14"/>
  <c r="N591" i="14" s="1"/>
  <c r="K202" i="8"/>
  <c r="K206" i="8"/>
  <c r="L667" i="14"/>
  <c r="I288" i="15" s="1"/>
  <c r="N657" i="14"/>
  <c r="N667" i="14" s="1"/>
  <c r="L302" i="14"/>
  <c r="H714" i="14"/>
  <c r="G292" i="15" s="1"/>
  <c r="J292" i="15" s="1"/>
  <c r="J712" i="14"/>
  <c r="J714" i="14" s="1"/>
  <c r="H597" i="14"/>
  <c r="J595" i="14"/>
  <c r="J597" i="14" s="1"/>
  <c r="F985" i="14"/>
  <c r="L833" i="14"/>
  <c r="I300" i="15" s="1"/>
  <c r="I302" i="15" s="1"/>
  <c r="I63" i="2" s="1"/>
  <c r="N482" i="14"/>
  <c r="N502" i="14" s="1"/>
  <c r="J287" i="15"/>
  <c r="N844" i="14"/>
  <c r="N867" i="14" s="1"/>
  <c r="L473" i="14"/>
  <c r="N469" i="14"/>
  <c r="N473" i="14" s="1"/>
  <c r="I161" i="15"/>
  <c r="L307" i="14"/>
  <c r="I167" i="15" s="1"/>
  <c r="N304" i="14"/>
  <c r="N307" i="14" s="1"/>
  <c r="N610" i="14"/>
  <c r="L635" i="14"/>
  <c r="I268" i="15" s="1"/>
  <c r="L571" i="14"/>
  <c r="N567" i="14"/>
  <c r="N571" i="14" s="1"/>
  <c r="L480" i="14"/>
  <c r="I159" i="15"/>
  <c r="G92" i="15"/>
  <c r="J831" i="14"/>
  <c r="J833" i="14" s="1"/>
  <c r="J378" i="14"/>
  <c r="I56" i="11"/>
  <c r="H66" i="18"/>
  <c r="F23" i="20"/>
  <c r="F25" i="20" s="1"/>
  <c r="F28" i="20" s="1"/>
  <c r="J945" i="14"/>
  <c r="G393" i="13"/>
  <c r="I88" i="7"/>
  <c r="G418" i="13"/>
  <c r="H40" i="21"/>
  <c r="H25" i="7"/>
  <c r="J45" i="15"/>
  <c r="G47" i="15"/>
  <c r="K40" i="21"/>
  <c r="H816" i="14"/>
  <c r="J816" i="14" s="1"/>
  <c r="C28" i="2"/>
  <c r="B78" i="5" s="1"/>
  <c r="A139" i="8"/>
  <c r="A148" i="8" s="1"/>
  <c r="A162" i="8"/>
  <c r="G407" i="13" l="1"/>
  <c r="T16" i="3"/>
  <c r="E16" i="3"/>
  <c r="G307" i="15"/>
  <c r="J227" i="10" s="1"/>
  <c r="J70" i="7"/>
  <c r="I14" i="2" s="1"/>
  <c r="K101" i="13" s="1"/>
  <c r="N64" i="7"/>
  <c r="H133" i="14"/>
  <c r="J133" i="14" s="1"/>
  <c r="AQ230" i="14"/>
  <c r="AR876" i="14"/>
  <c r="K167" i="10"/>
  <c r="K166" i="10" s="1"/>
  <c r="K67" i="13"/>
  <c r="K161" i="10"/>
  <c r="K163" i="10" s="1"/>
  <c r="L829" i="14"/>
  <c r="I313" i="15" s="1"/>
  <c r="K370" i="10" s="1"/>
  <c r="K372" i="10" s="1"/>
  <c r="I19" i="2"/>
  <c r="J946" i="14" s="1"/>
  <c r="O419" i="17"/>
  <c r="O418" i="17"/>
  <c r="F234" i="20"/>
  <c r="J12" i="2"/>
  <c r="L12" i="2" s="1"/>
  <c r="Q12" i="2"/>
  <c r="O26" i="17"/>
  <c r="J644" i="14"/>
  <c r="R415" i="17"/>
  <c r="R414" i="17"/>
  <c r="E39" i="18"/>
  <c r="I29" i="11" s="1"/>
  <c r="I230" i="11" s="1"/>
  <c r="R71" i="17"/>
  <c r="E97" i="18"/>
  <c r="I106" i="11" s="1"/>
  <c r="I24" i="11"/>
  <c r="O166" i="17"/>
  <c r="R327" i="17"/>
  <c r="O327" i="17"/>
  <c r="O335" i="17" s="1"/>
  <c r="J229" i="13"/>
  <c r="E24" i="17"/>
  <c r="E8" i="18" s="1"/>
  <c r="R222" i="17"/>
  <c r="O117" i="17"/>
  <c r="I57" i="11"/>
  <c r="E119" i="18"/>
  <c r="R447" i="17"/>
  <c r="O20" i="17"/>
  <c r="O24" i="17" s="1"/>
  <c r="O265" i="17"/>
  <c r="O295" i="17" s="1"/>
  <c r="O297" i="17" s="1"/>
  <c r="R138" i="17"/>
  <c r="Q17" i="5"/>
  <c r="O31" i="17"/>
  <c r="H95" i="18"/>
  <c r="F22" i="5"/>
  <c r="J22" i="5" s="1"/>
  <c r="F17" i="3"/>
  <c r="E113" i="18"/>
  <c r="E78" i="18"/>
  <c r="E81" i="18" s="1"/>
  <c r="O140" i="17"/>
  <c r="I317" i="11"/>
  <c r="J17" i="5"/>
  <c r="F21" i="5"/>
  <c r="Q21" i="5" s="1"/>
  <c r="O13" i="17"/>
  <c r="O373" i="17"/>
  <c r="I25" i="11"/>
  <c r="D195" i="20" s="1"/>
  <c r="R418" i="17"/>
  <c r="H90" i="18"/>
  <c r="E129" i="18"/>
  <c r="F33" i="3" s="1"/>
  <c r="L33" i="3" s="1"/>
  <c r="O415" i="17"/>
  <c r="O203" i="17"/>
  <c r="E115" i="18"/>
  <c r="O207" i="17"/>
  <c r="J133" i="13"/>
  <c r="K133" i="13" s="1"/>
  <c r="H93" i="18"/>
  <c r="R66" i="17"/>
  <c r="R86" i="17"/>
  <c r="O379" i="17"/>
  <c r="E470" i="17"/>
  <c r="O70" i="17"/>
  <c r="R448" i="17"/>
  <c r="O378" i="17"/>
  <c r="D172" i="20"/>
  <c r="O204" i="17"/>
  <c r="R419" i="17"/>
  <c r="O141" i="17"/>
  <c r="R186" i="17"/>
  <c r="H68" i="18"/>
  <c r="O108" i="17"/>
  <c r="I60" i="11"/>
  <c r="O453" i="17"/>
  <c r="O88" i="17"/>
  <c r="F18" i="5"/>
  <c r="J18" i="5" s="1"/>
  <c r="O452" i="17"/>
  <c r="R178" i="17"/>
  <c r="O72" i="17"/>
  <c r="D175" i="20"/>
  <c r="O414" i="17"/>
  <c r="E176" i="17"/>
  <c r="E86" i="18" s="1"/>
  <c r="I96" i="11" s="1"/>
  <c r="E26" i="18"/>
  <c r="R76" i="17"/>
  <c r="E265" i="17"/>
  <c r="E295" i="17" s="1"/>
  <c r="E69" i="18" s="1"/>
  <c r="I59" i="11" s="1"/>
  <c r="O168" i="17"/>
  <c r="O445" i="17"/>
  <c r="F67" i="5"/>
  <c r="Q67" i="5" s="1"/>
  <c r="J337" i="14"/>
  <c r="G247" i="15"/>
  <c r="G249" i="15" s="1"/>
  <c r="N829" i="14"/>
  <c r="I144" i="15"/>
  <c r="K180" i="8" s="1"/>
  <c r="AD230" i="14"/>
  <c r="AD876" i="14"/>
  <c r="F64" i="20"/>
  <c r="H910" i="14"/>
  <c r="J910" i="14"/>
  <c r="J42" i="12"/>
  <c r="J31" i="12"/>
  <c r="M268" i="15"/>
  <c r="I139" i="15"/>
  <c r="K181" i="8" s="1"/>
  <c r="I108" i="15"/>
  <c r="J25" i="5"/>
  <c r="Q25" i="5"/>
  <c r="J59" i="5"/>
  <c r="Q59" i="5"/>
  <c r="J24" i="5"/>
  <c r="Q24" i="5"/>
  <c r="K176" i="8"/>
  <c r="K539" i="13" s="1"/>
  <c r="O136" i="15"/>
  <c r="J97" i="11"/>
  <c r="J21" i="11"/>
  <c r="J32" i="11" s="1"/>
  <c r="N105" i="10"/>
  <c r="N635" i="14"/>
  <c r="I140" i="15"/>
  <c r="K347" i="10"/>
  <c r="J40" i="11"/>
  <c r="J47" i="11" s="1"/>
  <c r="K50" i="11" s="1"/>
  <c r="K201" i="8"/>
  <c r="K99" i="13"/>
  <c r="Z12" i="2"/>
  <c r="X12" i="2"/>
  <c r="J76" i="11"/>
  <c r="H30" i="5"/>
  <c r="F522" i="14"/>
  <c r="F997" i="14" s="1"/>
  <c r="F999" i="14" s="1"/>
  <c r="J66" i="7"/>
  <c r="I876" i="14"/>
  <c r="H230" i="14"/>
  <c r="J230" i="14" s="1"/>
  <c r="E122" i="18"/>
  <c r="G121" i="18" s="1"/>
  <c r="I875" i="14"/>
  <c r="J643" i="14"/>
  <c r="G294" i="15"/>
  <c r="J294" i="15" s="1"/>
  <c r="J835" i="14"/>
  <c r="J837" i="14" s="1"/>
  <c r="G151" i="15"/>
  <c r="J200" i="8" s="1"/>
  <c r="H730" i="14"/>
  <c r="G293" i="15" s="1"/>
  <c r="J293" i="15" s="1"/>
  <c r="J730" i="14"/>
  <c r="H372" i="14"/>
  <c r="L107" i="20"/>
  <c r="J340" i="10"/>
  <c r="J839" i="14"/>
  <c r="H867" i="14"/>
  <c r="G278" i="15" s="1"/>
  <c r="J342" i="10" s="1"/>
  <c r="J844" i="14"/>
  <c r="J867" i="14" s="1"/>
  <c r="H667" i="14"/>
  <c r="G288" i="15" s="1"/>
  <c r="J357" i="10" s="1"/>
  <c r="H14" i="5"/>
  <c r="F155" i="20" s="1"/>
  <c r="F156" i="20" s="1"/>
  <c r="H52" i="5" s="1"/>
  <c r="N357" i="14"/>
  <c r="H87" i="18"/>
  <c r="M19" i="5"/>
  <c r="J19" i="5"/>
  <c r="A35" i="26"/>
  <c r="K222" i="15"/>
  <c r="J108" i="11"/>
  <c r="F986" i="14"/>
  <c r="F987" i="14" s="1"/>
  <c r="N772" i="14"/>
  <c r="N808" i="14"/>
  <c r="N430" i="14"/>
  <c r="F125" i="20"/>
  <c r="G421" i="13"/>
  <c r="M32" i="3"/>
  <c r="K339" i="10"/>
  <c r="C23" i="31"/>
  <c r="C36" i="31" s="1"/>
  <c r="D20" i="31"/>
  <c r="D23" i="31" s="1"/>
  <c r="D36" i="31" s="1"/>
  <c r="C53" i="31"/>
  <c r="D52" i="31"/>
  <c r="D53" i="31" s="1"/>
  <c r="I138" i="15"/>
  <c r="K177" i="8"/>
  <c r="I7" i="19"/>
  <c r="K4" i="19" s="1"/>
  <c r="J4" i="19"/>
  <c r="J7" i="19" s="1"/>
  <c r="K7" i="19" s="1"/>
  <c r="M4" i="19" s="1"/>
  <c r="G67" i="15"/>
  <c r="D35" i="20" s="1"/>
  <c r="F31" i="4"/>
  <c r="A25" i="16"/>
  <c r="J376" i="14"/>
  <c r="G50" i="15"/>
  <c r="I153" i="15"/>
  <c r="K203" i="8" s="1"/>
  <c r="D947" i="14"/>
  <c r="K143" i="8"/>
  <c r="K145" i="8" s="1"/>
  <c r="J372" i="14"/>
  <c r="F185" i="20"/>
  <c r="F191" i="20" s="1"/>
  <c r="N92" i="14"/>
  <c r="K361" i="10"/>
  <c r="O360" i="10" s="1"/>
  <c r="J289" i="15"/>
  <c r="I158" i="15"/>
  <c r="J314" i="15"/>
  <c r="J985" i="14"/>
  <c r="N649" i="14"/>
  <c r="G477" i="17"/>
  <c r="D109" i="20"/>
  <c r="I156" i="15"/>
  <c r="J84" i="11"/>
  <c r="J161" i="15"/>
  <c r="J208" i="8"/>
  <c r="G166" i="15"/>
  <c r="J275" i="15"/>
  <c r="I96" i="15"/>
  <c r="I26" i="2" s="1"/>
  <c r="F171" i="20"/>
  <c r="F173" i="20" s="1"/>
  <c r="K66" i="8"/>
  <c r="K68" i="8" s="1"/>
  <c r="I462" i="17"/>
  <c r="G458" i="17"/>
  <c r="F931" i="14"/>
  <c r="I155" i="15"/>
  <c r="I143" i="15"/>
  <c r="K179" i="8" s="1"/>
  <c r="I166" i="15"/>
  <c r="K208" i="8"/>
  <c r="J92" i="14"/>
  <c r="I269" i="15"/>
  <c r="I271" i="15" s="1"/>
  <c r="I59" i="2" s="1"/>
  <c r="I276" i="15"/>
  <c r="J167" i="15"/>
  <c r="H128" i="14"/>
  <c r="J128" i="14" s="1"/>
  <c r="K225" i="10"/>
  <c r="I309" i="15"/>
  <c r="I64" i="2" s="1"/>
  <c r="I130" i="15"/>
  <c r="I132" i="15" s="1"/>
  <c r="K178" i="8"/>
  <c r="J159" i="15"/>
  <c r="K134" i="8"/>
  <c r="K136" i="8" s="1"/>
  <c r="I122" i="15"/>
  <c r="I28" i="2" s="1"/>
  <c r="I940" i="14"/>
  <c r="D941" i="14"/>
  <c r="K357" i="10"/>
  <c r="I297" i="15"/>
  <c r="I62" i="2" s="1"/>
  <c r="K182" i="8"/>
  <c r="F48" i="20"/>
  <c r="F200" i="20"/>
  <c r="D199" i="20" s="1"/>
  <c r="J7" i="14"/>
  <c r="J73" i="14" s="1"/>
  <c r="D952" i="14"/>
  <c r="G87" i="15"/>
  <c r="O6" i="17"/>
  <c r="K109" i="20"/>
  <c r="J117" i="15"/>
  <c r="J134" i="8"/>
  <c r="I13" i="15"/>
  <c r="I11" i="2"/>
  <c r="K227" i="10"/>
  <c r="J357" i="11"/>
  <c r="I77" i="12"/>
  <c r="I78" i="12" s="1"/>
  <c r="F137" i="20"/>
  <c r="G72" i="18"/>
  <c r="J92" i="11" s="1"/>
  <c r="J55" i="11"/>
  <c r="J62" i="11" s="1"/>
  <c r="G276" i="15"/>
  <c r="G269" i="15"/>
  <c r="I55" i="11"/>
  <c r="H65" i="18"/>
  <c r="N129" i="14"/>
  <c r="N132" i="14" s="1"/>
  <c r="N136" i="14" s="1"/>
  <c r="L132" i="14"/>
  <c r="L136" i="14" s="1"/>
  <c r="F941" i="14"/>
  <c r="J940" i="14"/>
  <c r="F194" i="20"/>
  <c r="F198" i="20" s="1"/>
  <c r="G41" i="18"/>
  <c r="H11" i="3" s="1"/>
  <c r="J667" i="14"/>
  <c r="J300" i="15"/>
  <c r="G302" i="15"/>
  <c r="G165" i="15"/>
  <c r="J160" i="15"/>
  <c r="J209" i="8"/>
  <c r="J202" i="8"/>
  <c r="J206" i="8"/>
  <c r="K200" i="8"/>
  <c r="K217" i="10"/>
  <c r="K219" i="10" s="1"/>
  <c r="I249" i="15"/>
  <c r="I49" i="2" s="1"/>
  <c r="G94" i="15"/>
  <c r="J154" i="15"/>
  <c r="J204" i="8"/>
  <c r="D10" i="20"/>
  <c r="I165" i="15"/>
  <c r="K209" i="8"/>
  <c r="G10" i="18"/>
  <c r="K332" i="13"/>
  <c r="D26" i="20"/>
  <c r="J47" i="15"/>
  <c r="G18" i="2"/>
  <c r="E18" i="2" s="1"/>
  <c r="C31" i="2"/>
  <c r="A196" i="8"/>
  <c r="T17" i="3" l="1"/>
  <c r="E17" i="3"/>
  <c r="E10" i="35"/>
  <c r="I148" i="15"/>
  <c r="J67" i="13"/>
  <c r="K65" i="13"/>
  <c r="F16" i="5"/>
  <c r="H16" i="5"/>
  <c r="I70" i="7"/>
  <c r="F14" i="5"/>
  <c r="J14" i="5" s="1"/>
  <c r="K507" i="13"/>
  <c r="W18" i="2"/>
  <c r="X18" i="2" s="1"/>
  <c r="Q18" i="2"/>
  <c r="K100" i="8"/>
  <c r="K120" i="8" s="1"/>
  <c r="J69" i="7"/>
  <c r="O176" i="17"/>
  <c r="H97" i="18"/>
  <c r="J21" i="5"/>
  <c r="U17" i="3"/>
  <c r="E297" i="17"/>
  <c r="F13" i="5"/>
  <c r="Q13" i="5" s="1"/>
  <c r="M18" i="5"/>
  <c r="Q22" i="5"/>
  <c r="E120" i="18"/>
  <c r="O457" i="17"/>
  <c r="E72" i="18"/>
  <c r="I133" i="18" s="1"/>
  <c r="Q18" i="5"/>
  <c r="I62" i="11"/>
  <c r="H69" i="18"/>
  <c r="H86" i="18"/>
  <c r="J67" i="5"/>
  <c r="F26" i="5"/>
  <c r="J26" i="5" s="1"/>
  <c r="J217" i="10"/>
  <c r="J219" i="10" s="1"/>
  <c r="H66" i="5"/>
  <c r="H72" i="5" s="1"/>
  <c r="K168" i="10"/>
  <c r="F66" i="5"/>
  <c r="J65" i="13"/>
  <c r="E121" i="18"/>
  <c r="E123" i="18" s="1"/>
  <c r="G123" i="18"/>
  <c r="G125" i="18" s="1"/>
  <c r="F49" i="20"/>
  <c r="F201" i="20"/>
  <c r="H60" i="5" s="1"/>
  <c r="J50" i="11"/>
  <c r="K25" i="8"/>
  <c r="Z18" i="2"/>
  <c r="J976" i="14"/>
  <c r="K248" i="10"/>
  <c r="H876" i="14"/>
  <c r="J876" i="14" s="1"/>
  <c r="D118" i="20"/>
  <c r="J12" i="8"/>
  <c r="J32" i="8" s="1"/>
  <c r="J31" i="8" s="1"/>
  <c r="I204" i="11"/>
  <c r="F30" i="3"/>
  <c r="H875" i="14"/>
  <c r="A26" i="16"/>
  <c r="J151" i="15"/>
  <c r="G158" i="15"/>
  <c r="J158" i="15" s="1"/>
  <c r="J288" i="15"/>
  <c r="J278" i="15"/>
  <c r="K359" i="10"/>
  <c r="K363" i="10" s="1"/>
  <c r="K365" i="10" s="1"/>
  <c r="J100" i="11"/>
  <c r="J360" i="11"/>
  <c r="J362" i="11" s="1"/>
  <c r="N363" i="11"/>
  <c r="I316" i="15"/>
  <c r="I65" i="2" s="1"/>
  <c r="F989" i="14"/>
  <c r="J955" i="14"/>
  <c r="G396" i="13"/>
  <c r="K146" i="8"/>
  <c r="C42" i="31"/>
  <c r="C66" i="31" s="1"/>
  <c r="D41" i="31"/>
  <c r="D42" i="31" s="1"/>
  <c r="D66" i="31" s="1"/>
  <c r="J67" i="15"/>
  <c r="G72" i="15"/>
  <c r="J72" i="15" s="1"/>
  <c r="A28" i="16"/>
  <c r="A31" i="16" s="1"/>
  <c r="A34" i="16" s="1"/>
  <c r="D189" i="20"/>
  <c r="I164" i="15"/>
  <c r="I169" i="15" s="1"/>
  <c r="I32" i="2" s="1"/>
  <c r="N32" i="2" s="1"/>
  <c r="K205" i="8"/>
  <c r="K210" i="8" s="1"/>
  <c r="K220" i="10"/>
  <c r="K211" i="8"/>
  <c r="I30" i="2"/>
  <c r="H43" i="20" s="1"/>
  <c r="F44" i="20" s="1"/>
  <c r="K153" i="8"/>
  <c r="K155" i="8" s="1"/>
  <c r="K341" i="10"/>
  <c r="K350" i="10" s="1"/>
  <c r="I284" i="15"/>
  <c r="I61" i="2" s="1"/>
  <c r="H87" i="20"/>
  <c r="F88" i="20" s="1"/>
  <c r="F87" i="20"/>
  <c r="F178" i="20"/>
  <c r="H55" i="5" s="1"/>
  <c r="D176" i="20"/>
  <c r="D138" i="20"/>
  <c r="D139" i="20" s="1"/>
  <c r="D141" i="20" s="1"/>
  <c r="F139" i="20"/>
  <c r="F141" i="20" s="1"/>
  <c r="J34" i="11"/>
  <c r="K34" i="11"/>
  <c r="F98" i="20"/>
  <c r="F101" i="20" s="1"/>
  <c r="G101" i="15"/>
  <c r="J269" i="15"/>
  <c r="J952" i="14"/>
  <c r="G400" i="13"/>
  <c r="G426" i="13"/>
  <c r="K183" i="8"/>
  <c r="K184" i="8" s="1"/>
  <c r="J166" i="15"/>
  <c r="J165" i="15"/>
  <c r="J211" i="8"/>
  <c r="F56" i="20" s="1"/>
  <c r="G63" i="2"/>
  <c r="J302" i="15"/>
  <c r="J341" i="10"/>
  <c r="D87" i="20"/>
  <c r="D143" i="20" s="1"/>
  <c r="J276" i="15"/>
  <c r="H10" i="3"/>
  <c r="F159" i="20"/>
  <c r="F161" i="20" s="1"/>
  <c r="D159" i="20"/>
  <c r="D161" i="20" s="1"/>
  <c r="K229" i="10"/>
  <c r="K230" i="10" s="1"/>
  <c r="G49" i="2"/>
  <c r="J249" i="15"/>
  <c r="K95" i="8"/>
  <c r="K97" i="8" s="1"/>
  <c r="I110" i="15"/>
  <c r="I112" i="15" s="1"/>
  <c r="I114" i="15" s="1"/>
  <c r="I27" i="2" s="1"/>
  <c r="K503" i="13" s="1"/>
  <c r="J975" i="14"/>
  <c r="H18" i="3"/>
  <c r="J938" i="14"/>
  <c r="J941" i="14" s="1"/>
  <c r="D171" i="20"/>
  <c r="D173" i="20" s="1"/>
  <c r="G23" i="9"/>
  <c r="J87" i="15"/>
  <c r="G96" i="15"/>
  <c r="J66" i="8"/>
  <c r="J68" i="8" s="1"/>
  <c r="F93" i="20"/>
  <c r="J984" i="14"/>
  <c r="K69" i="8"/>
  <c r="H88" i="7"/>
  <c r="D23" i="20"/>
  <c r="D25" i="20" s="1"/>
  <c r="D28" i="20" s="1"/>
  <c r="I945" i="14"/>
  <c r="J18" i="2"/>
  <c r="L18" i="2" s="1"/>
  <c r="G362" i="13"/>
  <c r="C32" i="2"/>
  <c r="A8" i="10"/>
  <c r="D119" i="20" l="1"/>
  <c r="E30" i="3"/>
  <c r="Q49" i="2"/>
  <c r="E49" i="2"/>
  <c r="Q63" i="2"/>
  <c r="E63" i="2"/>
  <c r="G14" i="2"/>
  <c r="E14" i="2" s="1"/>
  <c r="I66" i="2"/>
  <c r="K364" i="11"/>
  <c r="G423" i="11"/>
  <c r="G425" i="11" s="1"/>
  <c r="D155" i="20"/>
  <c r="D156" i="20" s="1"/>
  <c r="F52" i="5" s="1"/>
  <c r="Q52" i="5" s="1"/>
  <c r="Q14" i="5"/>
  <c r="G395" i="13"/>
  <c r="J954" i="14"/>
  <c r="G420" i="13"/>
  <c r="N28" i="2"/>
  <c r="E117" i="8"/>
  <c r="E119" i="8" s="1"/>
  <c r="K99" i="8"/>
  <c r="E15" i="35"/>
  <c r="E21" i="35" s="1"/>
  <c r="E125" i="18"/>
  <c r="F29" i="3" s="1"/>
  <c r="E29" i="3" s="1"/>
  <c r="J13" i="5"/>
  <c r="M13" i="5"/>
  <c r="F18" i="3"/>
  <c r="I92" i="11"/>
  <c r="K14" i="2"/>
  <c r="Q26" i="5"/>
  <c r="Q66" i="5"/>
  <c r="J66" i="5"/>
  <c r="F72" i="5"/>
  <c r="G131" i="18"/>
  <c r="H29" i="3"/>
  <c r="J289" i="11" s="1"/>
  <c r="J293" i="11" s="1"/>
  <c r="N27" i="2"/>
  <c r="I31" i="2"/>
  <c r="M135" i="15"/>
  <c r="W49" i="2"/>
  <c r="X49" i="2" s="1"/>
  <c r="J49" i="2"/>
  <c r="L49" i="2" s="1"/>
  <c r="W63" i="2"/>
  <c r="X63" i="2" s="1"/>
  <c r="J63" i="2"/>
  <c r="L63" i="2" s="1"/>
  <c r="J986" i="14"/>
  <c r="Z49" i="2"/>
  <c r="Z63" i="2"/>
  <c r="E16" i="35"/>
  <c r="J979" i="14"/>
  <c r="O12" i="8"/>
  <c r="J18" i="8"/>
  <c r="J23" i="8" s="1"/>
  <c r="D122" i="20"/>
  <c r="M12" i="8"/>
  <c r="Y12" i="8"/>
  <c r="Y18" i="8" s="1"/>
  <c r="Z12" i="8"/>
  <c r="L30" i="3"/>
  <c r="J875" i="14"/>
  <c r="A32" i="16"/>
  <c r="J363" i="11"/>
  <c r="J364" i="11"/>
  <c r="K373" i="10"/>
  <c r="J279" i="11"/>
  <c r="J282" i="11" s="1"/>
  <c r="I346" i="11"/>
  <c r="I357" i="11" s="1"/>
  <c r="M363" i="11" s="1"/>
  <c r="I985" i="14"/>
  <c r="J30" i="5"/>
  <c r="G74" i="15"/>
  <c r="G76" i="15" s="1"/>
  <c r="J34" i="8"/>
  <c r="A36" i="16"/>
  <c r="K353" i="10"/>
  <c r="K156" i="8"/>
  <c r="K212" i="8"/>
  <c r="K215" i="8" s="1"/>
  <c r="K64" i="11"/>
  <c r="H12" i="3"/>
  <c r="J16" i="11"/>
  <c r="G402" i="13"/>
  <c r="J400" i="13"/>
  <c r="J402" i="13" s="1"/>
  <c r="G103" i="15"/>
  <c r="J91" i="8" s="1"/>
  <c r="J89" i="8"/>
  <c r="J90" i="8" s="1"/>
  <c r="G102" i="15"/>
  <c r="F143" i="20"/>
  <c r="D88" i="20"/>
  <c r="J96" i="15"/>
  <c r="G26" i="2"/>
  <c r="E26" i="2" s="1"/>
  <c r="F55" i="20"/>
  <c r="J958" i="14"/>
  <c r="D100" i="20"/>
  <c r="D178" i="20"/>
  <c r="F55" i="5" s="1"/>
  <c r="Q55" i="5" s="1"/>
  <c r="G433" i="13"/>
  <c r="F86" i="20"/>
  <c r="J983" i="14"/>
  <c r="G408" i="13"/>
  <c r="H552" i="13"/>
  <c r="K280" i="10"/>
  <c r="K282" i="10" s="1"/>
  <c r="K331" i="10" s="1"/>
  <c r="D94" i="20"/>
  <c r="F95" i="20"/>
  <c r="H41" i="5" s="1"/>
  <c r="F8" i="20"/>
  <c r="G392" i="13"/>
  <c r="G417" i="13"/>
  <c r="J953" i="14"/>
  <c r="J220" i="10"/>
  <c r="I975" i="14"/>
  <c r="J64" i="11"/>
  <c r="F164" i="20"/>
  <c r="H53" i="5" s="1"/>
  <c r="D163" i="20"/>
  <c r="D164" i="20" s="1"/>
  <c r="F53" i="5" s="1"/>
  <c r="G428" i="13"/>
  <c r="J426" i="13"/>
  <c r="J428" i="13" s="1"/>
  <c r="C40" i="2"/>
  <c r="A76" i="10"/>
  <c r="A153" i="10" s="1"/>
  <c r="T18" i="3" l="1"/>
  <c r="E18" i="3"/>
  <c r="I69" i="7"/>
  <c r="T14" i="2"/>
  <c r="AB49" i="2"/>
  <c r="W14" i="2"/>
  <c r="X14" i="2" s="1"/>
  <c r="I289" i="11"/>
  <c r="I200" i="11"/>
  <c r="Z14" i="2"/>
  <c r="Q14" i="2"/>
  <c r="J101" i="13"/>
  <c r="AA14" i="2"/>
  <c r="J14" i="2"/>
  <c r="L14" i="2" s="1"/>
  <c r="K537" i="13"/>
  <c r="H117" i="8"/>
  <c r="K117" i="8" s="1"/>
  <c r="K119" i="8" s="1"/>
  <c r="K121" i="8" s="1"/>
  <c r="K504" i="13"/>
  <c r="F63" i="20"/>
  <c r="J52" i="5"/>
  <c r="K101" i="8"/>
  <c r="K102" i="8" s="1"/>
  <c r="D113" i="20"/>
  <c r="I199" i="11"/>
  <c r="J587" i="13"/>
  <c r="L29" i="3"/>
  <c r="I64" i="11"/>
  <c r="J72" i="5"/>
  <c r="Q72" i="5"/>
  <c r="J81" i="5"/>
  <c r="M29" i="3"/>
  <c r="J199" i="11"/>
  <c r="J206" i="11" s="1"/>
  <c r="F113" i="20"/>
  <c r="H35" i="3"/>
  <c r="G394" i="13"/>
  <c r="G397" i="13" s="1"/>
  <c r="N31" i="2"/>
  <c r="J53" i="5"/>
  <c r="Q53" i="5"/>
  <c r="J957" i="14"/>
  <c r="K194" i="8"/>
  <c r="G419" i="13"/>
  <c r="G423" i="13" s="1"/>
  <c r="F47" i="20"/>
  <c r="D52" i="20" s="1"/>
  <c r="A37" i="16"/>
  <c r="Z26" i="2"/>
  <c r="X26" i="2"/>
  <c r="E19" i="35"/>
  <c r="E25" i="35"/>
  <c r="D57" i="20"/>
  <c r="F58" i="20"/>
  <c r="H38" i="5" s="1"/>
  <c r="I38" i="8"/>
  <c r="G551" i="13"/>
  <c r="C60" i="2"/>
  <c r="C48" i="2"/>
  <c r="M55" i="5"/>
  <c r="J55" i="5"/>
  <c r="A210" i="10"/>
  <c r="I360" i="11"/>
  <c r="I362" i="11" s="1"/>
  <c r="F423" i="11" s="1"/>
  <c r="M30" i="5"/>
  <c r="J74" i="15"/>
  <c r="A39" i="16"/>
  <c r="H42" i="5"/>
  <c r="J92" i="8"/>
  <c r="D12" i="20"/>
  <c r="F11" i="20"/>
  <c r="F13" i="20" s="1"/>
  <c r="D89" i="20"/>
  <c r="F90" i="20"/>
  <c r="J69" i="8"/>
  <c r="G369" i="13"/>
  <c r="I952" i="14"/>
  <c r="K551" i="13"/>
  <c r="G431" i="13"/>
  <c r="G405" i="13"/>
  <c r="J982" i="14"/>
  <c r="D142" i="20"/>
  <c r="D145" i="20" s="1"/>
  <c r="F51" i="5" s="1"/>
  <c r="Q51" i="5" s="1"/>
  <c r="F145" i="20"/>
  <c r="H51" i="5" s="1"/>
  <c r="H62" i="5" s="1"/>
  <c r="G104" i="15"/>
  <c r="J76" i="15"/>
  <c r="G20" i="2"/>
  <c r="C47" i="2"/>
  <c r="C56" i="2" s="1"/>
  <c r="A133" i="10"/>
  <c r="Q20" i="2" l="1"/>
  <c r="E20" i="2"/>
  <c r="M240" i="11"/>
  <c r="M238" i="11"/>
  <c r="H119" i="8"/>
  <c r="F66" i="20"/>
  <c r="H39" i="5" s="1"/>
  <c r="H36" i="5"/>
  <c r="M35" i="3"/>
  <c r="F53" i="20"/>
  <c r="H37" i="5" s="1"/>
  <c r="W20" i="2"/>
  <c r="X20" i="2" s="1"/>
  <c r="J20" i="2"/>
  <c r="L20" i="2" s="1"/>
  <c r="Z20" i="2"/>
  <c r="E4" i="35"/>
  <c r="A42" i="16"/>
  <c r="A40" i="16"/>
  <c r="J51" i="5"/>
  <c r="F425" i="11"/>
  <c r="A73" i="16"/>
  <c r="A71" i="16"/>
  <c r="A232" i="10"/>
  <c r="A273" i="10" s="1"/>
  <c r="A292" i="10" s="1"/>
  <c r="C49" i="2"/>
  <c r="A458" i="16"/>
  <c r="A461" i="16"/>
  <c r="A710" i="16"/>
  <c r="A626" i="16"/>
  <c r="J987" i="14"/>
  <c r="J989" i="14"/>
  <c r="D65" i="20"/>
  <c r="G66" i="20"/>
  <c r="G371" i="13"/>
  <c r="J369" i="13"/>
  <c r="J371" i="13" s="1"/>
  <c r="D30" i="20"/>
  <c r="D36" i="20" s="1"/>
  <c r="D38" i="20" s="1"/>
  <c r="I947" i="14"/>
  <c r="J52" i="8"/>
  <c r="C64" i="2"/>
  <c r="H41" i="4" l="1"/>
  <c r="H45" i="4" s="1"/>
  <c r="A45" i="16"/>
  <c r="A48" i="16" s="1"/>
  <c r="A108" i="16"/>
  <c r="A76" i="16"/>
  <c r="A81" i="16" s="1"/>
  <c r="A86" i="16" s="1"/>
  <c r="A91" i="16" s="1"/>
  <c r="A94" i="16" s="1"/>
  <c r="A260" i="10"/>
  <c r="C51" i="2" s="1"/>
  <c r="C19" i="2"/>
  <c r="C50" i="2"/>
  <c r="A714" i="16"/>
  <c r="A439" i="16"/>
  <c r="A444" i="16" s="1"/>
  <c r="A479" i="16"/>
  <c r="A746" i="16"/>
  <c r="F45" i="4" l="1"/>
  <c r="A97" i="16"/>
  <c r="A100" i="16" s="1"/>
  <c r="A61" i="16"/>
  <c r="A50" i="16"/>
  <c r="A53" i="16" s="1"/>
  <c r="A56" i="16" s="1"/>
  <c r="A59" i="16" s="1"/>
  <c r="A114" i="16"/>
  <c r="A110" i="16"/>
  <c r="A447" i="16"/>
  <c r="A457" i="16" s="1"/>
  <c r="A462" i="16" s="1"/>
  <c r="A758" i="16"/>
  <c r="A763" i="16" s="1"/>
  <c r="A113" i="16" l="1"/>
  <c r="A118" i="16"/>
  <c r="A70" i="16"/>
  <c r="A62" i="16"/>
  <c r="A103" i="16"/>
  <c r="A336" i="10"/>
  <c r="C61" i="2" s="1"/>
  <c r="C57" i="2"/>
  <c r="A128" i="16"/>
  <c r="A768" i="16"/>
  <c r="A469" i="16"/>
  <c r="A787" i="16"/>
  <c r="A792" i="16" s="1"/>
  <c r="A473" i="16" l="1"/>
  <c r="A476" i="16" s="1"/>
  <c r="A96" i="16"/>
  <c r="A124" i="16"/>
  <c r="A354" i="10"/>
  <c r="C62" i="2" s="1"/>
  <c r="A795" i="16"/>
  <c r="A772" i="16"/>
  <c r="A480" i="16"/>
  <c r="A483" i="16" s="1"/>
  <c r="A101" i="16" l="1"/>
  <c r="A165" i="16"/>
  <c r="A168" i="16" s="1"/>
  <c r="A177" i="16" s="1"/>
  <c r="A8" i="11"/>
  <c r="A18" i="11" s="1"/>
  <c r="A367" i="10"/>
  <c r="A778" i="16"/>
  <c r="A516" i="16"/>
  <c r="D10" i="3" l="1"/>
  <c r="A522" i="16"/>
  <c r="A107" i="16"/>
  <c r="A318" i="16"/>
  <c r="A782" i="16"/>
  <c r="A36" i="11"/>
  <c r="A65" i="11" s="1"/>
  <c r="A78" i="11" s="1"/>
  <c r="A120" i="11" s="1"/>
  <c r="D11" i="3"/>
  <c r="A322" i="16" l="1"/>
  <c r="A112" i="16"/>
  <c r="A117" i="16" s="1"/>
  <c r="A120" i="16"/>
  <c r="A332" i="16"/>
  <c r="A330" i="16"/>
  <c r="A585" i="16"/>
  <c r="A51" i="11"/>
  <c r="D18" i="3" s="1"/>
  <c r="D15" i="3"/>
  <c r="A329" i="16" l="1"/>
  <c r="A123" i="16"/>
  <c r="A116" i="16"/>
  <c r="A126" i="16"/>
  <c r="A339" i="16"/>
  <c r="A334" i="16"/>
  <c r="A337" i="16" s="1"/>
  <c r="A592" i="16"/>
  <c r="D20" i="3"/>
  <c r="A122" i="16" l="1"/>
  <c r="A129" i="16"/>
  <c r="A342" i="16"/>
  <c r="A599" i="16"/>
  <c r="D19" i="3"/>
  <c r="A162" i="11"/>
  <c r="A132" i="16" l="1"/>
  <c r="A135" i="16" s="1"/>
  <c r="A130" i="16"/>
  <c r="A603" i="16"/>
  <c r="A149" i="16"/>
  <c r="A147" i="16"/>
  <c r="A343" i="16"/>
  <c r="A608" i="16"/>
  <c r="A611" i="16" s="1"/>
  <c r="A133" i="11"/>
  <c r="A138" i="16" l="1"/>
  <c r="A141" i="16" s="1"/>
  <c r="A142" i="16" s="1"/>
  <c r="A144" i="16"/>
  <c r="A351" i="16"/>
  <c r="A346" i="16"/>
  <c r="A350" i="16" s="1"/>
  <c r="A616" i="16"/>
  <c r="A619" i="16" s="1"/>
  <c r="A189" i="11"/>
  <c r="A218" i="11" s="1"/>
  <c r="A146" i="16" l="1"/>
  <c r="A150" i="16" s="1"/>
  <c r="A153" i="16"/>
  <c r="A354" i="16"/>
  <c r="A622" i="16"/>
  <c r="A273" i="11"/>
  <c r="C33" i="2"/>
  <c r="A252" i="11"/>
  <c r="D28" i="3"/>
  <c r="C21" i="2"/>
  <c r="A313" i="11"/>
  <c r="C65" i="2"/>
  <c r="A156" i="16" l="1"/>
  <c r="A159" i="16" s="1"/>
  <c r="A154" i="16"/>
  <c r="A160" i="16"/>
  <c r="A163" i="16" s="1"/>
  <c r="A358" i="16"/>
  <c r="A362" i="16" s="1"/>
  <c r="A652" i="16"/>
  <c r="A655" i="16" s="1"/>
  <c r="A658" i="16" s="1"/>
  <c r="A661" i="16" s="1"/>
  <c r="A7" i="12"/>
  <c r="A7" i="13" s="1"/>
  <c r="A193" i="13" s="1"/>
  <c r="A162" i="16" l="1"/>
  <c r="A166" i="16"/>
  <c r="A169" i="16" s="1"/>
  <c r="A172" i="16" s="1"/>
  <c r="A668" i="16"/>
  <c r="A672" i="16" s="1"/>
  <c r="A678" i="16" s="1"/>
  <c r="A683" i="16" s="1"/>
  <c r="A261" i="13"/>
  <c r="A345" i="13" s="1"/>
  <c r="A175" i="16" l="1"/>
  <c r="A174" i="16"/>
  <c r="A365" i="16"/>
  <c r="A687" i="16"/>
  <c r="A691" i="16" s="1"/>
  <c r="A271" i="13"/>
  <c r="D50" i="3"/>
  <c r="A179" i="16" l="1"/>
  <c r="A260" i="16"/>
  <c r="A369" i="16"/>
  <c r="A366" i="16"/>
  <c r="A697" i="16"/>
  <c r="A702" i="16" s="1"/>
  <c r="A708" i="16" s="1"/>
  <c r="A712" i="16" s="1"/>
  <c r="A716" i="16" s="1"/>
  <c r="A720" i="16" s="1"/>
  <c r="A723" i="16" s="1"/>
  <c r="A289" i="13"/>
  <c r="A328" i="13" s="1"/>
  <c r="A336" i="13" s="1"/>
  <c r="A264" i="16" l="1"/>
  <c r="A183" i="16"/>
  <c r="A187" i="16" s="1"/>
  <c r="A191" i="16" s="1"/>
  <c r="A182" i="16"/>
  <c r="A222" i="16"/>
  <c r="A374" i="16"/>
  <c r="A372" i="16"/>
  <c r="A727" i="16"/>
  <c r="A724" i="16"/>
  <c r="A354" i="13"/>
  <c r="A450" i="13"/>
  <c r="A441" i="13"/>
  <c r="A229" i="16" l="1"/>
  <c r="A232" i="16" s="1"/>
  <c r="A195" i="16"/>
  <c r="A192" i="16"/>
  <c r="A380" i="16"/>
  <c r="A379" i="16"/>
  <c r="A738" i="16"/>
  <c r="A737" i="16"/>
  <c r="A526" i="13"/>
  <c r="A573" i="13"/>
  <c r="A236" i="16" l="1"/>
  <c r="A239" i="16" s="1"/>
  <c r="A249" i="16"/>
  <c r="A196" i="16"/>
  <c r="A200" i="16" s="1"/>
  <c r="A204" i="16" s="1"/>
  <c r="A208" i="16" s="1"/>
  <c r="A213" i="16" s="1"/>
  <c r="A383" i="16"/>
  <c r="A382" i="16"/>
  <c r="A741" i="16"/>
  <c r="A748" i="16" s="1"/>
  <c r="A752" i="16" s="1"/>
  <c r="A755" i="16" s="1"/>
  <c r="A756" i="16" s="1"/>
  <c r="A761" i="16" s="1"/>
  <c r="A764" i="16" s="1"/>
  <c r="A771" i="16" s="1"/>
  <c r="A776" i="16" s="1"/>
  <c r="A780" i="16" s="1"/>
  <c r="A784" i="16" s="1"/>
  <c r="A793" i="16" s="1"/>
  <c r="A799" i="16" s="1"/>
  <c r="A804" i="16" s="1"/>
  <c r="A575" i="13" l="1"/>
  <c r="A253" i="16"/>
  <c r="A218" i="16"/>
  <c r="A224" i="16" s="1"/>
  <c r="A227" i="16" s="1"/>
  <c r="A385" i="16"/>
  <c r="A389" i="16" s="1"/>
  <c r="A392" i="16" s="1"/>
  <c r="A577" i="13" l="1"/>
  <c r="A598" i="13" s="1"/>
  <c r="A609" i="13" s="1"/>
  <c r="A625" i="13" s="1"/>
  <c r="A628" i="13" s="1"/>
  <c r="A257" i="16"/>
  <c r="A235" i="16"/>
  <c r="A393" i="16"/>
  <c r="A396" i="16" s="1"/>
  <c r="A400" i="16" s="1"/>
  <c r="A404" i="16" s="1"/>
  <c r="L522" i="14"/>
  <c r="I33" i="2" s="1"/>
  <c r="F959" i="14"/>
  <c r="F960" i="14" s="1"/>
  <c r="N520" i="14"/>
  <c r="N522" i="14" s="1"/>
  <c r="I34" i="2" l="1"/>
  <c r="A240" i="16"/>
  <c r="F948" i="14"/>
  <c r="F949" i="14" s="1"/>
  <c r="F962" i="14" s="1"/>
  <c r="A408" i="16"/>
  <c r="A406" i="16"/>
  <c r="J959" i="14"/>
  <c r="J269" i="11"/>
  <c r="J272" i="11" s="1"/>
  <c r="M522" i="14"/>
  <c r="I80" i="15" s="1"/>
  <c r="A244" i="16" l="1"/>
  <c r="E3" i="35"/>
  <c r="E22" i="35"/>
  <c r="J589" i="13" s="1"/>
  <c r="A411" i="16"/>
  <c r="A410" i="16"/>
  <c r="K58" i="8"/>
  <c r="I82" i="15"/>
  <c r="J583" i="13" l="1"/>
  <c r="J3" i="35"/>
  <c r="A250" i="16"/>
  <c r="A255" i="16" s="1"/>
  <c r="A414" i="16"/>
  <c r="A417" i="16" s="1"/>
  <c r="A420" i="16" s="1"/>
  <c r="A425" i="16" s="1"/>
  <c r="A429" i="16" s="1"/>
  <c r="A433" i="16" s="1"/>
  <c r="A470" i="16" s="1"/>
  <c r="A477" i="16" s="1"/>
  <c r="A482" i="16" s="1"/>
  <c r="A486" i="16" s="1"/>
  <c r="I21" i="2"/>
  <c r="P21" i="2" s="1"/>
  <c r="I319" i="15"/>
  <c r="A259" i="16" l="1"/>
  <c r="A263" i="16" s="1"/>
  <c r="A267" i="16" s="1"/>
  <c r="A270" i="16" s="1"/>
  <c r="A273" i="16" s="1"/>
  <c r="A276" i="16" s="1"/>
  <c r="A279" i="16" s="1"/>
  <c r="A282" i="16" s="1"/>
  <c r="A285" i="16" s="1"/>
  <c r="A288" i="16" s="1"/>
  <c r="A291" i="16" s="1"/>
  <c r="A298" i="16" s="1"/>
  <c r="A303" i="16" s="1"/>
  <c r="A306" i="16" s="1"/>
  <c r="A309" i="16" s="1"/>
  <c r="A312" i="16" s="1"/>
  <c r="A316" i="16" s="1"/>
  <c r="A320" i="16" s="1"/>
  <c r="A323" i="16" s="1"/>
  <c r="A326" i="16" s="1"/>
  <c r="A336" i="16" s="1"/>
  <c r="A340" i="16" s="1"/>
  <c r="A345" i="16" s="1"/>
  <c r="A491" i="16"/>
  <c r="A490" i="16"/>
  <c r="J260" i="11"/>
  <c r="J262" i="11" s="1"/>
  <c r="I22" i="2"/>
  <c r="J948" i="14"/>
  <c r="J949" i="14" s="1"/>
  <c r="F112" i="20"/>
  <c r="F116" i="20" s="1"/>
  <c r="I36" i="2" l="1"/>
  <c r="A494" i="16"/>
  <c r="A497" i="16" s="1"/>
  <c r="D115" i="20"/>
  <c r="J49" i="12" l="1"/>
  <c r="J54" i="12" s="1"/>
  <c r="J56" i="12" s="1"/>
  <c r="J57" i="12" s="1"/>
  <c r="A500" i="16"/>
  <c r="A498" i="16"/>
  <c r="A503" i="16" l="1"/>
  <c r="A502" i="16"/>
  <c r="A512" i="16" l="1"/>
  <c r="A521" i="16" s="1"/>
  <c r="A525" i="16" l="1"/>
  <c r="A531" i="16" s="1"/>
  <c r="A536" i="16" s="1"/>
  <c r="A540" i="16" s="1"/>
  <c r="A561" i="16"/>
  <c r="G23" i="16"/>
  <c r="A573" i="16" l="1"/>
  <c r="A548" i="16"/>
  <c r="A552" i="16" s="1"/>
  <c r="A556" i="16" s="1"/>
  <c r="G240" i="16"/>
  <c r="A576" i="16" l="1"/>
  <c r="A560" i="16"/>
  <c r="A566" i="16" s="1"/>
  <c r="A570" i="16" s="1"/>
  <c r="D1093" i="16"/>
  <c r="D2" i="16" s="1"/>
  <c r="E1093" i="16"/>
  <c r="E2" i="16" s="1"/>
  <c r="A574" i="16" l="1"/>
  <c r="A578" i="16" s="1"/>
  <c r="A579" i="16"/>
  <c r="A582" i="16" s="1"/>
  <c r="F2" i="16"/>
  <c r="E1108" i="24"/>
  <c r="F1107" i="24" l="1"/>
  <c r="A589" i="16"/>
  <c r="A595" i="16" s="1"/>
  <c r="E391" i="17"/>
  <c r="A601" i="16" l="1"/>
  <c r="A600" i="16"/>
  <c r="O391" i="17"/>
  <c r="R391" i="17"/>
  <c r="A606" i="16" l="1"/>
  <c r="A610" i="16" s="1"/>
  <c r="A614" i="16" s="1"/>
  <c r="A618" i="16" s="1"/>
  <c r="A625" i="16" s="1"/>
  <c r="A604" i="16"/>
  <c r="A631" i="16" l="1"/>
  <c r="A629" i="16"/>
  <c r="A636" i="16" l="1"/>
  <c r="A634" i="16"/>
  <c r="A640" i="16" l="1"/>
  <c r="A637" i="16"/>
  <c r="A644" i="16" l="1"/>
  <c r="A648" i="16" s="1"/>
  <c r="A641" i="16"/>
  <c r="H48" i="4" l="1"/>
  <c r="H52" i="4" s="1"/>
  <c r="F52" i="4"/>
  <c r="N52" i="4" l="1"/>
  <c r="G155" i="25" l="1"/>
  <c r="G158" i="25"/>
  <c r="G5" i="25"/>
  <c r="F142" i="25" l="1"/>
  <c r="G142" i="25" s="1"/>
  <c r="F44" i="25"/>
  <c r="G44" i="25" s="1"/>
  <c r="F128" i="25"/>
  <c r="G128" i="25" s="1"/>
  <c r="F63" i="25"/>
  <c r="G63" i="25" s="1"/>
  <c r="F51" i="25"/>
  <c r="G51" i="25" s="1"/>
  <c r="F35" i="25"/>
  <c r="G35" i="25" s="1"/>
  <c r="F115" i="25"/>
  <c r="G115" i="25" s="1"/>
  <c r="G165" i="25"/>
  <c r="F98" i="25"/>
  <c r="G98" i="25" s="1"/>
  <c r="F27" i="25"/>
  <c r="G27" i="25" s="1"/>
  <c r="F64" i="25"/>
  <c r="G64" i="25" s="1"/>
  <c r="F89" i="25"/>
  <c r="G89" i="25" s="1"/>
  <c r="C257" i="25"/>
  <c r="G170" i="25"/>
  <c r="F42" i="25"/>
  <c r="G42" i="25" s="1"/>
  <c r="F17" i="25"/>
  <c r="G17" i="25" s="1"/>
  <c r="F23" i="25"/>
  <c r="G23" i="25" s="1"/>
  <c r="F86" i="25"/>
  <c r="G86" i="25" s="1"/>
  <c r="F144" i="25"/>
  <c r="G144" i="25" s="1"/>
  <c r="F177" i="25"/>
  <c r="G177" i="25" s="1"/>
  <c r="F82" i="25"/>
  <c r="G82" i="25" s="1"/>
  <c r="F59" i="25"/>
  <c r="G59" i="25" s="1"/>
  <c r="F79" i="25"/>
  <c r="G79" i="25" s="1"/>
  <c r="F16" i="25"/>
  <c r="G16" i="25" s="1"/>
  <c r="F167" i="25"/>
  <c r="G167" i="25" s="1"/>
  <c r="F41" i="25"/>
  <c r="G41" i="25" s="1"/>
  <c r="F74" i="25"/>
  <c r="G74" i="25" s="1"/>
  <c r="F102" i="25"/>
  <c r="G102" i="25" s="1"/>
  <c r="F129" i="25"/>
  <c r="G129" i="25" s="1"/>
  <c r="F58" i="25"/>
  <c r="G58" i="25" s="1"/>
  <c r="F30" i="25"/>
  <c r="G30" i="25" s="1"/>
  <c r="F173" i="25"/>
  <c r="G173" i="25" s="1"/>
  <c r="F29" i="25"/>
  <c r="G29" i="25" s="1"/>
  <c r="F72" i="25"/>
  <c r="G72" i="25" s="1"/>
  <c r="F179" i="25"/>
  <c r="G179" i="25" s="1"/>
  <c r="F50" i="25"/>
  <c r="G50" i="25" s="1"/>
  <c r="F113" i="25"/>
  <c r="G113" i="25" s="1"/>
  <c r="F104" i="25"/>
  <c r="G104" i="25" s="1"/>
  <c r="F24" i="25"/>
  <c r="G24" i="25" s="1"/>
  <c r="F21" i="25"/>
  <c r="G21" i="25" s="1"/>
  <c r="F48" i="25"/>
  <c r="G48" i="25" s="1"/>
  <c r="F241" i="25"/>
  <c r="G241" i="25" s="1"/>
  <c r="F112" i="25"/>
  <c r="G112" i="25" s="1"/>
  <c r="F34" i="25"/>
  <c r="G34" i="25" s="1"/>
  <c r="F140" i="25"/>
  <c r="G140" i="25" s="1"/>
  <c r="F20" i="25"/>
  <c r="G20" i="25" s="1"/>
  <c r="F13" i="25"/>
  <c r="G13" i="25" s="1"/>
  <c r="F37" i="25"/>
  <c r="G37" i="25" s="1"/>
  <c r="F116" i="25"/>
  <c r="G116" i="25" s="1"/>
  <c r="D1119" i="24"/>
  <c r="F1119" i="24" s="1"/>
  <c r="D1118" i="24"/>
  <c r="F1118" i="24" s="1"/>
  <c r="F55" i="25"/>
  <c r="G55" i="25" s="1"/>
  <c r="F80" i="25"/>
  <c r="G80" i="25" s="1"/>
  <c r="F121" i="25"/>
  <c r="G121" i="25" s="1"/>
  <c r="F71" i="25"/>
  <c r="G71" i="25" s="1"/>
  <c r="F166" i="25"/>
  <c r="G166" i="25" s="1"/>
  <c r="F14" i="25"/>
  <c r="G14" i="25" s="1"/>
  <c r="F88" i="25"/>
  <c r="G88" i="25" s="1"/>
  <c r="F7" i="25"/>
  <c r="G7" i="25" s="1"/>
  <c r="F56" i="25"/>
  <c r="G56" i="25" s="1"/>
  <c r="F120" i="25"/>
  <c r="G120" i="25" s="1"/>
  <c r="F75" i="25"/>
  <c r="G75" i="25" s="1"/>
  <c r="F9" i="25"/>
  <c r="G9" i="25" s="1"/>
  <c r="E209" i="17" l="1"/>
  <c r="D421" i="14"/>
  <c r="D407" i="14"/>
  <c r="E145" i="17"/>
  <c r="D569" i="14"/>
  <c r="D877" i="14"/>
  <c r="D299" i="14"/>
  <c r="D459" i="14"/>
  <c r="D562" i="14"/>
  <c r="D686" i="14"/>
  <c r="D198" i="14"/>
  <c r="E404" i="17"/>
  <c r="D232" i="14"/>
  <c r="D563" i="14"/>
  <c r="E226" i="17"/>
  <c r="E144" i="17"/>
  <c r="E15" i="17"/>
  <c r="D804" i="14"/>
  <c r="E102" i="17"/>
  <c r="D623" i="14"/>
  <c r="E101" i="17"/>
  <c r="D517" i="14"/>
  <c r="D601" i="14"/>
  <c r="O58" i="7" s="1"/>
  <c r="P58" i="7" s="1"/>
  <c r="E143" i="17"/>
  <c r="E227" i="17"/>
  <c r="D840" i="14"/>
  <c r="E179" i="17"/>
  <c r="D826" i="14"/>
  <c r="D428" i="14"/>
  <c r="D688" i="14"/>
  <c r="D888" i="14"/>
  <c r="E99" i="17"/>
  <c r="D617" i="14"/>
  <c r="D205" i="14"/>
  <c r="D624" i="14"/>
  <c r="D203" i="14"/>
  <c r="D541" i="14"/>
  <c r="D409" i="14"/>
  <c r="D627" i="14"/>
  <c r="D278" i="14"/>
  <c r="D766" i="14"/>
  <c r="D879" i="14"/>
  <c r="D925" i="14"/>
  <c r="D420" i="14"/>
  <c r="D574" i="14"/>
  <c r="E397" i="17"/>
  <c r="AQ325" i="14"/>
  <c r="D515" i="14"/>
  <c r="E426" i="17"/>
  <c r="D647" i="14"/>
  <c r="D621" i="14"/>
  <c r="D764" i="14"/>
  <c r="D687" i="14"/>
  <c r="E42" i="17"/>
  <c r="F83" i="25"/>
  <c r="G83" i="25" s="1"/>
  <c r="F81" i="25"/>
  <c r="G81" i="25" s="1"/>
  <c r="F118" i="25"/>
  <c r="G118" i="25" s="1"/>
  <c r="F69" i="25"/>
  <c r="G69" i="25" s="1"/>
  <c r="F124" i="25"/>
  <c r="G124" i="25" s="1"/>
  <c r="W48" i="3"/>
  <c r="G224" i="15"/>
  <c r="F73" i="25"/>
  <c r="G73" i="25" s="1"/>
  <c r="F119" i="25"/>
  <c r="G119" i="25" s="1"/>
  <c r="F78" i="25"/>
  <c r="G78" i="25" s="1"/>
  <c r="F178" i="25"/>
  <c r="G178" i="25" s="1"/>
  <c r="F28" i="25"/>
  <c r="G28" i="25" s="1"/>
  <c r="F32" i="25"/>
  <c r="G32" i="25" s="1"/>
  <c r="F61" i="25"/>
  <c r="G61" i="25" s="1"/>
  <c r="F8" i="25"/>
  <c r="G8" i="25" s="1"/>
  <c r="F53" i="25"/>
  <c r="G53" i="25" s="1"/>
  <c r="F169" i="25"/>
  <c r="G169" i="25" s="1"/>
  <c r="F25" i="25"/>
  <c r="G25" i="25" s="1"/>
  <c r="F180" i="25"/>
  <c r="G180" i="25" s="1"/>
  <c r="F97" i="25"/>
  <c r="G97" i="25" s="1"/>
  <c r="F39" i="25"/>
  <c r="G39" i="25" s="1"/>
  <c r="F19" i="25"/>
  <c r="G19" i="25" s="1"/>
  <c r="F52" i="25"/>
  <c r="G52" i="25" s="1"/>
  <c r="F84" i="25"/>
  <c r="G84" i="25" s="1"/>
  <c r="F40" i="25"/>
  <c r="G40" i="25" s="1"/>
  <c r="F137" i="25"/>
  <c r="G137" i="25" s="1"/>
  <c r="F136" i="25"/>
  <c r="G136" i="25" s="1"/>
  <c r="F10" i="25"/>
  <c r="G10" i="25" s="1"/>
  <c r="F12" i="25"/>
  <c r="G12" i="25" s="1"/>
  <c r="F117" i="25"/>
  <c r="G117" i="25" s="1"/>
  <c r="F65" i="25"/>
  <c r="G65" i="25" s="1"/>
  <c r="F22" i="25"/>
  <c r="G22" i="25" s="1"/>
  <c r="F99" i="25"/>
  <c r="G99" i="25" s="1"/>
  <c r="F106" i="25"/>
  <c r="G106" i="25" s="1"/>
  <c r="F176" i="25"/>
  <c r="G176" i="25" s="1"/>
  <c r="F175" i="25"/>
  <c r="G175" i="25" s="1"/>
  <c r="F6" i="25"/>
  <c r="G6" i="25" s="1"/>
  <c r="F148" i="25"/>
  <c r="G148" i="25" s="1"/>
  <c r="F174" i="25"/>
  <c r="G174" i="25" s="1"/>
  <c r="F68" i="25"/>
  <c r="G68" i="25" s="1"/>
  <c r="F49" i="25"/>
  <c r="G49" i="25" s="1"/>
  <c r="F11" i="25"/>
  <c r="G11" i="25" s="1"/>
  <c r="F36" i="25"/>
  <c r="G36" i="25" s="1"/>
  <c r="F87" i="25"/>
  <c r="G87" i="25" s="1"/>
  <c r="F147" i="25"/>
  <c r="G147" i="25" s="1"/>
  <c r="F70" i="25"/>
  <c r="G70" i="25" s="1"/>
  <c r="F132" i="25"/>
  <c r="G132" i="25" s="1"/>
  <c r="F31" i="25"/>
  <c r="G31" i="25" s="1"/>
  <c r="F172" i="25"/>
  <c r="F100" i="25"/>
  <c r="G100" i="25" s="1"/>
  <c r="F57" i="25"/>
  <c r="G57" i="25" s="1"/>
  <c r="F108" i="25"/>
  <c r="G108" i="25" s="1"/>
  <c r="F96" i="25"/>
  <c r="G96" i="25" s="1"/>
  <c r="E402" i="17"/>
  <c r="F62" i="25"/>
  <c r="G62" i="25" s="1"/>
  <c r="F54" i="25"/>
  <c r="G54" i="25" s="1"/>
  <c r="F90" i="25"/>
  <c r="F146" i="25"/>
  <c r="G146" i="25" s="1"/>
  <c r="F18" i="25"/>
  <c r="G18" i="25" s="1"/>
  <c r="F171" i="25"/>
  <c r="G171" i="25" s="1"/>
  <c r="F33" i="25"/>
  <c r="G33" i="25" s="1"/>
  <c r="F141" i="25"/>
  <c r="G141" i="25" s="1"/>
  <c r="F77" i="25"/>
  <c r="G77" i="25" s="1"/>
  <c r="F76" i="25"/>
  <c r="G76" i="25" s="1"/>
  <c r="F123" i="25"/>
  <c r="G123" i="25" s="1"/>
  <c r="F133" i="25"/>
  <c r="G133" i="25" s="1"/>
  <c r="F114" i="25"/>
  <c r="G114" i="25" s="1"/>
  <c r="F15" i="25"/>
  <c r="G15" i="25" s="1"/>
  <c r="F26" i="25"/>
  <c r="G26" i="25" s="1"/>
  <c r="F60" i="25"/>
  <c r="G60" i="25" s="1"/>
  <c r="F38" i="25"/>
  <c r="G38" i="25" s="1"/>
  <c r="F43" i="25"/>
  <c r="G43" i="25" s="1"/>
  <c r="F46" i="25"/>
  <c r="G46" i="25" s="1"/>
  <c r="AQ601" i="14" l="1"/>
  <c r="AQ299" i="14"/>
  <c r="AR627" i="14"/>
  <c r="AR687" i="14"/>
  <c r="AQ574" i="14"/>
  <c r="AQ409" i="14"/>
  <c r="AR688" i="14"/>
  <c r="AQ517" i="14"/>
  <c r="AQ563" i="14"/>
  <c r="AR877" i="14"/>
  <c r="AQ278" i="14"/>
  <c r="AQ459" i="14"/>
  <c r="AR764" i="14"/>
  <c r="AQ420" i="14"/>
  <c r="AQ541" i="14"/>
  <c r="AQ428" i="14"/>
  <c r="AQ569" i="14"/>
  <c r="AR623" i="14"/>
  <c r="AR925" i="14"/>
  <c r="AQ203" i="14"/>
  <c r="AR647" i="14"/>
  <c r="AR879" i="14"/>
  <c r="AR624" i="14"/>
  <c r="AQ198" i="14"/>
  <c r="AQ407" i="14"/>
  <c r="AR766" i="14"/>
  <c r="AQ205" i="14"/>
  <c r="AR840" i="14"/>
  <c r="AR804" i="14"/>
  <c r="AR686" i="14"/>
  <c r="AQ421" i="14"/>
  <c r="AQ111" i="14"/>
  <c r="AR617" i="14"/>
  <c r="AQ562" i="14"/>
  <c r="AQ232" i="14"/>
  <c r="O99" i="17"/>
  <c r="I318" i="11"/>
  <c r="I319" i="11" s="1"/>
  <c r="O144" i="17"/>
  <c r="O42" i="17"/>
  <c r="E104" i="18"/>
  <c r="I83" i="11" s="1"/>
  <c r="O101" i="17"/>
  <c r="O145" i="17"/>
  <c r="R179" i="17"/>
  <c r="O15" i="17"/>
  <c r="O18" i="17" s="1"/>
  <c r="O209" i="17"/>
  <c r="AQ515" i="14"/>
  <c r="H515" i="14"/>
  <c r="J515" i="14" s="1"/>
  <c r="AR621" i="14"/>
  <c r="D222" i="20"/>
  <c r="D224" i="20" s="1"/>
  <c r="AR888" i="14"/>
  <c r="Q888" i="14"/>
  <c r="H421" i="14"/>
  <c r="J421" i="14" s="1"/>
  <c r="AD617" i="14"/>
  <c r="AD840" i="14"/>
  <c r="AD686" i="14"/>
  <c r="AD421" i="14"/>
  <c r="H686" i="14"/>
  <c r="J686" i="14" s="1"/>
  <c r="AD515" i="14"/>
  <c r="H562" i="14"/>
  <c r="J562" i="14" s="1"/>
  <c r="H804" i="14"/>
  <c r="J804" i="14" s="1"/>
  <c r="AD562" i="14"/>
  <c r="R209" i="17"/>
  <c r="H232" i="14"/>
  <c r="J232" i="14" s="1"/>
  <c r="D571" i="14"/>
  <c r="AD826" i="14"/>
  <c r="H826" i="14"/>
  <c r="J826" i="14" s="1"/>
  <c r="AD804" i="14"/>
  <c r="H205" i="14"/>
  <c r="J205" i="14" s="1"/>
  <c r="AD205" i="14"/>
  <c r="D842" i="14"/>
  <c r="H840" i="14"/>
  <c r="J840" i="14" s="1"/>
  <c r="J842" i="14" s="1"/>
  <c r="AD766" i="14"/>
  <c r="H647" i="14"/>
  <c r="J647" i="14" s="1"/>
  <c r="H617" i="14"/>
  <c r="J617" i="14" s="1"/>
  <c r="AD687" i="14"/>
  <c r="AD232" i="14"/>
  <c r="AD428" i="14"/>
  <c r="H420" i="14"/>
  <c r="J420" i="14" s="1"/>
  <c r="H428" i="14"/>
  <c r="J428" i="14" s="1"/>
  <c r="J430" i="14" s="1"/>
  <c r="H541" i="14"/>
  <c r="J541" i="14" s="1"/>
  <c r="AD569" i="14"/>
  <c r="H569" i="14"/>
  <c r="H571" i="14" s="1"/>
  <c r="H766" i="14"/>
  <c r="J766" i="14" s="1"/>
  <c r="H574" i="14"/>
  <c r="J574" i="14" s="1"/>
  <c r="J576" i="14" s="1"/>
  <c r="AD574" i="14"/>
  <c r="H563" i="14"/>
  <c r="J563" i="14" s="1"/>
  <c r="AD688" i="14"/>
  <c r="D576" i="14"/>
  <c r="AD409" i="14"/>
  <c r="H687" i="14"/>
  <c r="J687" i="14" s="1"/>
  <c r="AD877" i="14"/>
  <c r="H409" i="14"/>
  <c r="J409" i="14" s="1"/>
  <c r="I877" i="14"/>
  <c r="H877" i="14" s="1"/>
  <c r="AD517" i="14"/>
  <c r="H517" i="14"/>
  <c r="J517" i="14" s="1"/>
  <c r="AD563" i="14"/>
  <c r="D565" i="14"/>
  <c r="H688" i="14"/>
  <c r="J688" i="14" s="1"/>
  <c r="D891" i="14"/>
  <c r="H888" i="14"/>
  <c r="AD299" i="14"/>
  <c r="AD407" i="14"/>
  <c r="I879" i="14"/>
  <c r="G51" i="15" s="1"/>
  <c r="H925" i="14"/>
  <c r="J925" i="14" s="1"/>
  <c r="E181" i="17"/>
  <c r="E91" i="18" s="1"/>
  <c r="H91" i="18" s="1"/>
  <c r="E150" i="17"/>
  <c r="E50" i="18" s="1"/>
  <c r="I41" i="11" s="1"/>
  <c r="D827" i="14"/>
  <c r="H623" i="14"/>
  <c r="J623" i="14" s="1"/>
  <c r="O179" i="17"/>
  <c r="O181" i="17" s="1"/>
  <c r="AD647" i="14"/>
  <c r="AD203" i="14"/>
  <c r="AD623" i="14"/>
  <c r="AD198" i="14"/>
  <c r="H198" i="14"/>
  <c r="J198" i="14" s="1"/>
  <c r="AD879" i="14"/>
  <c r="AD624" i="14"/>
  <c r="H407" i="14"/>
  <c r="J407" i="14" s="1"/>
  <c r="H624" i="14"/>
  <c r="J624" i="14" s="1"/>
  <c r="AR826" i="14"/>
  <c r="AD601" i="14"/>
  <c r="AD888" i="14"/>
  <c r="AD627" i="14"/>
  <c r="AD541" i="14"/>
  <c r="H299" i="14"/>
  <c r="J299" i="14" s="1"/>
  <c r="H601" i="14"/>
  <c r="J601" i="14" s="1"/>
  <c r="H627" i="14"/>
  <c r="J627" i="14" s="1"/>
  <c r="E229" i="17"/>
  <c r="E311" i="17"/>
  <c r="E132" i="17"/>
  <c r="H203" i="14"/>
  <c r="J203" i="14" s="1"/>
  <c r="E321" i="17"/>
  <c r="E420" i="17"/>
  <c r="E95" i="17"/>
  <c r="D540" i="14"/>
  <c r="E423" i="17"/>
  <c r="D416" i="14"/>
  <c r="E16" i="17"/>
  <c r="D201" i="14"/>
  <c r="E400" i="17"/>
  <c r="D706" i="14"/>
  <c r="D444" i="14"/>
  <c r="D255" i="14"/>
  <c r="E100" i="17"/>
  <c r="O143" i="17"/>
  <c r="AD278" i="14"/>
  <c r="AD420" i="14"/>
  <c r="AD325" i="14"/>
  <c r="AD111" i="14"/>
  <c r="D878" i="14"/>
  <c r="E422" i="17"/>
  <c r="D646" i="14"/>
  <c r="D765" i="14"/>
  <c r="D279" i="14"/>
  <c r="D200" i="14"/>
  <c r="E455" i="17"/>
  <c r="D109" i="14"/>
  <c r="D685" i="14"/>
  <c r="D602" i="14"/>
  <c r="M66" i="7" s="1"/>
  <c r="N66" i="7" s="1"/>
  <c r="D300" i="14"/>
  <c r="D895" i="14"/>
  <c r="D206" i="14"/>
  <c r="D926" i="14"/>
  <c r="D108" i="14"/>
  <c r="E128" i="17"/>
  <c r="D355" i="14"/>
  <c r="D354" i="14"/>
  <c r="D197" i="14"/>
  <c r="AD764" i="14"/>
  <c r="H621" i="14"/>
  <c r="J621" i="14" s="1"/>
  <c r="AD459" i="14"/>
  <c r="E405" i="17"/>
  <c r="D233" i="14"/>
  <c r="D419" i="14"/>
  <c r="E127" i="17"/>
  <c r="D410" i="14"/>
  <c r="D465" i="14"/>
  <c r="AQ326" i="14"/>
  <c r="E158" i="17"/>
  <c r="D514" i="14"/>
  <c r="E310" i="17"/>
  <c r="AD925" i="14"/>
  <c r="D518" i="14"/>
  <c r="D880" i="14"/>
  <c r="E187" i="17"/>
  <c r="H278" i="14"/>
  <c r="J278" i="14" s="1"/>
  <c r="D202" i="14"/>
  <c r="H325" i="14"/>
  <c r="J325" i="14" s="1"/>
  <c r="D763" i="14"/>
  <c r="D805" i="14"/>
  <c r="D500" i="14"/>
  <c r="D519" i="14"/>
  <c r="E208" i="17"/>
  <c r="E425" i="17"/>
  <c r="E93" i="17"/>
  <c r="D645" i="14"/>
  <c r="D195" i="14"/>
  <c r="H764" i="14"/>
  <c r="J764" i="14" s="1"/>
  <c r="D430" i="14"/>
  <c r="AD621" i="14"/>
  <c r="AR618" i="14"/>
  <c r="D622" i="14"/>
  <c r="H459" i="14"/>
  <c r="J459" i="14" s="1"/>
  <c r="J462" i="14" s="1"/>
  <c r="D707" i="14"/>
  <c r="D705" i="14"/>
  <c r="D204" i="14"/>
  <c r="D769" i="14"/>
  <c r="AR619" i="14"/>
  <c r="D626" i="14"/>
  <c r="D418" i="14"/>
  <c r="D462" i="14"/>
  <c r="J95" i="13" s="1"/>
  <c r="D471" i="14"/>
  <c r="D924" i="14"/>
  <c r="F109" i="25"/>
  <c r="G109" i="25" s="1"/>
  <c r="F138" i="25"/>
  <c r="G138" i="25" s="1"/>
  <c r="F101" i="25"/>
  <c r="G101" i="25" s="1"/>
  <c r="F127" i="25"/>
  <c r="G127" i="25" s="1"/>
  <c r="D129" i="14" l="1"/>
  <c r="D132" i="14" s="1"/>
  <c r="E15" i="18"/>
  <c r="I21" i="11" s="1"/>
  <c r="J888" i="14"/>
  <c r="J891" i="14" s="1"/>
  <c r="AQ471" i="14"/>
  <c r="AQ279" i="14"/>
  <c r="AR769" i="14"/>
  <c r="AQ519" i="14"/>
  <c r="AQ465" i="14"/>
  <c r="AR895" i="14"/>
  <c r="AR765" i="14"/>
  <c r="AQ416" i="14"/>
  <c r="AQ197" i="14"/>
  <c r="AQ300" i="14"/>
  <c r="AR646" i="14"/>
  <c r="AR880" i="14"/>
  <c r="AQ410" i="14"/>
  <c r="AR924" i="14"/>
  <c r="AR705" i="14"/>
  <c r="AQ195" i="14"/>
  <c r="AR805" i="14"/>
  <c r="AQ518" i="14"/>
  <c r="AQ354" i="14"/>
  <c r="AQ602" i="14"/>
  <c r="AQ255" i="14"/>
  <c r="AQ540" i="14"/>
  <c r="AR707" i="14"/>
  <c r="AR763" i="14"/>
  <c r="AQ355" i="14"/>
  <c r="AR685" i="14"/>
  <c r="AR878" i="14"/>
  <c r="AQ444" i="14"/>
  <c r="AQ204" i="14"/>
  <c r="AQ500" i="14"/>
  <c r="AR645" i="14"/>
  <c r="AQ419" i="14"/>
  <c r="H109" i="14"/>
  <c r="J109" i="14" s="1"/>
  <c r="AR706" i="14"/>
  <c r="AQ206" i="14"/>
  <c r="AQ418" i="14"/>
  <c r="AQ202" i="14"/>
  <c r="AQ108" i="14"/>
  <c r="AR622" i="14"/>
  <c r="AR626" i="14"/>
  <c r="AR926" i="14"/>
  <c r="AQ200" i="14"/>
  <c r="AQ201" i="14"/>
  <c r="AQ233" i="14"/>
  <c r="E94" i="18"/>
  <c r="H94" i="18" s="1"/>
  <c r="O150" i="17"/>
  <c r="R187" i="17"/>
  <c r="O311" i="17"/>
  <c r="E48" i="18"/>
  <c r="I43" i="11" s="1"/>
  <c r="O127" i="17"/>
  <c r="E49" i="18"/>
  <c r="I42" i="11" s="1"/>
  <c r="O93" i="17"/>
  <c r="O310" i="17"/>
  <c r="O128" i="17"/>
  <c r="E127" i="18"/>
  <c r="I203" i="11" s="1"/>
  <c r="I206" i="11" s="1"/>
  <c r="E325" i="17"/>
  <c r="O158" i="17"/>
  <c r="O162" i="17" s="1"/>
  <c r="O208" i="17"/>
  <c r="O214" i="17" s="1"/>
  <c r="E18" i="17"/>
  <c r="E7" i="18" s="1"/>
  <c r="E10" i="18" s="1"/>
  <c r="F10" i="3" s="1"/>
  <c r="E10" i="3" s="1"/>
  <c r="I70" i="11"/>
  <c r="I231" i="11" s="1"/>
  <c r="J57" i="13"/>
  <c r="O423" i="17"/>
  <c r="AQ514" i="14"/>
  <c r="H514" i="14"/>
  <c r="J514" i="14" s="1"/>
  <c r="D64" i="20"/>
  <c r="J237" i="10"/>
  <c r="O420" i="17"/>
  <c r="G10" i="15"/>
  <c r="G13" i="2" s="1"/>
  <c r="K41" i="21"/>
  <c r="E461" i="17"/>
  <c r="H842" i="14"/>
  <c r="G280" i="15" s="1"/>
  <c r="J344" i="10" s="1"/>
  <c r="H827" i="14"/>
  <c r="J827" i="14" s="1"/>
  <c r="J829" i="14" s="1"/>
  <c r="D604" i="14"/>
  <c r="L69" i="7" s="1"/>
  <c r="M69" i="7" s="1"/>
  <c r="P69" i="7" s="1"/>
  <c r="J569" i="14"/>
  <c r="J571" i="14" s="1"/>
  <c r="H197" i="14"/>
  <c r="J197" i="14" s="1"/>
  <c r="D829" i="14"/>
  <c r="O400" i="17"/>
  <c r="H540" i="14"/>
  <c r="H543" i="14" s="1"/>
  <c r="AD645" i="14"/>
  <c r="AD419" i="14"/>
  <c r="AD255" i="14"/>
  <c r="H576" i="14"/>
  <c r="H879" i="14"/>
  <c r="J879" i="14" s="1"/>
  <c r="AD602" i="14"/>
  <c r="H355" i="14"/>
  <c r="G295" i="15" s="1"/>
  <c r="D543" i="14"/>
  <c r="H419" i="14"/>
  <c r="J419" i="14" s="1"/>
  <c r="AD355" i="14"/>
  <c r="AD540" i="14"/>
  <c r="H430" i="14"/>
  <c r="D257" i="14"/>
  <c r="H565" i="14"/>
  <c r="H707" i="14"/>
  <c r="J707" i="14" s="1"/>
  <c r="H255" i="14"/>
  <c r="J255" i="14" s="1"/>
  <c r="J565" i="14"/>
  <c r="H895" i="14"/>
  <c r="H897" i="14" s="1"/>
  <c r="G282" i="15" s="1"/>
  <c r="G60" i="2" s="1"/>
  <c r="O100" i="17"/>
  <c r="H201" i="14"/>
  <c r="J201" i="14" s="1"/>
  <c r="E475" i="17"/>
  <c r="E468" i="17"/>
  <c r="O321" i="17"/>
  <c r="O325" i="17" s="1"/>
  <c r="AD206" i="14"/>
  <c r="D520" i="14"/>
  <c r="AD626" i="14"/>
  <c r="E162" i="17"/>
  <c r="E85" i="18" s="1"/>
  <c r="H626" i="14"/>
  <c r="J626" i="14" s="1"/>
  <c r="AD200" i="14"/>
  <c r="AD444" i="14"/>
  <c r="E457" i="17"/>
  <c r="AD878" i="14"/>
  <c r="D693" i="14"/>
  <c r="F19" i="3"/>
  <c r="H891" i="14"/>
  <c r="H462" i="14"/>
  <c r="AD195" i="14"/>
  <c r="I880" i="14"/>
  <c r="H880" i="14" s="1"/>
  <c r="J880" i="14" s="1"/>
  <c r="D357" i="14"/>
  <c r="D302" i="14"/>
  <c r="I87" i="11"/>
  <c r="H206" i="14"/>
  <c r="J206" i="14" s="1"/>
  <c r="AD201" i="14"/>
  <c r="I878" i="14"/>
  <c r="O95" i="17"/>
  <c r="H685" i="14"/>
  <c r="J685" i="14" s="1"/>
  <c r="J693" i="14" s="1"/>
  <c r="D446" i="14"/>
  <c r="I50" i="18"/>
  <c r="E214" i="17"/>
  <c r="H233" i="14"/>
  <c r="AD685" i="14"/>
  <c r="H444" i="14"/>
  <c r="H446" i="14" s="1"/>
  <c r="E134" i="17"/>
  <c r="E51" i="18" s="1"/>
  <c r="I44" i="11" s="1"/>
  <c r="AD279" i="14"/>
  <c r="H465" i="14"/>
  <c r="J465" i="14" s="1"/>
  <c r="J467" i="14" s="1"/>
  <c r="D772" i="14"/>
  <c r="AD805" i="14"/>
  <c r="H519" i="14"/>
  <c r="J519" i="14" s="1"/>
  <c r="AD519" i="14"/>
  <c r="D281" i="14"/>
  <c r="AD465" i="14"/>
  <c r="D467" i="14"/>
  <c r="AD705" i="14"/>
  <c r="H279" i="14"/>
  <c r="J279" i="14" s="1"/>
  <c r="H705" i="14"/>
  <c r="J705" i="14" s="1"/>
  <c r="H326" i="14"/>
  <c r="AD326" i="14"/>
  <c r="H619" i="14"/>
  <c r="J619" i="14" s="1"/>
  <c r="AD769" i="14"/>
  <c r="AD619" i="14"/>
  <c r="AD197" i="14"/>
  <c r="D897" i="14"/>
  <c r="AD300" i="14"/>
  <c r="AD646" i="14"/>
  <c r="H805" i="14"/>
  <c r="J805" i="14" s="1"/>
  <c r="J808" i="14" s="1"/>
  <c r="AD880" i="14"/>
  <c r="AD895" i="14"/>
  <c r="H300" i="14"/>
  <c r="J300" i="14" s="1"/>
  <c r="H646" i="14"/>
  <c r="G306" i="15" s="1"/>
  <c r="D882" i="14"/>
  <c r="D808" i="14"/>
  <c r="H765" i="14"/>
  <c r="J765" i="14" s="1"/>
  <c r="H410" i="14"/>
  <c r="J410" i="14" s="1"/>
  <c r="AD765" i="14"/>
  <c r="D502" i="14"/>
  <c r="AD109" i="14"/>
  <c r="AD108" i="14"/>
  <c r="H108" i="14"/>
  <c r="J108" i="14" s="1"/>
  <c r="H622" i="14"/>
  <c r="J622" i="14" s="1"/>
  <c r="AD233" i="14"/>
  <c r="H195" i="14"/>
  <c r="J195" i="14" s="1"/>
  <c r="AD622" i="14"/>
  <c r="AD514" i="14"/>
  <c r="H769" i="14"/>
  <c r="J769" i="14" s="1"/>
  <c r="H518" i="14"/>
  <c r="J518" i="14" s="1"/>
  <c r="AD354" i="14"/>
  <c r="E409" i="17"/>
  <c r="H204" i="14"/>
  <c r="J204" i="14" s="1"/>
  <c r="D209" i="14"/>
  <c r="H602" i="14"/>
  <c r="J602" i="14" s="1"/>
  <c r="J604" i="14" s="1"/>
  <c r="H763" i="14"/>
  <c r="J763" i="14" s="1"/>
  <c r="AD707" i="14"/>
  <c r="O187" i="17"/>
  <c r="O189" i="17" s="1"/>
  <c r="AD418" i="14"/>
  <c r="AD518" i="14"/>
  <c r="M317" i="10"/>
  <c r="N317" i="10" s="1"/>
  <c r="AD204" i="14"/>
  <c r="AD763" i="14"/>
  <c r="H926" i="14"/>
  <c r="J926" i="14" s="1"/>
  <c r="AD706" i="14"/>
  <c r="E189" i="17"/>
  <c r="E89" i="18" s="1"/>
  <c r="I102" i="11" s="1"/>
  <c r="H418" i="14"/>
  <c r="J418" i="14" s="1"/>
  <c r="H618" i="14"/>
  <c r="J618" i="14" s="1"/>
  <c r="D649" i="14"/>
  <c r="H416" i="14"/>
  <c r="J416" i="14" s="1"/>
  <c r="E313" i="17"/>
  <c r="E88" i="18" s="1"/>
  <c r="H88" i="18" s="1"/>
  <c r="H202" i="14"/>
  <c r="J202" i="14" s="1"/>
  <c r="AD500" i="14"/>
  <c r="E399" i="17"/>
  <c r="R208" i="17"/>
  <c r="E40" i="17"/>
  <c r="AD926" i="14"/>
  <c r="H706" i="14"/>
  <c r="J706" i="14" s="1"/>
  <c r="D635" i="14"/>
  <c r="AD618" i="14"/>
  <c r="AD410" i="14"/>
  <c r="M416" i="11"/>
  <c r="AD416" i="14"/>
  <c r="D710" i="14"/>
  <c r="AD202" i="14"/>
  <c r="E428" i="17"/>
  <c r="H500" i="14"/>
  <c r="H502" i="14" s="1"/>
  <c r="G135" i="15" s="1"/>
  <c r="D235" i="14"/>
  <c r="H645" i="14"/>
  <c r="J645" i="14" s="1"/>
  <c r="H200" i="14"/>
  <c r="J200" i="14" s="1"/>
  <c r="H354" i="14"/>
  <c r="J354" i="14" s="1"/>
  <c r="D423" i="14"/>
  <c r="D328" i="14"/>
  <c r="D115" i="14"/>
  <c r="J877" i="14"/>
  <c r="J464" i="17"/>
  <c r="AD924" i="14"/>
  <c r="H924" i="14"/>
  <c r="J924" i="14" s="1"/>
  <c r="I48" i="18"/>
  <c r="F1108" i="24"/>
  <c r="D473" i="14"/>
  <c r="AD471" i="14"/>
  <c r="H471" i="14"/>
  <c r="Q13" i="2" l="1"/>
  <c r="E13" i="2"/>
  <c r="D71" i="20"/>
  <c r="E19" i="3"/>
  <c r="Q60" i="2"/>
  <c r="E60" i="2"/>
  <c r="J243" i="10"/>
  <c r="J255" i="10" s="1"/>
  <c r="I74" i="11"/>
  <c r="D10" i="35" s="1"/>
  <c r="I107" i="10"/>
  <c r="G281" i="15"/>
  <c r="G56" i="2"/>
  <c r="E56" i="2" s="1"/>
  <c r="G137" i="15"/>
  <c r="J177" i="8" s="1"/>
  <c r="O313" i="17"/>
  <c r="I89" i="11"/>
  <c r="I12" i="11"/>
  <c r="I14" i="11" s="1"/>
  <c r="I31" i="12" s="1"/>
  <c r="D136" i="14"/>
  <c r="J500" i="14"/>
  <c r="J502" i="14" s="1"/>
  <c r="J326" i="14"/>
  <c r="J328" i="14" s="1"/>
  <c r="J281" i="14"/>
  <c r="J257" i="14"/>
  <c r="J302" i="14"/>
  <c r="J540" i="14"/>
  <c r="J543" i="14" s="1"/>
  <c r="J233" i="14"/>
  <c r="J235" i="14" s="1"/>
  <c r="O134" i="17"/>
  <c r="E131" i="18"/>
  <c r="F32" i="3"/>
  <c r="I49" i="18"/>
  <c r="E24" i="18"/>
  <c r="F15" i="5" s="1"/>
  <c r="J332" i="13"/>
  <c r="E96" i="18"/>
  <c r="H96" i="18" s="1"/>
  <c r="O96" i="17"/>
  <c r="O104" i="17" s="1"/>
  <c r="E105" i="18"/>
  <c r="I93" i="11" s="1"/>
  <c r="G417" i="11"/>
  <c r="G416" i="11"/>
  <c r="H417" i="11"/>
  <c r="H416" i="11"/>
  <c r="K108" i="10"/>
  <c r="I105" i="10" s="1"/>
  <c r="J231" i="11"/>
  <c r="M237" i="10"/>
  <c r="K257" i="10"/>
  <c r="J254" i="10"/>
  <c r="O428" i="17"/>
  <c r="J99" i="11"/>
  <c r="J110" i="11" s="1"/>
  <c r="G108" i="18"/>
  <c r="H20" i="3" s="1"/>
  <c r="O40" i="17"/>
  <c r="O47" i="17" s="1"/>
  <c r="J238" i="10"/>
  <c r="J355" i="14"/>
  <c r="J357" i="14" s="1"/>
  <c r="I99" i="11"/>
  <c r="H98" i="18"/>
  <c r="M19" i="21"/>
  <c r="G9" i="15"/>
  <c r="G11" i="2" s="1"/>
  <c r="J10" i="15"/>
  <c r="J280" i="15"/>
  <c r="H829" i="14"/>
  <c r="G313" i="15" s="1"/>
  <c r="J313" i="15" s="1"/>
  <c r="AQ520" i="14"/>
  <c r="AQ930" i="14" s="1"/>
  <c r="I520" i="14"/>
  <c r="J520" i="14" s="1"/>
  <c r="J522" i="14" s="1"/>
  <c r="D986" i="14"/>
  <c r="J895" i="14"/>
  <c r="J897" i="14" s="1"/>
  <c r="E472" i="17"/>
  <c r="D522" i="14"/>
  <c r="D997" i="14" s="1"/>
  <c r="H467" i="14"/>
  <c r="G141" i="15" s="1"/>
  <c r="D200" i="20" s="1"/>
  <c r="H878" i="14"/>
  <c r="J878" i="14" s="1"/>
  <c r="J882" i="14" s="1"/>
  <c r="I51" i="18"/>
  <c r="H235" i="14"/>
  <c r="G125" i="15" s="1"/>
  <c r="G128" i="15" s="1"/>
  <c r="H281" i="14"/>
  <c r="G152" i="15" s="1"/>
  <c r="J201" i="8" s="1"/>
  <c r="J278" i="13"/>
  <c r="D955" i="14"/>
  <c r="O399" i="17"/>
  <c r="O412" i="17" s="1"/>
  <c r="D956" i="14"/>
  <c r="H257" i="14"/>
  <c r="T19" i="3"/>
  <c r="U19" i="3" s="1"/>
  <c r="G305" i="15"/>
  <c r="J225" i="10" s="1"/>
  <c r="F27" i="5"/>
  <c r="Q27" i="5" s="1"/>
  <c r="H302" i="14"/>
  <c r="G144" i="15" s="1"/>
  <c r="J423" i="14"/>
  <c r="E104" i="17"/>
  <c r="E47" i="18" s="1"/>
  <c r="E47" i="17"/>
  <c r="D984" i="14"/>
  <c r="H89" i="18"/>
  <c r="I108" i="11"/>
  <c r="J444" i="14"/>
  <c r="J446" i="14" s="1"/>
  <c r="I882" i="14"/>
  <c r="G49" i="15" s="1"/>
  <c r="D946" i="14"/>
  <c r="I94" i="11"/>
  <c r="J646" i="14"/>
  <c r="J649" i="14" s="1"/>
  <c r="D959" i="14"/>
  <c r="E462" i="17"/>
  <c r="E463" i="17" s="1"/>
  <c r="H649" i="14"/>
  <c r="H423" i="14"/>
  <c r="G153" i="15" s="1"/>
  <c r="J203" i="8" s="1"/>
  <c r="D958" i="14"/>
  <c r="J772" i="14"/>
  <c r="J635" i="14"/>
  <c r="H693" i="14"/>
  <c r="G290" i="15" s="1"/>
  <c r="J360" i="10" s="1"/>
  <c r="D983" i="14"/>
  <c r="J346" i="10"/>
  <c r="H808" i="14"/>
  <c r="G277" i="15" s="1"/>
  <c r="J277" i="15" s="1"/>
  <c r="H604" i="14"/>
  <c r="H328" i="14"/>
  <c r="G136" i="15" s="1"/>
  <c r="H772" i="14"/>
  <c r="G274" i="15" s="1"/>
  <c r="E18" i="18"/>
  <c r="I98" i="11" s="1"/>
  <c r="E412" i="17"/>
  <c r="H522" i="14"/>
  <c r="G33" i="2" s="1"/>
  <c r="H635" i="14"/>
  <c r="G268" i="15" s="1"/>
  <c r="D982" i="14"/>
  <c r="H209" i="14"/>
  <c r="G118" i="15" s="1"/>
  <c r="J118" i="15" s="1"/>
  <c r="E467" i="17"/>
  <c r="D954" i="14"/>
  <c r="H357" i="14"/>
  <c r="G140" i="15" s="1"/>
  <c r="J209" i="14"/>
  <c r="D957" i="14"/>
  <c r="H710" i="14"/>
  <c r="G291" i="15" s="1"/>
  <c r="J291" i="15" s="1"/>
  <c r="J710" i="14"/>
  <c r="H129" i="14"/>
  <c r="J129" i="14" s="1"/>
  <c r="D953" i="14"/>
  <c r="H115" i="14"/>
  <c r="J115" i="14"/>
  <c r="J219" i="11"/>
  <c r="M215" i="11"/>
  <c r="G155" i="15"/>
  <c r="G143" i="15"/>
  <c r="J135" i="15"/>
  <c r="D15" i="35"/>
  <c r="D21" i="35" s="1"/>
  <c r="D25" i="35" s="1"/>
  <c r="T10" i="3"/>
  <c r="U10" i="3" s="1"/>
  <c r="I84" i="11"/>
  <c r="H85" i="18"/>
  <c r="I939" i="14"/>
  <c r="Z13" i="2"/>
  <c r="X13" i="2"/>
  <c r="J13" i="2"/>
  <c r="L13" i="2" s="1"/>
  <c r="J358" i="10"/>
  <c r="J91" i="13" s="1"/>
  <c r="J295" i="15"/>
  <c r="J471" i="14"/>
  <c r="J473" i="14" s="1"/>
  <c r="H473" i="14"/>
  <c r="J226" i="10"/>
  <c r="J306" i="15"/>
  <c r="J282" i="15"/>
  <c r="I76" i="11" l="1"/>
  <c r="T32" i="3"/>
  <c r="E32" i="3"/>
  <c r="E35" i="3" s="1"/>
  <c r="Q33" i="2"/>
  <c r="E33" i="2"/>
  <c r="Q11" i="2"/>
  <c r="E11" i="2"/>
  <c r="J137" i="15"/>
  <c r="O112" i="10"/>
  <c r="J565" i="13"/>
  <c r="D6" i="35"/>
  <c r="G374" i="13"/>
  <c r="J93" i="13"/>
  <c r="J246" i="10"/>
  <c r="J247" i="10" s="1"/>
  <c r="O247" i="10" s="1"/>
  <c r="J281" i="15"/>
  <c r="J348" i="10"/>
  <c r="E106" i="18"/>
  <c r="I100" i="11" s="1"/>
  <c r="G138" i="15"/>
  <c r="J138" i="15" s="1"/>
  <c r="D125" i="20"/>
  <c r="I16" i="11"/>
  <c r="I42" i="12"/>
  <c r="L32" i="3"/>
  <c r="J37" i="8"/>
  <c r="F35" i="3"/>
  <c r="L35" i="3" s="1"/>
  <c r="E27" i="18"/>
  <c r="E41" i="18" s="1"/>
  <c r="I85" i="11"/>
  <c r="G130" i="15"/>
  <c r="J130" i="15" s="1"/>
  <c r="G142" i="15"/>
  <c r="J178" i="8" s="1"/>
  <c r="K112" i="10"/>
  <c r="I47" i="2" s="1"/>
  <c r="K113" i="10" s="1"/>
  <c r="I108" i="10"/>
  <c r="I112" i="10" s="1"/>
  <c r="N257" i="10"/>
  <c r="J251" i="10"/>
  <c r="J257" i="10" s="1"/>
  <c r="P257" i="10" s="1"/>
  <c r="K258" i="10"/>
  <c r="M257" i="10"/>
  <c r="D220" i="20"/>
  <c r="D234" i="20" s="1"/>
  <c r="J112" i="11"/>
  <c r="G133" i="18"/>
  <c r="G478" i="17" s="1"/>
  <c r="J152" i="15"/>
  <c r="G284" i="15"/>
  <c r="I47" i="18"/>
  <c r="I53" i="18" s="1"/>
  <c r="H882" i="14"/>
  <c r="G156" i="15"/>
  <c r="J156" i="15" s="1"/>
  <c r="G271" i="15"/>
  <c r="J9" i="15"/>
  <c r="W11" i="2"/>
  <c r="X11" i="2" s="1"/>
  <c r="J370" i="10"/>
  <c r="J372" i="10" s="1"/>
  <c r="G316" i="15"/>
  <c r="G65" i="2" s="1"/>
  <c r="J141" i="15"/>
  <c r="E473" i="17"/>
  <c r="E477" i="17" s="1"/>
  <c r="G13" i="15"/>
  <c r="J13" i="15" s="1"/>
  <c r="D948" i="14"/>
  <c r="D949" i="14" s="1"/>
  <c r="I522" i="14"/>
  <c r="J182" i="8"/>
  <c r="D48" i="20"/>
  <c r="L48" i="20" s="1"/>
  <c r="J125" i="15"/>
  <c r="I26" i="11"/>
  <c r="I32" i="11" s="1"/>
  <c r="J15" i="5"/>
  <c r="O459" i="17"/>
  <c r="O458" i="17" s="1"/>
  <c r="I998" i="14"/>
  <c r="J27" i="5"/>
  <c r="M27" i="5"/>
  <c r="D74" i="20"/>
  <c r="K47" i="2"/>
  <c r="J361" i="10"/>
  <c r="J359" i="10" s="1"/>
  <c r="J363" i="10" s="1"/>
  <c r="E53" i="18"/>
  <c r="F15" i="3" s="1"/>
  <c r="E15" i="3" s="1"/>
  <c r="I40" i="11"/>
  <c r="I47" i="11" s="1"/>
  <c r="I364" i="11"/>
  <c r="G309" i="15"/>
  <c r="G64" i="2" s="1"/>
  <c r="J305" i="15"/>
  <c r="J347" i="10"/>
  <c r="J339" i="10"/>
  <c r="J136" i="15"/>
  <c r="J176" i="8"/>
  <c r="J539" i="13" s="1"/>
  <c r="J153" i="15"/>
  <c r="E459" i="17"/>
  <c r="D931" i="14" s="1"/>
  <c r="J194" i="15" s="1"/>
  <c r="J290" i="15"/>
  <c r="G297" i="15"/>
  <c r="G62" i="2" s="1"/>
  <c r="I959" i="14"/>
  <c r="D989" i="14"/>
  <c r="Z33" i="2"/>
  <c r="J130" i="8"/>
  <c r="J136" i="8" s="1"/>
  <c r="G122" i="15"/>
  <c r="J122" i="15" s="1"/>
  <c r="W33" i="2"/>
  <c r="X33" i="2" s="1"/>
  <c r="I269" i="11"/>
  <c r="I272" i="11" s="1"/>
  <c r="I97" i="11"/>
  <c r="D987" i="14"/>
  <c r="D960" i="14"/>
  <c r="H132" i="14"/>
  <c r="G107" i="15"/>
  <c r="J95" i="8" s="1"/>
  <c r="J97" i="8" s="1"/>
  <c r="J99" i="8" s="1"/>
  <c r="H997" i="14"/>
  <c r="E108" i="18"/>
  <c r="F20" i="3" s="1"/>
  <c r="E20" i="3" s="1"/>
  <c r="J140" i="15"/>
  <c r="J183" i="8"/>
  <c r="D185" i="20"/>
  <c r="D191" i="20" s="1"/>
  <c r="G29" i="2"/>
  <c r="E29" i="2" s="1"/>
  <c r="J143" i="8"/>
  <c r="J145" i="8" s="1"/>
  <c r="J128" i="15"/>
  <c r="J180" i="8"/>
  <c r="J144" i="15"/>
  <c r="J60" i="2"/>
  <c r="L60" i="2" s="1"/>
  <c r="AB48" i="2"/>
  <c r="AB50" i="2" s="1"/>
  <c r="Z60" i="2"/>
  <c r="G375" i="13"/>
  <c r="W60" i="2"/>
  <c r="J99" i="13"/>
  <c r="J49" i="15"/>
  <c r="G53" i="15"/>
  <c r="J229" i="10"/>
  <c r="I363" i="11"/>
  <c r="J179" i="8"/>
  <c r="J143" i="15"/>
  <c r="G139" i="15"/>
  <c r="G108" i="15"/>
  <c r="J100" i="8" s="1"/>
  <c r="J155" i="15"/>
  <c r="E21" i="3" l="1"/>
  <c r="Q65" i="2"/>
  <c r="E65" i="2"/>
  <c r="I373" i="10" s="1"/>
  <c r="Q62" i="2"/>
  <c r="E62" i="2"/>
  <c r="Q64" i="2"/>
  <c r="E64" i="2"/>
  <c r="H106" i="18"/>
  <c r="G59" i="2"/>
  <c r="E59" i="2" s="1"/>
  <c r="J280" i="10"/>
  <c r="J282" i="10" s="1"/>
  <c r="Q47" i="2"/>
  <c r="P112" i="10"/>
  <c r="J101" i="8"/>
  <c r="G61" i="2"/>
  <c r="G148" i="15"/>
  <c r="I207" i="11"/>
  <c r="D194" i="20"/>
  <c r="D198" i="20" s="1"/>
  <c r="D201" i="20" s="1"/>
  <c r="F60" i="5" s="1"/>
  <c r="F62" i="5" s="1"/>
  <c r="T35" i="3"/>
  <c r="U35" i="3" s="1"/>
  <c r="M243" i="11"/>
  <c r="G132" i="15"/>
  <c r="J132" i="15" s="1"/>
  <c r="H136" i="14"/>
  <c r="J132" i="14"/>
  <c r="J136" i="14" s="1"/>
  <c r="J552" i="13"/>
  <c r="K552" i="13" s="1"/>
  <c r="J973" i="14"/>
  <c r="I52" i="2"/>
  <c r="J64" i="12" s="1"/>
  <c r="J69" i="12" s="1"/>
  <c r="J71" i="12" s="1"/>
  <c r="E6" i="35"/>
  <c r="K93" i="13"/>
  <c r="K565" i="13"/>
  <c r="F70" i="20"/>
  <c r="F73" i="20" s="1"/>
  <c r="F76" i="20" s="1"/>
  <c r="J187" i="13"/>
  <c r="K257" i="13" s="1"/>
  <c r="D50" i="20"/>
  <c r="G406" i="13"/>
  <c r="G409" i="13" s="1"/>
  <c r="G432" i="13"/>
  <c r="G435" i="13" s="1"/>
  <c r="K112" i="11"/>
  <c r="E18" i="35"/>
  <c r="X10" i="3"/>
  <c r="Y15" i="3"/>
  <c r="H21" i="3"/>
  <c r="H23" i="3" s="1"/>
  <c r="H26" i="3" s="1"/>
  <c r="Y17" i="3"/>
  <c r="W12" i="3"/>
  <c r="G365" i="13"/>
  <c r="Q29" i="2"/>
  <c r="J274" i="15"/>
  <c r="H108" i="8"/>
  <c r="H110" i="8" s="1"/>
  <c r="J537" i="13"/>
  <c r="J47" i="2"/>
  <c r="L47" i="2" s="1"/>
  <c r="D70" i="20"/>
  <c r="J143" i="13"/>
  <c r="Z47" i="2"/>
  <c r="W47" i="2"/>
  <c r="X47" i="2" s="1"/>
  <c r="I973" i="14"/>
  <c r="F552" i="13"/>
  <c r="M113" i="10"/>
  <c r="E108" i="8"/>
  <c r="E110" i="8" s="1"/>
  <c r="K111" i="8"/>
  <c r="G50" i="2"/>
  <c r="G19" i="2"/>
  <c r="E19" i="2" s="1"/>
  <c r="D124" i="20" s="1"/>
  <c r="W15" i="3"/>
  <c r="T15" i="3"/>
  <c r="U15" i="3" s="1"/>
  <c r="W17" i="3"/>
  <c r="J268" i="15"/>
  <c r="G164" i="15"/>
  <c r="G169" i="15" s="1"/>
  <c r="G32" i="2" s="1"/>
  <c r="J205" i="8"/>
  <c r="J210" i="8" s="1"/>
  <c r="J212" i="8" s="1"/>
  <c r="J271" i="15"/>
  <c r="J316" i="15"/>
  <c r="I938" i="14"/>
  <c r="I941" i="14" s="1"/>
  <c r="J11" i="2"/>
  <c r="L11" i="2" s="1"/>
  <c r="Z11" i="2"/>
  <c r="D962" i="14"/>
  <c r="G80" i="15"/>
  <c r="I997" i="14"/>
  <c r="J997" i="14" s="1"/>
  <c r="Q15" i="5"/>
  <c r="M15" i="5"/>
  <c r="J142" i="15"/>
  <c r="N360" i="10"/>
  <c r="J297" i="15"/>
  <c r="J284" i="15"/>
  <c r="I50" i="11"/>
  <c r="E480" i="17"/>
  <c r="D915" i="14"/>
  <c r="J309" i="15"/>
  <c r="J350" i="10"/>
  <c r="E458" i="17"/>
  <c r="I37" i="3"/>
  <c r="G28" i="2"/>
  <c r="J461" i="17"/>
  <c r="V37" i="3"/>
  <c r="I461" i="17"/>
  <c r="AR933" i="14"/>
  <c r="I110" i="11"/>
  <c r="I112" i="11" s="1"/>
  <c r="J107" i="15"/>
  <c r="F21" i="3"/>
  <c r="J230" i="10"/>
  <c r="G110" i="15"/>
  <c r="J110" i="15" s="1"/>
  <c r="J146" i="8"/>
  <c r="J258" i="10"/>
  <c r="N258" i="10"/>
  <c r="F11" i="3"/>
  <c r="E11" i="3" s="1"/>
  <c r="E12" i="3" s="1"/>
  <c r="E23" i="3" s="1"/>
  <c r="E26" i="3" s="1"/>
  <c r="E37" i="3" s="1"/>
  <c r="E48" i="3" s="1"/>
  <c r="E133" i="18"/>
  <c r="E478" i="17" s="1"/>
  <c r="X60" i="2"/>
  <c r="AA15" i="2"/>
  <c r="AA18" i="2" s="1"/>
  <c r="J62" i="2"/>
  <c r="D93" i="20"/>
  <c r="D95" i="20" s="1"/>
  <c r="W62" i="2"/>
  <c r="X62" i="2" s="1"/>
  <c r="Z62" i="2"/>
  <c r="I984" i="14"/>
  <c r="J53" i="15"/>
  <c r="I279" i="11"/>
  <c r="I282" i="11" s="1"/>
  <c r="W65" i="2"/>
  <c r="X65" i="2" s="1"/>
  <c r="J65" i="2"/>
  <c r="L65" i="2" s="1"/>
  <c r="Z65" i="2"/>
  <c r="I986" i="14"/>
  <c r="J373" i="10"/>
  <c r="Z64" i="2"/>
  <c r="D98" i="20"/>
  <c r="D101" i="20" s="1"/>
  <c r="F42" i="5" s="1"/>
  <c r="W64" i="2"/>
  <c r="X64" i="2" s="1"/>
  <c r="J64" i="2"/>
  <c r="W29" i="2"/>
  <c r="X29" i="2" s="1"/>
  <c r="Z29" i="2"/>
  <c r="J29" i="2"/>
  <c r="L29" i="2" s="1"/>
  <c r="I955" i="14"/>
  <c r="D18" i="35"/>
  <c r="T20" i="3"/>
  <c r="U20" i="3" s="1"/>
  <c r="D49" i="20"/>
  <c r="J139" i="15"/>
  <c r="J181" i="8"/>
  <c r="J184" i="8" s="1"/>
  <c r="I983" i="14"/>
  <c r="M31" i="5"/>
  <c r="J31" i="5"/>
  <c r="Q31" i="5"/>
  <c r="Q59" i="2" l="1"/>
  <c r="W59" i="2"/>
  <c r="X59" i="2" s="1"/>
  <c r="Q61" i="2"/>
  <c r="E61" i="2"/>
  <c r="Q50" i="2"/>
  <c r="Q52" i="2" s="1"/>
  <c r="E50" i="2"/>
  <c r="E52" i="2" s="1"/>
  <c r="E66" i="2"/>
  <c r="Q28" i="2"/>
  <c r="E28" i="2"/>
  <c r="Q32" i="2"/>
  <c r="E32" i="2"/>
  <c r="Z61" i="2"/>
  <c r="D86" i="20"/>
  <c r="D90" i="20" s="1"/>
  <c r="E552" i="13"/>
  <c r="G552" i="13" s="1"/>
  <c r="W61" i="2"/>
  <c r="X61" i="2" s="1"/>
  <c r="K320" i="10"/>
  <c r="P318" i="10"/>
  <c r="G376" i="13"/>
  <c r="J353" i="10"/>
  <c r="J61" i="2"/>
  <c r="G66" i="2"/>
  <c r="Z66" i="2" s="1"/>
  <c r="Q66" i="2"/>
  <c r="J60" i="5"/>
  <c r="J153" i="8"/>
  <c r="J155" i="8" s="1"/>
  <c r="M60" i="5"/>
  <c r="Q60" i="5"/>
  <c r="G30" i="2"/>
  <c r="AR915" i="14"/>
  <c r="AR930" i="14" s="1"/>
  <c r="AR932" i="14" s="1"/>
  <c r="AR934" i="14" s="1"/>
  <c r="D72" i="20"/>
  <c r="D73" i="20" s="1"/>
  <c r="D76" i="20" s="1"/>
  <c r="F40" i="5" s="1"/>
  <c r="M40" i="5" s="1"/>
  <c r="K187" i="13"/>
  <c r="K432" i="13"/>
  <c r="K435" i="13" s="1"/>
  <c r="H40" i="5"/>
  <c r="F104" i="20"/>
  <c r="T21" i="3"/>
  <c r="U21" i="3" s="1"/>
  <c r="E27" i="35"/>
  <c r="J224" i="11"/>
  <c r="J226" i="11" s="1"/>
  <c r="H11" i="5"/>
  <c r="H34" i="5" s="1"/>
  <c r="H37" i="3"/>
  <c r="F61" i="4" s="1"/>
  <c r="E9" i="35"/>
  <c r="J585" i="13" s="1"/>
  <c r="J588" i="13"/>
  <c r="E20" i="35"/>
  <c r="J248" i="10"/>
  <c r="Q19" i="2"/>
  <c r="Z28" i="2"/>
  <c r="I80" i="5"/>
  <c r="J257" i="13"/>
  <c r="K143" i="13"/>
  <c r="M320" i="10"/>
  <c r="J169" i="15"/>
  <c r="D19" i="35"/>
  <c r="H588" i="13" s="1"/>
  <c r="J164" i="15"/>
  <c r="H504" i="13"/>
  <c r="D63" i="20"/>
  <c r="D66" i="20" s="1"/>
  <c r="I982" i="14"/>
  <c r="I989" i="14" s="1"/>
  <c r="G373" i="13"/>
  <c r="Z59" i="2"/>
  <c r="J59" i="2"/>
  <c r="J58" i="8"/>
  <c r="J80" i="15"/>
  <c r="G82" i="15"/>
  <c r="I999" i="14"/>
  <c r="I954" i="14"/>
  <c r="J28" i="2"/>
  <c r="L28" i="2" s="1"/>
  <c r="H915" i="14"/>
  <c r="J915" i="14" s="1"/>
  <c r="J930" i="14" s="1"/>
  <c r="D930" i="14"/>
  <c r="D998" i="14" s="1"/>
  <c r="D999" i="14" s="1"/>
  <c r="AD915" i="14"/>
  <c r="H507" i="13"/>
  <c r="W28" i="2"/>
  <c r="X28" i="2" s="1"/>
  <c r="G364" i="13"/>
  <c r="I197" i="15"/>
  <c r="G112" i="15"/>
  <c r="J112" i="15" s="1"/>
  <c r="K108" i="8"/>
  <c r="K110" i="8" s="1"/>
  <c r="K112" i="8" s="1"/>
  <c r="T11" i="3"/>
  <c r="U11" i="3" s="1"/>
  <c r="F12" i="3"/>
  <c r="I34" i="11"/>
  <c r="D55" i="20"/>
  <c r="D58" i="20" s="1"/>
  <c r="F38" i="5" s="1"/>
  <c r="J214" i="8"/>
  <c r="Z32" i="2"/>
  <c r="W32" i="2"/>
  <c r="X32" i="2" s="1"/>
  <c r="J32" i="2"/>
  <c r="I958" i="14"/>
  <c r="W50" i="2"/>
  <c r="X50" i="2" s="1"/>
  <c r="N256" i="10"/>
  <c r="O256" i="10" s="1"/>
  <c r="I976" i="14"/>
  <c r="I979" i="14" s="1"/>
  <c r="N246" i="10"/>
  <c r="N247" i="10" s="1"/>
  <c r="J50" i="2"/>
  <c r="L50" i="2" s="1"/>
  <c r="G52" i="2"/>
  <c r="Z50" i="2"/>
  <c r="Q62" i="5"/>
  <c r="M62" i="5"/>
  <c r="J62" i="5"/>
  <c r="K64" i="2"/>
  <c r="L64" i="2" s="1"/>
  <c r="J42" i="5"/>
  <c r="Q42" i="5"/>
  <c r="M42" i="5"/>
  <c r="M148" i="15"/>
  <c r="N148" i="15" s="1"/>
  <c r="L135" i="15"/>
  <c r="M136" i="15" s="1"/>
  <c r="J148" i="15"/>
  <c r="G31" i="2"/>
  <c r="E31" i="2" s="1"/>
  <c r="F41" i="5"/>
  <c r="J215" i="8"/>
  <c r="J25" i="8"/>
  <c r="X19" i="2"/>
  <c r="Y23" i="8"/>
  <c r="F124" i="20"/>
  <c r="M23" i="8"/>
  <c r="N23" i="8" s="1"/>
  <c r="Z19" i="2"/>
  <c r="I946" i="14"/>
  <c r="Q30" i="2" l="1"/>
  <c r="E30" i="2"/>
  <c r="G377" i="13"/>
  <c r="J156" i="8"/>
  <c r="J956" i="14"/>
  <c r="J960" i="14" s="1"/>
  <c r="J962" i="14" s="1"/>
  <c r="F43" i="20"/>
  <c r="F45" i="20" s="1"/>
  <c r="F60" i="20" s="1"/>
  <c r="Z30" i="2"/>
  <c r="W30" i="2"/>
  <c r="X30" i="2" s="1"/>
  <c r="J30" i="2"/>
  <c r="L30" i="2" s="1"/>
  <c r="I956" i="14"/>
  <c r="H44" i="5"/>
  <c r="F39" i="5"/>
  <c r="K59" i="2" s="1"/>
  <c r="L59" i="2" s="1"/>
  <c r="K588" i="13"/>
  <c r="K1109" i="24"/>
  <c r="E12" i="35"/>
  <c r="E24" i="35" s="1"/>
  <c r="J590" i="13" s="1"/>
  <c r="H48" i="3"/>
  <c r="F967" i="14"/>
  <c r="F969" i="14" s="1"/>
  <c r="F991" i="14" s="1"/>
  <c r="F992" i="14" s="1"/>
  <c r="K265" i="13"/>
  <c r="K267" i="13" s="1"/>
  <c r="H50" i="3" s="1"/>
  <c r="I190" i="15"/>
  <c r="J40" i="5"/>
  <c r="K61" i="2"/>
  <c r="L61" i="2" s="1"/>
  <c r="Q40" i="5"/>
  <c r="J37" i="2"/>
  <c r="Q31" i="2"/>
  <c r="D20" i="35"/>
  <c r="D4" i="35"/>
  <c r="G4" i="35" s="1"/>
  <c r="W66" i="2"/>
  <c r="X66" i="2" s="1"/>
  <c r="I987" i="14"/>
  <c r="D104" i="20"/>
  <c r="H930" i="14"/>
  <c r="H998" i="14" s="1"/>
  <c r="J998" i="14" s="1"/>
  <c r="J999" i="14" s="1"/>
  <c r="G21" i="2"/>
  <c r="J82" i="15"/>
  <c r="G114" i="15"/>
  <c r="K124" i="20"/>
  <c r="F128" i="20"/>
  <c r="F131" i="20" s="1"/>
  <c r="H45" i="5" s="1"/>
  <c r="D127" i="20"/>
  <c r="D128" i="20" s="1"/>
  <c r="W31" i="2"/>
  <c r="X31" i="2" s="1"/>
  <c r="D47" i="20"/>
  <c r="J31" i="2"/>
  <c r="G363" i="13"/>
  <c r="Z31" i="2"/>
  <c r="I957" i="14"/>
  <c r="Q41" i="5"/>
  <c r="J41" i="5"/>
  <c r="K62" i="2"/>
  <c r="L62" i="2" s="1"/>
  <c r="M41" i="5"/>
  <c r="J38" i="5"/>
  <c r="K32" i="2"/>
  <c r="L32" i="2" s="1"/>
  <c r="Q38" i="5"/>
  <c r="M38" i="5"/>
  <c r="T12" i="3"/>
  <c r="F23" i="3"/>
  <c r="F26" i="3" s="1"/>
  <c r="W52" i="2"/>
  <c r="X52" i="2" s="1"/>
  <c r="I64" i="12"/>
  <c r="I69" i="12" s="1"/>
  <c r="I71" i="12" s="1"/>
  <c r="Z52" i="2"/>
  <c r="J194" i="8"/>
  <c r="Q21" i="2" l="1"/>
  <c r="Q22" i="2" s="1"/>
  <c r="E21" i="2"/>
  <c r="E22" i="2" s="1"/>
  <c r="D43" i="20"/>
  <c r="I156" i="8"/>
  <c r="D44" i="20"/>
  <c r="D45" i="20" s="1"/>
  <c r="M39" i="5"/>
  <c r="J39" i="5"/>
  <c r="Q39" i="5"/>
  <c r="H56" i="4"/>
  <c r="H60" i="4" s="1"/>
  <c r="I60" i="4" s="1"/>
  <c r="F60" i="4"/>
  <c r="I199" i="15"/>
  <c r="I208" i="15" s="1"/>
  <c r="I210" i="15" s="1"/>
  <c r="G207" i="15" s="1"/>
  <c r="G210" i="15" s="1"/>
  <c r="V26" i="3"/>
  <c r="J114" i="15"/>
  <c r="G27" i="2"/>
  <c r="H506" i="13"/>
  <c r="K506" i="13"/>
  <c r="H999" i="14"/>
  <c r="D112" i="20"/>
  <c r="D116" i="20" s="1"/>
  <c r="I260" i="11"/>
  <c r="J21" i="2"/>
  <c r="W21" i="2"/>
  <c r="X21" i="2" s="1"/>
  <c r="I948" i="14"/>
  <c r="I949" i="14" s="1"/>
  <c r="G22" i="2"/>
  <c r="Z21" i="2"/>
  <c r="G319" i="15"/>
  <c r="D53" i="20"/>
  <c r="F37" i="5" s="1"/>
  <c r="K47" i="20"/>
  <c r="L50" i="20"/>
  <c r="H47" i="5"/>
  <c r="H73" i="5" s="1"/>
  <c r="H78" i="5" s="1"/>
  <c r="J291" i="11"/>
  <c r="J294" i="11" s="1"/>
  <c r="Q294" i="11" s="1"/>
  <c r="F11" i="5"/>
  <c r="D9" i="35"/>
  <c r="H585" i="13" s="1"/>
  <c r="K585" i="13" s="1"/>
  <c r="D27" i="35"/>
  <c r="I224" i="11"/>
  <c r="I226" i="11" s="1"/>
  <c r="I238" i="11" s="1"/>
  <c r="N239" i="11" s="1"/>
  <c r="F37" i="3"/>
  <c r="F66" i="4" s="1"/>
  <c r="H66" i="4" s="1"/>
  <c r="Q458" i="17"/>
  <c r="T27" i="2" l="1"/>
  <c r="E27" i="2"/>
  <c r="G190" i="15"/>
  <c r="F1109" i="24"/>
  <c r="F1110" i="24" s="1"/>
  <c r="K1110" i="24"/>
  <c r="D16" i="35"/>
  <c r="H587" i="13" s="1"/>
  <c r="K587" i="13" s="1"/>
  <c r="Q27" i="2"/>
  <c r="Q34" i="2" s="1"/>
  <c r="Q36" i="2" s="1"/>
  <c r="D131" i="20"/>
  <c r="F45" i="5" s="1"/>
  <c r="N260" i="11"/>
  <c r="I262" i="11"/>
  <c r="W22" i="2"/>
  <c r="X22" i="2" s="1"/>
  <c r="Z22" i="2"/>
  <c r="Z27" i="2"/>
  <c r="I953" i="14"/>
  <c r="I960" i="14" s="1"/>
  <c r="I962" i="14" s="1"/>
  <c r="G361" i="13"/>
  <c r="G366" i="13" s="1"/>
  <c r="J27" i="2"/>
  <c r="W27" i="2"/>
  <c r="X27" i="2" s="1"/>
  <c r="J102" i="8"/>
  <c r="D8" i="20"/>
  <c r="K8" i="20" s="1"/>
  <c r="H503" i="13"/>
  <c r="G34" i="2"/>
  <c r="G36" i="2" s="1"/>
  <c r="I288" i="11"/>
  <c r="F75" i="5"/>
  <c r="F65" i="4"/>
  <c r="F70" i="4" s="1"/>
  <c r="T37" i="3"/>
  <c r="J37" i="3"/>
  <c r="J265" i="13"/>
  <c r="J267" i="13" s="1"/>
  <c r="F50" i="3" s="1"/>
  <c r="J465" i="17"/>
  <c r="J466" i="17" s="1"/>
  <c r="F48" i="3"/>
  <c r="D12" i="35"/>
  <c r="D24" i="35" s="1"/>
  <c r="H590" i="13" s="1"/>
  <c r="K590" i="13" s="1"/>
  <c r="W37" i="3"/>
  <c r="W49" i="3"/>
  <c r="E479" i="17"/>
  <c r="D967" i="14"/>
  <c r="J37" i="5"/>
  <c r="K31" i="2"/>
  <c r="L31" i="2" s="1"/>
  <c r="Q37" i="5"/>
  <c r="M37" i="5"/>
  <c r="N243" i="11"/>
  <c r="Q11" i="5"/>
  <c r="F34" i="5"/>
  <c r="J11" i="5"/>
  <c r="M11" i="5"/>
  <c r="I102" i="8" l="1"/>
  <c r="E34" i="2"/>
  <c r="E36" i="2" s="1"/>
  <c r="G70" i="4"/>
  <c r="H68" i="4"/>
  <c r="K1111" i="24"/>
  <c r="I291" i="11"/>
  <c r="I294" i="11" s="1"/>
  <c r="O294" i="11" s="1"/>
  <c r="Q45" i="5"/>
  <c r="K21" i="2"/>
  <c r="L21" i="2" s="1"/>
  <c r="J45" i="5"/>
  <c r="M45" i="5"/>
  <c r="D22" i="35"/>
  <c r="H589" i="13" s="1"/>
  <c r="K589" i="13" s="1"/>
  <c r="W34" i="2"/>
  <c r="X34" i="2" s="1"/>
  <c r="D3" i="35"/>
  <c r="Z34" i="2"/>
  <c r="D11" i="20"/>
  <c r="D13" i="20" s="1"/>
  <c r="F36" i="5" s="1"/>
  <c r="Q34" i="5"/>
  <c r="M34" i="5"/>
  <c r="J34" i="5"/>
  <c r="T48" i="3"/>
  <c r="U48" i="3" s="1"/>
  <c r="W43" i="2"/>
  <c r="X43" i="2" s="1"/>
  <c r="Q75" i="5"/>
  <c r="J75" i="5"/>
  <c r="M75" i="5"/>
  <c r="D969" i="14"/>
  <c r="D991" i="14" s="1"/>
  <c r="D992" i="14" s="1"/>
  <c r="Z36" i="2"/>
  <c r="I49" i="12"/>
  <c r="I54" i="12" s="1"/>
  <c r="I56" i="12" s="1"/>
  <c r="I57" i="12" s="1"/>
  <c r="W36" i="2"/>
  <c r="X36" i="2" s="1"/>
  <c r="G997" i="14"/>
  <c r="H61" i="4"/>
  <c r="H65" i="4" s="1"/>
  <c r="H583" i="13" l="1"/>
  <c r="K583" i="13" s="1"/>
  <c r="I3" i="35"/>
  <c r="H70" i="4"/>
  <c r="G3" i="35"/>
  <c r="D60" i="20"/>
  <c r="K27" i="2"/>
  <c r="L27" i="2" s="1"/>
  <c r="M36" i="5"/>
  <c r="Q36" i="5"/>
  <c r="J36" i="5"/>
  <c r="F44" i="5"/>
  <c r="Q44" i="5" l="1"/>
  <c r="J44" i="5"/>
  <c r="F47" i="5"/>
  <c r="M44" i="5"/>
  <c r="U53" i="3" l="1"/>
  <c r="Q47" i="5"/>
  <c r="M47" i="5"/>
  <c r="J47" i="5"/>
  <c r="F73" i="5"/>
  <c r="Q73" i="5" l="1"/>
  <c r="J73" i="5"/>
  <c r="M73" i="5"/>
  <c r="F78" i="5"/>
  <c r="Q78" i="5" l="1"/>
  <c r="Q79" i="5"/>
  <c r="M78" i="5"/>
  <c r="J78" i="5"/>
  <c r="I194" i="15"/>
  <c r="I201" i="15" s="1"/>
  <c r="G189" i="15" s="1"/>
  <c r="G194" i="15" l="1"/>
  <c r="I204" i="15"/>
  <c r="I226" i="15" s="1"/>
  <c r="I41" i="2" s="1"/>
  <c r="K65" i="4" s="1"/>
  <c r="L65" i="4" s="1"/>
  <c r="I320" i="15" l="1"/>
  <c r="I321" i="15" s="1"/>
  <c r="G201" i="15"/>
  <c r="G204" i="15" s="1"/>
  <c r="G226" i="15" s="1"/>
  <c r="K194" i="15"/>
  <c r="G41" i="2" l="1"/>
  <c r="G320" i="15"/>
  <c r="G321" i="15" s="1"/>
  <c r="J52" i="4"/>
  <c r="K52" i="4" s="1"/>
  <c r="I45" i="4"/>
  <c r="J967" i="14"/>
  <c r="J969" i="14" s="1"/>
  <c r="J991" i="14" s="1"/>
  <c r="J992" i="14" s="1"/>
  <c r="I42" i="2"/>
  <c r="K70" i="4" l="1"/>
  <c r="L70" i="4" s="1"/>
  <c r="E41" i="2"/>
  <c r="E42" i="2" s="1"/>
  <c r="E68" i="2" s="1"/>
  <c r="E7" i="35"/>
  <c r="J584" i="13" s="1"/>
  <c r="I68" i="2"/>
  <c r="K566" i="13"/>
  <c r="K567" i="13" s="1"/>
  <c r="E28" i="35"/>
  <c r="J591" i="13" s="1"/>
  <c r="E13" i="35"/>
  <c r="J586" i="13" s="1"/>
  <c r="I52" i="4"/>
  <c r="W41" i="2"/>
  <c r="X41" i="2" s="1"/>
  <c r="Q41" i="2"/>
  <c r="Q42" i="2" s="1"/>
  <c r="Q68" i="2" s="1"/>
  <c r="G42" i="2"/>
  <c r="J60" i="4"/>
  <c r="K60" i="4" s="1"/>
  <c r="I967" i="14"/>
  <c r="I969" i="14" s="1"/>
  <c r="I991" i="14" s="1"/>
  <c r="I992" i="14" s="1"/>
  <c r="Z41" i="2"/>
  <c r="J41" i="2"/>
  <c r="L41" i="2" s="1"/>
  <c r="I70" i="2" l="1"/>
  <c r="I69" i="2"/>
  <c r="J75" i="12"/>
  <c r="I71" i="2"/>
  <c r="J566" i="13"/>
  <c r="J567" i="13" s="1"/>
  <c r="D7" i="35"/>
  <c r="H584" i="13" s="1"/>
  <c r="K584" i="13" s="1"/>
  <c r="D13" i="35"/>
  <c r="H586" i="13" s="1"/>
  <c r="K586" i="13" s="1"/>
  <c r="W42" i="2"/>
  <c r="W44" i="2" s="1"/>
  <c r="X44" i="2" s="1"/>
  <c r="D28" i="35"/>
  <c r="H591" i="13" s="1"/>
  <c r="K591" i="13" s="1"/>
  <c r="Z42" i="2"/>
  <c r="G68" i="2"/>
  <c r="X42" i="2" l="1"/>
  <c r="G998" i="14"/>
  <c r="I75" i="12"/>
  <c r="Z68" i="2"/>
  <c r="W68" i="2"/>
  <c r="X68" i="2" s="1"/>
  <c r="G69" i="2"/>
  <c r="G70" i="2"/>
  <c r="J70" i="2" s="1"/>
  <c r="K70" i="2" s="1"/>
  <c r="G71" i="2"/>
  <c r="W71" i="2" s="1"/>
  <c r="J238" i="11"/>
  <c r="N240" i="11" l="1"/>
  <c r="N238" i="11"/>
  <c r="N235" i="11" s="1"/>
  <c r="J239" i="11"/>
  <c r="N22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Yashi Gaur</author>
  </authors>
  <commentList>
    <comment ref="B337" authorId="0" shapeId="0" xr:uid="{00000000-0006-0000-1100-000001000000}">
      <text>
        <r>
          <rPr>
            <b/>
            <sz val="9"/>
            <color indexed="81"/>
            <rFont val="Tahoma"/>
            <family val="2"/>
          </rPr>
          <t>Yashi Gaur:</t>
        </r>
        <r>
          <rPr>
            <sz val="9"/>
            <color indexed="81"/>
            <rFont val="Tahoma"/>
            <family val="2"/>
          </rPr>
          <t xml:space="preserve">
interco transfer of employee thus it is a part of employee benefit shown in actuarial report.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SK22883</author>
    <author>DS5003457</author>
  </authors>
  <commentList>
    <comment ref="B15" authorId="0" shapeId="0" xr:uid="{00000000-0006-0000-1700-000001000000}">
      <text>
        <r>
          <rPr>
            <sz val="8"/>
            <color indexed="81"/>
            <rFont val="Tahoma"/>
            <family val="2"/>
          </rPr>
          <t xml:space="preserve">206043
206044
206047
206041
206042
101790
206046
206048
101415
101416
101417
101418
101420
101421
101425
101430
101435
101436
101437
101438
101439
101440
101441
101442
101443
101444
101445
101321
101323
101327
101328
101329
101331
101332
101333
101334
101322
101310
101309
101311
101312
101313
101314
101315
101316
101317
101318
101320
101324
101325
101326
101330
101335
101475
101797
101794
101799
101788
101796
101791
101792
205114
206038
101793
101798
101336
101337
101338
101339
101340
101360
101361
101366
101370
101369
101371
101372
101373
101374
101376
101377
101378
101379
101380
101381
101382
101383
101384
101386
101367
101368
101385
101388
101389
101391
101392
101393
101394
101395
101396
101397
101398
101390
101201
101202
101789
101795
101785
101410
101814
101815
101819
101820
101821
101824
101825
101826
101827
101828
101850
101829
101833
101834
101822
101823
101830
101831
101835
101836
101837
101838
101816
101817
101818
101832
101811
101812
101813
</t>
        </r>
      </text>
    </comment>
    <comment ref="B41" authorId="0" shapeId="0" xr:uid="{00000000-0006-0000-1700-000002000000}">
      <text>
        <r>
          <rPr>
            <sz val="8"/>
            <color indexed="81"/>
            <rFont val="Tahoma"/>
            <family val="2"/>
          </rPr>
          <t xml:space="preserve">206043
206044
206047
206041
206042
101790
206046
206048
101415
101416
101417
101418
101420
101421
101425
101430
101435
101436
101437
101438
101439
101440
101441
101442
101443
101444
101445
101321
101323
101327
101328
101329
101331
101332
101333
101334
101322
101310
101309
101311
101312
101313
101314
101315
101316
101317
101318
101320
101324
101325
101326
101330
101335
101475
101797
101794
101799
101788
101796
101791
101792
205114
206038
101793
101798
101336
101337
101338
101339
101340
101360
101361
101366
101370
101369
101371
101372
101373
101374
101376
101377
101378
101379
101380
101381
101382
101383
101384
101386
101367
101368
101385
101388
101389
101391
101392
101393
101394
101395
101396
101397
101398
101390
101201
101202
101789
101795
101785
101410
101814
101815
101819
101820
101821
101824
101825
101826
101827
101828
101850
101829
101833
101834
101822
101823
101830
101831
101835
101836
101837
101838
101816
101817
101818
101832
101811
101812
101813
</t>
        </r>
      </text>
    </comment>
    <comment ref="H212" authorId="1" shapeId="0" xr:uid="{00000000-0006-0000-1700-000003000000}">
      <text>
        <r>
          <rPr>
            <b/>
            <sz val="9"/>
            <color indexed="81"/>
            <rFont val="Tahoma"/>
            <family val="2"/>
          </rPr>
          <t>Refer file "Exchange revaluation on cash and cash equivalent"</t>
        </r>
      </text>
    </comment>
    <comment ref="H214" authorId="1" shapeId="0" xr:uid="{00000000-0006-0000-1700-000004000000}">
      <text>
        <r>
          <rPr>
            <b/>
            <sz val="9"/>
            <color indexed="81"/>
            <rFont val="Tahoma"/>
            <family val="2"/>
          </rPr>
          <t>Refer file "Exchange revaluation on cash and cash equivalent"</t>
        </r>
      </text>
    </comment>
    <comment ref="B218" authorId="1" shapeId="0" xr:uid="{00000000-0006-0000-1700-000005000000}">
      <text>
        <r>
          <rPr>
            <b/>
            <sz val="9"/>
            <color indexed="81"/>
            <rFont val="Tahoma"/>
            <family val="2"/>
          </rPr>
          <t>DS5003457:</t>
        </r>
        <r>
          <rPr>
            <sz val="9"/>
            <color indexed="81"/>
            <rFont val="Tahoma"/>
            <family val="2"/>
          </rPr>
          <t xml:space="preserve">
FAS 52 file from AR team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Sunil Madnani</author>
  </authors>
  <commentList>
    <comment ref="J279" authorId="0" shapeId="0" xr:uid="{B4D1148E-5CD0-4391-A379-38484C9181D9}">
      <text>
        <r>
          <rPr>
            <b/>
            <sz val="9"/>
            <color indexed="81"/>
            <rFont val="Tahoma"/>
            <family val="2"/>
          </rPr>
          <t>Sunil Madnani:</t>
        </r>
        <r>
          <rPr>
            <sz val="9"/>
            <color indexed="81"/>
            <rFont val="Tahoma"/>
            <family val="2"/>
          </rPr>
          <t xml:space="preserve">
to show related party accrued exps separately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tc={FB1B911F-D3D5-48A0-AEB6-34225D930282}</author>
  </authors>
  <commentList>
    <comment ref="A271" authorId="0" shapeId="0" xr:uid="{FB1B911F-D3D5-48A0-AEB6-34225D930282}">
      <text>
        <t>[Threaded comment]
Your version of Excel allows you to read this threaded comment; however, any edits to it will get removed if the file is opened in a newer version of Excel. Learn more: https://go.microsoft.com/fwlink/?linkid=870924
Comment:
    Can we can discontinue with this disclosure.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tc={4F7FDDBC-9ACC-4EE6-836F-CA55FCB063E8}</author>
    <author>tc={110CB632-DF05-4C7E-A4B2-7A868045D57D}</author>
    <author>tc={1566FD4B-7720-48DF-9A60-BFEC7A4716CC}</author>
    <author>tc={4C3B5FB2-DEF0-472D-8851-02AC2188B990}</author>
    <author>tc={DC55DFE8-22BC-4EF5-859F-9519A94ED31C}</author>
  </authors>
  <commentList>
    <comment ref="I100" authorId="0" shapeId="0" xr:uid="{4F7FDDBC-9ACC-4EE6-836F-CA55FCB063E8}">
      <text>
        <t>[Threaded comment]
Your version of Excel allows you to read this threaded comment; however, any edits to it will get removed if the file is opened in a newer version of Excel. Learn more: https://go.microsoft.com/fwlink/?linkid=870924
Comment:
    to check</t>
      </text>
    </comment>
    <comment ref="I162" authorId="1" shapeId="0" xr:uid="{110CB632-DF05-4C7E-A4B2-7A868045D57D}">
      <text>
        <t>[Threaded comment]
Your version of Excel allows you to read this threaded comment; however, any edits to it will get removed if the file is opened in a newer version of Excel. Learn more: https://go.microsoft.com/fwlink/?linkid=870924
Comment:
    to recheck with AP team</t>
      </text>
    </comment>
    <comment ref="I165" authorId="2" shapeId="0" xr:uid="{1566FD4B-7720-48DF-9A60-BFEC7A4716CC}">
      <text>
        <t>[Threaded comment]
Your version of Excel allows you to read this threaded comment; however, any edits to it will get removed if the file is opened in a newer version of Excel. Learn more: https://go.microsoft.com/fwlink/?linkid=870924
Comment:
    to recheck with AP team</t>
      </text>
    </comment>
    <comment ref="I168" authorId="3" shapeId="0" xr:uid="{4C3B5FB2-DEF0-472D-8851-02AC2188B990}">
      <text>
        <t>[Threaded comment]
Your version of Excel allows you to read this threaded comment; however, any edits to it will get removed if the file is opened in a newer version of Excel. Learn more: https://go.microsoft.com/fwlink/?linkid=870924
Comment:
    to recheck with AP team</t>
      </text>
    </comment>
    <comment ref="I171" authorId="4" shapeId="0" xr:uid="{DC55DFE8-22BC-4EF5-859F-9519A94ED31C}">
      <text>
        <t>[Threaded comment]
Your version of Excel allows you to read this threaded comment; however, any edits to it will get removed if the file is opened in a newer version of Excel. Learn more: https://go.microsoft.com/fwlink/?linkid=870924
Comment:
    to recheck with AP team</t>
      </text>
    </comment>
  </commentList>
</comments>
</file>

<file path=xl/sharedStrings.xml><?xml version="1.0" encoding="utf-8"?>
<sst xmlns="http://schemas.openxmlformats.org/spreadsheetml/2006/main" count="15258" uniqueCount="3140">
  <si>
    <t>Name of Entity</t>
  </si>
  <si>
    <t>Syntel Solutions (India) Private Limited</t>
  </si>
  <si>
    <t>Current Financial Year</t>
  </si>
  <si>
    <t>Current Period End Date</t>
  </si>
  <si>
    <t>Formattted Current Period</t>
  </si>
  <si>
    <t>Previous Financial Year</t>
  </si>
  <si>
    <t>Prevous Period End Date</t>
  </si>
  <si>
    <t>Formattted Prevous Period</t>
  </si>
  <si>
    <t>Date of Signing</t>
  </si>
  <si>
    <t>Actual amount converted into</t>
  </si>
  <si>
    <t>Manual</t>
  </si>
  <si>
    <t>Manual Input</t>
  </si>
  <si>
    <t>ASSETS</t>
  </si>
  <si>
    <t>Non current assets</t>
  </si>
  <si>
    <t>Capital work-in-progress</t>
  </si>
  <si>
    <t>Intangible assets</t>
  </si>
  <si>
    <t>Financial assets</t>
  </si>
  <si>
    <t>Investments</t>
  </si>
  <si>
    <t>Loans</t>
  </si>
  <si>
    <t>Other financial assets</t>
  </si>
  <si>
    <t>Deferred tax assets (net)</t>
  </si>
  <si>
    <t>Other non-current assets</t>
  </si>
  <si>
    <t>Income tax assets (net)</t>
  </si>
  <si>
    <t>Total non-current assets</t>
  </si>
  <si>
    <t>Current assets</t>
  </si>
  <si>
    <t>Trade receivables</t>
  </si>
  <si>
    <t>Cash and cash equivalents</t>
  </si>
  <si>
    <t>Bank balances</t>
  </si>
  <si>
    <t>Other current assets</t>
  </si>
  <si>
    <t>Total current assets</t>
  </si>
  <si>
    <t>Total Assets</t>
  </si>
  <si>
    <t>EQUITY AND LIABILITIES</t>
  </si>
  <si>
    <t>Equity</t>
  </si>
  <si>
    <t>Equity share capital</t>
  </si>
  <si>
    <t xml:space="preserve">Other equity </t>
  </si>
  <si>
    <t>Total equity</t>
  </si>
  <si>
    <t>Liabilities</t>
  </si>
  <si>
    <t>Non current liabilities</t>
  </si>
  <si>
    <t>Financial liabilities</t>
  </si>
  <si>
    <t>Preference shares</t>
  </si>
  <si>
    <t>Other financial liabilities</t>
  </si>
  <si>
    <t>Employee benefit obligations</t>
  </si>
  <si>
    <t>Deferred tax liabilites (net)</t>
  </si>
  <si>
    <t>Other non-current liabilities</t>
  </si>
  <si>
    <t>Total non-current liabilities</t>
  </si>
  <si>
    <t>Current liabilities</t>
  </si>
  <si>
    <t>Trade payables</t>
  </si>
  <si>
    <t>Other current liabilities</t>
  </si>
  <si>
    <t>Provisions</t>
  </si>
  <si>
    <t>Income tax liabilities (net)</t>
  </si>
  <si>
    <t>Total current liabilities</t>
  </si>
  <si>
    <t>Significant accounting policies</t>
  </si>
  <si>
    <t>As per our report of even date attached.</t>
  </si>
  <si>
    <t>For and on behalf of the Board of Directors of</t>
  </si>
  <si>
    <t>Chartered Accountants</t>
  </si>
  <si>
    <t>CIN: U72900PN2010FTC137168</t>
  </si>
  <si>
    <t>Director</t>
  </si>
  <si>
    <t>Revenue from operations</t>
  </si>
  <si>
    <t>Other income</t>
  </si>
  <si>
    <t>Total income</t>
  </si>
  <si>
    <t>Expenses</t>
  </si>
  <si>
    <t>Employee benefits expense</t>
  </si>
  <si>
    <t>Foreign travel expenses</t>
  </si>
  <si>
    <t>Technical consultancy charges</t>
  </si>
  <si>
    <t>Other expenses</t>
  </si>
  <si>
    <t>Finance charge</t>
  </si>
  <si>
    <t>Total expenses</t>
  </si>
  <si>
    <t>Profit / (Loss) before exceptional and extraordinary items and tax</t>
  </si>
  <si>
    <t>Extra Ordinary item</t>
  </si>
  <si>
    <t>Profit before tax</t>
  </si>
  <si>
    <t>Tax expenses</t>
  </si>
  <si>
    <t>Current tax</t>
  </si>
  <si>
    <t>MAT credit entitlement</t>
  </si>
  <si>
    <t xml:space="preserve">MAT credit entitlement written off </t>
  </si>
  <si>
    <t>Total tax expenses</t>
  </si>
  <si>
    <t>Other comprehensive income</t>
  </si>
  <si>
    <t>Items that will not be reclassified subsequently to profit or loss</t>
  </si>
  <si>
    <t>Items that will be reclassified subsequently to profit or loss</t>
  </si>
  <si>
    <t>Other comprehensive income for the year</t>
  </si>
  <si>
    <t>b)</t>
  </si>
  <si>
    <t>Other equity</t>
  </si>
  <si>
    <t>Reserves and Surplus</t>
  </si>
  <si>
    <t>Particulars</t>
  </si>
  <si>
    <t>Securities premium</t>
  </si>
  <si>
    <t>Capital reserve</t>
  </si>
  <si>
    <t>General reserve</t>
  </si>
  <si>
    <t>Retained earnings</t>
  </si>
  <si>
    <t>Remeasurement of defined benefit liability</t>
  </si>
  <si>
    <t>Total equity attributable to equity holders of the Company</t>
  </si>
  <si>
    <t>Balance as on 01 April 2015 as per IGAAP</t>
  </si>
  <si>
    <t>Transition impact on other equity as on April 01, 2015</t>
  </si>
  <si>
    <t>Balance as on 01 April 2015</t>
  </si>
  <si>
    <t>Payment of dividend</t>
  </si>
  <si>
    <t>Preference share redemption</t>
  </si>
  <si>
    <t>Profit for the period</t>
  </si>
  <si>
    <t>IND AS impact for the year</t>
  </si>
  <si>
    <t>Other comprehensive income (net of tax)</t>
  </si>
  <si>
    <t>Balance as on 31 March 2016</t>
  </si>
  <si>
    <t>Payment of dividend distribution tax</t>
  </si>
  <si>
    <t>Profit for the year</t>
  </si>
  <si>
    <t>Transfer from general reserve</t>
  </si>
  <si>
    <t>Loss for the year</t>
  </si>
  <si>
    <t>Cash flow from operating activities</t>
  </si>
  <si>
    <t>Adjustments for:</t>
  </si>
  <si>
    <t>Gain on disposal of property, plant and equipment, net</t>
  </si>
  <si>
    <t>Unwinding of discount on security deposits</t>
  </si>
  <si>
    <t>Profit on sale of mutual fund units (including fair value changes)</t>
  </si>
  <si>
    <t>Interest income from financial assets at amortised cost</t>
  </si>
  <si>
    <t>Dividend on preference shares</t>
  </si>
  <si>
    <t>Write back of provision</t>
  </si>
  <si>
    <t>Bad debts written off</t>
  </si>
  <si>
    <t>Provision for doubtful loans and advances</t>
  </si>
  <si>
    <t>Finance charges under finance lease</t>
  </si>
  <si>
    <t>Finance charge on preference shares</t>
  </si>
  <si>
    <t>Exchange difference on translation of foreign currency cash and cash equivalents</t>
  </si>
  <si>
    <t xml:space="preserve">Changes in working capital </t>
  </si>
  <si>
    <t xml:space="preserve">Cash flow from investing activities </t>
  </si>
  <si>
    <t>Purchase of property, plant and equipment</t>
  </si>
  <si>
    <t>Proceeds from sale of property, plant and equipment</t>
  </si>
  <si>
    <t>Purchase of preference shares</t>
  </si>
  <si>
    <t>Proceeds from redemption of preference shares</t>
  </si>
  <si>
    <t>Investment in mutual fund units</t>
  </si>
  <si>
    <t>Proceeds from sale of mutual fund units</t>
  </si>
  <si>
    <t>Proceeds from fixed deposit having original maturity more than three months</t>
  </si>
  <si>
    <t>Purchases of fixed deposit having original maturity more than three months</t>
  </si>
  <si>
    <t>Interest received on deposits with banks</t>
  </si>
  <si>
    <t xml:space="preserve">Cash flow from financing activities </t>
  </si>
  <si>
    <t>Finance charges paid</t>
  </si>
  <si>
    <t>Cash and cash equivalents at the beginning of the year</t>
  </si>
  <si>
    <t>Effect of exchange rate changes on translation of foreign currency cash and cash equivalents</t>
  </si>
  <si>
    <t>Company overview</t>
  </si>
  <si>
    <t>a.</t>
  </si>
  <si>
    <t>Statement of Compliance</t>
  </si>
  <si>
    <t>b.</t>
  </si>
  <si>
    <t>c.</t>
  </si>
  <si>
    <t>The preparation of the financial statements in conformity with Ind AS requires the Management to make estimates, judgments and assumptions. These estimates, judgments and assumptions affect the application of accounting policies and the reported amounts of assets and liabilities, the disclosures of contingent assets and liabilities at the date of the financial statements and reported amounts of revenues and expenses during the period. The application of accounting policies that require critical accounting estimates involving complex and subjective judgments and the use of assumptions in these financial statements have been disclosed below. Accounting estimates could change from period to period. Actual results could differ from those estimates. Appropriate changes in estimates are made as the Management becomes aware of the changes in circumstances surrounding the estimates. Changes in estimates are reflected in the financial statements in the period in which changes are made and if material, their effects are disclosed in the notes to the financial statements.</t>
  </si>
  <si>
    <t xml:space="preserve">(i) </t>
  </si>
  <si>
    <t>Revenue recognition</t>
  </si>
  <si>
    <t>d.</t>
  </si>
  <si>
    <t>Impairment</t>
  </si>
  <si>
    <t xml:space="preserve">The Company recognizes loss allowances using the expected credit loss (ECL) model for the financial assets which are not fair valued through profit or loss. Loss allowance for trade receivables with no significant financing component is measured at an amount equal to lifetime ECL. For all other financial assets, ECLs are measured at an amount equal to the twelve month ECL, unless there has been a significant increase in credit risk from initial recognition in which cases those are measured at lifetime ECL. The amount of ECLs (or reversal) that is required to adjust the loss allowance at the reporting date to the amount that is required to be recognized is recognized as an impairment gain or loss in profit or loss. </t>
  </si>
  <si>
    <t xml:space="preserve">(ii) </t>
  </si>
  <si>
    <t>Non-financial assets</t>
  </si>
  <si>
    <t xml:space="preserve">Property, plant and equipment are evaluated for recoverability whenever events or changes in circumstances indicate that their carrying amounts may not be recoverable. </t>
  </si>
  <si>
    <t xml:space="preserve">If such assets are considered to be impaired, the impairment to be recognized in the Statement of Profit and Loss is measured by the amount by which the carrying value of the assets exceeds the estimated recoverable amount of the asset. An impairment loss is reversed in the Statement of Profit and Loss if there has been a change in the estimates used to determine the recoverable amount. The carrying amount of the asset is increased to its revised recoverable amount, provided that this amount does not exceed the carrying amount that would have been determined (net of any accumulated amortization or depreciation) had no impairment loss been recognized for the asset in prior years. </t>
  </si>
  <si>
    <t>Assets</t>
  </si>
  <si>
    <t>No. of Years</t>
  </si>
  <si>
    <t>Computer software</t>
  </si>
  <si>
    <t>Computer equipment</t>
  </si>
  <si>
    <t>Office and other equipment</t>
  </si>
  <si>
    <t>Based on internal assessment and independent technical evaluation, the management believes that the useful lives as given above best represent the period over which the management expects to use these assets. Hence, the useful lives for these assets is different from the useful lives as prescribed under Part C of Schedule II of the Act.</t>
  </si>
  <si>
    <t>Foreign currency transactions are recorded at appropriate daily average exchange rate prevailing on the date of transaction. Exchange difference arising on foreign currency transactions, between the actual rate of settlement and the rate on the date of transactions, is charged or credited to Statement of profit and loss. Monetary assets and liabilities denominated in foreign currencies as at the Balance sheet date, not covered by foreign exchange contract are translated at the exchange rates prevailing on the Balance sheet date and the overall net exchange gain or loss on such conversion, if any, is credited/charged to the Statement of profit and loss. Non monetary assets are recorded at the rates prevailing on the date of the transactions.</t>
  </si>
  <si>
    <t>Investments that are readily realisable and intended to be held for not more than a year from the date of acquisition are classified as current investments. All other investments are classified as non-current investments. However, that part of non-current investments which is expected to be realized within twelve months after the reporting date is also presented under current investment as “current portion of non-current investments”.</t>
  </si>
  <si>
    <t>Non-current investments (including current portion thereof) are carried at cost less any other-than-temporary diminution in value, determined separately for each individual investment. Current investments are valued at lower of cost and fair value.</t>
  </si>
  <si>
    <t>Employee retirement and other benefits</t>
  </si>
  <si>
    <t>Defined benefit plans</t>
  </si>
  <si>
    <t>Gratuity</t>
  </si>
  <si>
    <t>Compensated absences</t>
  </si>
  <si>
    <t xml:space="preserve"> Earnings per share</t>
  </si>
  <si>
    <t>Leases</t>
  </si>
  <si>
    <t>Income tax</t>
  </si>
  <si>
    <t>Cash flow statement</t>
  </si>
  <si>
    <t>Cash flows are reported using the indirect method, whereby profit for the period is adjusted for the effects of transactions of a non-cash nature, any deferrals or accruals of past or future operating cash  receipts or payments and item of income or expenses associated with investing or financing cash flows.  The cash flows from operating, investing and financing activities of the Company are segregated.</t>
  </si>
  <si>
    <t>Financial instruments</t>
  </si>
  <si>
    <t>Initial recognition and measurement</t>
  </si>
  <si>
    <t>Subsequent measurement</t>
  </si>
  <si>
    <t>A financial asset is subsequently measured at amortised cost if it is held within a business model whose objective is to hold the asset in order to collect contractual cash flows and the contractual terms of the financial asset give rise on specified dates to cash flows that are solely payments of principal and interest on the principal amount outstanding.</t>
  </si>
  <si>
    <t>A financial asset which is not classified in any of the above categories are subsequently fair valued through profit or loss.</t>
  </si>
  <si>
    <t>Derecognition of financial instruments</t>
  </si>
  <si>
    <t>Fair value measurement</t>
  </si>
  <si>
    <t>Preference shares, which are mandatorily redeemable on a specified date, are classified as liabilities in accordance with Ind AS 109. The dividends on these preference shares are taken to the Statement of profit and loss as finance charge. Preference shares are measured at amortized cost. Premium payable at the time of redemption is taken to the Statement of profit and loss based on effective interest rate (IRR in this case) over the life of preference shares.</t>
  </si>
  <si>
    <t xml:space="preserve">Tangible </t>
  </si>
  <si>
    <t>Intangible</t>
  </si>
  <si>
    <t>Total</t>
  </si>
  <si>
    <t>Additions</t>
  </si>
  <si>
    <t>Disposals</t>
  </si>
  <si>
    <t>Transfer to asset held for sale</t>
  </si>
  <si>
    <t>Other adjustments</t>
  </si>
  <si>
    <t>Charge for the year</t>
  </si>
  <si>
    <t>Other financial assets non current</t>
  </si>
  <si>
    <t>To parties other than related parties</t>
  </si>
  <si>
    <t>Security deposits</t>
  </si>
  <si>
    <t>Unsecured, considered good</t>
  </si>
  <si>
    <t>Unsecured, considered doubtful</t>
  </si>
  <si>
    <t>Less: Provision for doubtful deposits</t>
  </si>
  <si>
    <t>Syntel International Private Limited</t>
  </si>
  <si>
    <t>Deferred tax assets</t>
  </si>
  <si>
    <t>Provision for employee benefits - Gratuity</t>
  </si>
  <si>
    <t>Employee stock based compensation expenses</t>
  </si>
  <si>
    <t>Rent straight lining</t>
  </si>
  <si>
    <t>Others</t>
  </si>
  <si>
    <t>Total deferred tax asset</t>
  </si>
  <si>
    <t>Deferred tax liability</t>
  </si>
  <si>
    <t>Unrealized gain on investments</t>
  </si>
  <si>
    <t>Other timing differences</t>
  </si>
  <si>
    <t xml:space="preserve">Reconciliation of deferred tax assets / (liabilities) net </t>
  </si>
  <si>
    <t>Net deferred income tax asset at the beginning</t>
  </si>
  <si>
    <t>Credits/(charge) relating to temporary differences</t>
  </si>
  <si>
    <t>MAT credit entitlement written off</t>
  </si>
  <si>
    <t>MAT credit entitlement utilised during the year</t>
  </si>
  <si>
    <t>Net deferred income tax asset at the end</t>
  </si>
  <si>
    <t>Other non current assets</t>
  </si>
  <si>
    <t>Secured, considered good</t>
  </si>
  <si>
    <t>Prepaid expenses</t>
  </si>
  <si>
    <t>This is non current portion of prepaid rent. Reduction in balance due to reclass of rent due for period from Apr 18 to Mar 19 as non current as on Mar 17 to current as on Mar 18.</t>
  </si>
  <si>
    <t>Received refund of Rs.549700/- pertaining to April to June 13 quarter in the month of June 2017. Input credit used amounting to Rs.78090/- during the year towards manpower supply, bond money, transport and notice pay recovery. Addition input credit amounting to Rs. 3605/- accounted on BSR invoice relating to income tax advisory. Also Rs.5071372/- paid as tax under dispute in respect of appeal filed by SSIPL against show cause notice received from service tax department.</t>
  </si>
  <si>
    <t>Capital advances</t>
  </si>
  <si>
    <t>Lease equalisation</t>
  </si>
  <si>
    <t>Less: Provision for doubtful advances</t>
  </si>
  <si>
    <t>Income tax receivable {net of Income tax provision Rs. 242,720 ( 31 March 2016 - Rs. 225,870)( 31 March 2015 - Rs. 163,330)}</t>
  </si>
  <si>
    <t>Current investments</t>
  </si>
  <si>
    <t>Trade receivables from related parties</t>
  </si>
  <si>
    <t>Outstanding for a period exceeding six months from the date they become due date for payment</t>
  </si>
  <si>
    <t>- Unsecured, considered good</t>
  </si>
  <si>
    <t>- Unsecured, considered doubtful</t>
  </si>
  <si>
    <t>Less: Provision for doubtful debts</t>
  </si>
  <si>
    <t>Less: Provision for doubtful receivables</t>
  </si>
  <si>
    <t>Due from companies in which Director/s of the Company is/are director/s</t>
  </si>
  <si>
    <t>State Street Syntel Services Private Limited, India</t>
  </si>
  <si>
    <t>Cheques/Draft on hand</t>
  </si>
  <si>
    <t>Remittance in Transit</t>
  </si>
  <si>
    <t>Cash on hand</t>
  </si>
  <si>
    <t xml:space="preserve">Term deposits with original maturity more than three months but less than twelve months from reporting date </t>
  </si>
  <si>
    <t>Current financial assets - Loans</t>
  </si>
  <si>
    <t>Loan to employees</t>
  </si>
  <si>
    <t>Capital advance for fixed assets</t>
  </si>
  <si>
    <t>Doubtful</t>
  </si>
  <si>
    <t>Less: Provision for doubtful other deposit</t>
  </si>
  <si>
    <t>Unbilled revenue</t>
  </si>
  <si>
    <t>Insurance deposits</t>
  </si>
  <si>
    <t>Advance to employees</t>
  </si>
  <si>
    <t>Interest accrued but not due on deposits</t>
  </si>
  <si>
    <t>Syntel Consulting Inc, USA</t>
  </si>
  <si>
    <t>Advance to vendors</t>
  </si>
  <si>
    <t>Indirect tax recoverable</t>
  </si>
  <si>
    <t>Apr to Jun 16 refund Rs.576326 received, Apr to June 13 refund received Rs.223390, Oct to Dec 2017 refund received Rs.347526/-, additional input credit accounted during the year Rs.266927/-</t>
  </si>
  <si>
    <t>Early payment discount</t>
  </si>
  <si>
    <t>Other advances</t>
  </si>
  <si>
    <t>Fair value of intercompany lease deposit</t>
  </si>
  <si>
    <t>Less : Provision for doubtful advances</t>
  </si>
  <si>
    <r>
      <t xml:space="preserve">Notes to the financial statements </t>
    </r>
    <r>
      <rPr>
        <b/>
        <i/>
        <sz val="14"/>
        <color theme="1"/>
        <rFont val="Times New Roman"/>
        <family val="1"/>
      </rPr>
      <t>(Continued)</t>
    </r>
  </si>
  <si>
    <r>
      <t xml:space="preserve">Investments </t>
    </r>
    <r>
      <rPr>
        <b/>
        <i/>
        <sz val="13"/>
        <color theme="1"/>
        <rFont val="Times New Roman"/>
        <family val="1"/>
      </rPr>
      <t>(Continued)</t>
    </r>
  </si>
  <si>
    <t>Investment in mutual funds (carried at fair value through profit and loss)</t>
  </si>
  <si>
    <t>Mutual fund scheme</t>
  </si>
  <si>
    <t>Value</t>
  </si>
  <si>
    <t>Aggregate value of unquoted investments</t>
  </si>
  <si>
    <t>Fair value hierarchy</t>
  </si>
  <si>
    <t>The following table provides the fair value measurement hierarchy of the Company’s assets and liabilities.</t>
  </si>
  <si>
    <t>Quantitative disclosures fair value measurement hierarchy for assets as at 31 March 2016:</t>
  </si>
  <si>
    <t>Date of valuation</t>
  </si>
  <si>
    <t>Fair value measurement using</t>
  </si>
  <si>
    <t xml:space="preserve">Quoted prices in active markets
(Level 1)
</t>
  </si>
  <si>
    <t xml:space="preserve">Significant observable inputs
(Level 2)
</t>
  </si>
  <si>
    <t xml:space="preserve">Significant unobservable inputs
(Level 3)
</t>
  </si>
  <si>
    <t>Assets measured at fair value:</t>
  </si>
  <si>
    <t>Authorised</t>
  </si>
  <si>
    <t>Issued, subscribed and fully paid up</t>
  </si>
  <si>
    <t>Reconciliation of shares outstanding at the beginning and at the end of the reporting year</t>
  </si>
  <si>
    <t>Amount</t>
  </si>
  <si>
    <t>Change during the year</t>
  </si>
  <si>
    <t>Closing balance of equity shares</t>
  </si>
  <si>
    <t>Rights, preferences and restrictions attached to equity shares</t>
  </si>
  <si>
    <t>Class of Preference shares</t>
  </si>
  <si>
    <t>Number of shares allotted</t>
  </si>
  <si>
    <t>Face value (Rs)</t>
  </si>
  <si>
    <t>Issue price (Rs)</t>
  </si>
  <si>
    <t>Redemption price (Rs)</t>
  </si>
  <si>
    <t>Period of redemption of preference shares</t>
  </si>
  <si>
    <t>3% Cumulative redeemable preference shares</t>
  </si>
  <si>
    <t>11 May 2018 to 18 December 2018</t>
  </si>
  <si>
    <t>Other financial liabilities non-current</t>
  </si>
  <si>
    <t>Security deposit received</t>
  </si>
  <si>
    <t>Preference shares non current portion</t>
  </si>
  <si>
    <t>Capital creditors</t>
  </si>
  <si>
    <t>Advance received from customer</t>
  </si>
  <si>
    <t>Deferred lease equalisation</t>
  </si>
  <si>
    <t>Dues to related parties</t>
  </si>
  <si>
    <t>Under the Micro, Small and Medium Enterprises Development Act, 2006 ("MSMED") which came into force from 2 October 2006, certain disclosures are required to be made relating to micro and small suppliers.</t>
  </si>
  <si>
    <t>On the basis of the information and records available with the management, the following disclosures are made for the amounts due to the micro and small suppliers, who have registered with the competent authorities:</t>
  </si>
  <si>
    <t>The amounts remaining unpaid to micro and small suppliers as at the end of the year</t>
  </si>
  <si>
    <t>- Principal</t>
  </si>
  <si>
    <t>- Interest</t>
  </si>
  <si>
    <t>--</t>
  </si>
  <si>
    <t>The amount of interest paid by the buyer as per MSMED Act, 2006</t>
  </si>
  <si>
    <t>The amounts of the payments made to micro and small suppliers beyond the appointed day</t>
  </si>
  <si>
    <t>The amount of interest due and payable for the period of delay in making payment (which have been  paid but  beyond the appointed day during the year) but without adding the 'interest specified under MSMED Act, 2006</t>
  </si>
  <si>
    <t xml:space="preserve"> </t>
  </si>
  <si>
    <t>The amount of interest accrued and remaining unpaid at the end of each accounting year</t>
  </si>
  <si>
    <t>The amount of further interest remaining due and payable even in the succeeding years, until such date when the interest dues as above are actually paid to the small enterprise for the purpose of disallowance as a deductible expenditure under the MSMED Act, 2006</t>
  </si>
  <si>
    <t>Accrued compensation to employees</t>
  </si>
  <si>
    <t>Creditors for capital goods</t>
  </si>
  <si>
    <t>Rental Deposit payable</t>
  </si>
  <si>
    <t>Security Deposit payable</t>
  </si>
  <si>
    <t>Other payables</t>
  </si>
  <si>
    <t>Preference shares current portion</t>
  </si>
  <si>
    <t>Provision for taxation {net of advance tax Rs.Nil (31 March 2016 Rs. 14,226) (31 March 2015 Rs.59,804)}</t>
  </si>
  <si>
    <t>Rental income</t>
  </si>
  <si>
    <t>Profit on sale of mutual fund units</t>
  </si>
  <si>
    <t>Unrealised gain on mutual fund units</t>
  </si>
  <si>
    <t>Interest income under effective interest method on security deposit</t>
  </si>
  <si>
    <t>Employee stock compensation expense</t>
  </si>
  <si>
    <t>Foreign living expense</t>
  </si>
  <si>
    <t>Employment tax</t>
  </si>
  <si>
    <t>Foreign travel expense</t>
  </si>
  <si>
    <t>Visa expenses</t>
  </si>
  <si>
    <t>Insurance expense</t>
  </si>
  <si>
    <t>Marketing fees</t>
  </si>
  <si>
    <t>Rent</t>
  </si>
  <si>
    <t xml:space="preserve">     Computer Equipments</t>
  </si>
  <si>
    <t xml:space="preserve">     Others</t>
  </si>
  <si>
    <t xml:space="preserve">Travel and conveyance </t>
  </si>
  <si>
    <t>Communication expenses</t>
  </si>
  <si>
    <t>Rates and taxes</t>
  </si>
  <si>
    <t>Printing and stationery</t>
  </si>
  <si>
    <t>Loss on sale of fixed assets (net)</t>
  </si>
  <si>
    <t>Loss on exchange fluctuations</t>
  </si>
  <si>
    <t>(Gain) / Loss on Exchange Fluctuations (net)</t>
  </si>
  <si>
    <t>Security charges</t>
  </si>
  <si>
    <t>* Miscellaneous expenses include interest cost on finance lease obligation of Rs. 1 and Rs. 2 respectively for the year ended 31 March 2016 and 31 March 2015 respectively.</t>
  </si>
  <si>
    <t>Finance charges</t>
  </si>
  <si>
    <t>Interest expense on financial liabilities measured at amortized cost</t>
  </si>
  <si>
    <t xml:space="preserve">     Dividend distribution tax</t>
  </si>
  <si>
    <t>Statutory audit fees</t>
  </si>
  <si>
    <t>Taxation services</t>
  </si>
  <si>
    <t>Other services</t>
  </si>
  <si>
    <t>Amount spent during the year</t>
  </si>
  <si>
    <t>In cash</t>
  </si>
  <si>
    <t>Yet to be paid in cash</t>
  </si>
  <si>
    <t>(i) Construction/acquisition of any asset</t>
  </si>
  <si>
    <t>(ii) On purposes other than (i) above</t>
  </si>
  <si>
    <t>Contingent liabilities and commitments</t>
  </si>
  <si>
    <t>Contingent liabilities</t>
  </si>
  <si>
    <t>Income tax demand including interest and penalty in respect of earlier years under dispute</t>
  </si>
  <si>
    <t xml:space="preserve">Service tax demand including interest and penalty in respect of earlier years under dispute. </t>
  </si>
  <si>
    <t>The Company’s software development center/unit enjoys favorable tax provisions due to their registration as the unit is located in Special Economic Zone (SEZ). Income from operation from a business unit located at SEZ is eligible for 100% tax exemption from payment of corporate income taxes for first five years begining from assessment year 2012-13 and 50% exemption for the next five years begining from assessment year 2017-18 and further five years subject to fulfillment of re-investment conditions.</t>
  </si>
  <si>
    <t>Provision for tax expense consists of the following:</t>
  </si>
  <si>
    <t xml:space="preserve">   Changes in tax provision related to prior years</t>
  </si>
  <si>
    <t xml:space="preserve">   Attributable to - </t>
  </si>
  <si>
    <t xml:space="preserve">   Origination and reversal of temporary differences</t>
  </si>
  <si>
    <t xml:space="preserve">   Carry forward of unused MAT credits</t>
  </si>
  <si>
    <t>Provision for income tax has been computed on the higher of the basis of Minimum Alternate Tax in accordance with Sec 115JB of the Income Tax Act,1961 and under the normal provisions of the Income Tax Act, 1961.</t>
  </si>
  <si>
    <t>A reconciliation between the provisions for income taxes to the amount computed by applying the weighted average enacted income tax rate to income before provision for income taxes is summarized below:</t>
  </si>
  <si>
    <t>Description</t>
  </si>
  <si>
    <t>Weighted average enacted tax rates in India</t>
  </si>
  <si>
    <t>Change in tax rate from 33.99% to 34.61%</t>
  </si>
  <si>
    <t>Impact arising from submission of returns</t>
  </si>
  <si>
    <t>Income tax assets (net) - Non current</t>
  </si>
  <si>
    <t>Income tax assets (net)-current</t>
  </si>
  <si>
    <t>Income tax liability (net)</t>
  </si>
  <si>
    <t>Income tax assets</t>
  </si>
  <si>
    <t>Income tax recognised in Other Comphrensive Income</t>
  </si>
  <si>
    <t>Before Tax</t>
  </si>
  <si>
    <t>Net of Tax</t>
  </si>
  <si>
    <t xml:space="preserve">Discount rate </t>
  </si>
  <si>
    <t>Long–term rate of compensation increase</t>
  </si>
  <si>
    <t xml:space="preserve">In accordance with the payment of gratuity under 'Payment of Gratuity Act, 1972' of India, the Company provides for gratuity, a defined retirement benefit plan covering eligible employees. Liabilities with regard to such gratuity are determined by actuarial valuation using the Projected Unit Credit method as at the Balance sheet date and are charged to the Statement of profit and loss in the period determined. </t>
  </si>
  <si>
    <t>Funding</t>
  </si>
  <si>
    <t>Reconciliation of the net defined benefit obligation</t>
  </si>
  <si>
    <t>Projected benefit obligation at the beginning of the year</t>
  </si>
  <si>
    <t xml:space="preserve">Current service cost </t>
  </si>
  <si>
    <t xml:space="preserve">Interest cost </t>
  </si>
  <si>
    <t>Past service cost</t>
  </si>
  <si>
    <t>Actuarial losses / (gain) recognized in other comprehensive income</t>
  </si>
  <si>
    <t>Liabilities assumed on transfer of employees from/to group companies</t>
  </si>
  <si>
    <t xml:space="preserve">Benefits paid </t>
  </si>
  <si>
    <t>Projected benefit obligation at the end of the year</t>
  </si>
  <si>
    <t>Amounts recognised in the Balance sheet</t>
  </si>
  <si>
    <t>Fair value of plan assets at end of the year</t>
  </si>
  <si>
    <t>Liability recognised in the Balance sheet</t>
  </si>
  <si>
    <t>Expenses recognised in profit and loss</t>
  </si>
  <si>
    <t>Gratuity cost for the year</t>
  </si>
  <si>
    <t>Current service cost</t>
  </si>
  <si>
    <t>Interest cost</t>
  </si>
  <si>
    <t>Net actuarial (gain)/loss recognised in the year</t>
  </si>
  <si>
    <t>Remeasurements recognised in other comprehensive income</t>
  </si>
  <si>
    <t>Return on plan assets excluding interest income</t>
  </si>
  <si>
    <t>Maturity profile of defined benefit obligation</t>
  </si>
  <si>
    <t>Within 1 year</t>
  </si>
  <si>
    <t>1-2 year</t>
  </si>
  <si>
    <t>2-3 year</t>
  </si>
  <si>
    <t>3-4 year</t>
  </si>
  <si>
    <t>4-5 year</t>
  </si>
  <si>
    <t>5 and above</t>
  </si>
  <si>
    <t>Actuarial assumption</t>
  </si>
  <si>
    <t xml:space="preserve">Principal actuarial assumption at the reporting date </t>
  </si>
  <si>
    <t>Assumptions</t>
  </si>
  <si>
    <t>Salary escalation rate (p.a.)</t>
  </si>
  <si>
    <t>2012-13</t>
  </si>
  <si>
    <t>2013-14</t>
  </si>
  <si>
    <t>2014-15</t>
  </si>
  <si>
    <t>Segment reporting</t>
  </si>
  <si>
    <t>The Company recognizes primary segment based on the industry it operates in, which is predominantly in the Healthcare and Life Science sector. The services provided include information technology to its customers in these industry.</t>
  </si>
  <si>
    <t>Substantial portion of the Company's long lived assets are located in India.</t>
  </si>
  <si>
    <t>Since the Company operates in only one segment, disclosure relating to the segment is not applicable and accordingly not made.</t>
  </si>
  <si>
    <t>Geographic segments</t>
  </si>
  <si>
    <t>Revenue (by location of customers)</t>
  </si>
  <si>
    <t>United States of America</t>
  </si>
  <si>
    <t>United Kingdom</t>
  </si>
  <si>
    <t>Canada</t>
  </si>
  <si>
    <t>India</t>
  </si>
  <si>
    <t>Rest of the world</t>
  </si>
  <si>
    <t>Segment total</t>
  </si>
  <si>
    <t>Syntel Private Limited</t>
  </si>
  <si>
    <t>Syntel Inc.</t>
  </si>
  <si>
    <t>Assets (by location)</t>
  </si>
  <si>
    <t>Segment assets</t>
  </si>
  <si>
    <t>Unallocable assets</t>
  </si>
  <si>
    <t>Total assets</t>
  </si>
  <si>
    <t>Segment capital expenditure</t>
  </si>
  <si>
    <t>Relationship</t>
  </si>
  <si>
    <t>Syntel Solutions (Mauritius) Limited, Mauritius</t>
  </si>
  <si>
    <t>Syntel Private Limited, India</t>
  </si>
  <si>
    <t>Syntel International Private Limited, India</t>
  </si>
  <si>
    <t>Syntel Consulting Inc., USA</t>
  </si>
  <si>
    <t xml:space="preserve">Syntel Europe Limited, UK </t>
  </si>
  <si>
    <t>Anil Agrawal (Director)</t>
  </si>
  <si>
    <t>Transaction with related parties during the year</t>
  </si>
  <si>
    <t>Serivce rendered</t>
  </si>
  <si>
    <t>Sale of services</t>
  </si>
  <si>
    <t>Service hired</t>
  </si>
  <si>
    <t>Purchase of services</t>
  </si>
  <si>
    <t>Rent expenses</t>
  </si>
  <si>
    <t>Reimbursement of cost</t>
  </si>
  <si>
    <t>Sharing/recovery of costs</t>
  </si>
  <si>
    <t>Sharing/payment of costs</t>
  </si>
  <si>
    <t>Employee stock compensation recovery</t>
  </si>
  <si>
    <t>Managerial remuneration</t>
  </si>
  <si>
    <t>Dividend received</t>
  </si>
  <si>
    <t xml:space="preserve">Receipt from redemption of preference shares </t>
  </si>
  <si>
    <t xml:space="preserve">Purchase of fixed assets </t>
  </si>
  <si>
    <t xml:space="preserve">Sale of fixed assets </t>
  </si>
  <si>
    <t>Lease deposit refund received</t>
  </si>
  <si>
    <t>Dividend paid on preference shares</t>
  </si>
  <si>
    <t>Dividend paid on equity shares</t>
  </si>
  <si>
    <t>Common customers collection by</t>
  </si>
  <si>
    <t>Balance with related parties</t>
  </si>
  <si>
    <t>Advances</t>
  </si>
  <si>
    <t>Rent deposit receivable</t>
  </si>
  <si>
    <t>Rent deposit payable</t>
  </si>
  <si>
    <t>Payment of US advance tax</t>
  </si>
  <si>
    <t>Investment made in preference share</t>
  </si>
  <si>
    <t>Common customers collection on behalf of</t>
  </si>
  <si>
    <t>Out of the above, transactions/balances with related parties in excess of 10% of total related party transactions/balances are as under:</t>
  </si>
  <si>
    <t>Syntel Consulting Inc.</t>
  </si>
  <si>
    <t>Lease deposit repaid</t>
  </si>
  <si>
    <t>Dividend pain on equity shares</t>
  </si>
  <si>
    <t>Investment in Preference shares</t>
  </si>
  <si>
    <t>Weighted average number of equity shares outstanding during the year</t>
  </si>
  <si>
    <t>* Since the Company does not have any dilutive securities, the basic and diluted EPS are the same.</t>
  </si>
  <si>
    <t>Lease rentals expenses for the year</t>
  </si>
  <si>
    <t>Future obligations:</t>
  </si>
  <si>
    <t xml:space="preserve">  Not later than one year</t>
  </si>
  <si>
    <t xml:space="preserve">  Later than one year and not later than five years</t>
  </si>
  <si>
    <t>Unhedged foreign currency exposures</t>
  </si>
  <si>
    <t>Foreign currency exposures which are not hedged by derivative instruments or otherwise are as follows:</t>
  </si>
  <si>
    <t>Amount in Original Currency</t>
  </si>
  <si>
    <t xml:space="preserve">Amount </t>
  </si>
  <si>
    <t xml:space="preserve">          Amount in Original Currency</t>
  </si>
  <si>
    <t>Trade receivable</t>
  </si>
  <si>
    <t>USD</t>
  </si>
  <si>
    <t>CAD</t>
  </si>
  <si>
    <t>GBP</t>
  </si>
  <si>
    <t>EUR</t>
  </si>
  <si>
    <t>Trade payable</t>
  </si>
  <si>
    <t>PHP</t>
  </si>
  <si>
    <t>SGD</t>
  </si>
  <si>
    <t>AUD</t>
  </si>
  <si>
    <t>*</t>
  </si>
  <si>
    <t>CHF</t>
  </si>
  <si>
    <t>Earnings in foreign exchange</t>
  </si>
  <si>
    <t>Exports revenue</t>
  </si>
  <si>
    <t>Interest on deposits</t>
  </si>
  <si>
    <t>Expenditure in foreign currency (on accrual basis)</t>
  </si>
  <si>
    <t>Cash processing charges</t>
  </si>
  <si>
    <t>Financial Instruments - Accounting Classifications and Fair Value Measurements</t>
  </si>
  <si>
    <t>The fair values of the financial assets and liabilities are included at the amount at which the instrument could be exchanged in a current transaction between willing parties, other than in a forced liquidation sale.</t>
  </si>
  <si>
    <t>The following methods and assumptions were used to estimate the fair values:</t>
  </si>
  <si>
    <t>Fair value of cash and cash equivalent, bank balances other than cash and cash equivalent, trade receivables, trade payables, other current financial liabilities approximate their carrying amounts largely due to the short-term maturities of these instruments.</t>
  </si>
  <si>
    <t>The Company uses the following hierarchy for determining and disclosing the fair value of financial instruments by valuation technique:
Level 1: quoted (unadjusted) prices in active markets for identical assets or liabilities
Level 2: other techniques for which all inputs which have a significant effect on the recorded fair value are observable, either directly or indirectly.
Level 3: techniques which use inputs that have a significant effect on the recorded fair value that are not based on observable market data.</t>
  </si>
  <si>
    <t>Carrying amount</t>
  </si>
  <si>
    <t>Fair Value</t>
  </si>
  <si>
    <t>Level 1</t>
  </si>
  <si>
    <t>Level 2</t>
  </si>
  <si>
    <t>Level 3</t>
  </si>
  <si>
    <t>Financial assets at amortised costs:</t>
  </si>
  <si>
    <t>Other financial assets current</t>
  </si>
  <si>
    <t>Financial assets at fair value through profit or loss:</t>
  </si>
  <si>
    <t>Investments (Current)</t>
  </si>
  <si>
    <t>Financial liabilities at amortised cost:</t>
  </si>
  <si>
    <t>Other financial liabilities (current)</t>
  </si>
  <si>
    <t>As at</t>
  </si>
  <si>
    <t>As at 31 March 2017</t>
  </si>
  <si>
    <t>Financial risk management objectives and policies</t>
  </si>
  <si>
    <t>Market risk</t>
  </si>
  <si>
    <t xml:space="preserve">Market risk is the risk of loss of future earnings, fair values or future cash flows that may result from a change in the price of a financial instrument. The value of a financial instrument may change as a result of changes in the interest rates, foreign currency exchange rates, equity prices and other maarket changes that affect market risk sensitive instruments. Market risk is attributable to all market risk sensitive financial instruments including investments and deposits, foreign currency receivables and payables. </t>
  </si>
  <si>
    <t>Foreign currency risk</t>
  </si>
  <si>
    <t>The Company operates internationally and portion of the business is transacted in several currencies and consequently the Company is exposed to foreign exchange risk through its services in overseas in various foreign currencies, mainly in US dollar currency.</t>
  </si>
  <si>
    <t>Foreign currency sensitivity</t>
  </si>
  <si>
    <t>1% increase or decrease in foreign exchange rates will have the following impact on profit before tax.</t>
  </si>
  <si>
    <t>1% Increase</t>
  </si>
  <si>
    <t>1% Decrease</t>
  </si>
  <si>
    <t>Increase/(decrease) in profit and loss</t>
  </si>
  <si>
    <t>Credit risk</t>
  </si>
  <si>
    <t xml:space="preserve">i) Actual or expected significant adverse changes in business,
ii) Actual or expected significant changes in the operating results of the counterparty,
ii) Financial or economic conditions that are expected to cause a significant change to the counterparty's ability to meet its obligations,and
iv) Significant increases in credit risk on other financial instruments of the same counterparty,
</t>
  </si>
  <si>
    <t xml:space="preserve">Financial assets are written off when there is no reasonable expectation of recovery, such as a debtor failing to engage in a repayment plan with the Company. Where receivables have been written off, the Company continues to engage in enforcement activity to attempt to recover the receivable due. Where recoveries are made, these are recognised in the statement of profit or loss. However, in the current year this risk is not significant due to transactions done with group companies. </t>
  </si>
  <si>
    <t>Liquidity risk</t>
  </si>
  <si>
    <t>Liquidity risk is defined as the risk that the Company will not be able to settle or meet its obligations on time. The Company's treasury department is responsible for liquidity, funding as well as settlement management. In addition, processes and policies related to such risks are overseen by senior management. Management monitors the Company's net liquidity position through rolling forecast on the basis of expected cash flows.</t>
  </si>
  <si>
    <t>The table below provides details regarding the remaining contractual maturities of financial liabilities at the reporting date based on contractual undiscounted payments.</t>
  </si>
  <si>
    <t>Less than 1 year</t>
  </si>
  <si>
    <t>More than 1 year</t>
  </si>
  <si>
    <t>Capital management</t>
  </si>
  <si>
    <t>For the purpose of the Company’s capital management, capital includes issued equity capital and all other equity reserves attributable to the equity holders of the Company. The primary objective of the Company’s capital management is to maximise the shareholder value.</t>
  </si>
  <si>
    <t>The Company manages its funds in a manner that it achieve maximum returns (net of taxes) with minimum risk to the capital and consider the liquidity concerns for its working capital requirements.</t>
  </si>
  <si>
    <t>Debt</t>
  </si>
  <si>
    <t>* Ratio is high as on 31 March 2017 on account of payment of equity dividend and DDT thereon amounting to Rs.904,512. If dividend payment is excluded, then ratio is 0.17. The company is monitoring the same on a monthly basis.</t>
  </si>
  <si>
    <t>Since the Company has no loan and borrowings, the disclosure requirement related to capital management defined in clause 135 (a) (ii), and (b) to (e) to the Ind AS 1 “Presentation of Financial Statements” are not applicable to the Company.</t>
  </si>
  <si>
    <t>Other information</t>
  </si>
  <si>
    <t xml:space="preserve">Partner                                         </t>
  </si>
  <si>
    <t>Ind AS account codes</t>
  </si>
  <si>
    <t>GL Code</t>
  </si>
  <si>
    <t>Account description</t>
  </si>
  <si>
    <t>Current</t>
  </si>
  <si>
    <t>Non Current</t>
  </si>
  <si>
    <t>Difference</t>
  </si>
  <si>
    <t>Nature of</t>
  </si>
  <si>
    <t>Remarks</t>
  </si>
  <si>
    <t>Balance</t>
  </si>
  <si>
    <t>BS Gr_Current</t>
  </si>
  <si>
    <t>BS Gr_Non Current</t>
  </si>
  <si>
    <t>Main Head</t>
  </si>
  <si>
    <t>Cur</t>
  </si>
  <si>
    <t>Current Assets</t>
  </si>
  <si>
    <t>Financial Assets</t>
  </si>
  <si>
    <t>Union KBC MF</t>
  </si>
  <si>
    <t>Investments in Mutual Fund</t>
  </si>
  <si>
    <t>Cur/Ncur</t>
  </si>
  <si>
    <t>Non current investments</t>
  </si>
  <si>
    <t>Current/Non current assets</t>
  </si>
  <si>
    <t>Less : Share Application Money</t>
  </si>
  <si>
    <t>Ncur</t>
  </si>
  <si>
    <t>Goodwill</t>
  </si>
  <si>
    <t>Accounts receivable</t>
  </si>
  <si>
    <t>Advance received from customers</t>
  </si>
  <si>
    <t>Provision for Doubtful Debtors</t>
  </si>
  <si>
    <t>Summary for Sundry Debtors</t>
  </si>
  <si>
    <t>More than six months considered good</t>
  </si>
  <si>
    <t>More than six months considered doubtful</t>
  </si>
  <si>
    <t>Upto six months considered good</t>
  </si>
  <si>
    <t>Upto six months considered doubtful</t>
  </si>
  <si>
    <t>Provision for doubtful debts more than six months</t>
  </si>
  <si>
    <t>Provision for doubtful debts upto six months</t>
  </si>
  <si>
    <t>Cash and bank balances</t>
  </si>
  <si>
    <t>Kotak Mahindra Bank-USD FCY</t>
  </si>
  <si>
    <t>Balance in Current Account</t>
  </si>
  <si>
    <t>Bank balances other than cash and cash equivalents</t>
  </si>
  <si>
    <t>Allahabad Bank FD A/c</t>
  </si>
  <si>
    <t>Yes Bank  Limited – FD  A/c</t>
  </si>
  <si>
    <t>Balance in Term Deposits</t>
  </si>
  <si>
    <t>Bank of India - USD TDR</t>
  </si>
  <si>
    <t>Corporation Bank - INR TDR</t>
  </si>
  <si>
    <t>Punjab National Bank - USD TDR</t>
  </si>
  <si>
    <t>Balance of TDR in Cash &amp; Cash Equil &lt; 3 Months</t>
  </si>
  <si>
    <t>Short term loans and advances</t>
  </si>
  <si>
    <t>Long term loans and advances</t>
  </si>
  <si>
    <t>Loans to employees</t>
  </si>
  <si>
    <t>Non Financial Assets</t>
  </si>
  <si>
    <t>Prepaid Expenses</t>
  </si>
  <si>
    <t>Provisions - Doubtful Advances</t>
  </si>
  <si>
    <t>Advance to related parties</t>
  </si>
  <si>
    <t>Non Financial Liability</t>
  </si>
  <si>
    <t>Other advances and receivables</t>
  </si>
  <si>
    <t>Current liability</t>
  </si>
  <si>
    <t>Financial Liabilities</t>
  </si>
  <si>
    <t>Provision for Doubtful Advances</t>
  </si>
  <si>
    <t>Deposits insurance</t>
  </si>
  <si>
    <t>Provision for Doubtful Deposits</t>
  </si>
  <si>
    <t>This is Ind AS account code</t>
  </si>
  <si>
    <t>Lease Rental Deposits</t>
  </si>
  <si>
    <t>Interest accrued</t>
  </si>
  <si>
    <t>Other Current assets</t>
  </si>
  <si>
    <t>Security Deposits with Government and public bodies</t>
  </si>
  <si>
    <t>Regrouping</t>
  </si>
  <si>
    <t>Advance Income Taxes</t>
  </si>
  <si>
    <t xml:space="preserve">   Tangible assets</t>
  </si>
  <si>
    <t>Non Current Assets</t>
  </si>
  <si>
    <t>Property, Plant and Equipment</t>
  </si>
  <si>
    <t>Automobile-Emp Vehicle Policy</t>
  </si>
  <si>
    <t>Property, Plant &amp; Equipment</t>
  </si>
  <si>
    <t>Accumulated Depreciation-PPE</t>
  </si>
  <si>
    <t xml:space="preserve">   Intangible assets</t>
  </si>
  <si>
    <t>Intangible assets other than goodwill</t>
  </si>
  <si>
    <t>Accumulated Depreciation - Intangible assets</t>
  </si>
  <si>
    <t xml:space="preserve">   Capital work-in-progress</t>
  </si>
  <si>
    <t>Capital work in progress and Capital advances</t>
  </si>
  <si>
    <t>Capital Advance</t>
  </si>
  <si>
    <t>Sundry Creditors</t>
  </si>
  <si>
    <t>Account Payable for Capital Exp Vendors</t>
  </si>
  <si>
    <t>Other long term liabilities</t>
  </si>
  <si>
    <t>Vendor balance - Revaluation for Capital Vendors</t>
  </si>
  <si>
    <t>Capital Creditors</t>
  </si>
  <si>
    <t>Short term provisions</t>
  </si>
  <si>
    <t>Long term provisions</t>
  </si>
  <si>
    <t>Provision for unutilized leaves and gratuity</t>
  </si>
  <si>
    <t>Current/Non current liability</t>
  </si>
  <si>
    <t>Unearned Revenue and deferred lease equalisation</t>
  </si>
  <si>
    <t xml:space="preserve">Tax deducted at source payable </t>
  </si>
  <si>
    <t>Employees Providend fund, ESIC and others</t>
  </si>
  <si>
    <t>US payroll taxes</t>
  </si>
  <si>
    <t>Others Statutory due payable</t>
  </si>
  <si>
    <t>Current Liability</t>
  </si>
  <si>
    <t>Long term borrowings</t>
  </si>
  <si>
    <t>Other Liabilities</t>
  </si>
  <si>
    <t>Adv from Customers - Inter Co</t>
  </si>
  <si>
    <t>Advance from customers</t>
  </si>
  <si>
    <t>Income tax liabilities</t>
  </si>
  <si>
    <t>Accrued Income Taxes</t>
  </si>
  <si>
    <t>Current Liabilities</t>
  </si>
  <si>
    <t>Accumulated Warranty reserves</t>
  </si>
  <si>
    <t>Dividend Distribtion</t>
  </si>
  <si>
    <t>Dividends payable</t>
  </si>
  <si>
    <t>Payable to Affiliates</t>
  </si>
  <si>
    <t>Min Alt Tax Credit entitlement</t>
  </si>
  <si>
    <t>Long Term Liabilities</t>
  </si>
  <si>
    <t>Share capital</t>
  </si>
  <si>
    <t>Equity Share capital</t>
  </si>
  <si>
    <t xml:space="preserve">Other Equity </t>
  </si>
  <si>
    <t>Share Capital</t>
  </si>
  <si>
    <t>Reserves and surplus</t>
  </si>
  <si>
    <t>Profit and Loss account for the current period</t>
  </si>
  <si>
    <t/>
  </si>
  <si>
    <t>Control Check for Balance sheet Sync</t>
  </si>
  <si>
    <t>Diff March 2017</t>
  </si>
  <si>
    <t>Diff March 2016</t>
  </si>
  <si>
    <t xml:space="preserve">Financial Assets </t>
  </si>
  <si>
    <t>LIABILITIES</t>
  </si>
  <si>
    <t>Non Currents assets</t>
  </si>
  <si>
    <t>Capital working in progress</t>
  </si>
  <si>
    <t>Investment in 3% Cumulative Redeemable Preference shares</t>
  </si>
  <si>
    <t>-Syntel International Private Limited</t>
  </si>
  <si>
    <t>93,900 (2016 - 54,200) shares of Rs.10 each fully paid-up</t>
  </si>
  <si>
    <t>-Trizetto Syntel Services (India) Private Limited</t>
  </si>
  <si>
    <t>11,200 (2016 - 11,200) shares of Rs. 10 each fully paid-up</t>
  </si>
  <si>
    <t>-Syntel Global Private Limited</t>
  </si>
  <si>
    <t>Nil (2016 - Nil)  shares of Rs. 10 each fully paid-up</t>
  </si>
  <si>
    <t>0% Cumulative Redeemable Preference shares</t>
  </si>
  <si>
    <t>284,777 (2016 - 437,301) shares of Rs.10 each fully paid-up</t>
  </si>
  <si>
    <t>Rental deposits</t>
  </si>
  <si>
    <t>to parties other than related parties</t>
  </si>
  <si>
    <t>to related parties</t>
  </si>
  <si>
    <t>MAT Credit entitlement</t>
  </si>
  <si>
    <t>Capital Advance for fixed assets</t>
  </si>
  <si>
    <t>Less: Provision for doubtful capital advances</t>
  </si>
  <si>
    <t>Other Advances</t>
  </si>
  <si>
    <t>Deferred lease expense</t>
  </si>
  <si>
    <t>Deposits</t>
  </si>
  <si>
    <t>Less: Provision for doubtful advance</t>
  </si>
  <si>
    <t>Advance income tax (net of Income tax provision)</t>
  </si>
  <si>
    <t>Investment in Mutual Funds</t>
  </si>
  <si>
    <t>Nil (2016 - 46,450) shares of Rs. 10 each fully paid-up</t>
  </si>
  <si>
    <t>Nil (2016 - Nil) shares of Rs. 10 each fully paid-up</t>
  </si>
  <si>
    <t>-Outstanding for a period exceeding six months after due date of payment</t>
  </si>
  <si>
    <t xml:space="preserve">   Unsecured, considered good </t>
  </si>
  <si>
    <t>Unsecured considered doubtful</t>
  </si>
  <si>
    <t>Less: Provision for doubtful debtors</t>
  </si>
  <si>
    <t>-Other Debtors</t>
  </si>
  <si>
    <t>Less: Provision for Doubtful debtors</t>
  </si>
  <si>
    <t>Cash on Hand</t>
  </si>
  <si>
    <t>Balance in current accounts</t>
  </si>
  <si>
    <t>Term deposits having  original maturity less than 3 months</t>
  </si>
  <si>
    <t>Term deposits having original maturity more than 3 months</t>
  </si>
  <si>
    <t>Term deposits having original maturity more than one year</t>
  </si>
  <si>
    <t>Advances - related parties</t>
  </si>
  <si>
    <t>Lease Rental deposits - related parties</t>
  </si>
  <si>
    <t>Lease Rental deposits - other</t>
  </si>
  <si>
    <t>Interest Accrued but not due on deposits</t>
  </si>
  <si>
    <t>Fair value changes related to intercompany lease deposit</t>
  </si>
  <si>
    <t>Deferred Cost</t>
  </si>
  <si>
    <t>Doubtful VAT Recoverable</t>
  </si>
  <si>
    <t>Doubtful Advance</t>
  </si>
  <si>
    <t>Doubtful Service Tax Recoverable</t>
  </si>
  <si>
    <t>Less: Provision for doubtful VAT Recoverable</t>
  </si>
  <si>
    <t>Less: Provision for doubtful Service Tax Recoverable</t>
  </si>
  <si>
    <t>(All the above shares are held by the holding company, Syntel Inc. and its nominees)</t>
  </si>
  <si>
    <t>Total Issued, subscribed and fully paid up</t>
  </si>
  <si>
    <t>All the issued and subscribed equity shares are held by Syntel, Inc  the ultimate holiding company of Syntel Limited  and its nominees.</t>
  </si>
  <si>
    <t>Profit and Loss Account</t>
  </si>
  <si>
    <t>Brought forward from previous year</t>
  </si>
  <si>
    <t>Add : Profit for the current year</t>
  </si>
  <si>
    <t>Add: Ind AS transition impact</t>
  </si>
  <si>
    <t>Add : transferred from General Reserve Account</t>
  </si>
  <si>
    <t>Less: Redemption of preference shares</t>
  </si>
  <si>
    <t>Profit Avaliable for Appropriation</t>
  </si>
  <si>
    <t>Appropriations</t>
  </si>
  <si>
    <t>Interim Dividend</t>
  </si>
  <si>
    <t>Tax on Dividend</t>
  </si>
  <si>
    <t>Buy back tax</t>
  </si>
  <si>
    <t>Transfer to Special Economic Zone Re-Investment Allowance Reserve Account</t>
  </si>
  <si>
    <t>Balance Carried Forward to the Balance sheet</t>
  </si>
  <si>
    <t>Balance in Profit and Loss Account</t>
  </si>
  <si>
    <t>General Reserve</t>
  </si>
  <si>
    <t>As at the commencement of the year</t>
  </si>
  <si>
    <t>Add : Transfer from Profit and Loss Account</t>
  </si>
  <si>
    <t>Less : Transfer to profit and loss account</t>
  </si>
  <si>
    <t xml:space="preserve">Closing  Balance </t>
  </si>
  <si>
    <t>Capital Reserve</t>
  </si>
  <si>
    <t>Securities Premium account</t>
  </si>
  <si>
    <t>Less : Transfer to Profit and Loss Account</t>
  </si>
  <si>
    <t>Accumulated and Other Comprehensive Income - Gratuity</t>
  </si>
  <si>
    <t xml:space="preserve">Add: </t>
  </si>
  <si>
    <t>Capital Creditors/Payables</t>
  </si>
  <si>
    <t>Volume Rebate</t>
  </si>
  <si>
    <t>Provision for Gratuity</t>
  </si>
  <si>
    <t>Provision for Leave Encashment</t>
  </si>
  <si>
    <t>Unearned Revenue</t>
  </si>
  <si>
    <t>Trade Payables</t>
  </si>
  <si>
    <t>Dues of micro and small enterprises</t>
  </si>
  <si>
    <t>Dues of other than micro and small enterprises</t>
  </si>
  <si>
    <t>Capital creditors current portion</t>
  </si>
  <si>
    <t>Dividend payable</t>
  </si>
  <si>
    <t>Dividend distribution tax liability</t>
  </si>
  <si>
    <t>Provision for warranties</t>
  </si>
  <si>
    <t>Provision for Income tax liability</t>
  </si>
  <si>
    <t>Sr No.</t>
  </si>
  <si>
    <t>Ac Code</t>
  </si>
  <si>
    <t>Account Description</t>
  </si>
  <si>
    <t>Amount Rs Debit</t>
  </si>
  <si>
    <t>Amount Rs Credit</t>
  </si>
  <si>
    <t>JV No.</t>
  </si>
  <si>
    <t>This column is not to be touched</t>
  </si>
  <si>
    <t>Nature</t>
  </si>
  <si>
    <t>Date of passing the entry</t>
  </si>
  <si>
    <t>Dividends Payable</t>
  </si>
  <si>
    <t>Deferred Income taxes</t>
  </si>
  <si>
    <t>Indian Income taxes</t>
  </si>
  <si>
    <t>PL Grouping</t>
  </si>
  <si>
    <t>Other operating income</t>
  </si>
  <si>
    <t>Other Income - Non Taxable</t>
  </si>
  <si>
    <t>Other Income</t>
  </si>
  <si>
    <t>Employee benefits expenses</t>
  </si>
  <si>
    <t>Salaries</t>
  </si>
  <si>
    <t>Staff welfare</t>
  </si>
  <si>
    <t>Employment tax on Troy payroll</t>
  </si>
  <si>
    <t>Contribution to PF and other funds</t>
  </si>
  <si>
    <t>Operating and other expenses</t>
  </si>
  <si>
    <t xml:space="preserve">Electricity </t>
  </si>
  <si>
    <t>Communication</t>
  </si>
  <si>
    <t>Outside services</t>
  </si>
  <si>
    <t>Amount moved to Auditors Rem</t>
  </si>
  <si>
    <t>Amount moved from Auditors Rem</t>
  </si>
  <si>
    <t>Professional and consultancy fees</t>
  </si>
  <si>
    <t>Repairs and maintenance - Machinery</t>
  </si>
  <si>
    <t>Repairs and maintenance - Others</t>
  </si>
  <si>
    <t>Printing, Stationery &amp; Xerox</t>
  </si>
  <si>
    <t>Foreign Travel expenses</t>
  </si>
  <si>
    <t>Employment Tax</t>
  </si>
  <si>
    <t>Visa Expenses</t>
  </si>
  <si>
    <t>Onsite Insurance expense</t>
  </si>
  <si>
    <t>Other Expenses</t>
  </si>
  <si>
    <t>Local Travel and conveyance</t>
  </si>
  <si>
    <t>Amount moved to Professional fees</t>
  </si>
  <si>
    <t>Amount moved from Professional fees</t>
  </si>
  <si>
    <t>Auditors Remuneration</t>
  </si>
  <si>
    <t>Insurance</t>
  </si>
  <si>
    <t xml:space="preserve">Advertisement </t>
  </si>
  <si>
    <t>Profit/(Loss) on sale of assets</t>
  </si>
  <si>
    <t>Other Operating expenses</t>
  </si>
  <si>
    <t>Exchange Gain / Loss</t>
  </si>
  <si>
    <t xml:space="preserve">Depreciation and amortization </t>
  </si>
  <si>
    <t>Depreciation</t>
  </si>
  <si>
    <t>Tax expense</t>
  </si>
  <si>
    <t>Income Taxes</t>
  </si>
  <si>
    <t>Total revenue</t>
  </si>
  <si>
    <t>Finance costs</t>
  </si>
  <si>
    <t>Profit for the year after tax</t>
  </si>
  <si>
    <t>Revenue</t>
  </si>
  <si>
    <t>Gain(Loss) on Exchange Fluctation</t>
  </si>
  <si>
    <t>Exchange gain(loss) - notional</t>
  </si>
  <si>
    <t>Exchange gain(loss) - actual</t>
  </si>
  <si>
    <t>Exchange gain(loss) - derivatives</t>
  </si>
  <si>
    <t>Interest Income</t>
  </si>
  <si>
    <t>Bank Deposit and income tax refund</t>
  </si>
  <si>
    <t>Dividend Income</t>
  </si>
  <si>
    <t>Preference Shares</t>
  </si>
  <si>
    <t>Net Gain (Loss) on sale of Investments</t>
  </si>
  <si>
    <t>Profit on sale of fixed asset</t>
  </si>
  <si>
    <t>Rent Income</t>
  </si>
  <si>
    <t>Miscellaneous Income</t>
  </si>
  <si>
    <t>Employee benefit expenses</t>
  </si>
  <si>
    <t>Salary, wages and bonus</t>
  </si>
  <si>
    <t xml:space="preserve">Gratuity Expenses </t>
  </si>
  <si>
    <t>Contribution to Provident and other funds</t>
  </si>
  <si>
    <t>Staff Welfare Expenses</t>
  </si>
  <si>
    <t>Finance Costs</t>
  </si>
  <si>
    <t>Bank charges</t>
  </si>
  <si>
    <t>Interest on shortfall of payment of advance tax</t>
  </si>
  <si>
    <t>Interest paid</t>
  </si>
  <si>
    <t>Onsite Employment Tax</t>
  </si>
  <si>
    <t>Billable Outside Consulting</t>
  </si>
  <si>
    <t>Inter-Co. Service charges</t>
  </si>
  <si>
    <t>Other technical expenses</t>
  </si>
  <si>
    <t>Rates and Taxes</t>
  </si>
  <si>
    <t>Communication Expenses</t>
  </si>
  <si>
    <t>Printing and Stationery</t>
  </si>
  <si>
    <t>Power and Fuel</t>
  </si>
  <si>
    <t>Repairs and Maintenance</t>
  </si>
  <si>
    <t xml:space="preserve"> - Machinery</t>
  </si>
  <si>
    <t xml:space="preserve"> - Others</t>
  </si>
  <si>
    <t>Marketing Fees</t>
  </si>
  <si>
    <t>Legal and Professional charges</t>
  </si>
  <si>
    <t>Loss / (gain) on sale of fixed assets (net)</t>
  </si>
  <si>
    <t>(Write back of provision)/Provision of doubtful trade receivable</t>
  </si>
  <si>
    <t>Corporate social responsibility expenditure</t>
  </si>
  <si>
    <t>Support cost from group companies</t>
  </si>
  <si>
    <t>Miscellaneous Expenses</t>
  </si>
  <si>
    <t>Tax Expenses</t>
  </si>
  <si>
    <t>Foreign Tax</t>
  </si>
  <si>
    <t>State Income Taxes</t>
  </si>
  <si>
    <t>Canada - State Income Tax</t>
  </si>
  <si>
    <t>Federal Income Taxes</t>
  </si>
  <si>
    <t>Canada - Federal Income Tax</t>
  </si>
  <si>
    <t>UK Corporation Tax</t>
  </si>
  <si>
    <t>City Corporate Income Tax</t>
  </si>
  <si>
    <t>Foreign Earned Income Tax Prov</t>
  </si>
  <si>
    <t>Less : MAT Credit entitlement</t>
  </si>
  <si>
    <t>Net Indian Income Tax</t>
  </si>
  <si>
    <t>Current Tax</t>
  </si>
  <si>
    <t>Deferred Tax</t>
  </si>
  <si>
    <t>Fringe Benefit Tax</t>
  </si>
  <si>
    <t>Difference in Notes and PL Tab</t>
  </si>
  <si>
    <t>OCI</t>
  </si>
  <si>
    <t>INR</t>
  </si>
  <si>
    <t>Opening Balance</t>
  </si>
  <si>
    <t>Remeasurement of the defined benefit liability Gross</t>
  </si>
  <si>
    <t>Income tax benefit/(expense) related to other comprehensive income</t>
  </si>
  <si>
    <t>Closing balance</t>
  </si>
  <si>
    <t>Particular</t>
  </si>
  <si>
    <t>Check</t>
  </si>
  <si>
    <t>Movement in trade receivables</t>
  </si>
  <si>
    <t>Closing Balance as per financials</t>
  </si>
  <si>
    <t>Unrealised exchange impact related to trade receivable</t>
  </si>
  <si>
    <t>Provision for doubtful debtors (505011)</t>
  </si>
  <si>
    <t>Gross trade receivables</t>
  </si>
  <si>
    <t>Less: Opening Balance</t>
  </si>
  <si>
    <t>Movement in Financial assets - Non-current</t>
  </si>
  <si>
    <t>i</t>
  </si>
  <si>
    <t>Provision for doubtful deposits</t>
  </si>
  <si>
    <t>Gross Deposit</t>
  </si>
  <si>
    <t>ii</t>
  </si>
  <si>
    <t>Gross</t>
  </si>
  <si>
    <t>Less: Ind AS impact</t>
  </si>
  <si>
    <t>III</t>
  </si>
  <si>
    <t>Movement in other non-current assets</t>
  </si>
  <si>
    <t>Less: Closing capital advances for property, plant and equipment</t>
  </si>
  <si>
    <t>Add: Opening capital advances for property, plant and equipment</t>
  </si>
  <si>
    <t>Add: Provision for doubtful debts</t>
  </si>
  <si>
    <t>Other Adjustments</t>
  </si>
  <si>
    <t>Less: MAT included in Loans &amp; Advances</t>
  </si>
  <si>
    <t>Movement in Financial assets - Current</t>
  </si>
  <si>
    <t>Less: Interest accrued on term deposits</t>
  </si>
  <si>
    <t>Less : Unrealised exchange impact related to accrued revenue</t>
  </si>
  <si>
    <t>Less: Ind AS adjustment</t>
  </si>
  <si>
    <t>Movement in other current assets</t>
  </si>
  <si>
    <t>Add : Provision for doubtful advances</t>
  </si>
  <si>
    <t>Decrease/(increase) in trade, other receivables and prepayments</t>
  </si>
  <si>
    <t>Movement in trade payables</t>
  </si>
  <si>
    <t>Unrealised exchange impact related to trade payable</t>
  </si>
  <si>
    <t>Movement in financial liabilities - Non-current</t>
  </si>
  <si>
    <t>Less: Preference shares non current portion considered separately</t>
  </si>
  <si>
    <t>Movement in financial liabilities - Current</t>
  </si>
  <si>
    <t>Less : Closing Capital Creditors considered seperately in fixed assets movement</t>
  </si>
  <si>
    <t>Add : Opening capital creditors considered seperately in fixed assets movement</t>
  </si>
  <si>
    <t>iii</t>
  </si>
  <si>
    <t>Less: Actuarial valuation impact</t>
  </si>
  <si>
    <t>Decrease/(increase) in trade and other payables</t>
  </si>
  <si>
    <t>Exh Rate</t>
  </si>
  <si>
    <t>USD Liabiity</t>
  </si>
  <si>
    <t>Closing balance of US Tax Liability</t>
  </si>
  <si>
    <t>Less: Opening balance of US tax liability</t>
  </si>
  <si>
    <t>Unrealised gain/(Loss) - Deferred tax liability</t>
  </si>
  <si>
    <t>Income Tax Paid</t>
  </si>
  <si>
    <t>Add: Provision for Tax in current year</t>
  </si>
  <si>
    <t>Unrealised exchange impact related to tax</t>
  </si>
  <si>
    <t xml:space="preserve"> Income tax paid for the year (A)</t>
  </si>
  <si>
    <t xml:space="preserve">Closing Balance of MAT as per financials </t>
  </si>
  <si>
    <t>Less: MAT credit accounted for</t>
  </si>
  <si>
    <t>MAT for the year (B)</t>
  </si>
  <si>
    <t xml:space="preserve">Closing Balance of DTA as per financials </t>
  </si>
  <si>
    <t>DTA for the year (c)</t>
  </si>
  <si>
    <t xml:space="preserve">    Income taxes paid (net of refunds)   (A+B+C)</t>
  </si>
  <si>
    <t>Addition to fixed assets as FAR</t>
  </si>
  <si>
    <t>Less: Capitalisation of Finance Lease</t>
  </si>
  <si>
    <t>Other rectification</t>
  </si>
  <si>
    <t>Proceeds from sale of fixed assets</t>
  </si>
  <si>
    <t>Gross Block of Fixed assets sold/discarded</t>
  </si>
  <si>
    <t>Less: accumulated depreciation on above</t>
  </si>
  <si>
    <t>WDV of assets sold/discardrd</t>
  </si>
  <si>
    <t>Other rectifications</t>
  </si>
  <si>
    <t>Gain(Loss) on sale of assets</t>
  </si>
  <si>
    <t>Purchase of non-current investments</t>
  </si>
  <si>
    <t>Less: Provision of accrued premium during the year</t>
  </si>
  <si>
    <t>Gross Balance</t>
  </si>
  <si>
    <t>Add: Redemption during the year</t>
  </si>
  <si>
    <t>Less: Opening Balance as of beginning of the period</t>
  </si>
  <si>
    <t>Proceed of non current investments</t>
  </si>
  <si>
    <t>Add: Cost of non current investments</t>
  </si>
  <si>
    <t>Purchase of current investments</t>
  </si>
  <si>
    <t>Less: Accrual of gain during the year</t>
  </si>
  <si>
    <t>Add: Sale proceed during the year</t>
  </si>
  <si>
    <t>Less: Profit on sale of assets</t>
  </si>
  <si>
    <t>Less: Unrealized gain as on -1-Apr-15 reversed to PL in FY 15-16</t>
  </si>
  <si>
    <t>Proceed of current investments</t>
  </si>
  <si>
    <t>Add: Cost of current investments</t>
  </si>
  <si>
    <t>Movement in Fixed deposit having Original maturity &gt; 3 months</t>
  </si>
  <si>
    <t xml:space="preserve">Closing balance of Fixed deposit </t>
  </si>
  <si>
    <t>Add: Fixed deposit matured during the year</t>
  </si>
  <si>
    <t>Less: Fixed deposit added during the year</t>
  </si>
  <si>
    <t>Add/(Less) - Unrealised exchange (gain) /loss</t>
  </si>
  <si>
    <t>Less: Opening balance of fixed deposit</t>
  </si>
  <si>
    <t>Interest Income as per financials</t>
  </si>
  <si>
    <t>Less : Interest accrued on Lease deposits (Ins AS entry)</t>
  </si>
  <si>
    <t>Less: interest on income tax refund</t>
  </si>
  <si>
    <t>Finance Lease Obligation</t>
  </si>
  <si>
    <t>Breakup of Prinicipal and Interest</t>
  </si>
  <si>
    <t>Principle</t>
  </si>
  <si>
    <t>Interest</t>
  </si>
  <si>
    <t>Exchange Difference on translation of foreign currency cash and cash equivalents</t>
  </si>
  <si>
    <t>Bank One   Gain/(Loss)</t>
  </si>
  <si>
    <t>Derivatives  Gain/(Loss)</t>
  </si>
  <si>
    <t>Term Deposit in Foreign currency  Gain / (Loss)</t>
  </si>
  <si>
    <t>Unrealised exchange impact related to debtors and creditors</t>
  </si>
  <si>
    <t>Revaluation Debtors</t>
  </si>
  <si>
    <t>Revaluation Accrued revenue</t>
  </si>
  <si>
    <t>Accounts payable</t>
  </si>
  <si>
    <t>Vendor balance - Revaluation - Closing</t>
  </si>
  <si>
    <t>Vendor balance - Revaluation - Opening</t>
  </si>
  <si>
    <t>Impact related to Accounts payable</t>
  </si>
  <si>
    <t>Unrealised (gain) / loss on Tax</t>
  </si>
  <si>
    <t>Unrealised (Gain)/Loss on Fixed deposits with original maturity &gt;  3 months</t>
  </si>
  <si>
    <t>Derivative Assets</t>
  </si>
  <si>
    <t>Derivative (Asset) / liability - Closing</t>
  </si>
  <si>
    <t>Derivative (Asset) / liability - Opening</t>
  </si>
  <si>
    <t>Impact related to Derivative Assets / liability</t>
  </si>
  <si>
    <t>Total of Unrealised exchange impact related to debtors and creditors</t>
  </si>
  <si>
    <t>Building</t>
  </si>
  <si>
    <t>Leasehold Land-Pune</t>
  </si>
  <si>
    <t>Computers and Equipment</t>
  </si>
  <si>
    <t>Furniture and Fixtures</t>
  </si>
  <si>
    <t>Office and Other Equipment</t>
  </si>
  <si>
    <t>Vehicles</t>
  </si>
  <si>
    <t>Tangible Assets</t>
  </si>
  <si>
    <t>Computer Software</t>
  </si>
  <si>
    <t>Intangible Assets</t>
  </si>
  <si>
    <t>Gross Block</t>
  </si>
  <si>
    <t>Trasfer to asset held for sale</t>
  </si>
  <si>
    <t>Accumulated Depreciation</t>
  </si>
  <si>
    <t>Net Block</t>
  </si>
  <si>
    <t>Accumulated Dep-Resi. Pr.</t>
  </si>
  <si>
    <t>Fixed Assets - India - Consolidated</t>
  </si>
  <si>
    <t>(Amount in Rupees)</t>
  </si>
  <si>
    <t>Description of Assets</t>
  </si>
  <si>
    <t xml:space="preserve">As at </t>
  </si>
  <si>
    <t>Deletion</t>
  </si>
  <si>
    <t>Other</t>
  </si>
  <si>
    <t xml:space="preserve">As per </t>
  </si>
  <si>
    <t>For the  year</t>
  </si>
  <si>
    <t xml:space="preserve">Written Back </t>
  </si>
  <si>
    <t>Adjustment</t>
  </si>
  <si>
    <t>Sch FA</t>
  </si>
  <si>
    <t>Leasehold Improvement</t>
  </si>
  <si>
    <t>Transaction</t>
  </si>
  <si>
    <t>Entries including IND AS entries</t>
  </si>
  <si>
    <t>Count</t>
  </si>
  <si>
    <t>TDR reclassed &gt; 3 months</t>
  </si>
  <si>
    <t>TDR above 1 year - Non current ass</t>
  </si>
  <si>
    <t>Bank-Dean Witter</t>
  </si>
  <si>
    <t>JP Morgan - CAD Bank Account</t>
  </si>
  <si>
    <t>Barclays Bank PLC - Wealth</t>
  </si>
  <si>
    <t>Barclays Bank PLC - USD EEFC</t>
  </si>
  <si>
    <t>Barclays Bank PLC - USD FC</t>
  </si>
  <si>
    <t>Bank One Canada-Syntel Inc</t>
  </si>
  <si>
    <t>Axis Bank - USD FCY</t>
  </si>
  <si>
    <t>HDFC Bank -USD EEFC</t>
  </si>
  <si>
    <t xml:space="preserve">HDFC Bank -USD FC </t>
  </si>
  <si>
    <t>Standard Chartered -USD FC</t>
  </si>
  <si>
    <t>Bank-NBD (Old)</t>
  </si>
  <si>
    <t>Bank-NBD Deposit Account</t>
  </si>
  <si>
    <t>Bank of America</t>
  </si>
  <si>
    <t>Bank-NBD A/P Checks</t>
  </si>
  <si>
    <t>Bank-NBD Expense Checks</t>
  </si>
  <si>
    <t>Bank-NBD Flexible Spending Ckg</t>
  </si>
  <si>
    <t>Bank-NBD Escrow Checking Acct</t>
  </si>
  <si>
    <t>Syntel Earthquake Relief Fund</t>
  </si>
  <si>
    <t>Bank Of India - USD FCY</t>
  </si>
  <si>
    <t>Metier Checking</t>
  </si>
  <si>
    <t xml:space="preserve">Credit Agricole Indosuez INR </t>
  </si>
  <si>
    <t>Bank of India - INR</t>
  </si>
  <si>
    <t>State Bank of India - INR</t>
  </si>
  <si>
    <t>Standard Chartered - INR Mumbai</t>
  </si>
  <si>
    <t>American Express Bank - INR</t>
  </si>
  <si>
    <t>ICICI Bank - INR</t>
  </si>
  <si>
    <t>UCO Bank - INR</t>
  </si>
  <si>
    <t>Credit Agricole Indosuez EEFC</t>
  </si>
  <si>
    <t xml:space="preserve">Bank of India - EEFC </t>
  </si>
  <si>
    <t>Metier Payroll</t>
  </si>
  <si>
    <t>Bank One - USA CA</t>
  </si>
  <si>
    <t>HDFC Bank Limited - INR</t>
  </si>
  <si>
    <t>Kotak Bank- Current A/c</t>
  </si>
  <si>
    <t>Kotak Bank-Fixed Deposits</t>
  </si>
  <si>
    <t>PNB - Current A/c</t>
  </si>
  <si>
    <t>Citibank</t>
  </si>
  <si>
    <t>Metier Investments</t>
  </si>
  <si>
    <t>PNB-Fixed Deposits</t>
  </si>
  <si>
    <t>Bank of India - TDR</t>
  </si>
  <si>
    <t>State Bank of India - TDR</t>
  </si>
  <si>
    <t>Credit Agricole Indosuez - TDR</t>
  </si>
  <si>
    <t>UCO Bank - TDR</t>
  </si>
  <si>
    <t>Standard Chartered - INR Chennai</t>
  </si>
  <si>
    <t>ICICI Bank - TDR</t>
  </si>
  <si>
    <t>ICICI Bank - TDR - OBU</t>
  </si>
  <si>
    <t>Reliance Floating Rate Fund</t>
  </si>
  <si>
    <t>Punjab National Bank</t>
  </si>
  <si>
    <t>Standard Chartered Bank - TDR</t>
  </si>
  <si>
    <t>HDFC Bank Limited -INR TDR</t>
  </si>
  <si>
    <t>Corporation Bank - INR</t>
  </si>
  <si>
    <t>Axis Bank - INR</t>
  </si>
  <si>
    <t>Kotak Mahindra Bank-USD EEFC</t>
  </si>
  <si>
    <t>Axis Bank - INR TDR</t>
  </si>
  <si>
    <t>Canara Bank TDR INR</t>
  </si>
  <si>
    <t>Bank of Baroda-INR TDR A/c</t>
  </si>
  <si>
    <t>Axis Mutual Fund</t>
  </si>
  <si>
    <t>Peerlees Mutual Fund</t>
  </si>
  <si>
    <t>L &amp; T Mutual Fund</t>
  </si>
  <si>
    <t>Canara Robeco Mutual Fund</t>
  </si>
  <si>
    <t>Baroda Pioneer Mutual Fund</t>
  </si>
  <si>
    <t>Taurus Mutual Fund</t>
  </si>
  <si>
    <t>HDFC High Int. Fund - Reg. Gr</t>
  </si>
  <si>
    <t>Templeton India Inc. Fund - Gr</t>
  </si>
  <si>
    <t>Templeton Floating Fund - ST</t>
  </si>
  <si>
    <t>DSP ML - Bond Fund - Gr.</t>
  </si>
  <si>
    <t>DSP ML Liquidity Fund - Gr</t>
  </si>
  <si>
    <t>DSP ML Floating Fund - Gr</t>
  </si>
  <si>
    <t>Prudential ICICI Floating - Gr</t>
  </si>
  <si>
    <t>Grindlays Cash Fund - IP - Gr</t>
  </si>
  <si>
    <t>HSBC Cash Fund - Growth</t>
  </si>
  <si>
    <t>Reliance Treasury - IP - Gr</t>
  </si>
  <si>
    <t>Reliance STerm Fund - Gr</t>
  </si>
  <si>
    <t>TLHG TATA Liquid HIF - Gr</t>
  </si>
  <si>
    <t>Kotak Liquid IP - Growth</t>
  </si>
  <si>
    <t>Principal Cash Mgmt Fund</t>
  </si>
  <si>
    <t>JM Short Term Fund - IP</t>
  </si>
  <si>
    <t>Birla Bond Plus IP - Gr</t>
  </si>
  <si>
    <t>Birla Cash Plus - IP - Gr</t>
  </si>
  <si>
    <t>DSP ML ST Fund - Gr</t>
  </si>
  <si>
    <t>Kotak KMMF - K Floater</t>
  </si>
  <si>
    <t>Grindlays Floating Rate Fund - IP - Gr</t>
  </si>
  <si>
    <t>Prudential ICICI Liquid - Gr</t>
  </si>
  <si>
    <t>Templeton India Tresury Management</t>
  </si>
  <si>
    <t>HDFC Floating Rate Income Fund</t>
  </si>
  <si>
    <t>Birla Floating Rate Fund</t>
  </si>
  <si>
    <t>Deutsche Insta Cash Plus Fund</t>
  </si>
  <si>
    <t>Templeton Floating Rate Income</t>
  </si>
  <si>
    <t>Kotak Long Term Floater</t>
  </si>
  <si>
    <t>Deutsche InstaCash Instit Plan</t>
  </si>
  <si>
    <t>Birla Floating Rate Fund Long</t>
  </si>
  <si>
    <t>Grindlays Floating Rate Fund L</t>
  </si>
  <si>
    <t>Principal Floating Rate Fund</t>
  </si>
  <si>
    <t>UTI Liquid Cash Plan Fund</t>
  </si>
  <si>
    <t>SBI Magnum Ins Inc-Sa</t>
  </si>
  <si>
    <t>JM Floater Fund LTP P</t>
  </si>
  <si>
    <t>Prudential ICICI STIP</t>
  </si>
  <si>
    <t>Princ Float Rate Fund-FMP-IP-G</t>
  </si>
  <si>
    <t>Prudential ICICI LT F</t>
  </si>
  <si>
    <t>Prudential ICICI FMP</t>
  </si>
  <si>
    <t>SCB TDR</t>
  </si>
  <si>
    <t>LICMF Liquid Fund</t>
  </si>
  <si>
    <t>SCB Liquidity Manager Plus</t>
  </si>
  <si>
    <t>Sundaram BNP Paribas MF</t>
  </si>
  <si>
    <t>ABN AMRO Mutual Func</t>
  </si>
  <si>
    <t>Religare MF</t>
  </si>
  <si>
    <t>IMG Cash</t>
  </si>
  <si>
    <t>JP Morgan MF</t>
  </si>
  <si>
    <t>JP Morgan Treasury Stock</t>
  </si>
  <si>
    <t>Mutual Fund - Investments</t>
  </si>
  <si>
    <t>Mutual Fund - One Group</t>
  </si>
  <si>
    <t>Mutual Fund-First Union Securi</t>
  </si>
  <si>
    <t>Mutual Fund - Wells Fargo Bank</t>
  </si>
  <si>
    <t>CSFB - Mutual Fund</t>
  </si>
  <si>
    <t>Standard Federal</t>
  </si>
  <si>
    <t>Mutual Fund - Salomon Smith</t>
  </si>
  <si>
    <t>Bear Stearns Securities Corp.</t>
  </si>
  <si>
    <t>Mutual Fund-Escrow Investments</t>
  </si>
  <si>
    <t>Petty Cash</t>
  </si>
  <si>
    <t>Cash in Safe</t>
  </si>
  <si>
    <t>Cash in Hand - Chennai</t>
  </si>
  <si>
    <t>Cash in Safe,Chennai</t>
  </si>
  <si>
    <t>Cash in Hand - Pune</t>
  </si>
  <si>
    <t>Forex Surrendered</t>
  </si>
  <si>
    <t>Accounts Receivable - Trade</t>
  </si>
  <si>
    <t>Accounts Receivable-Trade-IMG</t>
  </si>
  <si>
    <t>Accts Receivable-Trade Metier</t>
  </si>
  <si>
    <t>Account receivable Inter Com</t>
  </si>
  <si>
    <t>Allowance for Doubtful Account</t>
  </si>
  <si>
    <t>Allow for Dbtful Accts-Metier</t>
  </si>
  <si>
    <t>Credit Reserve</t>
  </si>
  <si>
    <t>Accounts Receivable - Accrued</t>
  </si>
  <si>
    <t>AR - Volume Rebate</t>
  </si>
  <si>
    <t>Accounts Receivable - Advance</t>
  </si>
  <si>
    <t>Accounts Receivables - Retaina</t>
  </si>
  <si>
    <t>Accounts Receivable Other</t>
  </si>
  <si>
    <t>Interest Receivable</t>
  </si>
  <si>
    <t>A/R from Syntel UK</t>
  </si>
  <si>
    <t>A/R from Syntel Singapore</t>
  </si>
  <si>
    <t>Employee Loans</t>
  </si>
  <si>
    <t>Transition Cost Defferal</t>
  </si>
  <si>
    <t>No Sow- Cost Deferred</t>
  </si>
  <si>
    <t>Deferred Cost-WIP</t>
  </si>
  <si>
    <t>Employee F. Travel Adv-Jersey</t>
  </si>
  <si>
    <t>Employee Travel Advances</t>
  </si>
  <si>
    <t>Employee F.Travel Adv-US</t>
  </si>
  <si>
    <t>Employee F.Travel Adv-UK</t>
  </si>
  <si>
    <t>Employee F.Travel Adv-Germany</t>
  </si>
  <si>
    <t>Employee F.Travel Adv-Sing.</t>
  </si>
  <si>
    <t>Employee F.Travel Adv-Others</t>
  </si>
  <si>
    <t>Employee F.Travel Settlement</t>
  </si>
  <si>
    <t>Employee F.Travel Adv-Canada</t>
  </si>
  <si>
    <t>Admin Expenses Advance</t>
  </si>
  <si>
    <t>Employee Payroll Advances</t>
  </si>
  <si>
    <t>Employee Vehicle Loans</t>
  </si>
  <si>
    <t>Employee Housing Loans</t>
  </si>
  <si>
    <t>Employee Other Loans</t>
  </si>
  <si>
    <t>Employee Advances for Expenses</t>
  </si>
  <si>
    <t>EMPLOYEES ACH/EFT REVERSAL</t>
  </si>
  <si>
    <t>Insurance Claims Receivable</t>
  </si>
  <si>
    <t>Critical CTR Loan</t>
  </si>
  <si>
    <t>Employee Tuition Fee Loan</t>
  </si>
  <si>
    <t>Employee Vehicle Loan</t>
  </si>
  <si>
    <t>Recv from Terminated Employees</t>
  </si>
  <si>
    <t>Employee Marriage Loan</t>
  </si>
  <si>
    <t>Employee Lease Breakage Loan</t>
  </si>
  <si>
    <t>Employee Medical Emergncy Loan</t>
  </si>
  <si>
    <t>Emp. Natural Calamities Loan</t>
  </si>
  <si>
    <t>Immigration Advances</t>
  </si>
  <si>
    <t>Visa Fees Advances - USA</t>
  </si>
  <si>
    <t>Visa Fees Advances - UK</t>
  </si>
  <si>
    <t>Visa Fees Advances - Germany</t>
  </si>
  <si>
    <t>Visa Fees Advances - Others</t>
  </si>
  <si>
    <t>Sub-Contractor's Advance</t>
  </si>
  <si>
    <t>Recoverable fr Syn Philippine</t>
  </si>
  <si>
    <t>Advance Syntel Philippines</t>
  </si>
  <si>
    <t>Stock Options Suspense - Earni</t>
  </si>
  <si>
    <t>Stock Options Suspense - Deduc</t>
  </si>
  <si>
    <t>Recover from Synt Switzerland</t>
  </si>
  <si>
    <t>Recoverable from TSSPL</t>
  </si>
  <si>
    <t>Advance - TSSPL</t>
  </si>
  <si>
    <t>Advance - Syntel Canada</t>
  </si>
  <si>
    <t>Recoverable from Syntel Canada</t>
  </si>
  <si>
    <t>Officer Advances</t>
  </si>
  <si>
    <t>Recoverable from Europe</t>
  </si>
  <si>
    <t>Recoverable from Singapore</t>
  </si>
  <si>
    <t>Recoverable from Syntel Germany</t>
  </si>
  <si>
    <t>Recoverable from Syntel Inc.</t>
  </si>
  <si>
    <t>Recoverable SIL</t>
  </si>
  <si>
    <t>Recoverable from Syntel Delaware</t>
  </si>
  <si>
    <t>Recoverable from Synt Sourcing</t>
  </si>
  <si>
    <t>Recoverable from Synt Bestshor</t>
  </si>
  <si>
    <t>Recoverable from Synt Global</t>
  </si>
  <si>
    <t>Recoverable from Syntel Consulting</t>
  </si>
  <si>
    <t>Recoverable from Syntel Intern</t>
  </si>
  <si>
    <t>Recover from Direct Customer</t>
  </si>
  <si>
    <t>Recoverabl Fm Syntel Australia</t>
  </si>
  <si>
    <t>Advance - Syntel Australia</t>
  </si>
  <si>
    <t>Advance to Direct Customers</t>
  </si>
  <si>
    <t>Advance  - Syntel Limited</t>
  </si>
  <si>
    <t>Advance from Synt Bestshores</t>
  </si>
  <si>
    <t>Advnace Syntel Consulting</t>
  </si>
  <si>
    <t>Other Misc Advances</t>
  </si>
  <si>
    <t>Advance - Syntel Internat. P L</t>
  </si>
  <si>
    <t>Advance - Syntel Sourcing P L</t>
  </si>
  <si>
    <t>Advance - Syntel Inc.</t>
  </si>
  <si>
    <t>Advance - Syntel Europe</t>
  </si>
  <si>
    <t>Advance - Syntel Singapore</t>
  </si>
  <si>
    <t>Advance - Syntel Germany</t>
  </si>
  <si>
    <t>Advance - Syntel Delaware</t>
  </si>
  <si>
    <t>Advance - Syntel Global P L</t>
  </si>
  <si>
    <t>Recoverable fr Syn Netherland</t>
  </si>
  <si>
    <t>Deposit</t>
  </si>
  <si>
    <t>Prepaid Rent - Office</t>
  </si>
  <si>
    <t>Prepaid Rent - Flat for Empl.</t>
  </si>
  <si>
    <t>Prepaid Rent - Guest House</t>
  </si>
  <si>
    <t>Prepaid Rent - Others</t>
  </si>
  <si>
    <t>Prepaid Insurance</t>
  </si>
  <si>
    <t>Prepaid Overseas Insu</t>
  </si>
  <si>
    <t>Prepaid Prop Taxes</t>
  </si>
  <si>
    <t>Prepaid Licenses</t>
  </si>
  <si>
    <t>Prepaid Link expenses</t>
  </si>
  <si>
    <t>Prepaid Internet Charges</t>
  </si>
  <si>
    <t>Prepaid Membership fees</t>
  </si>
  <si>
    <t>Prepaid Subscription fees</t>
  </si>
  <si>
    <t>Prepaid Pager expenses</t>
  </si>
  <si>
    <t>Prepaid BMC Taxes</t>
  </si>
  <si>
    <t>Prepaid R&amp;M</t>
  </si>
  <si>
    <t>Prepaid Rates &amp; Taxes</t>
  </si>
  <si>
    <t>Prepaid Professional Fees</t>
  </si>
  <si>
    <t>Prepaid Profession Tax Co.</t>
  </si>
  <si>
    <t>Prepaid Locker Rent</t>
  </si>
  <si>
    <t>Prepaid Other</t>
  </si>
  <si>
    <t>Early Paymt Disc Def. - Int Co</t>
  </si>
  <si>
    <t>MAH. SEZ - SGST Recoverable</t>
  </si>
  <si>
    <t>MAH. SEZ - CGST Recoverable</t>
  </si>
  <si>
    <t>MAH. SEZ - IGST Recoverable</t>
  </si>
  <si>
    <t>MAH. NSEZ - SGST Recoverable</t>
  </si>
  <si>
    <t>MAH. NSEZ - CGST Recoverable</t>
  </si>
  <si>
    <t>Contra control account</t>
  </si>
  <si>
    <t>Service Tax Refundable</t>
  </si>
  <si>
    <t>Deferred Tax Assets - Current</t>
  </si>
  <si>
    <t>Line of Credit-New2usa.com</t>
  </si>
  <si>
    <t>Educational Cess Recoverable</t>
  </si>
  <si>
    <t>Advance Tax Payments</t>
  </si>
  <si>
    <t>CST Refundable</t>
  </si>
  <si>
    <t>Vat recoverable</t>
  </si>
  <si>
    <t>Service Tax Accrual Account</t>
  </si>
  <si>
    <t>Service Tax Recoverable</t>
  </si>
  <si>
    <t>Sales Tax Recoverable</t>
  </si>
  <si>
    <t>Preliminary Expenses</t>
  </si>
  <si>
    <t>Octroi Recoverable</t>
  </si>
  <si>
    <t>VAT Recoverable ( Chennai)</t>
  </si>
  <si>
    <t>S&amp;H Educational Cess Recover</t>
  </si>
  <si>
    <t>DEPB/DBK Claims Receivable</t>
  </si>
  <si>
    <t>Service Tax Recoverable - SEZ</t>
  </si>
  <si>
    <t xml:space="preserve">Provision for doubtful Service tax recoverable </t>
  </si>
  <si>
    <t>VAT Recoverable-SEZ purchase</t>
  </si>
  <si>
    <t>VAT Recoverable-STPI purchase</t>
  </si>
  <si>
    <t>Prov doubtful VAT reco-SEZ BS</t>
  </si>
  <si>
    <t>Swacch Bharat Cess</t>
  </si>
  <si>
    <t>Prov-Doubtful Octroi&amp;DEPB/DBK</t>
  </si>
  <si>
    <t>Krishi Kalyan Cess Recoverable</t>
  </si>
  <si>
    <t>Deposits - Electricity</t>
  </si>
  <si>
    <t>Deposits - Water meter</t>
  </si>
  <si>
    <t>Deposits - Telephone</t>
  </si>
  <si>
    <t>Deposits - Cellphones</t>
  </si>
  <si>
    <t>Deposits - Satellite Link</t>
  </si>
  <si>
    <t>Deposits - Office Premises</t>
  </si>
  <si>
    <t>Prepaid rent - intrnl deposits</t>
  </si>
  <si>
    <t>Deposits - Guest House</t>
  </si>
  <si>
    <t>Deposits - Flat for Employees</t>
  </si>
  <si>
    <t>Deposits - Petrol Pumps</t>
  </si>
  <si>
    <t>Deposits - F &amp; F Hired</t>
  </si>
  <si>
    <t>Deposits - Plants Hired</t>
  </si>
  <si>
    <t>Deposits - Oriental - F Travel</t>
  </si>
  <si>
    <t>Deposits - Oriental - Others</t>
  </si>
  <si>
    <t>Deposits - Books</t>
  </si>
  <si>
    <t>Deposits - Hospitals</t>
  </si>
  <si>
    <t>Deposits - Membership</t>
  </si>
  <si>
    <t>Deposits - Security Dep.</t>
  </si>
  <si>
    <t>Deposits - Pagers</t>
  </si>
  <si>
    <t>Deposits - Water Cooler Hired</t>
  </si>
  <si>
    <t>Deposits - TATA AIG Overseas Insurance</t>
  </si>
  <si>
    <t>Deposits - Bajaj Allianz</t>
  </si>
  <si>
    <t>Deposits - Inter Company</t>
  </si>
  <si>
    <t>Deposits-Sec. Dep. Canada Rev</t>
  </si>
  <si>
    <t>Earnest Money Deposit</t>
  </si>
  <si>
    <t>Deposit -Metlife</t>
  </si>
  <si>
    <t>Deposit - ICICI Lombard</t>
  </si>
  <si>
    <t>Deposit-HDFC ERGO General Ins</t>
  </si>
  <si>
    <t>Deposit The New India Assuranc</t>
  </si>
  <si>
    <t>Deposit-Futur Gener Life Insur</t>
  </si>
  <si>
    <t>Deposits - Inter Corporate</t>
  </si>
  <si>
    <t>Deposit - Kotak M Old Mut Life</t>
  </si>
  <si>
    <t>Deposit - United India Ins.</t>
  </si>
  <si>
    <t>Automobiles</t>
  </si>
  <si>
    <t>Computer Equipment</t>
  </si>
  <si>
    <t>CWIP – Computers</t>
  </si>
  <si>
    <t>Office Building</t>
  </si>
  <si>
    <t>Leasehold Improvements</t>
  </si>
  <si>
    <t>Leasehold Land - GDC</t>
  </si>
  <si>
    <t>Communications Equipment</t>
  </si>
  <si>
    <t>Air Conditioners</t>
  </si>
  <si>
    <t>Electrical Equipments</t>
  </si>
  <si>
    <t>Electrical Fittings</t>
  </si>
  <si>
    <t>Office Equipments</t>
  </si>
  <si>
    <t>Residential Property</t>
  </si>
  <si>
    <t>CWIP – Air Conditioners</t>
  </si>
  <si>
    <t>CWIP – Electrical Fittings</t>
  </si>
  <si>
    <t>CWIP – Office equipment</t>
  </si>
  <si>
    <t>Capitalized Software</t>
  </si>
  <si>
    <t>Captilized Dev Costs-P/Soft</t>
  </si>
  <si>
    <t>Capitalized Dev Costs-skillbay</t>
  </si>
  <si>
    <t>CWIP - Computer Software</t>
  </si>
  <si>
    <t xml:space="preserve">Metier Fixed Assets           </t>
  </si>
  <si>
    <t>Capital work in Progress - GDC</t>
  </si>
  <si>
    <t>Capital Advances-Regrouped</t>
  </si>
  <si>
    <t>Capital work in Progress</t>
  </si>
  <si>
    <t>CWIP - Communication equipment</t>
  </si>
  <si>
    <t>IMG Fixed Assets</t>
  </si>
  <si>
    <t>CWIP - Electrical equipments</t>
  </si>
  <si>
    <t>CWIP - Furniture &amp; Fixtures</t>
  </si>
  <si>
    <t>CWIP - Buildings</t>
  </si>
  <si>
    <t>CWIP - Leasehold Improvements</t>
  </si>
  <si>
    <t>Accumulated Dep-Automobile</t>
  </si>
  <si>
    <t>Accumulat Dep-Auto-Emp Vehicle</t>
  </si>
  <si>
    <t>Accumulated Dep-Computer</t>
  </si>
  <si>
    <t>Accum Depn - Office Building</t>
  </si>
  <si>
    <t>Accumulated Dep-Furniture</t>
  </si>
  <si>
    <t>Accumulated Dep-LHI</t>
  </si>
  <si>
    <t>Accumulated Dep-LHLand</t>
  </si>
  <si>
    <t>Accumulated Dep-Comm.Eq.</t>
  </si>
  <si>
    <t>Accumulated Dep-Air Con.</t>
  </si>
  <si>
    <t>Accumulated Dep-Elec. Eq.</t>
  </si>
  <si>
    <t>Accumulated Dep-Elec. Fit.</t>
  </si>
  <si>
    <t>Accumulated Dep-Office Eq.</t>
  </si>
  <si>
    <t>Accumulated Software Amortizat</t>
  </si>
  <si>
    <t>Accum Amort-Cap Dev-P/Soft</t>
  </si>
  <si>
    <t>Accum Amort-Cap Dev-Proj 98</t>
  </si>
  <si>
    <t>Accum Depr-Metier</t>
  </si>
  <si>
    <t>Accum Depr-IMG</t>
  </si>
  <si>
    <t>Investment in Singapore</t>
  </si>
  <si>
    <t>Investment in India</t>
  </si>
  <si>
    <t>Investment in new2usa.com</t>
  </si>
  <si>
    <t>Investment in skillbay.com</t>
  </si>
  <si>
    <t>Investment in Textiles Online</t>
  </si>
  <si>
    <t>Investment in Vianetta Commun</t>
  </si>
  <si>
    <t>Investmnt in Utilitiesmart.com</t>
  </si>
  <si>
    <t>Investment in Convergent Appli</t>
  </si>
  <si>
    <t>Invst In Nekema.com</t>
  </si>
  <si>
    <t>Syntel International Pref.Sh.3</t>
  </si>
  <si>
    <t>Syntel Sourcing  Pref.Sh.3%</t>
  </si>
  <si>
    <t>3% Pref Shares - SSBS</t>
  </si>
  <si>
    <t>Syntel Global Pvt. Ltd Pref shares</t>
  </si>
  <si>
    <t>Investment in Syntel Germany</t>
  </si>
  <si>
    <t>Deferred Tax Assets - Long Ter</t>
  </si>
  <si>
    <t>Goodwill-IMG</t>
  </si>
  <si>
    <t>Goodwill Amortz-IMG</t>
  </si>
  <si>
    <t>Accounts Payable</t>
  </si>
  <si>
    <t>Capital Adv. Trfd</t>
  </si>
  <si>
    <t>Advances to customers regrouped</t>
  </si>
  <si>
    <t>Insurance claim payable</t>
  </si>
  <si>
    <t>Other Payables</t>
  </si>
  <si>
    <t>Provision for capital</t>
  </si>
  <si>
    <t>Expenses Payable</t>
  </si>
  <si>
    <t>ICICI Bank Control Account-Exp</t>
  </si>
  <si>
    <t>Vendor balance - Revaluation</t>
  </si>
  <si>
    <t>USBK1 Control Account</t>
  </si>
  <si>
    <t>Vendor balance Reval Inter co</t>
  </si>
  <si>
    <t>Accounts Payable-Inter Co</t>
  </si>
  <si>
    <t>Accrued PC Purchases</t>
  </si>
  <si>
    <t>Accrued Payroll</t>
  </si>
  <si>
    <t>Accrued Bonus</t>
  </si>
  <si>
    <t>Accrued Awards</t>
  </si>
  <si>
    <t>Accrued Wages</t>
  </si>
  <si>
    <t>Accrued Wages - Troy payroll</t>
  </si>
  <si>
    <t>Accrued - Variable Pay</t>
  </si>
  <si>
    <t>Accr Vacation Payout</t>
  </si>
  <si>
    <t>Flexible Spending Liability</t>
  </si>
  <si>
    <t>Accum Stock Purch-Oct-Sep</t>
  </si>
  <si>
    <t>Accum Stock Plan-Apr-Mar</t>
  </si>
  <si>
    <t>Accumulated Stock Plan</t>
  </si>
  <si>
    <t>Accrued US Payroll Taxes</t>
  </si>
  <si>
    <t>Accrued Canada Payroll Taxes</t>
  </si>
  <si>
    <t>Accrued SBT</t>
  </si>
  <si>
    <t>Accrued Tennesse</t>
  </si>
  <si>
    <t>Accrued NM SUI</t>
  </si>
  <si>
    <t>Tax Provision</t>
  </si>
  <si>
    <t>VAT Taxes Payable</t>
  </si>
  <si>
    <t>Withheld-401 (K)</t>
  </si>
  <si>
    <t>W/H Friend of Cout</t>
  </si>
  <si>
    <t>Accrued Bonus - Leadership</t>
  </si>
  <si>
    <t>Accrued Bonus - Vertical Team</t>
  </si>
  <si>
    <t>Accrued Bonus - Practice Team</t>
  </si>
  <si>
    <t>Accrued Bonus - Engagement Mgr</t>
  </si>
  <si>
    <t>Accrued Bonus - TIA for Revenu</t>
  </si>
  <si>
    <t>Accrued Bonus - TIA for TCV</t>
  </si>
  <si>
    <t>Accrued Bonus - Billable</t>
  </si>
  <si>
    <t>Accrued Bonus - Corporate</t>
  </si>
  <si>
    <t>Accrued Bonus - Others</t>
  </si>
  <si>
    <t>HCA Billable Bonus</t>
  </si>
  <si>
    <t>Prov for Increment-Comp/Bonus</t>
  </si>
  <si>
    <t>Accrued Long term incentive Plan</t>
  </si>
  <si>
    <t>Full &amp; Final Settlement</t>
  </si>
  <si>
    <t>Provisions - FFS</t>
  </si>
  <si>
    <t>Provision NPS-Co.Contribution</t>
  </si>
  <si>
    <t>TDS - Employees - 2002-03</t>
  </si>
  <si>
    <t>TDS - Employees - 2003-04</t>
  </si>
  <si>
    <t>Withholding - Salarie</t>
  </si>
  <si>
    <t>TDS - Employees - 2004-05</t>
  </si>
  <si>
    <t>TDS - Employees - 2006-07</t>
  </si>
  <si>
    <t>Provision PF - Co. Contribution</t>
  </si>
  <si>
    <t>Provision ESIC - Co. Contribution</t>
  </si>
  <si>
    <t>Provision MLWF - Co. Contribution</t>
  </si>
  <si>
    <t>Provision CLWF - Co. Contribution</t>
  </si>
  <si>
    <t>TSUNAMI Contribution from Emp</t>
  </si>
  <si>
    <t>Accident Victim Fund</t>
  </si>
  <si>
    <t>Liability VPF-Voluntary Deduct</t>
  </si>
  <si>
    <t>Employee welfare trust</t>
  </si>
  <si>
    <t>Liability Payroll Processed</t>
  </si>
  <si>
    <t>Liability PF - Deduction</t>
  </si>
  <si>
    <t>Liability ESIC - Deduction</t>
  </si>
  <si>
    <t>Liability MLWF - Deduction</t>
  </si>
  <si>
    <t>Liability CLWF - Deduction</t>
  </si>
  <si>
    <t>Liability P Tax  - Deduction</t>
  </si>
  <si>
    <t>Provision - Gratuity</t>
  </si>
  <si>
    <t xml:space="preserve">Provision - Unutilised Leave </t>
  </si>
  <si>
    <t>Provision - Leave Travel</t>
  </si>
  <si>
    <t>Provision - Medical Reimbursement</t>
  </si>
  <si>
    <t>Health Insurance Accrual</t>
  </si>
  <si>
    <t>Insurance - Parental Coverage</t>
  </si>
  <si>
    <t>Insurance-Volunt Life &amp; Medi</t>
  </si>
  <si>
    <t>Tax Collected at source</t>
  </si>
  <si>
    <t>Connecticut Sales and Use Tax</t>
  </si>
  <si>
    <t>Health Insurance Reserve</t>
  </si>
  <si>
    <t>Accrued Cigna Health</t>
  </si>
  <si>
    <t>Accrued Aetna Health</t>
  </si>
  <si>
    <t>Accrued Expenses</t>
  </si>
  <si>
    <t>Accrued Expenses-Metier</t>
  </si>
  <si>
    <t>Accrued Expenses-IMG</t>
  </si>
  <si>
    <t>Deferred Lease equalisation</t>
  </si>
  <si>
    <t>Accrued F Travel Expe</t>
  </si>
  <si>
    <t>Accrued Marketing Fee</t>
  </si>
  <si>
    <t>Accrued Comp – Sp Dividend</t>
  </si>
  <si>
    <t>Accumulated  Productivity reserve</t>
  </si>
  <si>
    <t>Other Current Liabilities</t>
  </si>
  <si>
    <t>Accrued Interest</t>
  </si>
  <si>
    <t>Capital Leases-IMG</t>
  </si>
  <si>
    <t>Accrued - Wealth tax</t>
  </si>
  <si>
    <t>Accrued - Sales tax</t>
  </si>
  <si>
    <t>Liability - Deposits Recd</t>
  </si>
  <si>
    <t>TDS - Contractors</t>
  </si>
  <si>
    <t>TDS - Professionals</t>
  </si>
  <si>
    <t>TDS - Rent</t>
  </si>
  <si>
    <t>TDS - Advertisement</t>
  </si>
  <si>
    <t>TDS - Brokerage</t>
  </si>
  <si>
    <t>TDS - WCT</t>
  </si>
  <si>
    <t>Sales Tax payable</t>
  </si>
  <si>
    <t>CPF Payable</t>
  </si>
  <si>
    <t>TDS - Brokerage - Companies</t>
  </si>
  <si>
    <t>TDS - Advertisement - Co.</t>
  </si>
  <si>
    <t>TDS - Rent - Companies</t>
  </si>
  <si>
    <t>TDS - Professionals - Companie</t>
  </si>
  <si>
    <t>TDS - Contractors - Companies</t>
  </si>
  <si>
    <t>Service Tax Payable</t>
  </si>
  <si>
    <t>GST Tax - Canada</t>
  </si>
  <si>
    <t>GST Payable - Australia</t>
  </si>
  <si>
    <t>TDS - Non Resident</t>
  </si>
  <si>
    <t>Swacch Bharat Cess Payable</t>
  </si>
  <si>
    <t>Amount held in trust Trambak</t>
  </si>
  <si>
    <t>Earnest Money - Contractors</t>
  </si>
  <si>
    <t>Liability - Emp. benefit cont.</t>
  </si>
  <si>
    <t>Deferred Tax liability - Current</t>
  </si>
  <si>
    <t>Krishi Kalyan Cess Payable</t>
  </si>
  <si>
    <t>Derivative Liabilities</t>
  </si>
  <si>
    <t>MAH. SEZ - IGST Payable</t>
  </si>
  <si>
    <t>MAH. NSEZ - IGST Payable</t>
  </si>
  <si>
    <t>Tax Reserve</t>
  </si>
  <si>
    <t>Federal Inc Taxes Payable-Curr</t>
  </si>
  <si>
    <t>Canada - Fed Inc Taxes Pay Cur</t>
  </si>
  <si>
    <t>Advance US city Income Tax</t>
  </si>
  <si>
    <t>Taxes Payable - FIN 48</t>
  </si>
  <si>
    <t>Canada - State Inc Tax Pay Cur</t>
  </si>
  <si>
    <t>State Inc Taxes Payable - Curr</t>
  </si>
  <si>
    <t>Indian Income taxes Payable</t>
  </si>
  <si>
    <t>Corporation Tax UK</t>
  </si>
  <si>
    <t>City Corp Income Tax Provision</t>
  </si>
  <si>
    <t>Deferred Tax Liabilities-Curre</t>
  </si>
  <si>
    <t xml:space="preserve">Advance Indian Income tax </t>
  </si>
  <si>
    <t>Advance Indian IT - TDS</t>
  </si>
  <si>
    <t xml:space="preserve">Advance US Federal Income Tax </t>
  </si>
  <si>
    <t xml:space="preserve">Advance US State Income Tax </t>
  </si>
  <si>
    <t>Advance Fringe Benefit Tax</t>
  </si>
  <si>
    <t>Forex Advance Indian IT - TDS</t>
  </si>
  <si>
    <t>Canada - Adv Tax - TDS</t>
  </si>
  <si>
    <t>Due to India</t>
  </si>
  <si>
    <t>Due to Syntel Australia</t>
  </si>
  <si>
    <t>Due from Syntel Australia</t>
  </si>
  <si>
    <t>Due from India</t>
  </si>
  <si>
    <t>Due to Europe</t>
  </si>
  <si>
    <t>Due from Europe</t>
  </si>
  <si>
    <t>Due to Singapore</t>
  </si>
  <si>
    <t>Due from Singapore</t>
  </si>
  <si>
    <t>Due to Syntel Canada</t>
  </si>
  <si>
    <t>Due to Syntel Germany</t>
  </si>
  <si>
    <t>Due from Syntel Germany</t>
  </si>
  <si>
    <t>Due to Syntel Inc.</t>
  </si>
  <si>
    <t>Due from Syntel Inc.</t>
  </si>
  <si>
    <t>Due from SIL - Mumbai</t>
  </si>
  <si>
    <t>Due from SIL - Chennai</t>
  </si>
  <si>
    <t>Due from SIL - Pune</t>
  </si>
  <si>
    <t>Due to SIL - Mumbai</t>
  </si>
  <si>
    <t>Due to SIL - Chennai</t>
  </si>
  <si>
    <t>Due to SIL - Pune</t>
  </si>
  <si>
    <t>Due from Syntel Sourcing</t>
  </si>
  <si>
    <t>Due to Syntel Solution BV</t>
  </si>
  <si>
    <t>Deferred Revenues</t>
  </si>
  <si>
    <t>Advanced Billing Receipts</t>
  </si>
  <si>
    <t>NO SOW - Revenue Deferral</t>
  </si>
  <si>
    <t>Transition Rev Defferal</t>
  </si>
  <si>
    <t>AIG Advanced Billing Receipts</t>
  </si>
  <si>
    <t>Preference Share 3%</t>
  </si>
  <si>
    <t>Share premium on Preference Shares 3%</t>
  </si>
  <si>
    <t>Share Application money Preference Shares</t>
  </si>
  <si>
    <t>Accrued Finance Costs</t>
  </si>
  <si>
    <t>Deferred Income tax, Non current</t>
  </si>
  <si>
    <t>Deferred I Tax, Non Curr-India</t>
  </si>
  <si>
    <t>Common Stock</t>
  </si>
  <si>
    <t>Additional Paid in Capital</t>
  </si>
  <si>
    <t>Deferred stock based compensation</t>
  </si>
  <si>
    <t>Deferred Sales Incentive</t>
  </si>
  <si>
    <t xml:space="preserve">Opening balance in Profit and Loss account </t>
  </si>
  <si>
    <t>Ind AS impact - Res. &amp; Surplus</t>
  </si>
  <si>
    <t>Retained Earnings</t>
  </si>
  <si>
    <t>Special Economic Zone Re-Investment Allowance Reserve Account</t>
  </si>
  <si>
    <t>Accumulated and Other Comprehensive Income</t>
  </si>
  <si>
    <t>Dividend Account</t>
  </si>
  <si>
    <t>Regrouping - VR setoff with AR - AR</t>
  </si>
  <si>
    <t>Regrouping - Account receivable - Internal</t>
  </si>
  <si>
    <t>Regrouping - Accounts Receivable - Accrued - Internal</t>
  </si>
  <si>
    <t>Advance Inter Company</t>
  </si>
  <si>
    <t>Regrouping - Advances - Internal</t>
  </si>
  <si>
    <t>TDS Refund receivable</t>
  </si>
  <si>
    <t>Regrouping - current - lease deposit</t>
  </si>
  <si>
    <t>Regrouping - Lease deposits - Internal</t>
  </si>
  <si>
    <t>Regrouping - Pref share Application Money</t>
  </si>
  <si>
    <t>Regrouping - Account payable - Internal</t>
  </si>
  <si>
    <t>Regrouping - Non current - gratuity</t>
  </si>
  <si>
    <t>Regrouping - VR setoff with AR - accrued expense</t>
  </si>
  <si>
    <t>Regrouping - Non current - deferred lease equalisation</t>
  </si>
  <si>
    <t>Regrouping - current - capital lease</t>
  </si>
  <si>
    <t>Dividend Distribtion Tax A/c</t>
  </si>
  <si>
    <t>Accumulated and Other Comprehensive Income - investmetn</t>
  </si>
  <si>
    <t>Regrouping-Other deposits to Non Current</t>
  </si>
  <si>
    <t>Bank of India-Dividend Account</t>
  </si>
  <si>
    <t>IDBI Mutual Fund</t>
  </si>
  <si>
    <t>Investment in Trizetto Syntel</t>
  </si>
  <si>
    <t>TSSPL Pref. Share 3%</t>
  </si>
  <si>
    <t>Deferred lease expense (IndAS)</t>
  </si>
  <si>
    <t>Deferred Lease Income</t>
  </si>
  <si>
    <t>Capital Redemption Reserve</t>
  </si>
  <si>
    <t>Buy Back Tax</t>
  </si>
  <si>
    <t>Onsite/Offsite Revenues</t>
  </si>
  <si>
    <t>Revenue Adjustments</t>
  </si>
  <si>
    <t>Local Sales - India</t>
  </si>
  <si>
    <t>Offshore Revenue</t>
  </si>
  <si>
    <t>Domestic Direct Revenue</t>
  </si>
  <si>
    <t>Reimbursement of Expenses-REVE</t>
  </si>
  <si>
    <t>Sales Incentives</t>
  </si>
  <si>
    <t>Volume Discount/Rebates</t>
  </si>
  <si>
    <t>Exch Gain / Loss (Actual)</t>
  </si>
  <si>
    <t>Rounding Suspense Account</t>
  </si>
  <si>
    <t>Exchange Gain/Loss Derivatives</t>
  </si>
  <si>
    <t>Exch Gain / Loss-Inter com</t>
  </si>
  <si>
    <t>Exch Gain/Loss(Act)-Inter com</t>
  </si>
  <si>
    <t>Inter Unit Onsite/Offsite Reve</t>
  </si>
  <si>
    <t>Inter Unit Offshore Revenue</t>
  </si>
  <si>
    <t>Finder Fees - Inter company</t>
  </si>
  <si>
    <t>Finder Fee-InterCompany Domes</t>
  </si>
  <si>
    <t>Payroll - Corporate</t>
  </si>
  <si>
    <t>Payroll - Consultants</t>
  </si>
  <si>
    <t>City Allowance</t>
  </si>
  <si>
    <t>Payroll - Vacation</t>
  </si>
  <si>
    <t>Payroll - Cost Deferral</t>
  </si>
  <si>
    <t>Payroll - Retro Payments</t>
  </si>
  <si>
    <t>Payroll - Restricted Stock</t>
  </si>
  <si>
    <t>FAS 123R expenses</t>
  </si>
  <si>
    <t>Payroll - Overtime</t>
  </si>
  <si>
    <t>Payroll - Misc Bonuses</t>
  </si>
  <si>
    <t>Payroll - Management Bonuses</t>
  </si>
  <si>
    <t>Payroll - E.S.I.C. - Co. Cont.</t>
  </si>
  <si>
    <t>Payroll - F P F - Co Cont.</t>
  </si>
  <si>
    <t>Payroll - M L W F - Co. Cont.</t>
  </si>
  <si>
    <t>Payroll - C L W F - Co. Cont.</t>
  </si>
  <si>
    <t>Payroll - P F Admin. Charges</t>
  </si>
  <si>
    <t>Payroll - P F - Co Contribution</t>
  </si>
  <si>
    <t>Payroll - Recovered</t>
  </si>
  <si>
    <t>Payroll - Notice Period Reimb.</t>
  </si>
  <si>
    <t>Payroll - Notice Pay Recovery</t>
  </si>
  <si>
    <t>Payroll - Encash. of Earned Leave</t>
  </si>
  <si>
    <t>Payroll - Gratuity</t>
  </si>
  <si>
    <t>Payroll - P.F. Allowance</t>
  </si>
  <si>
    <t>Payroll - Salary &amp; Allowances</t>
  </si>
  <si>
    <t>Payroll - Med. &amp; Trans. Allow.</t>
  </si>
  <si>
    <t>Payroll - Special Allowance</t>
  </si>
  <si>
    <t>Payroll - House Rent Allowance</t>
  </si>
  <si>
    <t>Payroll - Incentives</t>
  </si>
  <si>
    <t>Payroll - Leave Travel Allowance</t>
  </si>
  <si>
    <t>Payroll - EDLIS</t>
  </si>
  <si>
    <t>Payroll - Other Payments</t>
  </si>
  <si>
    <t>Payroll - Technical Allowances</t>
  </si>
  <si>
    <t>Payroll - Bond Recovery</t>
  </si>
  <si>
    <t>Payroll - Transport A</t>
  </si>
  <si>
    <t>Payroll - Meal Alloawnce</t>
  </si>
  <si>
    <t>Payroll - Troy</t>
  </si>
  <si>
    <t>Payroll - Bonus Leadership</t>
  </si>
  <si>
    <t>Payroll - Bonus Vertical Team</t>
  </si>
  <si>
    <t>Payroll - Bonus Practice Team</t>
  </si>
  <si>
    <t>Payroll - Bonus Engagement Mgr</t>
  </si>
  <si>
    <t>Payroll - Bonus TIA for Revenu</t>
  </si>
  <si>
    <t>Payroll - Bonus TIA for TCV</t>
  </si>
  <si>
    <t>Payroll - Bonus Billable</t>
  </si>
  <si>
    <t>Payroll - Bonus Corporate</t>
  </si>
  <si>
    <t>Payroll - Bonus Others</t>
  </si>
  <si>
    <t>Payroll - Bonus CEO</t>
  </si>
  <si>
    <t>Payroll - Awards</t>
  </si>
  <si>
    <t>Increment - Comp/Bonus</t>
  </si>
  <si>
    <t>Payroll Long term incentive Plan</t>
  </si>
  <si>
    <t>Employee Referral Bonus Comp</t>
  </si>
  <si>
    <t>Payroll Taxes</t>
  </si>
  <si>
    <t>Payroll-Tax on Perquisites</t>
  </si>
  <si>
    <t>Health Insurance</t>
  </si>
  <si>
    <t>Accident Insurance</t>
  </si>
  <si>
    <t>Life Insurance</t>
  </si>
  <si>
    <t>Benefits - PC Purchase</t>
  </si>
  <si>
    <t>Tuition Reimbursement</t>
  </si>
  <si>
    <t>Employee Relations</t>
  </si>
  <si>
    <t>Client Entertainment Exps</t>
  </si>
  <si>
    <t>Insurance - Workmans Compensat</t>
  </si>
  <si>
    <t>Benefits - Canteen expenses</t>
  </si>
  <si>
    <t>Benefits - Medical expenses</t>
  </si>
  <si>
    <t>Benefits - Staff Functions</t>
  </si>
  <si>
    <t>Benefits - Proj. Lunch/Picnic</t>
  </si>
  <si>
    <t xml:space="preserve">Benefits - Staff Transport </t>
  </si>
  <si>
    <t>Benefits - Others</t>
  </si>
  <si>
    <t>Benefits - Staff Gifts</t>
  </si>
  <si>
    <t>Benefits - Transport Recovery</t>
  </si>
  <si>
    <t>Billable out consulting - Inter Co.</t>
  </si>
  <si>
    <t>Offshore Charges</t>
  </si>
  <si>
    <t>Offshore -Transition Charges</t>
  </si>
  <si>
    <t>Offshore-L1 Charges</t>
  </si>
  <si>
    <t>Offshore-Buffer Charges</t>
  </si>
  <si>
    <t>Deferred Offshore/Onsite Chgs</t>
  </si>
  <si>
    <t>Outside Services</t>
  </si>
  <si>
    <t>Relocation - NonTaxable</t>
  </si>
  <si>
    <t>Relocation - Taxable</t>
  </si>
  <si>
    <t>Advertising - Recruitng</t>
  </si>
  <si>
    <t>Employee Recruitng Expense</t>
  </si>
  <si>
    <t>Employee Referal Incentive</t>
  </si>
  <si>
    <t>Employee Referral Bonus</t>
  </si>
  <si>
    <t>Finder Fees - Inter co. Costs</t>
  </si>
  <si>
    <t>Immigration Fees</t>
  </si>
  <si>
    <t>Training &amp; Seminars</t>
  </si>
  <si>
    <t>Employee Training</t>
  </si>
  <si>
    <t>Membership - PMI</t>
  </si>
  <si>
    <t>Travel - Personal Meals</t>
  </si>
  <si>
    <t>Travel-Business Meals</t>
  </si>
  <si>
    <t>Travel-Automobile</t>
  </si>
  <si>
    <t>Travel-Airfare/Train</t>
  </si>
  <si>
    <t>Travel-Lodging</t>
  </si>
  <si>
    <t>Guest House expenses</t>
  </si>
  <si>
    <t>Travel - Billable</t>
  </si>
  <si>
    <t>Immigration Travel Expenses</t>
  </si>
  <si>
    <t>Billable Travel</t>
  </si>
  <si>
    <t xml:space="preserve">Vehicle - Petrol </t>
  </si>
  <si>
    <t>Vehicle - RM/Driver</t>
  </si>
  <si>
    <t>Local Conveyance</t>
  </si>
  <si>
    <t>F Travel - Living Exp.US</t>
  </si>
  <si>
    <t>F Travel - Living Exp.UK</t>
  </si>
  <si>
    <t>F Travel - Living Exp.Germany</t>
  </si>
  <si>
    <t>F Travel - Living Exp.Corp.</t>
  </si>
  <si>
    <t>F Travel - Living Exp.Others</t>
  </si>
  <si>
    <t>F Travel - Living Exp. Jersey</t>
  </si>
  <si>
    <t>F Travel - Living Exp.Canada</t>
  </si>
  <si>
    <t>F Travel - Cost Deferral</t>
  </si>
  <si>
    <t>F Travel - Airfare US</t>
  </si>
  <si>
    <t>F Travel - Airfare UK</t>
  </si>
  <si>
    <t>F Travel - Airfare Germany</t>
  </si>
  <si>
    <t>F Travel - Airfare Corp.</t>
  </si>
  <si>
    <t>F Travel - Airfare Family</t>
  </si>
  <si>
    <t>F Travel - Airfare Others</t>
  </si>
  <si>
    <t>F Travel - Airfare Canada</t>
  </si>
  <si>
    <t>F Travel - Insurance US</t>
  </si>
  <si>
    <t>F Travel - Insurance UK</t>
  </si>
  <si>
    <t>F Travel - Insurance Germany</t>
  </si>
  <si>
    <t>F Travel - Insurance Corporate</t>
  </si>
  <si>
    <t>F Travel - Insurance Others</t>
  </si>
  <si>
    <t>F Travel - Insurance Marsh US</t>
  </si>
  <si>
    <t>F Travel - Insurance Canada</t>
  </si>
  <si>
    <t>F Travel - Visa US</t>
  </si>
  <si>
    <t>F Travel - Visa UK</t>
  </si>
  <si>
    <t>F Travel - Visa Germany</t>
  </si>
  <si>
    <t>F Travel - Visa Corp.</t>
  </si>
  <si>
    <t>F Travel - Visa Others</t>
  </si>
  <si>
    <t>F Travel - Visa Canada</t>
  </si>
  <si>
    <t>F Travel - Kit allowance US</t>
  </si>
  <si>
    <t>F Travel - Kit allowance UK</t>
  </si>
  <si>
    <t>F Travel - Kit allowance Corp.</t>
  </si>
  <si>
    <t>F Travel - Kit allowance Other</t>
  </si>
  <si>
    <t>F Travel - US Employment tax</t>
  </si>
  <si>
    <t>F Travel - Registration charges</t>
  </si>
  <si>
    <t>F Travel-Canada Employment Tax</t>
  </si>
  <si>
    <t>Michigan SBT Tax</t>
  </si>
  <si>
    <t>Taxes - Federal Provision</t>
  </si>
  <si>
    <t>Warranty Expense</t>
  </si>
  <si>
    <t>CPC Charges</t>
  </si>
  <si>
    <t>Customer Claim</t>
  </si>
  <si>
    <t>Rent - Office</t>
  </si>
  <si>
    <t>Rent - Guest House</t>
  </si>
  <si>
    <t>Rent - Flat for staff</t>
  </si>
  <si>
    <t>Rent - Office Intercompany</t>
  </si>
  <si>
    <t>Lease expense IC (IndAS)</t>
  </si>
  <si>
    <t>Fixed Asset Depreciation</t>
  </si>
  <si>
    <t>Amortz Exp- Cap Dev- Proj 98</t>
  </si>
  <si>
    <t>Software Amortization</t>
  </si>
  <si>
    <t>Voice &amp; Data Communications</t>
  </si>
  <si>
    <t>Satellite Link Expenses</t>
  </si>
  <si>
    <t>Internet expenses</t>
  </si>
  <si>
    <t>Telephone / Mobile Reimursemen</t>
  </si>
  <si>
    <t>Dues</t>
  </si>
  <si>
    <t>Freight/Postage</t>
  </si>
  <si>
    <t>Goods Clearing charges</t>
  </si>
  <si>
    <t>Octroi Charges</t>
  </si>
  <si>
    <t>Insurance-Property &amp; Other</t>
  </si>
  <si>
    <t>Insurance-Directors &amp; Officers</t>
  </si>
  <si>
    <t>Insurance-Vehicles</t>
  </si>
  <si>
    <t>Insurance-Transit</t>
  </si>
  <si>
    <t>Insurance Others</t>
  </si>
  <si>
    <t>Maint.&amp; Repairs - Facilities</t>
  </si>
  <si>
    <t>Maint. &amp; Repairs - Housekeep</t>
  </si>
  <si>
    <t>Maint. &amp; Repairs - Hw/Sw</t>
  </si>
  <si>
    <t>Maint. &amp; Repairs - AMC</t>
  </si>
  <si>
    <t>Maint. &amp; Repairs - Others</t>
  </si>
  <si>
    <t>Space Rentals / Meeting  Expen</t>
  </si>
  <si>
    <t>Equipment Rentals</t>
  </si>
  <si>
    <t>Vehicle Rentals</t>
  </si>
  <si>
    <t>Other Rentals</t>
  </si>
  <si>
    <t>Maint. Chgs - Society</t>
  </si>
  <si>
    <t>Lease Rent - Car</t>
  </si>
  <si>
    <t>Books, Subscriptions &amp; Periodicals</t>
  </si>
  <si>
    <t>Stationary &amp; Office Supplies</t>
  </si>
  <si>
    <t>Office Equipment Consumables</t>
  </si>
  <si>
    <t>Computer Consumables</t>
  </si>
  <si>
    <t>Bank Charges</t>
  </si>
  <si>
    <t>NMMC Cess</t>
  </si>
  <si>
    <t>Water Charges</t>
  </si>
  <si>
    <t>Utilities</t>
  </si>
  <si>
    <t>Electricity Charges</t>
  </si>
  <si>
    <t>Export Processing Charges</t>
  </si>
  <si>
    <t>BMC Taxes</t>
  </si>
  <si>
    <t>Stamp Duty</t>
  </si>
  <si>
    <t>Taxes-Property</t>
  </si>
  <si>
    <t>Taxes-Other</t>
  </si>
  <si>
    <t>Taxes-Sales Tax</t>
  </si>
  <si>
    <t>Taxes-Wealth Tax</t>
  </si>
  <si>
    <t>ROC Fees</t>
  </si>
  <si>
    <t>Oracle Application Guides</t>
  </si>
  <si>
    <t>Misc Expense</t>
  </si>
  <si>
    <t>Finance Charges</t>
  </si>
  <si>
    <t>Security Charges</t>
  </si>
  <si>
    <t>Finance Charges - Interco</t>
  </si>
  <si>
    <t>Early Paymt Discount - Int Co</t>
  </si>
  <si>
    <t>Advertising - Marketing</t>
  </si>
  <si>
    <t>Business Promotions / Gifts</t>
  </si>
  <si>
    <t>Gifts to clients</t>
  </si>
  <si>
    <t>Donations &amp; Contributions</t>
  </si>
  <si>
    <t>Marketing Exp</t>
  </si>
  <si>
    <t>Marketing Conferences</t>
  </si>
  <si>
    <t>Marketing Materials</t>
  </si>
  <si>
    <t>Customer Relations</t>
  </si>
  <si>
    <t>Print Advertising</t>
  </si>
  <si>
    <t>Trade Shows/Conferences</t>
  </si>
  <si>
    <t>Entertainment</t>
  </si>
  <si>
    <t>Public Relations</t>
  </si>
  <si>
    <t>Marketing Collateral</t>
  </si>
  <si>
    <t>Investor Relations</t>
  </si>
  <si>
    <t>Publications</t>
  </si>
  <si>
    <t>Marketing fees - Interco.</t>
  </si>
  <si>
    <t>Bad Debt Expense</t>
  </si>
  <si>
    <t>Provision for Doubtful Debts / Advances</t>
  </si>
  <si>
    <t>Sundry Debit / Credit balances w/off</t>
  </si>
  <si>
    <t>Loss on Sale of Assets</t>
  </si>
  <si>
    <t>Fees - Legal</t>
  </si>
  <si>
    <t>Prov doubtful VAT reco-SEZ P&amp;L</t>
  </si>
  <si>
    <t>Fees - Other</t>
  </si>
  <si>
    <t>Fees-Professional / Accounting</t>
  </si>
  <si>
    <t>Audit Fees-Statutory Audit</t>
  </si>
  <si>
    <t>Audit Fees-Tax Audit</t>
  </si>
  <si>
    <t>Audit Fees-Internal Audit</t>
  </si>
  <si>
    <t>Audit Fees-Cerfitication</t>
  </si>
  <si>
    <t>Fees - 401K</t>
  </si>
  <si>
    <t>Audit Fees-Out of pocket</t>
  </si>
  <si>
    <t>Fees - Auditors</t>
  </si>
  <si>
    <t>Interest Expense</t>
  </si>
  <si>
    <t>Capitalized Development Costs</t>
  </si>
  <si>
    <t>CSR Expenses</t>
  </si>
  <si>
    <t>Interest Income Taxable</t>
  </si>
  <si>
    <t>Interest Income Non Taxable</t>
  </si>
  <si>
    <t>Profit on redemption of mutual fund</t>
  </si>
  <si>
    <t>Interest income IC Dep (IndAS)</t>
  </si>
  <si>
    <t>MF unrealised gain (IndAS)</t>
  </si>
  <si>
    <t>Dividend - Interco</t>
  </si>
  <si>
    <t>Inter-Company Revenue</t>
  </si>
  <si>
    <t>Forex Interest Income Taxable</t>
  </si>
  <si>
    <t>Employee - Interest on Loan</t>
  </si>
  <si>
    <t>Profit on Sale of Assets</t>
  </si>
  <si>
    <t>Interco Rent - Income</t>
  </si>
  <si>
    <t>Income Tax on Prop Dividend</t>
  </si>
  <si>
    <t>Indian Fringe Benefit Tax</t>
  </si>
  <si>
    <t>Income Taxes - FIN 48</t>
  </si>
  <si>
    <t>Profit</t>
  </si>
  <si>
    <t>New account codes opened during the year</t>
  </si>
  <si>
    <t>Compare with BS &amp; PL</t>
  </si>
  <si>
    <t>Compare with TB</t>
  </si>
  <si>
    <t>Amount Dr.</t>
  </si>
  <si>
    <t>Amount Cr.</t>
  </si>
  <si>
    <t xml:space="preserve">Deferred Lease expense </t>
  </si>
  <si>
    <t>Trial Balance for IND AS impact entries for the year ended March 2019</t>
  </si>
  <si>
    <t>Related party transactions for the year ended 31 March 2019</t>
  </si>
  <si>
    <t>Service Tax Recoverable - non</t>
  </si>
  <si>
    <t>Regrou Non Cur Advanc Tax less</t>
  </si>
  <si>
    <t>Regrou Non Cur Advance Tax add</t>
  </si>
  <si>
    <t>Deferred Lease equal Inter Co</t>
  </si>
  <si>
    <t>Def Lease equal IC N-Curr Less</t>
  </si>
  <si>
    <t>Def Lease equal IC N-Curr Add</t>
  </si>
  <si>
    <t>Less: Finance charge considered separately</t>
  </si>
  <si>
    <t>Net movement to be considered</t>
  </si>
  <si>
    <t>Payroll IGAAP Entry</t>
  </si>
  <si>
    <t>Opening balance of equity shares</t>
  </si>
  <si>
    <t>Syntel Europe</t>
  </si>
  <si>
    <r>
      <t xml:space="preserve">For </t>
    </r>
    <r>
      <rPr>
        <b/>
        <sz val="10"/>
        <rFont val="Arial"/>
        <family val="2"/>
      </rPr>
      <t>Walker Chandiok &amp; Co LLP</t>
    </r>
  </si>
  <si>
    <t>Firm Registration No: 001076N/N500013</t>
  </si>
  <si>
    <t>Significant management judgements</t>
  </si>
  <si>
    <t>Evaluation of Indicators for impairment of assets</t>
  </si>
  <si>
    <t>The evaluation of applicability of Indicators of impairment of assets requires assessment of several external and internal factors which could result in deterioration of recoverable amount of the assets.</t>
  </si>
  <si>
    <t>Summary of significant accounting policies and other explanatory information</t>
  </si>
  <si>
    <t>Basis of preparation and presentation of financial statements</t>
  </si>
  <si>
    <t>The financial statements have been prepared on going concern basis under the historical cost basis except for certain financial instruments that are measured at fair values at the end of each reporting period, as explained in the accounting policies below.
Historical cost is generally based on the fair value of the consideration given in exchange for goods and services.
Fair value is the price that would be received to sell an asset or paid to transfer a liability in an orderly transaction between market participants at the measurement date, regardless of whether that price is directly observable or estimated using another valuation technique. In estimating the fair value of an asset or a liability, the Company takes into account the characteristics of the asset or liability if market participants would take those characteristics into account when pricing the asset or liability at the measurement date. Fair value for measurement and/or disclosure purposes in these financial statements is determined on such basis.</t>
  </si>
  <si>
    <t>Useful lives of depreciable/amortisable assets</t>
  </si>
  <si>
    <t>Management reviews its estimate of the useful lives of depreciable/amortisable assets at each reporting date, based on the expected utility of the assets. Uncertainties in these estimates relate to technical and economic obsolescence that may change the utility of certain items of property and equipment.</t>
  </si>
  <si>
    <t>Management’s estimate of the DBO is based on a number of critical underlying assumptions such as standard rates of inflation, medical cost trends, mortality, discount rate and anticipation of future salary increases. Variation in these assumptions may significantly impact the DBO amount and the annual defined benefit expenses.</t>
  </si>
  <si>
    <t>Fair value measurements</t>
  </si>
  <si>
    <t>Management applies valuation techniques to determine the fair value of financial instruments (where active market quotes are not available) and non-financial assets. This involves developing estimates and assumptions consistent with how market participants would price the instrument. Management uses the best information available. Estimated fair values may vary from the actual prices that would be achieved in an arm’s length transaction at the reporting date.</t>
  </si>
  <si>
    <t>Provisions and liabilities</t>
  </si>
  <si>
    <t>Provisions and liabilities are recognized in the period when it becomes probable that there will be a future outflow of funds resulting from past operations or events that can reasonably be estimated. The timing of recognition requires application of judgement to existing facts and circumstances which may be subject to change. The amounts are determined by discounting the expected future cash flows at a pre-tax rate that reflects current market assessments of the time value of money and the risks specific to the liability.</t>
  </si>
  <si>
    <t>Contingencies</t>
  </si>
  <si>
    <t>In the normal course of business, contingent liabilities may arise from litigation and other claims against the Company. Potential liabilities that are possible but not probable of crystalizing or are very difficult to quantify reliably are treated as contingent liabilities. Such liabilities are disclosed in the notes but are not recognized.</t>
  </si>
  <si>
    <t>Property and equipment</t>
  </si>
  <si>
    <t>The cost of property and equipment comprises its purchase price net of any trade discounts and rebates, any import duties and other taxes (other than those subsequently recoverable from the tax authorities), any directly attributable expenditure on making the asset ready for its intended use, including relevant borrowing costs for qualifying assets and any expected costs of decommissioning. Expenditure incurred after the property and equipment have been put into operation, such as repairs and maintenance, are charged to the Statement of Profit and Loss in the period in which the costs are incurred.</t>
  </si>
  <si>
    <t>An item of property and equipment is derecognised upon disposal or when no future economic benefits are expected to arise from the continued use of the asset. Any gain or loss arising on the disposal or retirement of an item of property and equipment is determined as the difference between the sales proceeds and the carrying amount of the asset and is recognized in Statement of Profit and Loss.</t>
  </si>
  <si>
    <t>Subsequent expenditures relating to property and equipment is capitalised only when it is probable that future economic benefits associated with these will flow to the Company and the cost of the item can be measured reliably.</t>
  </si>
  <si>
    <t>Depreciation and amortisation</t>
  </si>
  <si>
    <t>Depreciable amount for assets is the cost of an asset, or other amount substituted for cost, less its estimated residual value. Depreciation is recognized so as to write off the cost of assets (other than freehold land) less their residual values over their useful lives, using straight-line method as per the useful life mentioned below.</t>
  </si>
  <si>
    <t xml:space="preserve">When significant parts of plant and equipment are required to be replaced at intervals, the Company depreciates them separately based on their specific useful lives. As per the Company's evaluation of the accounting prescribed under Ind AS 16 and Schedule II of the Companies Act, 2013, the management has not identified any significant component having different useful lives. </t>
  </si>
  <si>
    <t>The Company reviews the residual value, useful lives and depreciation method annually and, if expectations differ from previous estimates, the change is accounted for as a change in accounting estimate on a prospective basis.</t>
  </si>
  <si>
    <t>The Company depreciates property and equipment over their estimated useful lives using the straight-line method. The estimated useful lives of assets are as follows:</t>
  </si>
  <si>
    <t>Currency transactions and translations</t>
  </si>
  <si>
    <t>Functional and presentation currency</t>
  </si>
  <si>
    <t>Items included in the financial statements of the Company are measured using the currency of the primary economic environment in which the Company operates. The financial statements are presented in Indian Rupee (Rupees) which is the Company's functional and presentation currency.</t>
  </si>
  <si>
    <t>2.10</t>
  </si>
  <si>
    <t>Expenses and liabilities in respect of employee benefits are recorded in accordance with Ind AS 19, Employee Benefits.</t>
  </si>
  <si>
    <t>Significant accounting policies (Continued)</t>
  </si>
  <si>
    <t>Provisions and contingencies</t>
  </si>
  <si>
    <t>Provision</t>
  </si>
  <si>
    <t>A provision is recognised if, as a result of a past event, the Company has a present legal or constructive obligation that is reasonably estimable, and it is probable that an outflow of economic benefits will be required to settle the obligation. If the effect of the time value of money is material, provisions are determined by discounting the expected future cash flows at a pre-tax rate that reflects current market assessments of the time value of money and the risks specific to the liability. The increase in the provision due to the passage of time is recognised as interest expense.</t>
  </si>
  <si>
    <t>A contingent liability is a possible obligation that arises from past events whose existence will be confirmed by the occurrence or non-occurrence of one or more uncertain future events not wholly within the control of the entity or a present obligation that is not recognised because it is not probable that an outflow of resources will be required to settle the obligation or it cannot be measured with sufficient reliability. The Company does not recognise a contingent liability but discloses its existence in the financial statements.</t>
  </si>
  <si>
    <t>Contingent assets</t>
  </si>
  <si>
    <t>Contingent assets are neither recognised nor disclosed. However, when realisation of income is virtually certain, related asset is recognised.</t>
  </si>
  <si>
    <t xml:space="preserve">Deferred tax </t>
  </si>
  <si>
    <t>Accounting standards issued but not effective.</t>
  </si>
  <si>
    <t>i.</t>
  </si>
  <si>
    <t>ii.</t>
  </si>
  <si>
    <r>
      <rPr>
        <b/>
        <sz val="10"/>
        <rFont val="Arial"/>
        <family val="2"/>
      </rPr>
      <t xml:space="preserve">Ind AS 116 Leases
</t>
    </r>
    <r>
      <rPr>
        <sz val="10"/>
        <color theme="1"/>
        <rFont val="Arial"/>
        <family val="2"/>
      </rPr>
      <t xml:space="preserve">
Ind AS 116 Leases was notified in March 2019 and it replaces Ind AS 17 Leases, including appendices thereto. Ind AS 116 is effective for annual periods beginning on or after 1 April 2019. Ind AS 116 sets out the principles for the recognition, measurement, presentation and disclosure of leases and requires lessees to account for all leases under a single on-balance sheet model similar to the accounting for finance leases under Ind AS 17. The standard includes two recognition exemptions for lessees – leases of ‘low-value’ assets (e.g., personal computers) and short-term leases (i.e., leases with a lease term of 12 months or less). At the commencement date of a lease, a lessee will recognise a liability to make lease payments (i.e., the lease liability) and an asset representing the right to use the underlying asset during the lease term (i.e., the right-of-use asset). Lessees will be required to separately recognise the interest expense on the lease liability and the depreciation expense on the right-of-use asset.
The Company will adopt the aforesaid standard for financial year beginning from 1 January 2020. As at the date of issuance of the Company’s financial statements, the Company is in the process of evaluating the requirements of the aforesaid standard and the impact on its financial statements.</t>
    </r>
  </si>
  <si>
    <r>
      <rPr>
        <b/>
        <sz val="10"/>
        <rFont val="Arial"/>
        <family val="2"/>
      </rPr>
      <t>Ind AS 12 Appendix C, Uncertainty over Income Tax Treatments</t>
    </r>
    <r>
      <rPr>
        <sz val="10"/>
        <color theme="1"/>
        <rFont val="Arial"/>
        <family val="2"/>
      </rPr>
      <t xml:space="preserve">
On 30 March 2019, Ministry of Corporate Affairs has notified Ind AS 12 Appendix C, Uncertainty over Income Tax Treatments which is to be applied while performing the determination of taxable profit (or loss), tax bases, unused tax losses, unused tax credits and tax rates, when there is uncertainty over income tax treatments under Ind AS 12. According to the appendix, companies need to determine the probability of the relevant tax authority accepting each tax treatment, or group of tax treatments, that the companies have used or plan to use in their income tax filing which has to be considered to compute the most likely amount or the expected value of the tax treatment when determining taxable profit (tax loss), tax bases, unused tax losses, unused tax credits and tax rates.
The effective date for adoption of Ind AS 12 Appendix C is annual periods beginning on or after 1 April 2019. The Company will adopt the standard for periods beginning from 1 January 2020 and has decided to adjust the cumulative effect in equity on the date of initial application i.e. 1 January 2020 without adjusting comparatives. The Company is currently evaluating the effect of this amendment on the financial statements
Amendment to Ind AS 12 – Income taxes : On 30 March 2019, Ministry of Corporate Affairs issued amendments to the guidance in Ind AS 12, ‘Income Taxes’, in connection with accounting for dividend distribution taxes. The amendment clarifies that an entity shall recognise the income tax consequences of dividends in profit or loss, other comprehensive income or equity according to where the entity originally recognised those past transactions or events. Effective date for application of this amendment is annual period beginning on or after 1 April 2019. Hence the Company will apply it for period beginning from 1 January 2020. The Company is currently evaluating the effect of this amendment on the financial statements.</t>
    </r>
  </si>
  <si>
    <r>
      <rPr>
        <b/>
        <sz val="10"/>
        <rFont val="Arial"/>
        <family val="2"/>
      </rPr>
      <t xml:space="preserve">Amendment to Ind AS 19 – plan amendment, curtailment or settlement
</t>
    </r>
    <r>
      <rPr>
        <sz val="10"/>
        <color theme="1"/>
        <rFont val="Arial"/>
        <family val="2"/>
      </rPr>
      <t>On 30 March 2019, Ministry of Corporate Affairs issued amendments to Ind AS 19, ‘Employee Benefits’, in connection with accounting for plan amendments, curtailments and settlements. The amendments require an entity: 
• to use updated assumptions to determine current service cost and net interest for the remainder of the period after a plan
  amendment, curtailment or settlement; and 
• to recognise in profit or loss as part of past service cost, or a gain or loss on settlement, any reduction in a surplus, even if that
  surplus was not previously recognised because of the impact of the asset ceiling.
Effective date for application of this amendment is annual period beginning on or after 1 April 2019. Hence the Company will apply it for period beginning from 1 January 2020. The Company is currently evaluating the effect of this amendment on the financial statements.</t>
    </r>
  </si>
  <si>
    <t xml:space="preserve">Year ended </t>
  </si>
  <si>
    <t xml:space="preserve">Total equity and liabilities </t>
  </si>
  <si>
    <t>Equity shares of ₹10 each issued, subscribed and paid</t>
  </si>
  <si>
    <t>Number</t>
  </si>
  <si>
    <t xml:space="preserve">Other non current financial assets </t>
  </si>
  <si>
    <r>
      <t>Investment in mutual funds (</t>
    </r>
    <r>
      <rPr>
        <i/>
        <sz val="10"/>
        <rFont val="Arial"/>
        <family val="2"/>
      </rPr>
      <t>Other than trade - unquoted</t>
    </r>
    <r>
      <rPr>
        <sz val="10"/>
        <rFont val="Arial"/>
        <family val="2"/>
      </rPr>
      <t>) - (refer mutual fund scheme wise detail as below), carried at fair value through profit and loss</t>
    </r>
  </si>
  <si>
    <t xml:space="preserve">   On current accounts</t>
  </si>
  <si>
    <t>Other current financial assets</t>
  </si>
  <si>
    <t xml:space="preserve">Other current financial liabilities </t>
  </si>
  <si>
    <t>Non- current</t>
  </si>
  <si>
    <r>
      <t xml:space="preserve">Employee benefit plans </t>
    </r>
    <r>
      <rPr>
        <b/>
        <i/>
        <sz val="10"/>
        <color theme="1"/>
        <rFont val="Arial"/>
        <family val="2"/>
      </rPr>
      <t>(Continued)</t>
    </r>
  </si>
  <si>
    <r>
      <t>Related party disclosures</t>
    </r>
    <r>
      <rPr>
        <b/>
        <i/>
        <sz val="10"/>
        <color theme="1"/>
        <rFont val="Arial"/>
        <family val="2"/>
      </rPr>
      <t xml:space="preserve"> (Continued)</t>
    </r>
  </si>
  <si>
    <r>
      <t>Financial risk management objectives and policies</t>
    </r>
    <r>
      <rPr>
        <b/>
        <i/>
        <sz val="10"/>
        <color theme="1"/>
        <rFont val="Arial"/>
        <family val="2"/>
      </rPr>
      <t xml:space="preserve"> (Continued)</t>
    </r>
  </si>
  <si>
    <t>Year ended</t>
  </si>
  <si>
    <t>Other Comprehensive Income</t>
  </si>
  <si>
    <t xml:space="preserve">Syntel Solutions (India) Private Limited, (the 'Company'), was incorporated on 23 August 2010 under the provisions of the Companies Act,1956. The Company is a wholly owned subsidiary of Syntel Solutions (Mauritius) Limited. The Company primarily provides information technology services.The services include software development, packaged software integration, system maintenance and engineering design services to its customers and clients of its customers operating in different industries. 
</t>
  </si>
  <si>
    <t>Lease arrangements where the risks and rewards incidental to ownership of an asset substantially vest with the lessor are recognised as operating leases. Lease payments under an operating lease are recognised as an expense on a straight-line basis over the lease term or where rentals are structured to increase in line with expected general inflation, such increases are recognised in the year in which they accrue.</t>
  </si>
  <si>
    <t>The Company recognizes financial assets and financial liabilities when it becomes a party to the contractual provisions of the instrument. All financial assets and liabilities are recognised at fair values. Transaction costs that are directly attributable to the acquisition or issue of financial assets and financial liabilities, which are not at fair value through profit or loss, are added to or deducted from the fair value on initial recognition. Transaction costs that are directly attributable to the acquisition of financial assets or financial liabilities at fair value through profit or loss, are recognised immediately in statement of profit or loss.</t>
  </si>
  <si>
    <t>A</t>
  </si>
  <si>
    <t>Initial recognition</t>
  </si>
  <si>
    <t>All financial assets are recognised initially at fair value and transaction cost that is attributable to the acquisition of the financial asset is also adjusted.</t>
  </si>
  <si>
    <t>Amortised cost</t>
  </si>
  <si>
    <t>Fair value through other comprehensive income</t>
  </si>
  <si>
    <t>A financial asset is subsequently measured at fair value through other comprehensive income if it is held within a business model whose objective is achieved by both collecting contractual cash flows and selling financial assets and the contractual terms of the financial asset give rise on specified dates to cash flows that are solely payments of principal and interest on the principal amount outstanding.</t>
  </si>
  <si>
    <t>iii.</t>
  </si>
  <si>
    <t>Fair value through profit or loss</t>
  </si>
  <si>
    <t xml:space="preserve">De-recognition of financial assets </t>
  </si>
  <si>
    <t>A financial asset is primarily de-recognised when the rights to receive cash flows from the asset have expired or the Company has transferred its rights to receive cash flows from the asset.</t>
  </si>
  <si>
    <t>B</t>
  </si>
  <si>
    <t>All financial liabilities are subsequently measured at amortised cost using the effective interest method. The effective interest method is a method of calculating the amortised cost of a financial liability and of allocating interest expense over the relevant period. For trade and other payables maturing within one year from the balance sheet date, the carrying amounts approximate fair value due to the short maturity of these instruments.</t>
  </si>
  <si>
    <t>The Company derecognises financial liabilities when the Company's obligations are discharged, cancelled or have expired. The difference between the carrying amount of the financial liability derecognised and the consideration paid and payable is recognised in profit or loss.</t>
  </si>
  <si>
    <t>C</t>
  </si>
  <si>
    <t>For financial reporting purpose, fair value measurements are categorised into Level 1, 2 or 3 based on the degree to which the inputs to the fair value measurements are observable and the significance of the inputs to the fair value measurement in its entirety, which are described as follows :</t>
  </si>
  <si>
    <t>Level 1 inputs are quoted prices (unadjusted) in active markets for identical assets or liabilities that the entity can access at the measurement date;</t>
  </si>
  <si>
    <t>Level 2 inputs are inputs, other than quoted prices included within Level 1, that are observable for the asset or liability either directly or indirectly.</t>
  </si>
  <si>
    <t>Level 3 inputs are unobservable inputs for the assets or liability.</t>
  </si>
  <si>
    <t>Impairment of financial assets</t>
  </si>
  <si>
    <t>D</t>
  </si>
  <si>
    <t>Impairment loss is provided to the extent the carrying amounts of assets exceed their recoverable amounts. Recoverable amount is the higher of an asset’s net selling price and its value in use. Value in use is the present value of estimated future cash flows expected to arise from the continuing use of the asset and from its disposal at the end of its useful life. Net selling price is the amount obtainable from sale of the asset in an arm’s length transaction between knowledgeable, willing parties, less the costs of disposal.</t>
  </si>
  <si>
    <t>Foreign currency</t>
  </si>
  <si>
    <t>The Company reports basic and diluted Earnings per Share (EPS) in accordance with Ind AS 33 on Earnings per Share. Basic earnings per share is calculated by dividing the net profit or loss for the period attributable to equity shareholders by the weighted average number of equity shares outstanding during the period.</t>
  </si>
  <si>
    <t>Defined contribution plan</t>
  </si>
  <si>
    <t>Retirement benefit in the form of provident fund is a defined contribution scheme. The Company has no obligation, other than the contribution payable to the provident fund. The Company recognises contribution payable to the provident fund scheme as an expenditure, when an employee renders the related service. Prepaid contributions are recognised as an asset to the extent that a cash refund or a reduction in the future payments is available.</t>
  </si>
  <si>
    <t>The liability or asset recognised in the balance sheet in respect of defined benefit gratuity plans is the present value of the defined benefit obligation at the end of the reporting period less the fair value of plan assets (if any). The defined benefit obligation is calculated annually by actuaries using the projected unit credit method.
The present value of the defined benefit obligation denominated in ₹ is determined by discounting the estimated future cash outflows by reference to market yields at the end of the reporting period on government bonds that have terms approximating to the terms of the related obligation.</t>
  </si>
  <si>
    <t>The net interest cost is calculated by applying the discount rate to the net balance of the defined benefit obligation and the fair value of plan assets. This cost is included in employee benefit expense in the Statement of Profit and Loss. 
Remeasurement gains and losses arising from experience adjustments and changes in actuarial assumptions are recognised in the period in which they occur, directly in other comprehensive income. They are included in retained earnings in the Statement of Changes in Equity and in the Balance Sheet. 
Changes in the present value of the defined benefit obligation resulting from plan amendments or curtailments are recognised immediately in profit or loss as past service cost.</t>
  </si>
  <si>
    <t>Short-term employee benefits</t>
  </si>
  <si>
    <t>Short-term employee benefits comprise of employee costs such as salaries, bonus etc. is recognized on the basis of the amount paid or payable for the period during which services are rendered by the employee.</t>
  </si>
  <si>
    <t>Tax expense recognized in Statement of Profit or Loss comprises the sum of deferred tax and current tax except the ones recognized in other comprehensive income or directly in equity.</t>
  </si>
  <si>
    <t>Calculation of current tax is based on tax rates and tax laws that have been enacted for the reporting period. Current income tax relating to items recognised outside profit or loss is recognised outside profit or loss (either in other comprehensive income or in equity). Current tax items are recognised in correlation to the underlying transaction either in other comprehensive income or directly in equity.</t>
  </si>
  <si>
    <t>Deferred tax is provided using the liability method on temporary differences between the tax bases of assets and liabilities and their carrying amounts for financial reporting purposes at the reporting date. Deferred tax assets are recognized to the extent that it is probable that the underlying tax loss or deductible temporary difference will be utilized against future taxable income. This is assessed based on the Company’s forecast of future operating results, adjusted for significant non-taxable income and expenses and specific limits on the use of any unused tax loss or credit. The carrying amount of deferred tax assets is reviewed at each reporting date and reduced to the extent that it is no longer probable that sufficient taxable profit will be available to allow all or part of the deferred tax asset to be utilised. Unrecognised deferred tax assets are re-assessed at each reporting date and are recognised to the extent that it has become probable that future taxable profits will allow the deferred tax asset to be recovered. Deferred tax assets and liabilities are measured at the tax rates that are expected to apply in the year when the asset is realised or the liability is settled, based on tax rates (and tax laws) that have been enacted or substantively enacted at the reporting date. Deferred tax relating to items recognised outside profit or loss is recognised outside profit or loss (either in other comprehensive income or in equity).</t>
  </si>
  <si>
    <t>Minimum Alternate Tax (MAT) paid in accordance with the tax laws, which gives future economic benefits in the form of adjustment to future income tax liability, is considered as an asset if there is convincing evidence that the Company will pay normal income tax. Accordingly, MAT is recognised as an asset in the Balance Sheet when it is highly probable that future economic benefit associated with it will flow to the Company having reasonable certainty that it can be utilized against the normal taxes payable under the Income Tax Act 1961.</t>
  </si>
  <si>
    <t>Software service</t>
  </si>
  <si>
    <t>Revenues from software services and support services is recognised as the service is rendered, on the basis of the consideration agreed in the contract with external customer and at standard cost rate with group companies. Revenue to group companies is actualised on quarterly basis at an agreed mark-up on all costs incurred, in accordance with the terms of the master service agreements entered into with the group companies. Recoveries of expenses incurred exclusively on the contracts are included in revenue.</t>
  </si>
  <si>
    <t>Unbilled revenue represents revenues recognised for services rendered in accordance with contractual terms, which have not been billed to the group companies at the balance sheet date. The related billings are performed within the next operating cycle.</t>
  </si>
  <si>
    <t>Other income comprises primarily of interest income, gain/loss on investments and exchange gain/loss related to monetary assets and liabilities.Interest on bank deposits is recognised on the time proportion method, using the underlying interest rates. Interest income is included under the head “Other income” in the Statement of Profit and Loss.</t>
  </si>
  <si>
    <t xml:space="preserve"> - Software services </t>
  </si>
  <si>
    <t>Loss after tax (A)</t>
  </si>
  <si>
    <t>Other comprehensive income for the year(B)</t>
  </si>
  <si>
    <t>Total Other comprehensive loss for the year (A+B)</t>
  </si>
  <si>
    <t xml:space="preserve">(Face value of ₹ 10 each) </t>
  </si>
  <si>
    <t>The accompanying notes are integral part of the financial statements</t>
  </si>
  <si>
    <t>As per our report of even date</t>
  </si>
  <si>
    <t>A.</t>
  </si>
  <si>
    <t>B.</t>
  </si>
  <si>
    <t xml:space="preserve">Change in equity share capital </t>
  </si>
  <si>
    <t>Change in equity share capital</t>
  </si>
  <si>
    <t>Other comprehensive loss for the year</t>
  </si>
  <si>
    <t>Nature and purpose of reserve</t>
  </si>
  <si>
    <t>1)</t>
  </si>
  <si>
    <t>Retained earning</t>
  </si>
  <si>
    <t>2)</t>
  </si>
  <si>
    <t>I. Gross block</t>
  </si>
  <si>
    <t>II. Accumulated depreciation and amortization</t>
  </si>
  <si>
    <t>Net block(I-II)</t>
  </si>
  <si>
    <t>Provision for employee benefits</t>
  </si>
  <si>
    <t>Depreciation on property and equipment</t>
  </si>
  <si>
    <t>Equity and Liabilities</t>
  </si>
  <si>
    <t>Balances with government authorities</t>
  </si>
  <si>
    <t xml:space="preserve">   Deposits with original maturity of less than three months</t>
  </si>
  <si>
    <t>Authorised:</t>
  </si>
  <si>
    <t>Issued, subscribed and fully paid up:</t>
  </si>
  <si>
    <t>% of holding</t>
  </si>
  <si>
    <t>Shares held by holding company</t>
  </si>
  <si>
    <t>`</t>
  </si>
  <si>
    <t>Total outstanding dues to creditors micro and small enterprises</t>
  </si>
  <si>
    <t>Total outstanding dues to creditors other than micro and small enterprises</t>
  </si>
  <si>
    <t>To others</t>
  </si>
  <si>
    <t>Salaries and bonus</t>
  </si>
  <si>
    <t>Provident fund</t>
  </si>
  <si>
    <t>Operating lease</t>
  </si>
  <si>
    <t>Commitments</t>
  </si>
  <si>
    <t>Computed income tax expense</t>
  </si>
  <si>
    <t>Income tax charge</t>
  </si>
  <si>
    <t>Actuarial assumptions</t>
  </si>
  <si>
    <t>Total defined benefit cost recognised in the statement of profit and loss</t>
  </si>
  <si>
    <t>Total defined benefit cost recognised in other comprehensive income</t>
  </si>
  <si>
    <t>Business segment</t>
  </si>
  <si>
    <t>Revenue from related parties</t>
  </si>
  <si>
    <t>Balance with banks</t>
  </si>
  <si>
    <t>Remeasurements arising from defined benefit plans comprises of actuarial gains and losses on benefit obligations. These items of remeasurements are immediately recognized in other comprehensive income and are not reclassified to the Statement of profit and loss in subsequent periods.</t>
  </si>
  <si>
    <t>Provision for compensated absences(refer note 28(b))</t>
  </si>
  <si>
    <t>Details of shareholders holding more than 5% shares are as follows</t>
  </si>
  <si>
    <t>Expenses towards corporate social responsibility</t>
  </si>
  <si>
    <t>At the Beginning of the year</t>
  </si>
  <si>
    <t>Shares issued during the year</t>
  </si>
  <si>
    <t>At the end of the year</t>
  </si>
  <si>
    <t>ii)</t>
  </si>
  <si>
    <t>Total as at end of the year</t>
  </si>
  <si>
    <t>iii)</t>
  </si>
  <si>
    <t>Redemption Terms</t>
  </si>
  <si>
    <t>iv)</t>
  </si>
  <si>
    <t>Rights and Restrictions</t>
  </si>
  <si>
    <t>i) a)</t>
  </si>
  <si>
    <t>Face value of shares</t>
  </si>
  <si>
    <t>Premium on issue</t>
  </si>
  <si>
    <t>At the beginning of the year</t>
  </si>
  <si>
    <t>Details of shareholders holding more than 5% of preference shares of the company</t>
  </si>
  <si>
    <t>Income tax expenses</t>
  </si>
  <si>
    <r>
      <t>Income tax expenses</t>
    </r>
    <r>
      <rPr>
        <b/>
        <i/>
        <sz val="10"/>
        <color theme="1"/>
        <rFont val="Arial"/>
        <family val="2"/>
      </rPr>
      <t xml:space="preserve"> (Continued)</t>
    </r>
  </si>
  <si>
    <t>Name of Related Party</t>
  </si>
  <si>
    <t>Notes</t>
  </si>
  <si>
    <t>Summary of significant accounting policies :</t>
  </si>
  <si>
    <t>Group companies</t>
  </si>
  <si>
    <t>Credit risk refers to the risk of default on its obligation by the counterparty resulting in a financial loss. The maximum exposure of the financial assets are contributed by trade receivables and advances.</t>
  </si>
  <si>
    <t>Earnings per share (₹) - Basic and diluted *</t>
  </si>
  <si>
    <t>Compensated absences are treated as short-term employee benefit. The Company measures the expected cost of such absences as the additional amount that it expects to pay as a result of the unused entitlement that has accumulated at the reporting date.</t>
  </si>
  <si>
    <t>The Company treats accumulated leave short-term employee benefit for measurement purposes. Such compensated absences are provided for based on the actuarial valuation using the projected unit credit method at the year-end. Actuarial gains/losses are immediately taken to the Statement of Profit and Loss and are not deferred. The Company presents the leave as a current liability in the Balance Sheet, to the extent it does not have an unconditional right to defer its settlement for 12 months after the reporting date. Where company has the unconditional legal and contractual right to defer the settlement for a period beyond 12 months, the same is presented as non-current liability.</t>
  </si>
  <si>
    <t>The Company recognizes termination benefit as a liability and an expense when the Company has a present obligation as a result of past event, it is probable that an outflow of resources embodying economic benefits will be required to settle the obligation and a reliable estimate can be made of the amount of the obligation. If the termination benefits fall due more than 12 months after the Balance Sheet date, they are measured at present value of future cash flows using the discount rate determined by reference to market yields at the Balance Sheet date on government bonds.</t>
  </si>
  <si>
    <t>10,000 Equity Shares of ₹ 10 each</t>
  </si>
  <si>
    <t>10,000 Equity Shares of  ₹ 10 each fully paid up</t>
  </si>
  <si>
    <t>40,000 Cumulative Redeemable Preference Shares of ₹ 10 each</t>
  </si>
  <si>
    <t>The Company has only one class of equity share having par value of ₹ 10. Each equity shareholder has a right to one vote per share. The Company declares and pays the dividend in Indian rupee. The dividend proposed by the Board of Directors is subject to the approval of the shareholders in Annual General Meeting.In the event of liquidation  of the Company, the equity shareholders will be entitled to receive remaining assets of the Company after all distribution of all the preferential amounts. The distribution will be in proportion to the number of equity shares held by  the shareholders.</t>
  </si>
  <si>
    <t>Sensitivity analysis</t>
  </si>
  <si>
    <t>Sensitivity for significant actuarial assumptions is computed by varying one actuarial assumption used for the valuation of the defined benefit obligation, keeping all other actuarial assumptions constant. The significant actuarial assumptions are discount rate, salary escalation rate and attrition rate.</t>
  </si>
  <si>
    <t>Increase in assumption</t>
  </si>
  <si>
    <t>Decrease in assumption</t>
  </si>
  <si>
    <t>(0.5% increase)</t>
  </si>
  <si>
    <t>(0.5% decrease)</t>
  </si>
  <si>
    <t>Future salary growth</t>
  </si>
  <si>
    <t>The Company also monitors its capital using "Debt to total equity" ratio. Debt in this case represents mandatorily redeemable preference shares issued to its group company. 
The Company's Debt to total equity ratio is as below:</t>
  </si>
  <si>
    <t>Debt to total equity ratio</t>
  </si>
  <si>
    <t>All financial liabilities are recognised initially at fair value. The Company's financial liabilities include trade payable and other liabilities.</t>
  </si>
  <si>
    <t>Dividend on cumulative redeemable preference shares proposed by Board of Directors is subject to approval of the equity shareholders in the Annual General Meeting. Each holder of preference share is entitled to one vote per share only on resolutions placed before the Company which directly affects the rights attached to preference shares. Cumulative preference shares are entitled to vote on every resolution if preference dividend remains unpaid for 2 years.</t>
  </si>
  <si>
    <t>Rakesh Khanna (Director)</t>
  </si>
  <si>
    <t>Fair value of security deposits</t>
  </si>
  <si>
    <t>Rupee Equivalent</t>
  </si>
  <si>
    <t>Trade receivables, trade payables, other receivables, advances and bank balances include outstanding balances in INR as below for which the Company does not carry any currency risk.</t>
  </si>
  <si>
    <t>Retained earnings pertains to the accumulated earnings/(losses) made by the Company over the years.</t>
  </si>
  <si>
    <t>Unrealised (loss)/gain on mutual fund units</t>
  </si>
  <si>
    <t>Face value 
(in ₹)</t>
  </si>
  <si>
    <t>Receivable for reimbursements</t>
  </si>
  <si>
    <t>Intercompany lease deposits</t>
  </si>
  <si>
    <t>Corporate social responsibility (refer note 25)</t>
  </si>
  <si>
    <t>Other transactions</t>
  </si>
  <si>
    <t>Liabilities (by location)</t>
  </si>
  <si>
    <t>Segment liabilities</t>
  </si>
  <si>
    <t>Unallocable liabilities</t>
  </si>
  <si>
    <t># Zero represents amount less than ₹ one lakh</t>
  </si>
  <si>
    <t>Others #</t>
  </si>
  <si>
    <t>Total liabilities</t>
  </si>
  <si>
    <t>Syntel Private Limited #</t>
  </si>
  <si>
    <t>(Amounts are stated in ₹ Lakhs unless otherwise stated)</t>
  </si>
  <si>
    <t>DDT on Dividend on Preference shares</t>
  </si>
  <si>
    <r>
      <t>The financial statements for the year ended 31 March 2019 were authorized and approved for issue by the Board of Directors on 2</t>
    </r>
    <r>
      <rPr>
        <sz val="10"/>
        <rFont val="Arial"/>
        <family val="2"/>
      </rPr>
      <t>8 August 2019.</t>
    </r>
  </si>
  <si>
    <t>(#) Zero represents amount less than ₹ one lakh</t>
  </si>
  <si>
    <t>Temporary differences on other comprehensive income (#)</t>
  </si>
  <si>
    <t>Cash on hand (#)</t>
  </si>
  <si>
    <t>Dividend payable on preference shares (#)</t>
  </si>
  <si>
    <t>Rates and taxes (#)</t>
  </si>
  <si>
    <t>Provision for doubtful loans and advances (#)</t>
  </si>
  <si>
    <t>Foreign travel (#)</t>
  </si>
  <si>
    <t>Reimbursement of out of pocket expenses (#)</t>
  </si>
  <si>
    <t>Dividend paid on preference shares (#)</t>
  </si>
  <si>
    <t xml:space="preserve">   changes in demographic assumptions (#)</t>
  </si>
  <si>
    <t>Other fund (#)</t>
  </si>
  <si>
    <t>Advances tax and tax deducted at source [net of provision ₹ Nil (31 March 2018: ₹ 438 Lakhs)]</t>
  </si>
  <si>
    <t>Fellow subsidiaries/ Company over which KMPs having significant influence</t>
  </si>
  <si>
    <t>Donations (corporate social responsibility)</t>
  </si>
  <si>
    <t>Deferred tax asset (net)</t>
  </si>
  <si>
    <t>c)</t>
  </si>
  <si>
    <t>Amortised Premium until date</t>
  </si>
  <si>
    <t>Employee benefits</t>
  </si>
  <si>
    <t>Finance</t>
  </si>
  <si>
    <t>Syntel Solutions (Mauritius) Limited (holding company) and nominees</t>
  </si>
  <si>
    <t>Other statutory dues payable (#)</t>
  </si>
  <si>
    <t>Assessment Year</t>
  </si>
  <si>
    <t>Disallowance on account of RTP and marketing fees</t>
  </si>
  <si>
    <t>Total disallowance</t>
  </si>
  <si>
    <t>Tax Rate</t>
  </si>
  <si>
    <t>Tax impact on the same</t>
  </si>
  <si>
    <t>Amount paid</t>
  </si>
  <si>
    <t>Interest and penalty</t>
  </si>
  <si>
    <t>Disallowance u/s 10AA</t>
  </si>
  <si>
    <t>2011-12 to 2015-16</t>
  </si>
  <si>
    <t>Period</t>
  </si>
  <si>
    <t>Service tax on RTP and marketing fees on reverse charge basis</t>
  </si>
  <si>
    <t>Net amount</t>
  </si>
  <si>
    <t>Service Tax</t>
  </si>
  <si>
    <t>Non utilization of MAT credit</t>
  </si>
  <si>
    <t>Geographic segmentation is based on business sourced from the geographic region and delivered from both onsite and offshore.</t>
  </si>
  <si>
    <t>Software services</t>
  </si>
  <si>
    <t>Support team</t>
  </si>
  <si>
    <t>Ultimate holding company</t>
  </si>
  <si>
    <t>USD in absolute</t>
  </si>
  <si>
    <t>The movement is on account of following:</t>
  </si>
  <si>
    <t>Balance at the beginning of the year (net)</t>
  </si>
  <si>
    <t>Provision recognised for the year</t>
  </si>
  <si>
    <t>Adjustment of provision and advance tax pertaining to earlier years</t>
  </si>
  <si>
    <t>Less: MAT credit utilized</t>
  </si>
  <si>
    <t>Net current income tax (liabilities) at the end</t>
  </si>
  <si>
    <t>Advance tax/TDS paid during the year net of refund</t>
  </si>
  <si>
    <t>Fair value of plan assets</t>
  </si>
  <si>
    <t>Excess of obligation over plan assets (plan assets over obligation)</t>
  </si>
  <si>
    <t>Experience adjustment on plan liabilities (#)</t>
  </si>
  <si>
    <t>These financial statements are prepared in accordance with Indian Accounting Standards (Ind AS) under the historical cost convention on the accrual basis except for certain financial instruments which are measured at fair values, the provisions of the Companies Act, 2013 (the Act’), as applicable. The Ind AS are prescribed under Section 133 of the Act read with Rule 3 of the Companies (Indian Accounting Standards) Rules, 2015 and Companies (Indian Accounting Standards) Amendment Rules, 2016.</t>
  </si>
  <si>
    <t>Use of estimates and judgements</t>
  </si>
  <si>
    <t>The following are significant management estimates and judgements in applying the accounting policies of the Company that have the most significant effect on the financial statements:</t>
  </si>
  <si>
    <t>Defined benefit pland and compensated absences</t>
  </si>
  <si>
    <t>Revenue is recognised upon transfer of control of promised services to customers to the extent that it is probable that the economic benefits will flow to the Company and the revenue can be reliably measured.  The following specific recognition criteria must also be met before revenue is recognized:</t>
  </si>
  <si>
    <t>Gratuity liability in respect of inter company transfer employees</t>
  </si>
  <si>
    <t>Service tax demand including interest and penalty in respect of earlier years under dispute</t>
  </si>
  <si>
    <t>An operating segment is a component of the Company that engages in business activities from which it may earn revenues and incur expenses, including revenues and expenses that relate to transactions with any of the Company's other components, and for which discrete financial information is available. All operating segments' operating results are reviewed by the Company's Chief Operating Decision Maker (CODM) to make decisions about resources to be allocated to the segments and assess their performance.</t>
  </si>
  <si>
    <t>Syntel LLC.</t>
  </si>
  <si>
    <t>Deferred tax charge (*)</t>
  </si>
  <si>
    <t xml:space="preserve">Until 08 October 2018, the Company's parent company was Syntel LLC, (previously known as “Syntel Inc.”, converted into Limited Liability Company effective 28 June 2019) a Limited Liability company registered in the United States of America having its registered address at 525 E Big Beaver Road, Troy, MI 48083, USA. On 09 October 2018, pursuant to the Agreement and Plan of Merger, Syntel LLC has been acquired by Atos S.E. (‘Atos’), a European company organized under the laws of France, having its registered address at 80, Quai Voltaire, 95870 Bezons, France. Accordingly, as at 31 March 2019, Atos is the ultimate parent company for the Company. </t>
  </si>
  <si>
    <t>Subsequently to the balance sheet date, the entire business of Syntel Inc. was transferred to Atos Syntel Inc. w.e.f  01 June 2019. Syntel Inc. shall continue to hold investments in the existing subsidiaries prior to such transfer. Accordingly, Atos Syntel Inc. is also an intermediary holding company of the Company.</t>
  </si>
  <si>
    <t>Property and equipment (continued)</t>
  </si>
  <si>
    <t>Employee retirement and other benefits (continued)</t>
  </si>
  <si>
    <t>Income tax (continued)</t>
  </si>
  <si>
    <t>Financial instruments (continued)</t>
  </si>
  <si>
    <t>Accounting standards issued but not effective. (continued)</t>
  </si>
  <si>
    <t>Statement of compliance and basis of preparation</t>
  </si>
  <si>
    <t xml:space="preserve">All assets and liabilities have been classified as current and non-current as per the Company’s normal operating cycle. Based on the nature of services rendered to customers and time elapsed between deployment of resources and the realisation in cash and cash equivalents of the consideration for such services rendered, the Company has considered an operating cycle of twelve months. </t>
  </si>
  <si>
    <t>The Company has uniformly applied the accounting policies during the periods presented, except for new accounting standards adopted by the Company.</t>
  </si>
  <si>
    <t>The financial statements correspond to the classification provisions contained in Ind AS 1, “Presentation of Financial Statements”. For clarity, various items are aggregated in the statement of profit and loss and balance sheet. These items are disaggregated separately in the notes to the financial statements, where applicable.</t>
  </si>
  <si>
    <t>Income taxes</t>
  </si>
  <si>
    <t>The major tax jurisdictions for the Company is India. Significant judgments are involved in determining the provision for income taxes including judgment on whether tax positions are probable of being sustained in tax assessments. A tax assessment can involve complex issues, which can only be resolved over extended time periods.</t>
  </si>
  <si>
    <t xml:space="preserve">Deferred taxes </t>
  </si>
  <si>
    <t>Defined benefit plan and compensated absences</t>
  </si>
  <si>
    <t>The cost of the defined benefit plans, compensated absences and the present value of the defined benefit obligations are based on actuarial valuation using the projected unit credit method. An actuarial valuation involves making various assumptions that may differ from actual developments in the future. These include the determination of the discount-rate, future salary increases and mortality rates. Due to the complexities involved in the valuation and its long-term nature, a defined benefit obligation is highly sensitive to changes in these assumptions. All assumptions are reviewed at each reporting date.</t>
  </si>
  <si>
    <t>Expected credit loss</t>
  </si>
  <si>
    <t>Impairment of non-financial assets</t>
  </si>
  <si>
    <t xml:space="preserve">Non-financial assets are reviewed for impairment, whenever events or changes in circumstances indicate that the carrying amount of such assets may not be recoverable. If any such indication exists, the recoverable amount of the asset is estimated in order to determine the extent of the impairment loss (if any). </t>
  </si>
  <si>
    <t>Foreign currency transactions and translation</t>
  </si>
  <si>
    <t>Functional currency</t>
  </si>
  <si>
    <t>Transactions and translations</t>
  </si>
  <si>
    <t>Financial assets amortised at cost</t>
  </si>
  <si>
    <t>Financial assets at fair value through other comprehensive income</t>
  </si>
  <si>
    <t>Financial assets at fair value through profit or loss</t>
  </si>
  <si>
    <t>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t>
  </si>
  <si>
    <t>a) in the principal market for the asset or liability, or</t>
  </si>
  <si>
    <t>b) in the absence of a principal market, in the most advantageous market for the asset or liability.</t>
  </si>
  <si>
    <t>A fair value measurement of non-financial asset takes into account a market participant's ability to generate economic benefits by using the asset in its highest and best use or by selling it to another market participant that would use the asset in its highest and best use.</t>
  </si>
  <si>
    <t>The Company uses valuation techniques that are appropriate in the circumstances and for which sufficient data are available to measure fair value, maximising the use of relevant observable inputs and minimising the use of unobservable inputs.</t>
  </si>
  <si>
    <t>All assets and liabilities for which fair value is measured or disclosed in the financial statements are categorised within the fair value hierarchy, described as follows, based on the lowest level input that is significant to the fair value measurement as a whole:</t>
  </si>
  <si>
    <t>For the purpose of fair value disclosure, the Company has determined classes of assets and liabilities on the basis of the nature, characteristics and risks of the asset or liability and the level of the fair value hierarchy as explained above.</t>
  </si>
  <si>
    <t>Transition to Ind AS</t>
  </si>
  <si>
    <t>On transition to Ind AS the Company has elected to continue with the carrying value of all its property and equipment recognized as at 01 April 2015, measured as per previous GAAP, and use that carrying value as the deemed cost of such property and equipment.</t>
  </si>
  <si>
    <t>Intangible assets and property and equipment are evaluated for recoverability whenever events or changes in circumstances indicate that their carrying amounts may not be recoverable.</t>
  </si>
  <si>
    <t>If such assets are considered to be impaired, the impairment to be recognized in the Statement of Profit and Loss is measured by the amount by which the carrying value of the assets exceeds the estimated recoverable amount of the asset. An impairment loss is reversed in the Statement of Profit and Loss if there has been a change in the estimates used to determine the recoverable amount. The carrying amount of the asset is increased to its revised recoverable amount, provided that this amount does not exceed the carrying amount that would have been determined (net of any accumulated amortization or depreciation) had no impairment loss been recognized for the asset in prior years.</t>
  </si>
  <si>
    <t>Depreciation and amortization</t>
  </si>
  <si>
    <t>Employee benefits payable wholly within twelve months of receiving employee services are classified as short-term employee benefits. These benefits include salaries and wages, bonus and ex-gratia. The undiscounted amount of short-term employee benefits to be paid in exchange for employee services is recognized as an expense as the related service is rendered by employees.</t>
  </si>
  <si>
    <t>Post-employment benefit</t>
  </si>
  <si>
    <t>Defined contribution plans</t>
  </si>
  <si>
    <t>The Company’s contribution towards employee’s provident fund is a defined contribution plan. The Company’s contribution paid/payable under the scheme is recognized as expense in the Statement of profit and loss during the year in which the employee renders the related service. The Company makes specified monthly contributions towards employee provident fund.</t>
  </si>
  <si>
    <t>The Company provides for gratuity, a defined benefit retirement plan covering eligible employees. The present value of the obligation is determined based on actuarial valuation carried out by an independent actuary at the Balance sheet date using the Projected Unit Credit Method, which recognizes each period of service as giving rise to additional unit of employee benefit entitlement and measures each unit separately to build up the final obligation.</t>
  </si>
  <si>
    <t>The obligation is measured at the present value of the estimated future cash flows. The discount rates used for determining the present value of the obligation under benefit plans, is based on the market yields on Government securities as at the Balance sheet date. Actuarial gains and losses are recognized immediately in the Balance sheet with a corresponding debit or credit to retained earnings through other comprehensive income in the period in which they occur. Actuarial gains or losses are not reclassified to the Statement of profit and loss in subsequent periods.</t>
  </si>
  <si>
    <t>Provisions and contingent liabilities</t>
  </si>
  <si>
    <t>Provisions for onerous contracts are recognised when the expected benefits to be derived by the Company from a contract are lower than the unavoidable costs of meeting the future obligations under the contract. Provisions for onerous contracts are measured at the present value of lower of the expected net cost of fulfilling the contract and the expected cost of terminating the contract.</t>
  </si>
  <si>
    <t xml:space="preserve">Time and material: </t>
  </si>
  <si>
    <t>Revenues and costs relating to time and materials contracts are recognised as the related services are rendered.</t>
  </si>
  <si>
    <t xml:space="preserve">Revenue and cost for cost-plus contracts are recognised as the related services are rendered at a specified standard cost rate with the group companies. Revenue from group companies are thereafter actualised at the end of each reporting period at an agreed cost-plus mark-up on all cost incurred for each reporting period, in accordance with the terms of the master services agreement with the group companies. </t>
  </si>
  <si>
    <t xml:space="preserve">The Company accounts for variable considerations like, volume discounts, rebates and pricing incentives to customers as reduction of revenue on a systematic and rational basis over the period of the contract. The Company estimates an amount of such variable consideration using expected value method or the single most likely amount in a range of possible consideration depending on which method better predicts the amount of consideration to which the Company may be entitled.   </t>
  </si>
  <si>
    <t>Revenues are shown net of allowances/ returns, sales tax, value added tax, goods and services tax and applicable discounts and allowances. The Company accrues the estimated cost of warranties at the time when the revenue is recognised. The accruals are based on the Company’s historical experience of material usage and service delivery costs.</t>
  </si>
  <si>
    <t>The Company disaggregates revenue from contracts with customers by geography. The geography is defined as the location of the customer.</t>
  </si>
  <si>
    <t>Income tax expense comprises current and deferred income tax. It is recognized in net profit in the Statement of profit and loss except to the extent that it relates to an item recognized directly in equity or in other comprehensive income.</t>
  </si>
  <si>
    <t>Current tax assets and current tax liabilities are offset only if there is a legally enforceable right to set off the recognized amounts, and it is intended to realize the asset and settle the liability on a net basis or simultaneously.</t>
  </si>
  <si>
    <t>Deferred tax assets and deferred tax liabilities are offset only if there is a legally enforceable right to set off current tax assets against current tax liabilities, and where the deferred tax assets and deferred tax liabilities relate to income taxes levied by the same taxation authority.</t>
  </si>
  <si>
    <t>Minimum Alternate Tax (MAT) paid in accordance with the tax laws, which gives future economic benefits in the form of adjustment to future income tax lability, is considered as an asset if there is convincing evidence that the Company will pay normal income tax. Accordingly, MAT is recognised as an asset in the Balance Sheet when it is highly probable that the future economic benefit associated with it will flow to the Company having reasonable certainty that it can be utilized against the normal taxes payable under the Income-tax Act, 1961.</t>
  </si>
  <si>
    <t>Earnings per share</t>
  </si>
  <si>
    <t>Basic Earnings per share is calculated by dividing the net profit or loss for the year attributable to the equity shareholders by the weighted average number of equity shares outstanding during the year. For the purpose of calculating diluted earnings per share, the net profit or loss for the year attributable to equity shareholders and the weighted average number of shares outstanding during the year are adjusted for the effects of all dilutive potential equity shares.</t>
  </si>
  <si>
    <t>Cash and cash equivalents comprise cash in hand, balance with banks and term deposits with banks with original maturity up to three months. Other bank balances comprise of term deposit with banks having maturity of more than three months but less than twelve months from the Balance sheet date.</t>
  </si>
  <si>
    <t>New accounting standard yet to be adopted by the Company</t>
  </si>
  <si>
    <t>Ind AS 116</t>
  </si>
  <si>
    <t>Ind AS 12 Appendix C, Uncertainty over Income Tax Treatments</t>
  </si>
  <si>
    <t>On 30 March 2019, Ministry of Corporate Affairs has notified Ind AS 12 Appendix C, Uncertainty over Income Tax Treatments which is to be applied while performing the determination of taxable profit (or loss), tax bases, unused tax losses, unused tax credits and tax rates, when there is uncertainty over income tax treatments under Ind AS 12. According to the appendix, companies need to determine the probability of the relevant tax authority accepting each tax treatment, or group of tax treatments, that the companies have used or plan to use in their income tax filing which has to be considered to compute the most likely amount or the expected value of the tax treatment when determining taxable profit (tax loss), tax bases, unused tax losses, unused tax credits and tax rates.</t>
  </si>
  <si>
    <t>Amendment to Ind AS 19 – plan amendment, curtailment or settlement</t>
  </si>
  <si>
    <t>Certain new standards, amendments to standards and interpretations are not yet effective for annual periods beginning after 01 April 2018, and have not been applied in preparing these financial statements. New standards, amendments to standards and interpretations that could have potential impact on the financial statements of the Company are:</t>
  </si>
  <si>
    <t>Amendment to Ind AS 12 – Income taxes: On 30 March 2019, Ministry of Corporate Affairs issued amendments to the guidance in Ind AS 12, ‘Income Taxes’, in connection with accounting for dividend distribution taxes. The amendment clarifies that an entity shall recognise the income tax consequences of dividends in profit or loss, other comprehensive income or equity according to where the entity originally recognised those past transactions or events.</t>
  </si>
  <si>
    <t>Average net profit of the Company for last three financial years for the purpose of computation of CSR</t>
  </si>
  <si>
    <t>Prescribed CSR expenditure (2 percent of above)</t>
  </si>
  <si>
    <t>Amount spent during the year for the purposes as mentioned above</t>
  </si>
  <si>
    <r>
      <t>Income tax expenses</t>
    </r>
    <r>
      <rPr>
        <b/>
        <i/>
        <sz val="10"/>
        <color theme="1"/>
        <rFont val="Arial"/>
        <family val="2"/>
      </rPr>
      <t xml:space="preserve"> (continued)</t>
    </r>
  </si>
  <si>
    <t>Experience adjustments</t>
  </si>
  <si>
    <t>Present value of benefit obligation</t>
  </si>
  <si>
    <t>Financial Statements</t>
  </si>
  <si>
    <t>Contents</t>
  </si>
  <si>
    <t>Page</t>
  </si>
  <si>
    <t>Independents Auditor's Report</t>
  </si>
  <si>
    <t xml:space="preserve">Balance Sheet </t>
  </si>
  <si>
    <t>Statement of Profit and Loss</t>
  </si>
  <si>
    <t>Statements of Equity</t>
  </si>
  <si>
    <t>The Company may enter into arrangements with third party and/or related party client to providing support team services or out-of-pocket expenses to fulfil promised services to such customers. In such cases, the Company evaluates whether the Company is the principal (i.e. report revenues on a gross basis) or agent (i.e. report revenues on a net basis). In doing so, the Company first evaluates whether the Company controls the good or service before it is transferred to the customers. If Company controls the good or service before it is transferred to the customers, Company is the principal; if not, the Company is the agent.</t>
  </si>
  <si>
    <t>Contracts are subject to modification to account for changes in contract specification and requirements. The Company reviews modification to contract in conjunction with the original contract, basis which the transaction price could be allocated to a new performance obligation, or transaction price of an existing obligation could undergo a change. In the event transaction price is revised for existing obligation, a cumulative adjustment is accounted for.</t>
  </si>
  <si>
    <t>Deferred tax</t>
  </si>
  <si>
    <t>Cash flows are reported using the indirect method, whereby profit for the period is adjusted for the effects of transactions of a non-cash nature, any deferrals or accruals of past or future operating cash receipts or payments and item of income or expenses associated with investing or financing cash flows.  The cash flows from operating, investing and financing activities of the Company are segregated.</t>
  </si>
  <si>
    <t>New accounting standards adopted by the Company</t>
  </si>
  <si>
    <t>Financial Instruments - Accounting Classifications and Fair Value Measurements (continued)</t>
  </si>
  <si>
    <t>Liabilities assumed / (settled)</t>
  </si>
  <si>
    <t>Summary of significant accounting policies</t>
  </si>
  <si>
    <t>(i)</t>
  </si>
  <si>
    <t>(ii)</t>
  </si>
  <si>
    <t>(iii)</t>
  </si>
  <si>
    <t>(iv)</t>
  </si>
  <si>
    <t>(v)</t>
  </si>
  <si>
    <t>(vi)</t>
  </si>
  <si>
    <t>(vii)</t>
  </si>
  <si>
    <t>e.</t>
  </si>
  <si>
    <t>f.</t>
  </si>
  <si>
    <t>g.</t>
  </si>
  <si>
    <t>h.</t>
  </si>
  <si>
    <t>j.</t>
  </si>
  <si>
    <t>k.</t>
  </si>
  <si>
    <t>l.</t>
  </si>
  <si>
    <t>Cost-plus mark-up:</t>
  </si>
  <si>
    <t>m.</t>
  </si>
  <si>
    <t>n.</t>
  </si>
  <si>
    <t>r.</t>
  </si>
  <si>
    <t>s.</t>
  </si>
  <si>
    <t>Financial risk management objectives and policies (continued)</t>
  </si>
  <si>
    <t>Net profit before tax</t>
  </si>
  <si>
    <t>Other income is comprised primarily of interest income, gain/loss on investments and exchange gain/loss related to monetary assets and liabilities. Interest income is recognized using the effective interest method.</t>
  </si>
  <si>
    <t>On 30 March 2019, the Ministry of Corporate Affairs issued Ind AS 116, "Leases". Ind AS 116 Leases, substantially changes the financial statements as the majority of leases for which the Company is the lessee will become on-balance sheet liabilities with corresponding right-of-use assets on the balance sheet. The lease liabilities reflects the net present value of the remaining lease payments, and the right-of-use assets corresponds to the lease liability, adjusted for payments made before the commencement date, lease incentives and other items related to the lease arrangement. The standard replaces Ind AS 17, "Leases".</t>
  </si>
  <si>
    <t>Upon adoption of the new standard, a portion of the annual operating lease costs, which is currently fully recognized as a functional expense above EBITDA (non GAAP measure), will be recorded as interest expense, and the other portion will be recognized as amortization of right-of-use asset. With respect to the cash flow statement, the portion of the annual lease payments recognized as a reduction of the lease liability will be recognized as an outflow from financing activities, which currently is fully recognized as an outflow from operating activities. Given the leases involved and the interest rate environment, the Company does not expect these effects to be significant.
The Company will adopt the new standard effective 01 April 2019 and has evaluated the modified retrospective method, with right-of-use assets measured at an amount equal to the lease liability, adjusted by the amount of the prepaid or accrued lease payments relating to those leases recognized in the balance sheet immediately before the date of initial application and will not restate prior years. There are no impacts on account of leases where the Company is acting as a lessor.</t>
  </si>
  <si>
    <t>The effective date for adoption of Ind AS 12 Appendix C is annual periods beginning on or after 01 April 2019. The Company will adopt the standard for periods beginning from 01 April 2019 and has decided to adjust the cumulative effect in equity on the date of initial application i.e. 01 April 2019 without adjusting comparatives. The Company is currently evaluating the effect of this amendment on the financial statements.</t>
  </si>
  <si>
    <t>Effective date for application of this amendment is annual period beginning on or after 01 April 2019. Hence the Company will apply it for period beginning from 01 April 2019. The Company is currently evaluating the effect of this amendment on the financial statements.</t>
  </si>
  <si>
    <t>On 30 March 2019, Ministry of Corporate Affairs issued amendments to Ind AS 19, ‘Employee Benefits’, in connection with accounting for plan amendments, curtailments and settlements. The amendments require an entity: 
• to use updated assumptions to determine current service cost and net interest for the remainder of the period after a plan amendment, curtailment or settlement; and 
• to recognise in profit or loss as part of past service cost, or a gain or loss on settlement, any reduction in a surplus, even if that surplus was not previously recognised because of the impact of the asset ceiling.
Effective date for application of this amendment is annual period beginning on or after 01 April 2019. Hence the Company will apply it for period beginning from 01 April 2019. The Company is currently evaluating the effect of this amendment on the financial statements.</t>
  </si>
  <si>
    <t>Other termination benefits</t>
  </si>
  <si>
    <t>INR in Lakhs</t>
  </si>
  <si>
    <t>JPMorgan Chase Bank N.A. Curre</t>
  </si>
  <si>
    <t>JPMorgan Chase Bank N.A. Payro</t>
  </si>
  <si>
    <t>Deposit-National India Insuran</t>
  </si>
  <si>
    <t>Apr to Dec 19 Fin</t>
  </si>
  <si>
    <t>Mar 20 Fin</t>
  </si>
  <si>
    <t>Total IFRS Fin</t>
  </si>
  <si>
    <t>1. Restatement of Balancesheet</t>
  </si>
  <si>
    <t>Balance Sheet as at 31 March 2019</t>
  </si>
  <si>
    <t>Audited Balance Sheet</t>
  </si>
  <si>
    <t>Restatement effect</t>
  </si>
  <si>
    <t>Restated Balance Sheet</t>
  </si>
  <si>
    <t>Investment property</t>
  </si>
  <si>
    <t>Other bank balances</t>
  </si>
  <si>
    <t>1. Restatement of Statement of profit and loss</t>
  </si>
  <si>
    <t xml:space="preserve"> - Rental income</t>
  </si>
  <si>
    <t>Minimum Alternate Tax credit entitlement</t>
  </si>
  <si>
    <t xml:space="preserve"> Tax impact on above items</t>
  </si>
  <si>
    <r>
      <t xml:space="preserve">Deferred tax [(including MAT charge of </t>
    </r>
    <r>
      <rPr>
        <sz val="10"/>
        <rFont val="Arial"/>
        <family val="2"/>
      </rPr>
      <t>₹ 39</t>
    </r>
    <r>
      <rPr>
        <sz val="10"/>
        <color theme="1"/>
        <rFont val="Arial"/>
        <family val="2"/>
      </rPr>
      <t>)]</t>
    </r>
  </si>
  <si>
    <t>Less: BBT provision</t>
  </si>
  <si>
    <t>Deferred tax liabilities (net)</t>
  </si>
  <si>
    <t xml:space="preserve"> Remeasurement of the actuarial gain/loss on defined benefit obligation</t>
  </si>
  <si>
    <t>Net cash generated from operating activities (A)</t>
  </si>
  <si>
    <t>Net cash generated from investing activities (B)</t>
  </si>
  <si>
    <t>Units nos. (*)</t>
  </si>
  <si>
    <t>* Number of units are in actual figures</t>
  </si>
  <si>
    <t>Prepaid expenses (#)</t>
  </si>
  <si>
    <t xml:space="preserve">         Number of Shares (*)</t>
  </si>
  <si>
    <t>* Number of shares are in actual figures</t>
  </si>
  <si>
    <t xml:space="preserve">    Number of Shares (*)</t>
  </si>
  <si>
    <t>No of shares (*)</t>
  </si>
  <si>
    <t>Travel and conveyance (#)</t>
  </si>
  <si>
    <t>Sharing/recovery of costs (#)</t>
  </si>
  <si>
    <t>Finance charge (Refer note no.23)</t>
  </si>
  <si>
    <t>Preference shares (Refer note no. 13)</t>
  </si>
  <si>
    <t>Syntel LLC. (#)</t>
  </si>
  <si>
    <t>Tax on buy back pf preference shares</t>
  </si>
  <si>
    <t>Deferred tax liabilities</t>
  </si>
  <si>
    <t>Total deferred tax liabilities</t>
  </si>
  <si>
    <t xml:space="preserve">   Tax on buy back of preference shares</t>
  </si>
  <si>
    <t>(viii)</t>
  </si>
  <si>
    <t>Depreciation (#)</t>
  </si>
  <si>
    <t>Provision for bonus</t>
  </si>
  <si>
    <t>Lease deposit to be paid</t>
  </si>
  <si>
    <t>Income tax liabilities (net) (#)</t>
  </si>
  <si>
    <t>As per Section 135 of the Act, the Company has formed a CSR committee. The projects and programs proposed to be undertaken by the Company are pursuant to the CSR initiatives as listed in the CSR policy approved by the Board, with more focus on providing education, vocational guidance and training including health, hygiene and nutrition programs to the underprivileged and the downtrodden section of the society. The utilisation is done either by way of direct contribution towards various activities or by way of contribution to a trust - Atos Syntel Prayas Foundation (“S Prayas”).</t>
  </si>
  <si>
    <t>The Company has policy on compensated absences which are both accumulating and non-accumulating in nature. The Company measures the expected cost of such absences as the additional amount that it expects to pay as a result of the unused entitlement that has accumulated at the reporting date. The Company treats accumulated leave short-term employee benefit for measurement purposes. Such compensated absences are provided for based on the actuarial valuation using the projected unit credit method at the year-end. Actuarial gains/losses are immediately taken to the Statement of Profit and Loss and are not deferred. Expenses on non-accumulating compensation absences are recognised in the Statement of profit and loss in the period in which the absences occur.</t>
  </si>
  <si>
    <t>Tax on buyback of preference shares</t>
  </si>
  <si>
    <t>(a)</t>
  </si>
  <si>
    <t>Related party transactions</t>
  </si>
  <si>
    <t>1. Ultimate holding company</t>
  </si>
  <si>
    <t>2. Holding company</t>
  </si>
  <si>
    <t>4. Associates of ultimate holding company</t>
  </si>
  <si>
    <t>6. The controlled trust</t>
  </si>
  <si>
    <t>Nature of transaction</t>
  </si>
  <si>
    <t>Name of the related party</t>
  </si>
  <si>
    <t>Fellow subsidiary</t>
  </si>
  <si>
    <t>Corporate social responsibility</t>
  </si>
  <si>
    <t xml:space="preserve">Atos Syntel Prayas Foundation </t>
  </si>
  <si>
    <t>The controlled trust</t>
  </si>
  <si>
    <t xml:space="preserve">The Company has entered into certain non-cancelable operating lease agreements for its development centres. The lease rentals charged during the year and maximum obligations under the respective agreements are as follows: </t>
  </si>
  <si>
    <r>
      <t xml:space="preserve">Trade payables </t>
    </r>
    <r>
      <rPr>
        <b/>
        <i/>
        <sz val="10"/>
        <color theme="1"/>
        <rFont val="Arial"/>
        <family val="2"/>
      </rPr>
      <t>(continued)</t>
    </r>
  </si>
  <si>
    <t>Partner</t>
  </si>
  <si>
    <t>Estimated value and useful life of ROU asset</t>
  </si>
  <si>
    <t xml:space="preserve"> Leases</t>
  </si>
  <si>
    <t>Company as a lessor</t>
  </si>
  <si>
    <t>Leases are classified as finance lease when substantially all of the risks and rewards of ownership is transferred from the Company to the lessee. Amounts due from lessees under finance leases are recorded as receivables at the Company’s net investment in the leases. Finance lease income is allocated to accounting periods so as to reflect a constant periodic rate of return on the net investment outstanding in respect of the lease.</t>
  </si>
  <si>
    <t>The following significant pronouncements from the ICAI have been issued and have been adopted by the Company:
Ind AS 116 ‘Leases’ replaces IAS 17 ‘Leases’. The adoption of this new Standard results in recognising a right-of-use asset and related lease liability in connection with all former operating leases except for those identified as low-value or having a remaining lease term of less than 12 months from the date of initial application. Since all the leases as on 31 March 2020 are low-value, no impact is considered on the financials.</t>
  </si>
  <si>
    <t>Revenue from software services</t>
  </si>
  <si>
    <t>Lease deposit payable</t>
  </si>
  <si>
    <t xml:space="preserve">Rupee Equivalent </t>
  </si>
  <si>
    <t>The Company manages market risk through a treasury department, which evaluates and excercises independent control over the entire process of market risk management. The treasury department recommends risk management objectives and policies, which are approved by Senior Management. The activities of this deparment include management of cash resources, implementing hedging strategies for foreign currency exposures and ensuring compliance with market risk limits and policies.</t>
  </si>
  <si>
    <t>Foreign currency exchange rate exposure is partly balanced by payment in foreign currency inward, technical consultancy charges, marketing fees, onsite employees payroll cost, foreign travel cost etc., mainly in US dollar currency.</t>
  </si>
  <si>
    <t xml:space="preserve"> However going forward such kind of transactions may not be there so currency may not be expected in future.</t>
  </si>
  <si>
    <t>Financial Year</t>
  </si>
  <si>
    <t>Year of expiry</t>
  </si>
  <si>
    <t>2029-30</t>
  </si>
  <si>
    <t>2015-16</t>
  </si>
  <si>
    <t>2030-31</t>
  </si>
  <si>
    <t>Deferred tax is recorded on temporary differences between the tax bases of assets and liabilities and their carrying amounts, at the rates that have been enacted or substantively enacted at the reporting date. The ultimate realization of deferred tax assets is dependent upon the generation of future taxable profits during the 5 year period whierein those temporary differences and tax loss carry-forwards become deductible. The Company considers the expected reversal of deferred tax liabilities and projected future taxable income in making this assessment. Accordingly the deferred tax asset has been recognized only to the extent realizable. However the amount of the deferred tax assets considered realisable, could be reduced in the near term if estimates of future taxable income during the carry-forward period are reduced.</t>
  </si>
  <si>
    <t>Uncertainty relating to the global health pandemic on COVID-19</t>
  </si>
  <si>
    <t>This space is intentionally left blank</t>
  </si>
  <si>
    <t>Membership No. 061068</t>
  </si>
  <si>
    <t>Sanjay Banthia</t>
  </si>
  <si>
    <t>Cash Flow Statements</t>
  </si>
  <si>
    <t xml:space="preserve">        As at</t>
  </si>
  <si>
    <t>Foreign currency exposure as at 31 March 2021</t>
  </si>
  <si>
    <t>JPMorgan Chase Bank N.A. FCY A</t>
  </si>
  <si>
    <t>JPMorgan Chase Bank FD</t>
  </si>
  <si>
    <t>Global Crg. - Support function</t>
  </si>
  <si>
    <t>Apr-20 to Dec-20 Fin</t>
  </si>
  <si>
    <t>Jan-21 to Mar-21 Fin</t>
  </si>
  <si>
    <t>Unrealised (loss) on mutual fund units</t>
  </si>
  <si>
    <t>Less: Miscellaneous income</t>
  </si>
  <si>
    <t>Company has performed physical verification of its movable assets in nature of laptops and desktops during the year. However owing to lockdowns imposed country wide with varying degrees of restrictions due to ongoing COVID-19 pandemic, the Company was unable to perform physical verification of the balance fixed assets during the year. The management believes that if complete physical verification was conducted there would not have been any significant discrepancies that would require any adjustments to the carrying value of the fixed assets.</t>
  </si>
  <si>
    <t>Atos Syntel Inc</t>
  </si>
  <si>
    <t>Lease deposit paid</t>
  </si>
  <si>
    <t>ROU of Lease Assets</t>
  </si>
  <si>
    <t>Lease Liability</t>
  </si>
  <si>
    <t>Regrp of Lease Liabil</t>
  </si>
  <si>
    <t>Amortisation of ROU A</t>
  </si>
  <si>
    <t>Reversal of rent Lease IFRS 16</t>
  </si>
  <si>
    <t>Interest Exp on Lease Liab</t>
  </si>
  <si>
    <t>Acc Dep right of use Lease</t>
  </si>
  <si>
    <t>Depreciation on ROU asset</t>
  </si>
  <si>
    <t>Finance lease liabilities</t>
  </si>
  <si>
    <t>Finance lease liabilities (Non current portion)</t>
  </si>
  <si>
    <t>Finance lease liabilities (Current portion)</t>
  </si>
  <si>
    <t>Right-of-use asset</t>
  </si>
  <si>
    <t>Right-of-use (ROU) asset</t>
  </si>
  <si>
    <t>3A</t>
  </si>
  <si>
    <t>Leasehold premises</t>
  </si>
  <si>
    <t>Pune</t>
  </si>
  <si>
    <t>I. Gross carrying value</t>
  </si>
  <si>
    <t>Additions due to renewals</t>
  </si>
  <si>
    <t>Payment of interest</t>
  </si>
  <si>
    <t>Repayment of lease liability</t>
  </si>
  <si>
    <t>Repayment of lease liability (***)</t>
  </si>
  <si>
    <t>Payment of interest (**)</t>
  </si>
  <si>
    <t xml:space="preserve">    As at</t>
  </si>
  <si>
    <t>Non-current</t>
  </si>
  <si>
    <t>Finance lease liabilities are repayable as follows:</t>
  </si>
  <si>
    <t>Finance leases</t>
  </si>
  <si>
    <t>Future minimum finance lease payments as at the end of the reporting period are as follows:</t>
  </si>
  <si>
    <t>Lease payments</t>
  </si>
  <si>
    <t>Net present value</t>
  </si>
  <si>
    <t>Lease liability</t>
  </si>
  <si>
    <t>24.08.2021 version</t>
  </si>
  <si>
    <t>Lease liabilities</t>
  </si>
  <si>
    <t>Interest on lease liabilities</t>
  </si>
  <si>
    <t>Interest paid on lease liability</t>
  </si>
  <si>
    <t>Dividend paid on preference shares including dividend distribution tax thereon</t>
  </si>
  <si>
    <t>Net increase in cash and cash equivalents (A+B+C)</t>
  </si>
  <si>
    <r>
      <t xml:space="preserve">The financial statements for the year ended 31 March 2021 were authorized and approved for issue by the Board of Directors on </t>
    </r>
    <r>
      <rPr>
        <sz val="10"/>
        <rFont val="Arial"/>
        <family val="2"/>
      </rPr>
      <t>7 September 2021.</t>
    </r>
  </si>
  <si>
    <t xml:space="preserve"> There are no standards that are issued but not yet effective on March 31, 2021.</t>
  </si>
  <si>
    <t>11,200 3% Cumulative redeemable preference shares of ₹ 10 each (total face value of ₹ 112,000) are classified as financial liability (see Note 11).</t>
  </si>
  <si>
    <t>Interest expense (**)</t>
  </si>
  <si>
    <t>Over 1 year</t>
  </si>
  <si>
    <t>Security deposit (refer note 28)</t>
  </si>
  <si>
    <t>Receivables from related parties (refer note 28)</t>
  </si>
  <si>
    <t>Provision for gratuity (refer note 26 (c))</t>
  </si>
  <si>
    <t>Provision for compensated absences(refer note 26(b))</t>
  </si>
  <si>
    <t>Security deposit payable (refer note no 28)</t>
  </si>
  <si>
    <t>Software services (refer note 28)</t>
  </si>
  <si>
    <t>Contribution to provident and other funds(refer note 26(a))</t>
  </si>
  <si>
    <t>Gratuity expenses (refer note 26(c))</t>
  </si>
  <si>
    <t>Auditors' remuneration (refer note 23)</t>
  </si>
  <si>
    <t>Premium amortized during the year</t>
  </si>
  <si>
    <t xml:space="preserve">Receivable from group companies (refer note 28) </t>
  </si>
  <si>
    <t>Lease deposit (refer note 28)</t>
  </si>
  <si>
    <t>Net deferred income tax liabilities at the end</t>
  </si>
  <si>
    <t>Net deferred income tax liabilities / (assets) at the beginning</t>
  </si>
  <si>
    <t xml:space="preserve">Reconciliation of deferred tax liabilities net </t>
  </si>
  <si>
    <t>Depreciation on property and equipment (#)</t>
  </si>
  <si>
    <t>Credits/(charge) relating to temporary differences (#)</t>
  </si>
  <si>
    <t>Rent (refer note 28 and 30)</t>
  </si>
  <si>
    <t>Interest expense on finance lease  (refer note 28)</t>
  </si>
  <si>
    <t>ATOS International SAS  (#)</t>
  </si>
  <si>
    <t>Syntel Private Limited, India (#)</t>
  </si>
  <si>
    <t>ATOS International SAS (#)</t>
  </si>
  <si>
    <t>Security deposit payable</t>
  </si>
  <si>
    <t>Syntel Europe Limited</t>
  </si>
  <si>
    <t>Euro in absolute</t>
  </si>
  <si>
    <t>Statutory dues</t>
  </si>
  <si>
    <t>Unrealised foreign exchange loss</t>
  </si>
  <si>
    <t>The principal risks that the Company is impacted include uncertainty around renewal of revenue agreements as well as credit risk that might arise due to adverse market conditions on account of COVID-19 pandemic. The uncertainties arising from the aforesaid risk are mitigated primarily on account of long-term revenue agreement with group Companies. Further, the Company quickly adopted to alternate business continuity scenario, including but not limited to Work From Home (WFH) in near to medium term, the uncertainty still prevail in respect of timelines for resumption of normal workings conditions. Notwithstanding these safeguards, the business has drawn up contingency plans for reduction of operating expenses. 
In preparation of these financial statements, the Company has taken into account internal and external sources of information to assess possible impacts of the pandemic, including but not limited to assessment of liquidity and going concern, recoverable values of its financial and non-financial assets, impact on revenues and estimates of operating costs. Based on current indicators of future economic conditions, the Company has sufficient liquidity and expects to fully recover the carrying amount of its assets. In addition, the management has reasonable expectation that the Company has adequate resources to continue in operational existence for the foreseeable future, being a period of not less than twelve months from the date of approval of these financial statements. The company therefore continues to adopt the going concern basis in preparing its financial statements.
However, due to the evolving nature of the pandemic, its actual impact in future could be different from that estimated as at the date of approval of these financial results. The Company will continue to monitor any material changes to future economic conditions.</t>
  </si>
  <si>
    <t>Foreign currency transactions are recorded at appropriate daily exchange rate prevailing on the date of transaction. Exchange difference arising on foreign currency transactions, between the actual rate of settlement and the rate on the date of transactions, is charged or credited to Statement of profit and loss. Monetary assets and liabilities denominated in foreign currencies as at the Balance sheet date, not covered by foreign exchange contract are translated at the exchange rates prevailing on the Balance sheet date and the overall net exchange gain or loss on such conversion, if any, is credited or charged to the Statement of profit and loss. Non-monetary assets are recorded at the rates prevailing on the date of the transactions.</t>
  </si>
  <si>
    <t>Preference share, mandatorily redeemable on a specified date, are classified financial liability and are measured at ‘amortized cost’, in accordance with Ind-AS 109. In addition, premium on redemption is charged to Statement of profit and loss based on effective interest rate over the life of preference shares.</t>
  </si>
  <si>
    <t>Financial asset is derecognized when the contractual rights to the cash flows from the financial asset expire or is transferred and the transfer qualifies for derecognition under Ind-AS 109. A financial liability (or a part of a financial liability) is derecognised when the obligation specified in the contract is discharged or cancelled or expires.</t>
  </si>
  <si>
    <t>The principal or the most advantageous market must be accessible by the Company.</t>
  </si>
  <si>
    <t>For performance obligations where control is transferred over time, revenues are recognised by measuring progress towards completion of the performance obligation. The method of recognising revenue and costs depends on the nature of the services rendered:</t>
  </si>
  <si>
    <t>Cash generated from operations</t>
  </si>
  <si>
    <t>Net cash used in financing activities (C)</t>
  </si>
  <si>
    <t>Atos International SAS, France</t>
  </si>
  <si>
    <t>Balance as on 1 April 2020</t>
  </si>
  <si>
    <t>Balance as on 31 March 2022</t>
  </si>
  <si>
    <t>As at 31 March 2022</t>
  </si>
  <si>
    <t>Foreign currency exposure as at 31 March 2022</t>
  </si>
  <si>
    <t>Interco AR accruals</t>
  </si>
  <si>
    <t>TB for Fin</t>
  </si>
  <si>
    <t>Diff.</t>
  </si>
  <si>
    <t>Software</t>
  </si>
  <si>
    <t>PS Code mapped to SAP Code</t>
  </si>
  <si>
    <t>Descriptions</t>
  </si>
  <si>
    <t>PL/BS</t>
  </si>
  <si>
    <t>Grouping</t>
  </si>
  <si>
    <t>PS</t>
  </si>
  <si>
    <t>BS</t>
  </si>
  <si>
    <t>PL</t>
  </si>
  <si>
    <t>BS/PL Grouping</t>
  </si>
  <si>
    <t>BS/PL</t>
  </si>
  <si>
    <t>Punjab National Bank- USD</t>
  </si>
  <si>
    <t>E119</t>
  </si>
  <si>
    <t>SAP GL Code</t>
  </si>
  <si>
    <t>SAP GL Description</t>
  </si>
  <si>
    <t>Peoplesoft GL Code</t>
  </si>
  <si>
    <t>Peoplesoft GL Description</t>
  </si>
  <si>
    <t>Opening Balance as per SAP</t>
  </si>
  <si>
    <t>Closing Balance as per Peoplesoft 31.12.2021</t>
  </si>
  <si>
    <t>CAPITAL SUBSCRIBED - CALLED AND PAID</t>
  </si>
  <si>
    <t>OTHER RESERVES 4</t>
  </si>
  <si>
    <t>Stat, Of Recognized Income and Expense (SORIE) Res</t>
  </si>
  <si>
    <t>More than one Peoplesoft account is uploaded in a single SAP account code</t>
  </si>
  <si>
    <t>RETAINED EARNINGS</t>
  </si>
  <si>
    <t>DEFERRED TAX LIABILITY</t>
  </si>
  <si>
    <t>Unfunded post employment DB plans</t>
  </si>
  <si>
    <t xml:space="preserve">SUNDRY BORROWINGS </t>
  </si>
  <si>
    <t>DEPOS&amp;SURETIES PD</t>
  </si>
  <si>
    <t>ACCRUED INTEREST / LOANS</t>
  </si>
  <si>
    <t>interco foreign Vendors</t>
  </si>
  <si>
    <t>TRADE CREDITORS - GOODS AND SERVICES GROUP</t>
  </si>
  <si>
    <t>vendors FX revaluation</t>
  </si>
  <si>
    <t>TRADE CREDITORS - MANUAL CROSS-MATCHING</t>
  </si>
  <si>
    <t>Outstanding Liabilities</t>
  </si>
  <si>
    <t>I/C Trade payables - Purch Inv Accruals specific FI</t>
  </si>
  <si>
    <t>Foreign Interco customers</t>
  </si>
  <si>
    <t>TRADE DEBTORS GROUP</t>
  </si>
  <si>
    <t>Debtorss - Foreign Curr Revaluation Account</t>
  </si>
  <si>
    <t>TRADE DEBTORS - SALES INVOICE ACCRUALS GROUP</t>
  </si>
  <si>
    <t>ADVANCES ON SALARIES</t>
  </si>
  <si>
    <t>Empl Personal Loan</t>
  </si>
  <si>
    <t>Payroll Clearing Account</t>
  </si>
  <si>
    <t>Net Salary Payable</t>
  </si>
  <si>
    <t>Provision - LTA</t>
  </si>
  <si>
    <t>PROVISION - PAID HOLIDAYS</t>
  </si>
  <si>
    <t>PROVISION - EMPLOYEE PROFIT-SHARING</t>
  </si>
  <si>
    <t>ACCRUED EXPENSES - YEAR-END BONUS</t>
  </si>
  <si>
    <t>ACCRUED EXPENSES - PROV. OBJECTIVES BONUS</t>
  </si>
  <si>
    <t>OTHER ACCRUED EXPENSES</t>
  </si>
  <si>
    <t>WELFARE INSTITUTIONS</t>
  </si>
  <si>
    <t>TDS - Professional Fees</t>
  </si>
  <si>
    <t>Emp PF Pension Payable</t>
  </si>
  <si>
    <t>Lab Welfare Fund Payable</t>
  </si>
  <si>
    <t>Empployee Prof. Tax Payable</t>
  </si>
  <si>
    <t>INCOME TAXES ON SALARIES</t>
  </si>
  <si>
    <t>Corporate Income Tax and Accrued Income Tax</t>
  </si>
  <si>
    <t>Income tax - Monthly prepayment</t>
  </si>
  <si>
    <t>WCT TDS Recoverable-HPCL</t>
  </si>
  <si>
    <t>TDS Refund Receivable</t>
  </si>
  <si>
    <t>SERVICE TAX INPUT CREDIT AVAILED</t>
  </si>
  <si>
    <t>C/A Atos Syntel Inc. (US)</t>
  </si>
  <si>
    <t>C/A Syntel Pvt Ltd</t>
  </si>
  <si>
    <t>Current Accounts Foreign Curr revaluation</t>
  </si>
  <si>
    <t>OTHER ACCOUNTS IN DEBIT</t>
  </si>
  <si>
    <t>General Deposits</t>
  </si>
  <si>
    <t>PREPAYMENTS</t>
  </si>
  <si>
    <t>DEFERRED TAX</t>
  </si>
  <si>
    <t>Deferred tax asset - Valuation allowance</t>
  </si>
  <si>
    <t>Deferred tax–Valuation allow</t>
  </si>
  <si>
    <t>Bank Deposit</t>
  </si>
  <si>
    <t>Bank Of India-INR-Main</t>
  </si>
  <si>
    <t>J. P. Morgan Chase Bank N.A.-INR-Main</t>
  </si>
  <si>
    <t>TRADE CREDITORS - GOODS AND SERVICES</t>
  </si>
  <si>
    <t>TRADE DEBTORS - GUARANTEE RETENTIONS</t>
  </si>
  <si>
    <t>Personal Computers</t>
  </si>
  <si>
    <t>OTHER TANGIBLE FIXED ASSETS</t>
  </si>
  <si>
    <t>SOFTWARE</t>
  </si>
  <si>
    <t>Depreciation - Personal Computers</t>
  </si>
  <si>
    <t>DEPRECIATION - OTHER TANGIBLE FIXED ASS</t>
  </si>
  <si>
    <t>DEPRECIATION - SOFTWARE</t>
  </si>
  <si>
    <t>Grand Total Rs.</t>
  </si>
  <si>
    <t>Pune                  Ledger 0L                                                                   RFBILA00/A720217  Page           1</t>
  </si>
  <si>
    <t>Company code</t>
  </si>
  <si>
    <t>Business area</t>
  </si>
  <si>
    <t>****</t>
  </si>
  <si>
    <t>Amounts in</t>
  </si>
  <si>
    <t>Comp</t>
  </si>
  <si>
    <t>Bus.</t>
  </si>
  <si>
    <t>Texts</t>
  </si>
  <si>
    <t>Reporting period</t>
  </si>
  <si>
    <t>Comparison period</t>
  </si>
  <si>
    <t xml:space="preserve">       Absolute</t>
  </si>
  <si>
    <t xml:space="preserve">   Rel</t>
  </si>
  <si>
    <t>Sum</t>
  </si>
  <si>
    <t>F</t>
  </si>
  <si>
    <t>code</t>
  </si>
  <si>
    <t>area</t>
  </si>
  <si>
    <t>(01.2022-03.2022)</t>
  </si>
  <si>
    <t xml:space="preserve">     difference</t>
  </si>
  <si>
    <t xml:space="preserve">   dif</t>
  </si>
  <si>
    <t>lev</t>
  </si>
  <si>
    <t>Stat, Of Recognized Income and Expense</t>
  </si>
  <si>
    <t>Other long term DB plans</t>
  </si>
  <si>
    <t>SUNDRY BORROWINGS</t>
  </si>
  <si>
    <t>DEPOSITS AND SURETIES PAID</t>
  </si>
  <si>
    <t>TRADE PAYABLES - DOMESTIC</t>
  </si>
  <si>
    <t>TRADE PAYABLES - FOREIGN</t>
  </si>
  <si>
    <t>TRADE PAYABLES - FOREIGN CURRENCY REVAL</t>
  </si>
  <si>
    <t>TRADE PAYABLES - COSTS ACCRUALS SPECIFI</t>
  </si>
  <si>
    <t>TRADE CREDITORS - PURCH. INV. ACCRUALS</t>
  </si>
  <si>
    <t>TRADE RECEIVABLES - FOREIGN</t>
  </si>
  <si>
    <t>TRADE RECEIVABLES - DOMESTIC</t>
  </si>
  <si>
    <t>TRADE DEBTORS - SALES INVOICE ACCRUALS</t>
  </si>
  <si>
    <t>ACCRUED EXPENSES - PROV. OBJECTIVES BON</t>
  </si>
  <si>
    <t>Emp Prof. Tax Payable</t>
  </si>
  <si>
    <t>Corporate Income Tax and Accrued Income</t>
  </si>
  <si>
    <t>Recl TDS-Income 12</t>
  </si>
  <si>
    <t>Current Accounts Foreign Curr revaluati</t>
  </si>
  <si>
    <t>Long term prepayment</t>
  </si>
  <si>
    <t>Deferred tax asset - Valuation allowanc</t>
  </si>
  <si>
    <t>ELECTRICITY</t>
  </si>
  <si>
    <t>REAL-ESTATE RENTAL</t>
  </si>
  <si>
    <t>OTHER BUILDING-RELATED SERVICES</t>
  </si>
  <si>
    <t>lawyer fees (vs legal fees, counselling</t>
  </si>
  <si>
    <t>AUDITORS' FEES</t>
  </si>
  <si>
    <t>OTHER PROFESSIONAL FEES</t>
  </si>
  <si>
    <t>Staff Meals - Lunch</t>
  </si>
  <si>
    <t>Telephone Charges</t>
  </si>
  <si>
    <t>SECURITY EXPENSES</t>
  </si>
  <si>
    <t>WAGES AND SALARIES</t>
  </si>
  <si>
    <t>VACATION LEAVE PAYMENTS - GEN&amp;ADM</t>
  </si>
  <si>
    <t>INCENTIVE WAGES AND BONUSES</t>
  </si>
  <si>
    <t>YEAR-END BONUSES</t>
  </si>
  <si>
    <t>Allowance 2</t>
  </si>
  <si>
    <t>Co. Cont. to P.F.</t>
  </si>
  <si>
    <t>Cont.-MLWF/PF/EDLI Admn.</t>
  </si>
  <si>
    <t>Petrol Exps-Personnel</t>
  </si>
  <si>
    <t>Car Hire-Personnel</t>
  </si>
  <si>
    <t>Health Insurance 4</t>
  </si>
  <si>
    <t>pension contr own employee</t>
  </si>
  <si>
    <t>Compensation Awards</t>
  </si>
  <si>
    <t>Exchange loss from revaluation of custo</t>
  </si>
  <si>
    <t>Indirect IC Reinvoicing</t>
  </si>
  <si>
    <t>Interest income on Cash at Bank-Other</t>
  </si>
  <si>
    <t>Sales of Services. Interco EXP</t>
  </si>
  <si>
    <t>Int Income-Personal Loan</t>
  </si>
  <si>
    <t>Non-realized exchange gain</t>
  </si>
  <si>
    <t>Exchange gain from revaluation of custo</t>
  </si>
  <si>
    <t>EBS transit account</t>
  </si>
  <si>
    <t>J. P. Morgan Chase Bank N.A.-INR-Rcpt</t>
  </si>
  <si>
    <t>J. P. Morgan Chase Bank N.A.-INR-Pymt</t>
  </si>
  <si>
    <t>Opening Balance uploaded</t>
  </si>
  <si>
    <t>Transactions</t>
  </si>
  <si>
    <t>Account Type</t>
  </si>
  <si>
    <t>Liability</t>
  </si>
  <si>
    <t>Asset</t>
  </si>
  <si>
    <t>SAP</t>
  </si>
  <si>
    <t>101300 - N</t>
  </si>
  <si>
    <t>101300 - P</t>
  </si>
  <si>
    <t>This is SAP Account</t>
  </si>
  <si>
    <t>Contra 1</t>
  </si>
  <si>
    <t>PROVISION - SUNDRY DEBTORS</t>
  </si>
  <si>
    <t>Service Tax Input Credit - Swachh Bharat Cess</t>
  </si>
  <si>
    <t>Service Tax Payable - Swachh Bharat Cess</t>
  </si>
  <si>
    <t>Krishi Kalyan Cess of 0.5% ST Payable</t>
  </si>
  <si>
    <t>US federal income tax liability</t>
  </si>
  <si>
    <t>US state income tax liability</t>
  </si>
  <si>
    <t>Recl TDS-Income 1-16</t>
  </si>
  <si>
    <t xml:space="preserve"> Adv Tax-Income 05</t>
  </si>
  <si>
    <t>Right of use real estate</t>
  </si>
  <si>
    <t>Depreciation right of use real estate</t>
  </si>
  <si>
    <t>OTHER ACCOUNTS IN CREDIT</t>
  </si>
  <si>
    <t>DIVIDENDS TO BE PAID</t>
  </si>
  <si>
    <t>Deferred Tax - Mininumum alternate tax</t>
  </si>
  <si>
    <t>Lease liability Real estate</t>
  </si>
  <si>
    <t>DEFERRED CHARGES</t>
  </si>
  <si>
    <t>Interest Income-Deposits</t>
  </si>
  <si>
    <t>Reversal rent real estate IFRS 16</t>
  </si>
  <si>
    <t>Financial interests on lease liability Real estate</t>
  </si>
  <si>
    <t>Depreciations and impairment right of use</t>
  </si>
  <si>
    <t>DEFERRED TAX CHARGES</t>
  </si>
  <si>
    <t>TAX PAID ON SALARIES - GEN&amp;ADM</t>
  </si>
  <si>
    <t>(01.2021-16.2021)</t>
  </si>
  <si>
    <t>CORPORATE INCOME TAX</t>
  </si>
  <si>
    <t>Syntel Canada Inc., Canada</t>
  </si>
  <si>
    <t>Syntel Canada</t>
  </si>
  <si>
    <t>STL Sol. IND Pvt Ltd                           Commercial balance sheet                           Time 09:19:11     Date  22.07.2022</t>
  </si>
  <si>
    <t>Trade receivables ageing schedule</t>
  </si>
  <si>
    <t>Outstanding for following periods from due date of payment</t>
  </si>
  <si>
    <t>Current but not due</t>
  </si>
  <si>
    <t>1-2 years</t>
  </si>
  <si>
    <t>More than 
2 years</t>
  </si>
  <si>
    <t>Undisputed trade receivables – considered good</t>
  </si>
  <si>
    <t>Trade payables ageing schedule</t>
  </si>
  <si>
    <t xml:space="preserve">less than 6 months </t>
  </si>
  <si>
    <t>6 months - 1 year</t>
  </si>
  <si>
    <t>more than 1 year</t>
  </si>
  <si>
    <t>Total outstanding dues of micro enterprises and small enterprises</t>
  </si>
  <si>
    <t>Total outstanding dues of creditors other than micro enterprises and small enterprises</t>
  </si>
  <si>
    <t>Trade payables to related parties</t>
  </si>
  <si>
    <t>Ratios</t>
  </si>
  <si>
    <t>Numerator</t>
  </si>
  <si>
    <t>Denominator</t>
  </si>
  <si>
    <t>Variance</t>
  </si>
  <si>
    <t>(In %)</t>
  </si>
  <si>
    <t>Currents assets</t>
  </si>
  <si>
    <r>
      <t xml:space="preserve">Total debt </t>
    </r>
    <r>
      <rPr>
        <b/>
        <vertAlign val="superscript"/>
        <sz val="10"/>
        <rFont val="Arial"/>
        <family val="2"/>
      </rPr>
      <t>(1)</t>
    </r>
  </si>
  <si>
    <t>Shareholder’s equity</t>
  </si>
  <si>
    <t>Earnings available for 
debt service</t>
  </si>
  <si>
    <t>Debt service</t>
  </si>
  <si>
    <t>Net profit after tax</t>
  </si>
  <si>
    <t>Average shareholder equity</t>
  </si>
  <si>
    <t>Average trade receivable</t>
  </si>
  <si>
    <t>Purchases of services 
and other expenses</t>
  </si>
  <si>
    <t>Average trade payable</t>
  </si>
  <si>
    <t>Working capital</t>
  </si>
  <si>
    <t>Earning before interest and taxes</t>
  </si>
  <si>
    <t>Capital employed</t>
  </si>
  <si>
    <t>Total debt(represents lease liabilities)</t>
  </si>
  <si>
    <t>Earnings available for debt service</t>
  </si>
  <si>
    <t>EBIT</t>
  </si>
  <si>
    <t>Earning before Interest ,tax and Depreciation</t>
  </si>
  <si>
    <t>(Principal Repayment) + (Interest Payments) + (Lease Payments</t>
  </si>
  <si>
    <t>Purchases of services and other expenses</t>
  </si>
  <si>
    <t>Technical consultant and other expenses</t>
  </si>
  <si>
    <t>Total Assets - current liabilities</t>
  </si>
  <si>
    <r>
      <rPr>
        <b/>
        <vertAlign val="superscript"/>
        <sz val="10"/>
        <rFont val="Arial"/>
        <family val="2"/>
      </rPr>
      <t>(1)</t>
    </r>
    <r>
      <rPr>
        <b/>
        <sz val="10"/>
        <rFont val="Arial"/>
        <family val="2"/>
      </rPr>
      <t xml:space="preserve"> </t>
    </r>
    <r>
      <rPr>
        <sz val="10"/>
        <rFont val="Arial"/>
        <family val="2"/>
      </rPr>
      <t>represents lease liabilities and preference shares</t>
    </r>
  </si>
  <si>
    <t>% of total Shares of the company</t>
  </si>
  <si>
    <t>% change in shareholding during the year</t>
  </si>
  <si>
    <t>Syntel Solutions (Mauritius) Limited</t>
  </si>
  <si>
    <t>OTHER LOCAL TAXES</t>
  </si>
  <si>
    <t>OVERDRAFT INTEREST AND BANK CHARGES</t>
  </si>
  <si>
    <t>Revenue Offshore Netting Billing</t>
  </si>
  <si>
    <t>Less : Unbilled revenue</t>
  </si>
  <si>
    <t>Recent pronouncements</t>
  </si>
  <si>
    <t>Ministry of Corporate Affairs (“MCA”) notifies new standard or amendments to the existing standards under Companies (Indian Accounting Standards) Rules as issued from time to time. On March 23, 2022, MCA amended the Companies (Indian Accounting Standards) Amendment Rules, 2022, applicable from April 1, 2022, as below:</t>
  </si>
  <si>
    <t>Additions (#)</t>
  </si>
  <si>
    <t>Syntel Services Private Limited, nominee of Syntel Solutions (Mauritius) Limited</t>
  </si>
  <si>
    <t>Number of Shares (*)</t>
  </si>
  <si>
    <t>The Company has only one class of preference shares having par value of ₹ 10. The Company declares dividend in the meeting of the Board of Directors and pays the dividend in Indian Rupee. All issued and subscribed preference shares are held by Syntel Private Limited (fellow subsidiary). (Refer Note 28)</t>
  </si>
  <si>
    <t>Accrued expenses</t>
  </si>
  <si>
    <t>Exchange loss (net)</t>
  </si>
  <si>
    <r>
      <t xml:space="preserve">     Preference shares</t>
    </r>
    <r>
      <rPr>
        <sz val="10"/>
        <color theme="1"/>
        <rFont val="Arial"/>
        <family val="2"/>
      </rPr>
      <t xml:space="preserve"> (refer note 11 and 28)</t>
    </r>
  </si>
  <si>
    <t>Contingent liabilities and commitments (to the extent not provided for)</t>
  </si>
  <si>
    <t xml:space="preserve"> Remeasurement of the acturial gain/loss on defined benefit obilgation</t>
  </si>
  <si>
    <t>There is no compulsion on the part of the Company to pre fund the liability of the plan. The Company’s philosophy is to not to externally fund these liabilities but instead create an accounting provisions in its books of accounts and pay the gratuity to its employees directly from its own resources as and when the employee leaves the Company.</t>
  </si>
  <si>
    <t>Atos Syntel Inc.</t>
  </si>
  <si>
    <t>Related parties with whom transactions have taken place during the year</t>
  </si>
  <si>
    <t>3. Fellow subsidiaries (includes subsidiaries of ultimate holding company)</t>
  </si>
  <si>
    <t>Atos SE,France</t>
  </si>
  <si>
    <t>Murlidhar Reddy Samala (Director)</t>
  </si>
  <si>
    <t>Lease deposits receivable</t>
  </si>
  <si>
    <t>The Company has not granted any loans or advances in the nature of loan to promoters, directors, key managerial personnels and related parties either severally or jointly with any other person, that are repayable on demand or without specifying any terms or period of repayment.</t>
  </si>
  <si>
    <t>Post balance sheet subsequent event</t>
  </si>
  <si>
    <t>Previous year figures</t>
  </si>
  <si>
    <t>Previous year figures have been regrouped / reclassified, where applicable, to confirm to current year’s classification.</t>
  </si>
  <si>
    <t>GBP in absolute</t>
  </si>
  <si>
    <t>CAD in absolute</t>
  </si>
  <si>
    <t>Interest on income tax refund</t>
  </si>
  <si>
    <t>Auditor remuneration (exclusive of goods and service tax)</t>
  </si>
  <si>
    <t xml:space="preserve">   experience adjustments</t>
  </si>
  <si>
    <t>Actuarial loss / (gain) on defined benefit obligation</t>
  </si>
  <si>
    <t>To meet the above objectives, the Company invests in bank fixed deposits receipts(FDRs) as per the limits prescribed in the Company’s investment policy.</t>
  </si>
  <si>
    <t>The Company considers the probability of default upon initial recognition of asset and whether there has been a significant increase in credit risk on an ongoing basis throughout each reporting period. To assess whether there is a significant increase in credit risk that company compares the risk of a default occurring on the asset as at the reporting date with the risk of default as at the date of initial recognition. It considers reasonable and supportive forwarding-looking information such as:</t>
  </si>
  <si>
    <t>During the year, the Company has not surrendered or disclosed any income in the tax assessments under the Income Tax Act, 1961 (such as, search or survey or any other relevant provisions of the Income Tax Act, 1961). Accordingly, there are no transaction which are not recorded in the books of accounts.</t>
  </si>
  <si>
    <t>The following table sets forth the status of the gratuity plan of the Company, and the amounts recognized in the Balance sheet and Statement of profit &amp; loss.</t>
  </si>
  <si>
    <r>
      <t xml:space="preserve">Related party transactions </t>
    </r>
    <r>
      <rPr>
        <b/>
        <i/>
        <sz val="10"/>
        <color theme="1"/>
        <rFont val="Arial"/>
        <family val="2"/>
      </rPr>
      <t>(continued)</t>
    </r>
  </si>
  <si>
    <t xml:space="preserve">Syntel Canada Inc., Canada, </t>
  </si>
  <si>
    <t xml:space="preserve">            Company Secretary</t>
  </si>
  <si>
    <t xml:space="preserve">                           Murlidhar Reddy Samala</t>
  </si>
  <si>
    <t xml:space="preserve">       Company Secretary</t>
  </si>
  <si>
    <t xml:space="preserve">      Ami Mehta</t>
  </si>
  <si>
    <t xml:space="preserve">      Director</t>
  </si>
  <si>
    <t xml:space="preserve">                 Director  </t>
  </si>
  <si>
    <t xml:space="preserve">                         DIN No. 08958575</t>
  </si>
  <si>
    <t>Ami Mehta</t>
  </si>
  <si>
    <t>Company Secretary</t>
  </si>
  <si>
    <t>Dividend shall be paid to Syntel Private Limited, the Preference Shareholder of the Company on 3% Cumulative Redeemable Preference shares of Rs. 10/- each. Each holder of preference share is entitled to one vote per share only on resolutions placed before the Company which directly affects the rights attached to preference shares. Cumulative preference shares are entitled to vote on every resolution if preference dividend remains unpaid for 2 years.</t>
  </si>
  <si>
    <t>DEPRECIATION - OTHER TANGIBLE FIXED ASSETS</t>
  </si>
  <si>
    <t>TRADE PAYABLES - COSTS ACCRUALS SPECIFIC MM</t>
  </si>
  <si>
    <t>TRADE CREDITORS - PURCH. INV. ACCRUALS GROUP</t>
  </si>
  <si>
    <t>DOWN PAYMENTS TO EXTERNAL VENDORS</t>
  </si>
  <si>
    <t>TDS - Foreign Payments</t>
  </si>
  <si>
    <t>Input IGST Availed</t>
  </si>
  <si>
    <t>JPMC Bank FD Account</t>
  </si>
  <si>
    <t>JPMC Bank Flexi FD Account</t>
  </si>
  <si>
    <t>OP S/C T&amp;M. Interco</t>
  </si>
  <si>
    <t>Other foreign exchange Losses</t>
  </si>
  <si>
    <t>OFFICE SUPPLIES, SMALL TOOLS, MAINTENANCE SUPPLIES</t>
  </si>
  <si>
    <t>OTHER BANK EXPENSES AND COMMISSION</t>
  </si>
  <si>
    <t>TRAINING INVOICES</t>
  </si>
  <si>
    <t>LTA</t>
  </si>
  <si>
    <t>dc pensions plans other</t>
  </si>
  <si>
    <t>COMPANY DOCTOR</t>
  </si>
  <si>
    <t>LUNCHEON VOUCHERS AND MEAL CARDS</t>
  </si>
  <si>
    <t>GROUP OVERHEADS - STRUCTURE COSTS</t>
  </si>
  <si>
    <t>OTHER OPERATING EXPENSES</t>
  </si>
  <si>
    <t>Other facility management expenses</t>
  </si>
  <si>
    <t>EXCHANGE LOSSES</t>
  </si>
  <si>
    <t>INCOME FROM ORDINARY ACTIVITIES</t>
  </si>
  <si>
    <t>EXCHANGE GAINS</t>
  </si>
  <si>
    <t>JPMorgan USD</t>
  </si>
  <si>
    <t>(Ind AS non reversal)</t>
  </si>
  <si>
    <t>WIP: travel costs</t>
  </si>
  <si>
    <t>Salary payables - regularization</t>
  </si>
  <si>
    <t>PENSION FUNDS</t>
  </si>
  <si>
    <t>Current Account</t>
  </si>
  <si>
    <t>Intercompany current accounts liabilities</t>
  </si>
  <si>
    <t>TRADE PAYABLES - FOREIGN CURRENCY REVALUATION</t>
  </si>
  <si>
    <t>TRADE RECEIVABLES - FX REVALUATION</t>
  </si>
  <si>
    <t>Adv Tax-Income 05</t>
  </si>
  <si>
    <t>Recl TDS-Income 16</t>
  </si>
  <si>
    <t>SUNDRY EXPENSES CDN TIME DEPOSITS</t>
  </si>
  <si>
    <t>S</t>
  </si>
  <si>
    <t>Exchange loss from revaluation of customer and ven</t>
  </si>
  <si>
    <t>Exchange gain from revaluation of bank and current</t>
  </si>
  <si>
    <t>Exchange gain from revaluation of customer and ven</t>
  </si>
  <si>
    <t>Vendors</t>
  </si>
  <si>
    <t>Salary payables - re</t>
  </si>
  <si>
    <t>L\ VAT/PURCHASE INVOICE ACCRUALS</t>
  </si>
  <si>
    <t>VAT Provision Account</t>
  </si>
  <si>
    <t>STAMP DUTY PAYABLE</t>
  </si>
  <si>
    <t>L\INTER-CO CURRENT ACCTS IN DEB - PRINC ATOS SCOPE</t>
  </si>
  <si>
    <t>AUTRES COMPTES DEBITEURS</t>
  </si>
  <si>
    <t>Balance as per 31 Mar 23 IFRS TB</t>
  </si>
  <si>
    <t>This is purely Ind AS entry</t>
  </si>
  <si>
    <t>Ind AS transition entries for the year 22-23</t>
  </si>
  <si>
    <t>(Being entry passed to account for March 22 ROI impact.)</t>
  </si>
  <si>
    <t>(Being entry passed to reverse impact of tax provision JV from Jan 22 to Sept 22. Ref SAP Doc No.100000556.)</t>
  </si>
  <si>
    <t>(Being entry passed to reverse impact of tax provision JV from Oct 22 to Dec 22. Ref SAP Doc No.100000813.)</t>
  </si>
  <si>
    <t>(Being entry passed to reverse impact of deferred tax entry from Oct 22 to Dec 22. Refer SAP Doc No. 100000810.)</t>
  </si>
  <si>
    <t>(Being entry passed to reverse impact of deferred tax entry from Jan 22 to Sept 22. Refer SAP Doc No. 100000557.)</t>
  </si>
  <si>
    <t>(Being entry passed to reverse impact of deferred tax entry from Oct 22 to Dec 22. Refer SAP Doc No. 100000811.)</t>
  </si>
  <si>
    <t>(Being BBT for FY 21-22 accounted. Refer SAP Doc No. .)</t>
  </si>
  <si>
    <t>(Being entry passed to account for income tax provision for the year ended March 31, 2022 as per IGAAP tax computation.)</t>
  </si>
  <si>
    <t>(Being entry passed to account for deferred tax for the year ended March 31, 2022.)</t>
  </si>
  <si>
    <t>(Being entry passed to create DTA on disallowance u/s 40a(ia) of Income Tax Act.)</t>
  </si>
  <si>
    <t>(Reversal of SAP Doc No. 700000005)</t>
  </si>
  <si>
    <t>(Being entry passed to reverse US tax revaluation entries passed during Apr 21 to Dec 21. Reversal of SAP Doc No. 700000005)</t>
  </si>
  <si>
    <t>(Being entry passed to account for BBT for the year ended March 31, 2023.)</t>
  </si>
  <si>
    <t>(Being entry passed to account for DTA on Ind AS 116 lease accounting impacts  for the year ended March 31, 2023.)</t>
  </si>
  <si>
    <t>(Being entry passed to account for revaluation of US taxes for the year ended March 31, 2023.)</t>
  </si>
  <si>
    <t>(Being entry passed to regroup debit balance in payable to Syntel Inc to advance account.)</t>
  </si>
  <si>
    <t>Balance as on 31 March 2023</t>
  </si>
  <si>
    <t>Balance as on 1 April 2021</t>
  </si>
  <si>
    <t>As at 31 March 2023</t>
  </si>
  <si>
    <t>As at
31 March 2023</t>
  </si>
  <si>
    <t>(Being entry passed to account for income tax provision for the year ended March 31, 2023 as per IGAAP tax computation.)</t>
  </si>
  <si>
    <t>(Being entry passed to account for TDS on provision as on March 31, 2023.)</t>
  </si>
  <si>
    <t>(Being entry passed to consider S S Gupta provision.)</t>
  </si>
  <si>
    <t>(Being rectification entry passed.)</t>
  </si>
  <si>
    <t>(Being entry passed to reverse provision.)</t>
  </si>
  <si>
    <t>Refer mail from Harikrishna Devar dated 10.07.2023 at 4.41pm.</t>
  </si>
  <si>
    <t>Refer mail from Harikrishna Devar dated 16.07.2023 at 1.26am.</t>
  </si>
  <si>
    <t>(S S Gupta provision.)</t>
  </si>
  <si>
    <t>(Export Promotion Council for EOU's)</t>
  </si>
  <si>
    <t>Refer mail from Manoj Bhalekar dated 29.06.2023 at 7.03pm.</t>
  </si>
  <si>
    <t>Refer mail from Harikrishna Devar dated 18.07.2023 at 3.54pm.</t>
  </si>
  <si>
    <t>8.00 % until first two years, then 7.00%</t>
  </si>
  <si>
    <t>Entry passed based on mail received from Deepali Sutar as on 20.07.2023 as at 2.29pm.</t>
  </si>
  <si>
    <t>Entry passed based on mail received from Harikrishna Devar as on 24.07.2023 as at 11.32am.</t>
  </si>
  <si>
    <t>(Being entry passed to reverse DTA on 40(a)(ia)  for the year ended March 31, 2023.)</t>
  </si>
  <si>
    <t>(Being entry passed to account for DTA on leave and gratuity for the year ended March 31, 2023.)</t>
  </si>
  <si>
    <t>(Being entry passed to account for DTL OCI gratuity for the year ended March 31, 2023.)</t>
  </si>
  <si>
    <t>31st March 2021 #s signed financial</t>
  </si>
  <si>
    <t>Entry passed based on mail received from Swapnil Mali as on 20.07.2023 as at 5.47pm and Harikrishna Devar as on 07.08.2023 as at 5.46pm.</t>
  </si>
  <si>
    <t>Entry passed based on mail received from Harikrishna Devar as on 07.08.2023 as at 5.49pm.</t>
  </si>
  <si>
    <t>Entry passed based on mail received from Anil Kharat as on 07.08.2023 as at 5.52pm.</t>
  </si>
  <si>
    <t>Entry passed based on mail sent to S Rajesh as on 08.08.2023 as at 4.31pm.</t>
  </si>
  <si>
    <t>(Entry passed to regroup dividend on preference shares for FY 22-23.)</t>
  </si>
  <si>
    <t>Atos IT Solutions and Services Inc.</t>
  </si>
  <si>
    <t>Others (#)</t>
  </si>
  <si>
    <t>Dividend on preference shares (#)</t>
  </si>
  <si>
    <t>Income tax refund; net</t>
  </si>
  <si>
    <t>(#)  Zero represents amount less than ₹ 0.5 lakhs.</t>
  </si>
  <si>
    <t>(#) Zero represents amount less than ₹ 0.5 lakhs</t>
  </si>
  <si>
    <t>Unsecured, considered good at amortized cost</t>
  </si>
  <si>
    <t>TDS</t>
  </si>
  <si>
    <t>* There are no disputed trade payables.</t>
  </si>
  <si>
    <t>Corporate support services (refer note 28)</t>
  </si>
  <si>
    <t>Legal and professional fees</t>
  </si>
  <si>
    <t>Power and fuel charges</t>
  </si>
  <si>
    <t>Repairs and maintenance charges</t>
  </si>
  <si>
    <t>Security charges (#)</t>
  </si>
  <si>
    <t>Miscellaneous expenses</t>
  </si>
  <si>
    <t>Details of shareholding of promoters are as follows:</t>
  </si>
  <si>
    <t xml:space="preserve">     Dividend on preference shares (*) (#)</t>
  </si>
  <si>
    <t>Corporate support services</t>
  </si>
  <si>
    <t>Interest expense on lease liability</t>
  </si>
  <si>
    <t>The financial statements of the Company have been prepared in compliance with Indian Accounting Standards (Ind AS) in all material aspects, as notified under Section 133 of the Companies Act 2013 read with the Companies (Indian Accounting Standards) Rules, 2015 (as amended) and presentation requirements of Division II of Schedule III to the Companies Act, 2013, (Ind AS compliant Schedule III), as applicable.</t>
  </si>
  <si>
    <t>Preference shares are redeemable on mutually agreed date which shall not exceed 20 years from the date of initial issue starting from 12 May 2011.</t>
  </si>
  <si>
    <t>Provision for Indian income tax is made in respect of business profits generated from software development units and interest income.</t>
  </si>
  <si>
    <t>Basis of measurement</t>
  </si>
  <si>
    <t>The financial statements have been prepared on a historical cost convension and on accrual basis, except certain financial assets and liabilities which are measured at fair values at the end of each reporting period. Historical cost is generally based on the fair value of the consideration given in exchange for goods and services. Fair value is the price that would be received to sell an asset or paid to transfer a liability in an orderly transaction between market participants at the measurement date, regardless of whether that price is directly observable or estimated using another valuation technique.</t>
  </si>
  <si>
    <t>Not there in SSPL notes</t>
  </si>
  <si>
    <t>Significant accounting estimates, judgements and assumptions</t>
  </si>
  <si>
    <t>The preparation of financial statements in conformity with the recognition and measurement principles of Ind AS requires management to make judgements, estimates and assumptions that affect the application of accounting policies and reported amounts of assets and liabilities, revenue and expenses and disclosure of contingent liabilities at the date of the financial statements and the results of operations during the reporting period. Examples of such estimates includes provision for taxes including buy back tax on redemption of preference shares, employee benefit plans, expected credit loss, estimated useful life of property and equipment, classification of lease and uncertanities arising from global pandemic. Although these estimates are based on management’s best knowledge of current events and actions, actual results could differ from these estimates. Estimates and underlying assumptions are reviewed on an ongoing basis. Any revision to accounting estimates is recognized prospectively in current and future periods.</t>
  </si>
  <si>
    <t>The Company follows a ‘simplified approach’ (i.e. based on lifetime ECL) for recognition of credit impairment loss on trade and other receivables. The impairment provisions of financial assets are based on assumptions about risk of default and expected timing of collection. The Company uses judgment in making these assumptions and selecting the inputs to the impairment calculation, based on the Company’s past history of collections, existing market conditions and forward-looking estimates at the end of each reporting period.</t>
  </si>
  <si>
    <t>The Company evaluates if an arrangement qualifies to be a lease as per the requirement of Ind AS 116. Identification of a lease requires significant judgement. The Company uses significant judgement in assessing lease term (including anticipated renewals) and the applicable discount rate.
Ind AS 116 defines a lease term as the non-cancellable period for which the lessee has the right to use an underlying asset including optional periods, when an entity is reasonably certain to exercise an option to extend (or not to terminate) a lease. The Company considers all relevant facts and circumstances that create an economic incentive for the lessee to exercise the option when determining the lease term. The option to extend the lease term is included in the lease agreement, if it is reasonably certain that the lessee would exercise the option. The Company reassesses the option when significant events or changes in circumstances occur that are within the control of the lessee. The lease term in future periods is reassessed to ensure that the lease term reflects the current economic circumstances. The Company has applied an incremental borrowing rate for the purpose of computing lease liabilities based on the rate prevailing in India.</t>
  </si>
  <si>
    <t>The Company estimates the provisions that have present obligations as a result of past events, and it is probable that outflow of resources will be required to settle the obligations. These provisions are reviewed at the end of each reporting date and are adjusted to reflect the current best estimates,
The Company uses significant judgement to disclose contingent liabilities. Contingent liabilities are disclosed when there is a possible obligation arising from past events, the existence of which will be confirmed only by the occurrence or non-occurrence of one or more uncertain future events not wholly within the control of the Company or a present obligation that arises from past events where it is either not probable that an outflow of resources will be required to settle the obligation or a reliable estimate of the amount cannot be made. Contingent assets are neither recognised nor disclosed in the financial statements.</t>
  </si>
  <si>
    <t>For performance obligations where control is transferred over time, revenues are recognised by measuring progress towards completion of the performance obligation.
Volume discounts are recorded as a reduction of revenue, when the amount of discount varies with the levels of revenue, volume discount is recorded based on estimate of future revenue from the customer.
A contract is considered as onerous when the expected economic benefits to be derived by the Company from the contract are lower than the unavoidable cost of meeting its obligations under the contract. The provision for an onerous contract is measured at the lower of the expected cost of terminating the contract and the expected net cost of continuing with the contract. When estimates indicate that a loss will be incurred, the loss is provided for in the period in which the loss becomes probable.</t>
  </si>
  <si>
    <t>Basis of preparation</t>
  </si>
  <si>
    <t>These financial statements are presented in Indian rupees (in ₹ Lakhs), which is the functional currency of the Company and the currency of the primary economic environment in which the Company operates.</t>
  </si>
  <si>
    <t>A financial instrument is any contract that gives rise to a financial asset of any one entity and a financial liability or equity instrument of another entity.</t>
  </si>
  <si>
    <t>A financial asset is subsequently measured at amortised cost (net of any write down for impairment), 
1. If it is held within a business model whose objective is to hold the asset in order to collect contractual cash flows, and 
2. The contractual terms of the financial asset give rise on specified dates to cash flows that are solely payments of principal and interest on the  principal amount outstanding.</t>
  </si>
  <si>
    <t>A financial asset is subsequently measured at fair value through other comprehensive income (FVOCI), 
1. If it is held within a business model whose objective is achieved by both, collecting contractual cash flows, and selling financial assets, and 
2. The contractual terms of the financial asset give rise on specified dates to cash flows that are solely payments principal and interest on the principal amount outstanding.</t>
  </si>
  <si>
    <t>A financial asset which is not classified in any of the above categories are subsequently fair valued through profit or loss. The transaction cost directly attributable to the acquisition of financial assets and liabilities at fair value through profit or loss, are immediately recognised in statement of profit or loss.</t>
  </si>
  <si>
    <t>Financial liabilities are subsequently carried at amortised cost using effective interest method. For trade payables and other liabilities maturing within one year from the balance sheet date, the carrying amounts approximate its fair value due to the short maturity of these instruments.</t>
  </si>
  <si>
    <t>The fair value of an asset or a liability is measured using the assumptions that market participants would use when pricing the asset or liability, assuming that market participants act in their best economic interest.</t>
  </si>
  <si>
    <t>Level 1: Quoted prices (unadjusted) in active market for identical assets or liabilities that entity can access at measurement date.</t>
  </si>
  <si>
    <t>Level 3: Unobservable market data, determined using best information available about the assumptions that market participant will use, that are neither supported by prices from observable current market transactions in same instrument nor are they based on available market data.</t>
  </si>
  <si>
    <t>The Company recognizes at each balance sheet date whether financial asset or group of financial assets is impaired. It recognises loss allowances using the expected credit loss (ECL) model for the financial assets which are not fair valued through profit or loss. Loss allowance for trade receivables and unbilled revenue with no significant financing component is measured at an amount equal to lifetime ECL. For all other financial assets, ECL’s are measured at an amount equal to the twelve-month ECL, unless there has been a significant increase in credit risk from initial recognition in which cases those are measured at lifetime ECL. The amount of ECL (or reversal) that is required, to adjust the loss allowance at the reporting date to the amount that is required to be recognized, is recognized as an impairment gain or loss in the Statement of Profit and Loss.</t>
  </si>
  <si>
    <t>A provision is recognized if, as a result of a past event, the Company has a present obligation (legal or constructive) that can be estimated reliably, and it is probable that an outflow of economic benefits will be required to settle the obligation. Provisions are determined by the best estimate of the outflow of economic benefits required to settle the obligation at the reporting date. Where no reliable estimate can be made, a disclosure is made as contingent liability. A disclosure of contingent liability is also made when there is a possible obligation that may, but probably not, require an outflow of resources. Where there is a possible obligation or a present obligation in respect of which the likelihood of outflow of resources is remote, no provision or disclosure is made.</t>
  </si>
  <si>
    <r>
      <t xml:space="preserve">(i) Ind AS 16 – Proceeds before intended use.
</t>
    </r>
    <r>
      <rPr>
        <sz val="10"/>
        <color theme="1"/>
        <rFont val="Arial"/>
        <family val="2"/>
      </rPr>
      <t>The amendments require an entity to deduct from the cost of property, plant and equipment, amounts received from selling items produced while the company is preparing the asset for its intended use. It prohibits, an entity to recognise such sales proceeds and related cost in profit or loss. 
The Company does not expect the amendments to have any impact in its recognition of its property, plant and equipment in its financial statements.</t>
    </r>
  </si>
  <si>
    <r>
      <rPr>
        <b/>
        <sz val="10"/>
        <color theme="1"/>
        <rFont val="Arial"/>
        <family val="2"/>
      </rPr>
      <t xml:space="preserve">(ii) Ind AS 37 – Onerous Contracts - Costs of Fulfilling a Contract
</t>
    </r>
    <r>
      <rPr>
        <sz val="10"/>
        <color theme="1"/>
        <rFont val="Arial"/>
        <family val="2"/>
      </rPr>
      <t>The amendments specify that that the ‘cost of fulfilling’ a contract comprises the ‘costs that relate directly to the contract’. Costs that relate directly to a contract can either be incremental costs of fulfilling that contract (examples would be direct labour, materials) or an allocation of other costs that relate directly to fulfilling contracts. 
The amendment is essentially a clarification, and the Company does not expect the amendment to have any significant impact in its financial statements.</t>
    </r>
  </si>
  <si>
    <r>
      <t xml:space="preserve">(iii) Ind AS 103 – Reference to Conceptual Framework
</t>
    </r>
    <r>
      <rPr>
        <sz val="10"/>
        <color theme="1"/>
        <rFont val="Arial"/>
        <family val="2"/>
      </rPr>
      <t>The amendments specify that to qualify for recognition as part of applying the acquisition method, the identifiable assets acquired, and liabilities assumed must meet the definitions of assets and liabilities in the Conceptual Framework for Financial Reporting under Indian Accounting Standards (Conceptual Framework), issued by the Institute of Chartered Accountants of India at the acquisition date. These changes do not significantly change the requirements of Ind AS 103. 
The Company does not expect the amendment to have any significant impact in its financial statements.</t>
    </r>
  </si>
  <si>
    <r>
      <rPr>
        <b/>
        <sz val="10"/>
        <color theme="1"/>
        <rFont val="Arial"/>
        <family val="2"/>
      </rPr>
      <t xml:space="preserve">(iv) Ind AS 109 – Annual Improvements to Ind AS (2021)
</t>
    </r>
    <r>
      <rPr>
        <sz val="10"/>
        <color theme="1"/>
        <rFont val="Arial"/>
        <family val="2"/>
      </rPr>
      <t>The amendment clarifies which fees an entity includes when it applies the ’10 percent’ test of Ind AS 109 in assessing whether to derecognise a financial liability. 
The Company does not expect the amendment to have any significant impact in its financial statements.</t>
    </r>
  </si>
  <si>
    <t>(v) New accounting standards not yet adopted by the Company</t>
  </si>
  <si>
    <t>There is only one primary reportable segment comprising software services, therefore no segment information is given as required under Ind AS 105.
The Company's revenue, customer related assets and liabilities are predominantly located in United States of America (USA).</t>
  </si>
  <si>
    <t>(Being entry passed to reverse US tax liability as on 31 Mar 23.)</t>
  </si>
  <si>
    <t>(Being entry passed to reverse credit received in bank in Sept 20.)</t>
  </si>
  <si>
    <t>Other Financial Income</t>
  </si>
  <si>
    <t>GST on overdue receivables</t>
  </si>
  <si>
    <t>The Company has exported the services to its group companies without payment of GST and has unrealized / delayed export proceeds amounting to ₹ 44 lakhs beyond the time frame specified in Rule 96A of CGST Rule, 2017 (‘Rule 96A’). Out of ₹ 44 lakhs, proceeds amounting to ₹ 42 lakhs has been subsequently realised. For the rest, the management believes that the unrealised proceeds are likely to be received and any amount equivalent to the GST payable (including interest) can be contested with the tax authorities.</t>
  </si>
  <si>
    <t>Increase/(Decrease) in trade payables</t>
  </si>
  <si>
    <t>Increase/(Decrease) in other financial liabilities</t>
  </si>
  <si>
    <t>Compensated absences(refer note 26(b))</t>
  </si>
  <si>
    <t>Staff welfare expenses</t>
  </si>
  <si>
    <t># Zero represents amount less than ₹ 0.5 lakhs</t>
  </si>
  <si>
    <t>Tax charge for the year</t>
  </si>
  <si>
    <t>Changes in tax provision related to prior years</t>
  </si>
  <si>
    <t xml:space="preserve">   Current period</t>
  </si>
  <si>
    <t>Level 2: Observable data (directly or indirectly), developed using market data for the asset or liability, other than quoted prices included within Level 1.</t>
  </si>
  <si>
    <t xml:space="preserve">Revenue from contracts with customers is recognised when control of the goods or services are transferred to the customer at an amount that reflects the consideration to which the Company expects to be entitled in exchange for those goods or services. The Company has generally concluded that it is the principal in its revenue arrangements because it typically controls the goods or services before transferring them to the customer. The disclosures of significant accounting judgements, estimates and assumptions relating to revenue from contracts with customers are provided in Note 2(c).
To recognise revenues, the Company applies the following five step approach: (1) identify the contract with a customer, (2) identify the performance obligations in the contract, (3) determine the transaction price, (4) allocate the transaction price to the performance obligations in the contract, and (5) recognise revenues when a performance obligation is satisfied. </t>
  </si>
  <si>
    <t>Contract balances</t>
  </si>
  <si>
    <t>Contract asset - A contract asset is initially recognised for revenue earned from installation services because the receipt of consideration is conditional on successful completion of the services. Upon completion of the services and acceptance by the customer, the amount recognised as contract assets is reclassified to trade receivables. Contract assets are subject to impairment assessment. Refer to accounting policies on impairment of financial assets in section 3(b) Financial instruments – initial recognition and subsequent measurement.
Trade receivables - A receivable is recognised if an amount of consideration that is unconditional (i.e., only the passage of time is required before payment of the consideration is due). Refer to accounting policies of financial assets in section 3(b) Financial instruments – initial recognition and subsequent measurement.
Contract liabilities - A contract liability is recognised if a payment is received or a payment is due (whichever is earlier) from a customer before the Company transfers the related goods or services. Contract liabilities are recognised as revenue when the Company performs under the contract (i.e., transfers control of the related goods or services to the customer).</t>
  </si>
  <si>
    <t>2014-15 (*)</t>
  </si>
  <si>
    <t>(*) In case of AY 2014-15, the statue of limitation for receiving the final assessment order has elapsed, hence the same has been removed.</t>
  </si>
  <si>
    <t xml:space="preserve">4. Key Management </t>
  </si>
  <si>
    <t>The Company did not have any transactions to report against the following disclosure requirements as notified by MCA pursuant to amended Schedule III:
i)Crypto currency or virtual currency
ii)Benami Property held under Prohibition of Benami Property Transactions Act, 1988 and rules made thereunder
iii)Registration of charges or satisfaction with Registrar of Companies
iv)Relating to borrowed funds:
    a.Wilful defaulter
    b.Utilisation of borrowed funds &amp; share premium
    c.Borrowings obtained on the basis of security of current assets
    d.Discrepancy in Utilisation of borrowings</t>
  </si>
  <si>
    <t>Provision for current tax is made under the tax payable method, based on the liability computed, after taking credit for allowances and exemptions as per the provisions of Income Tax Act, 1961. Provision for Income tax in India has been computed on the higher of the Minimum Alternate Tax (MAT) in accordance with Section 115JB of the Income Tax Act,1961 and under the normal provisions of the Income Tax Act, 1961. MAT credit is recognized only to the extent there is probable that the Company will pay normal income tax in excess of MAT during the specified period. MAT credit is reviewed at each Balance sheet and written down to the extent there is no longer convincing evidence to the effect that the Company will pay normal tax during the specified period.</t>
  </si>
  <si>
    <t>Deferred tax charge or credit reflects the tax effects of timing differences between accounting income and taxable income. The deferred tax charge or credit and the corresponding deferred tax liabilities or assets are recognized using the tax rates that have been enacted or substantively enacted by the Balance sheet date. Deferred tax assets are recognized only to the extent there is reasonable certainty that the assets can be realized. Deferred tax assets are reviewed at each Balance sheet date and accordingly adjusted to reflect the amount that is reasonably/virtually certain (as the case may be) to be realized.</t>
  </si>
  <si>
    <t>Balances with government authorities (*)</t>
  </si>
  <si>
    <t>(*) Represents refunds under appeal and pre-deposit money paid for filing appeals with government authorities.</t>
  </si>
  <si>
    <t>TO check entire note</t>
  </si>
  <si>
    <t>Temporary differences on other comprehensive income</t>
  </si>
  <si>
    <t>Income exempt from tax</t>
  </si>
  <si>
    <t xml:space="preserve">   changes in financial assumptions</t>
  </si>
  <si>
    <t xml:space="preserve">Related party transactions with parties referred above in relationship (1 to 4) </t>
  </si>
  <si>
    <t>Balance with related parties with parties referred above in relationship (1 to 4)</t>
  </si>
  <si>
    <t>3  -  10</t>
  </si>
  <si>
    <t>15  -  41</t>
  </si>
  <si>
    <t>As at 31 March 2024</t>
  </si>
  <si>
    <t>Year ended
31 March 2024</t>
  </si>
  <si>
    <t>As at
31 March 2024</t>
  </si>
  <si>
    <t>Year ended 
31 March 2024</t>
  </si>
  <si>
    <t>Foreign currency exposure as at 31 March 2024</t>
  </si>
  <si>
    <t>2023-24</t>
  </si>
  <si>
    <t xml:space="preserve"> As at 31 March 2024</t>
  </si>
  <si>
    <t>31st March 2024</t>
  </si>
  <si>
    <t>During the year ended 31 March 2024 and 31 March 2023, no funds have been advanced or loaned or invested (either from borrowed funds or share premium or any other sources or kind of funds) by the Company to or in any other person or entity, including foreign entities (“intermediaries”) with the understanding, whether recorded in writing or otherwise, that the intermediary shall lend or invest in party identified by or on behalf of the Company (ultimate beneficiaries).</t>
  </si>
  <si>
    <t>During the year ended 31 March 2024 and 31 March 2023, the Company has not received any fund from any party (funding party) with the understanding that the Company shall whether, directly or indirectly lend or invest in other persons or entities identified by or on behalf of the Company (“ultimate beneficiaries”) or provide any guarantee, security or the like on behalf of the ultimate beneficiaries.</t>
  </si>
  <si>
    <t>No adjusting or significant non-adjusting events have occurred between 31 March 2024 and the date of authorisation of these financial statements.</t>
  </si>
  <si>
    <t>Balance as at 31 March 2024</t>
  </si>
  <si>
    <t>Balance as on 31 March 2024</t>
  </si>
  <si>
    <t>Diff in opening</t>
  </si>
  <si>
    <t>Ind AS transition entries for the year 23-24</t>
  </si>
  <si>
    <t>Accrued Expenses for Incrementals</t>
  </si>
  <si>
    <t>HEALTH INSURANCE</t>
  </si>
  <si>
    <t>Input CGST Availed</t>
  </si>
  <si>
    <t>Input SGST Availed</t>
  </si>
  <si>
    <t>Direct Global IT Recharge</t>
  </si>
  <si>
    <t>REPAIRS AND MAINTENANCE - REAL-ESTATE</t>
  </si>
  <si>
    <t>MAINTENANCE - OFFICE IT</t>
  </si>
  <si>
    <t>OTHER INSURANCE</t>
  </si>
  <si>
    <t>SHIFT ALLOWANCES</t>
  </si>
  <si>
    <t>HOUSING ALLOWANCE</t>
  </si>
  <si>
    <t>GS Recharge General Management</t>
  </si>
  <si>
    <t>GS Recharge Purchasing</t>
  </si>
  <si>
    <t>Restore</t>
  </si>
  <si>
    <t>(Being entry passed to account for income tax provision for the year ended March 31, 2024 as per IGAAP tax computation.)</t>
  </si>
  <si>
    <t>As discussed with Hari dt. 13.08.2024</t>
  </si>
  <si>
    <t>( Correction entry in Provisions )</t>
  </si>
  <si>
    <t>Mediclaim Insurance</t>
  </si>
  <si>
    <t>Reversible</t>
  </si>
  <si>
    <t>( Being provision taken for medical insurance invoice Future Generali in hand )</t>
  </si>
  <si>
    <t>TDS on Professional Fees</t>
  </si>
  <si>
    <t>Reversal of provision of Housekeeping Charges made in the month of June`2023</t>
  </si>
  <si>
    <t>Reversal of provision of Security Charges made in the month of June`2023</t>
  </si>
  <si>
    <t>Syntel Pvt Ltd</t>
  </si>
  <si>
    <t>Reversal of provision of Comp Cost made in the month of Oct`2023</t>
  </si>
  <si>
    <t>Reversal of provision of Housekeeping Charges made in the month of Jan`2024</t>
  </si>
  <si>
    <t>Reversal of provision of Security Charges made in the month of Jan`2024</t>
  </si>
  <si>
    <t>Willis Towers Watson Employee</t>
  </si>
  <si>
    <t>Reversal of excess provision made towards Actuary valuation for the period -Jan to Dec`23.</t>
  </si>
  <si>
    <t>( Being reversal of provision for security charges June 23 )</t>
  </si>
  <si>
    <t>( Beibg Reversal of provision of Comp Cost made in the month of Oct`2023 )</t>
  </si>
  <si>
    <t>( Being reversal of provision of Security Charges made in the month of Jan`2024 )</t>
  </si>
  <si>
    <t>( Being reversal of excess provision made towards Actuary valuation for the period -Jan to Dec`23. )</t>
  </si>
  <si>
    <t>As discussed with Hari dt. 14.08.2024</t>
  </si>
  <si>
    <t>( Being reversal impact nullified for audot entry )</t>
  </si>
  <si>
    <t>( Being debit balances for exchange differences regrouped March 24  )</t>
  </si>
  <si>
    <t>( Being Rectification of GL Code from 622800 to 635130 )</t>
  </si>
  <si>
    <t>( Being Provision towards subscription of NSDL portal for filling of Softex, IUT and BOE for the FY.2023-24. )</t>
  </si>
  <si>
    <t>As discussed with Hari dt. 15.08.2024</t>
  </si>
  <si>
    <t>( Being entry taken for reduction of incentives as received from payroll )</t>
  </si>
  <si>
    <t>As per mail received from Deepali Sutar on 13.08.2024</t>
  </si>
  <si>
    <t>( Being TDS on provisions for March 24 as per mail received from Swapnil  Mali on 22.08.2024  )</t>
  </si>
  <si>
    <t>Mail from Swapnil Mali on 22,08.2024 at 5.54 pm</t>
  </si>
  <si>
    <t>(Being entry passed to reverse credit received in bank in Sept 20. Reversal made in FY 23-24 restored. )</t>
  </si>
  <si>
    <t>( Restored reversal of Audit Entry FY 22-23 )</t>
  </si>
  <si>
    <t>( FY 22-23 reversal restored )</t>
  </si>
  <si>
    <t>Exchange Loss (net)</t>
  </si>
  <si>
    <t>Balance as at 31 March 2024 (*)</t>
  </si>
  <si>
    <t>( Being gain on preference shares rate reduction reclassed to other financial income )</t>
  </si>
  <si>
    <t>(Being entry passed to reverse US tax liability as on 31 Mar 23. Reversal entry restored.)</t>
  </si>
  <si>
    <t>(Being entry passed to reverse impact of tax provision JV from Jan 23 to Sept 23. Ref SAP Doc No.100001601.)</t>
  </si>
  <si>
    <t>(Being entry passed to reverse impact of tax provision JV from Jan 23 to Dec 23. Ref SAP Doc No.100001872.)</t>
  </si>
  <si>
    <t>( FY 22-23 reversal rectification entry )</t>
  </si>
  <si>
    <t>(Being entry passed to account for DTL OCI gratuity for the year ended March 31, 2024.)</t>
  </si>
  <si>
    <t>(Being entry passed to account for DTL on leave and gratuity for the year ended March 31, 2024.)</t>
  </si>
  <si>
    <t>(Being entry passed to account for DTA on Ind AS 116 lease accounting impacts  for the year ended March 31, 2024.)</t>
  </si>
  <si>
    <t>(Being entry passed to reverse DTA on 40(a)(ia)  for the year ended March 31, 2024.)</t>
  </si>
  <si>
    <r>
      <t xml:space="preserve">( Being TDS on provisions for Professional Fees as on 31.03.2024 ) - </t>
    </r>
    <r>
      <rPr>
        <b/>
        <sz val="10.5"/>
        <color rgb="FFFF0000"/>
        <rFont val="Calibri"/>
        <family val="2"/>
        <scheme val="minor"/>
      </rPr>
      <t>Removed as duplicate entry as discussed with Hari.</t>
    </r>
  </si>
  <si>
    <t>Restore entries to take to close GL balacne of 4085000</t>
  </si>
  <si>
    <t>( Restore entries to take to close GL balacne of 4085000. )</t>
  </si>
  <si>
    <t>Refer iGAAP entry folder for back up</t>
  </si>
  <si>
    <t>( Restore entries to take to close GL balacne of 4015000. )</t>
  </si>
  <si>
    <t>REAL-ESTAT RENTAL</t>
  </si>
  <si>
    <t>OTH BUILD-RELAT SERV</t>
  </si>
  <si>
    <t>SECURITY EXP</t>
  </si>
  <si>
    <t>As per details received from Harikrishna onteams as on 04.09.2024_ Non Reversal</t>
  </si>
  <si>
    <t>( Refer doc no,  100000008 )</t>
  </si>
  <si>
    <t>( Unbilled revenue entry as on 31.03.2024. )</t>
  </si>
  <si>
    <t>( Reclassification entry March 24 )</t>
  </si>
  <si>
    <t>Refer IGAAP entry folder FY 23-24</t>
  </si>
  <si>
    <t>(Being entry passed to account for BBT for the year ended March 31, 2024.)</t>
  </si>
  <si>
    <t>( Being unbilled revenue for FY 22-23 actualised during FY 23-24.  )</t>
  </si>
  <si>
    <t>( Payroll clearing reclass received from payroll )</t>
  </si>
  <si>
    <t>( Provision for incremental salary reversed as received from payroll )</t>
  </si>
  <si>
    <t>Entry received from Deepali Sutar</t>
  </si>
  <si>
    <t>Gain from change in Preference Shares Terms</t>
  </si>
  <si>
    <t>Summary of material accounting policies and other explanatory information</t>
  </si>
  <si>
    <t>Profit / (Loss) before tax</t>
  </si>
  <si>
    <t>Profit / (Loss) after tax (A)</t>
  </si>
  <si>
    <t>Total deferred tax (assets) / liabilities</t>
  </si>
  <si>
    <t xml:space="preserve">Deferred tax (assets) /  liabilities (net) </t>
  </si>
  <si>
    <t>Tax on buyback of preference shares ₹ 264 Lakhs reversed due to changes in recent financial budget</t>
  </si>
  <si>
    <t>The following table provides the details of income tax assets and income tax liabilities as on 31 March 2024 and 31 March 2023:</t>
  </si>
  <si>
    <t>8.00 % for 2024 and 7.00% thereafter</t>
  </si>
  <si>
    <t>Profit / (Loss)  after tax for the year</t>
  </si>
  <si>
    <t>)</t>
  </si>
  <si>
    <t>v)</t>
  </si>
  <si>
    <t>Modification of contractual terms of financial liabilities</t>
  </si>
  <si>
    <t>Gain on modification of financial liability</t>
  </si>
  <si>
    <t xml:space="preserve">Miscellaneous income </t>
  </si>
  <si>
    <t>Basic and diluted earning / (loss) per equity share (₹)</t>
  </si>
  <si>
    <t>Cash (used in) from operations before working capital changes</t>
  </si>
  <si>
    <t>Interest income</t>
  </si>
  <si>
    <t>Unrealised foreign exchange</t>
  </si>
  <si>
    <t>Decrease in trade receivables</t>
  </si>
  <si>
    <t>(Increase) in other financial assets</t>
  </si>
  <si>
    <t>(Increase) in other assets</t>
  </si>
  <si>
    <t>(Decrease) in other liabilities</t>
  </si>
  <si>
    <t>Increase in employee benefit obligations</t>
  </si>
  <si>
    <t>Unbilled receivable</t>
  </si>
  <si>
    <t>Impact of modification of contractual terms (refer note 11(v))</t>
  </si>
  <si>
    <t>Gain on exchange fluctuations (net)</t>
  </si>
  <si>
    <t>Gain on modification of financial liability (refer note 11 and 28)</t>
  </si>
  <si>
    <t>Loss on exchange fluctuations (net)</t>
  </si>
  <si>
    <t>Atos IT Solution &amp; Services Inc</t>
  </si>
  <si>
    <t>Earning / ( Loss ) per share ("EPS")</t>
  </si>
  <si>
    <t>Other current financial asset</t>
  </si>
  <si>
    <t>A wide range of risks may affect the Company's business and financial results. Amongst other risks that could have significant influence on the Company are market risk, credit risk and liquidity risk.
The Board of Directors of the Company manage and review the affairs of the Company by setting up short term and long term budgets by monitoring the same and taking suitable actions to minimise potential adverse effects on its operational and financial performance.</t>
  </si>
  <si>
    <t>MAT utilisation in current year</t>
  </si>
  <si>
    <t>Unbilled receivables</t>
  </si>
  <si>
    <t xml:space="preserve">The Company evaluates each contract or arrangement, whether it qualifies as lease as defined under Ind AS 116.
</t>
  </si>
  <si>
    <r>
      <rPr>
        <b/>
        <sz val="10"/>
        <color theme="1"/>
        <rFont val="Arial"/>
        <family val="2"/>
      </rPr>
      <t>Recognition of Lease</t>
    </r>
    <r>
      <rPr>
        <sz val="10"/>
        <color theme="1"/>
        <rFont val="Arial"/>
        <family val="2"/>
      </rPr>
      <t xml:space="preserve">
The Company assesses, whether the contract is, or contains, a lease, at its inception. A contract is, or contains, a lease if the contract conveys the right to:
(a) control the use of an identified asset,
(b) obtain substantially all the economic benefits from use of the identified asset, and
(c) direct the use of the identified asset.</t>
    </r>
  </si>
  <si>
    <r>
      <rPr>
        <b/>
        <sz val="10"/>
        <color theme="1"/>
        <rFont val="Arial"/>
        <family val="2"/>
      </rPr>
      <t>Company as a lessee</t>
    </r>
    <r>
      <rPr>
        <sz val="10"/>
        <color theme="1"/>
        <rFont val="Arial"/>
        <family val="2"/>
      </rPr>
      <t xml:space="preserve">
The Company enters into an arrangement for lease of office premises. Such arrangements are generally for a fixed period but may have extension or termination options.</t>
    </r>
  </si>
  <si>
    <r>
      <rPr>
        <b/>
        <sz val="10"/>
        <color theme="1"/>
        <rFont val="Arial"/>
        <family val="2"/>
      </rPr>
      <t xml:space="preserve">Initial Recognition of RoU Asset
</t>
    </r>
    <r>
      <rPr>
        <sz val="10"/>
        <color theme="1"/>
        <rFont val="Arial"/>
        <family val="2"/>
      </rPr>
      <t>The Company at the commencement of the lease contract recognizes a Right-of-Use (RoU) Asset at cost and corresponding lease liability, except for leases with term of less than twelve months (short term leases) and low-value assets. For these short term and low value leases, the Company recognizes the lease payments as an operating expense on a straight-line basis over the lease term.
The cost of the ROU Assets comprises the amount of the initial measurement of the lease liability, any lease payments made at or before the inception date of the lease plus any initial direct costs, less any lease incentives received.</t>
    </r>
  </si>
  <si>
    <r>
      <rPr>
        <b/>
        <sz val="10"/>
        <color theme="1"/>
        <rFont val="Arial"/>
        <family val="2"/>
      </rPr>
      <t>Subsequent measurement of RoU Asset</t>
    </r>
    <r>
      <rPr>
        <sz val="10"/>
        <color theme="1"/>
        <rFont val="Arial"/>
        <family val="2"/>
      </rPr>
      <t xml:space="preserve">
Subsequently, the RoU assets are measured at cost less any accumulated depreciation and accumulated impairment losses, if any. RoU Assets are depreciated using the straight-line method from the commencement date over the shorter of lease term or useful life of RoU Assets. The estimated useful lives of RoU Assets are determined on the same basis as those of property and equipment.</t>
    </r>
  </si>
  <si>
    <t>The Company applies Ind AS 36 to determine whether a RoU Asset is impaired and accounts for any identified impairment loss as described in the impairment of non-financial assets above.</t>
  </si>
  <si>
    <r>
      <rPr>
        <b/>
        <sz val="10"/>
        <color theme="1"/>
        <rFont val="Arial"/>
        <family val="2"/>
      </rPr>
      <t xml:space="preserve">Initial Recognition of Lease Liability
</t>
    </r>
    <r>
      <rPr>
        <sz val="10"/>
        <color theme="1"/>
        <rFont val="Arial"/>
        <family val="2"/>
      </rPr>
      <t>For lease liabilities at the commencement of the lease, the Company measures the lease liability at the present value of the lease payments that are not paid at that date. The lease payments are discounted using the interest rate implicit in the lease, if that rate is readily determined, if that rate is not readily determined, the lease payments are discounted using the incremental borrowing rate that the Company would have to pay to borrow funds, including the consideration of factors such as the nature of the asset and location, collateral, market terms and conditions, as applicable in a similar economic environment.</t>
    </r>
  </si>
  <si>
    <t>The Company recognizes the amount of the re-measurement of lease liability as an adjustment to the right-of-use assets. Where the carrying amount of the right-of-use assets is reduced to zero and there is a further reduction in the measurement of the lease liability, the Company recognizes any remaining amount of the remeasurement in the Statement of Profit and Loss.</t>
  </si>
  <si>
    <t>Lease liability payments are classified as cash used in financing activities in the Statement of Cash flows.</t>
  </si>
  <si>
    <r>
      <rPr>
        <b/>
        <sz val="10"/>
        <color theme="1"/>
        <rFont val="Arial"/>
        <family val="2"/>
      </rPr>
      <t xml:space="preserve">Subsequent measurement of Lease Liability
</t>
    </r>
    <r>
      <rPr>
        <sz val="10"/>
        <color theme="1"/>
        <rFont val="Arial"/>
        <family val="2"/>
      </rPr>
      <t>After the commencement date, the amount of lease liabilities is increased to reflect the accretion of interest and reduced for the lease payments made.</t>
    </r>
  </si>
  <si>
    <t>The Company recognizes financial assets and financial liabilities when it becomes a party to the contractual provisions of the instrument.
The classification of financial assets at initial recognition depends on the financial asset’s contractual cash flow characteristics and the Company’s business model for managing them. With the exception of trade receivables, the Company initially measures a financial asset at its fair value plus, in the case of a financial asset not at fair value through profit or loss, transaction costs. Trade receivables that do not contain a significant financing component are measured at the transaction price determined under Ind AS 115. Refer to the accounting policies in section 3(h) Revenue from contracts with customers.
All financial liabilities are recognised initially at fair value and, in the case of payables, net of directly attributable transaction costs.</t>
  </si>
  <si>
    <t>Syntel Solutions (India) Private Limited, (the 'Company'), was incorporated on 23 August 2010, having CIN U72900PN2010FTC137168, it is a wholly owned subsidiary of Syntel Solutions (Mauritius) Limited and is incorporated in India. Atos S.E., France is the ultimate holding company. 
The Company primarily provides information technology services.The services include software development, packaged software integration, system maintenance and engineering design services to its customers and clients of its customers operating in different industries. The registered office of company is situated at Ground Floor, S2 Software Block, Plot No. B1/B2, Dehu Alandi Road, Talawade, Software Technology Park, Pune, Maharashtra 411062.
The financial statements for the year ended 31 March 2024 were authorized and approved for issue in accordance with resolution of Board of Directors on 30 September 2024.</t>
  </si>
  <si>
    <t>All amounts included in the financial statements are reported in Indian rupees (in ₹ Lakhs) except share and per share data, unless otherwise stated. Amount presented as "0" are non-zero numbers rounded off in ₹ Lakhs. Due to rounding off, the numbers presented throughout the document may not add up precisely to the totals and percentages may not precisely reflect the absolute figures.</t>
  </si>
  <si>
    <t xml:space="preserve">The Company did not have any material transactions with companies struck off under Section 248 of the Companies Act, 2013 or Section 560 of Companies Act, 1956 during the financial year.
</t>
  </si>
  <si>
    <t>Remeasurement of the actuarial gain on defined benefit obligation (#)</t>
  </si>
  <si>
    <t>Tax impact on above items (#)</t>
  </si>
  <si>
    <t>To related parties (refer note 28)</t>
  </si>
  <si>
    <t>Deferred tax (assets)/ liabilities (net)</t>
  </si>
  <si>
    <t>Atos S.E., the Ultimate Holding Company, along with its subsidiaries (collectively referred to as ‘the Group’ or ‘Group entities’), is currently facing liquidity challenges and undergoing financial restructuring. Owing to this, the Group entered into financial restructuring plan with affected parties. Subsequently, the shareholders of the Ultimate Holding Company have approved the proposed draft accelerated safeguard plan (the “Draft Plan”) by a majority vote on 27 September 2024. However, under French law, the Ultimate Holding Company must apply to the specialized Commercial Court of Nanterre (the “Court”) for approval of the Draft Plan. The plan will only become enforceable against all parties upon the Court’s approval, allowing the Group to proceed with its financial restructuring in line with its corporate interests.
The auditor of the Ultimate Holding Company included a Material Uncertainty Related to Going Concern paragraph in their review report dated 2 August 2024 for the half year ended 30 June 2024, due to uncertainties surrounding the implementation of the proposed financial restructuring plan. These events and conditions cast significant doubt about the Group’s ability to continue as a Going concern basis.
This situation may significantly impact the Company’s ability to continue as a going concern due to its high dependency on transactions with other Group entities. However, given the progress of the Draft Plan, the Company’s management is confident of continued operational and financial support from Group Companies for the services provided. Additionally, after the year-end, the Company has already received INR 14 out of the total INR 20 Lakhs receivables outstanding from the Group entities as of 31 March 2024. Based on these factors, the management believes that it is appropriate to prepare these financial statements on a going concern basis.</t>
  </si>
  <si>
    <t>The Ministry of Corporate Affairs (MCA) has prescribed a new requirement for companies under the proviso to Rule 3(1) of the Companies (Accounts) Rules, 2014, inserted by the Companies (Accounts) Amendment Rules 2021 requiring companies, which uses accounting software for maintaining its books of account, shall only use such accounting software which has a feature of recording audit trail of each and every transaction, creating an edit log of each change made in the books of account along with the date when such changes were made and ensuring that the audit trail cannot be disabled.
The Company has used an accounting software for maintaining its books of account which has a feature of recording audit trail (edit log) facility and the same has been enabled throughout the year at the application level. The software is operated by a third-party software service provider and in the absence of any information on the existence of audit trail feature in the ‘Independent Service Auditor’s Report on a Description of the Service Organization’s System and the Suitability of the Design and Operating Effectiveness of Controls’ (‘Type 2 report’ issued in accordance with ISAE 3402, Assurance Reports on Controls at a Service Organization), we are unable to assess whether the audit trail feature was enabled and operated throughout the year at the database level to log any direct data changes.</t>
  </si>
  <si>
    <t>Relationship with the related party</t>
  </si>
  <si>
    <t>Other comprehensive loss for the year (#)</t>
  </si>
  <si>
    <t>Total Other comprehensive income / (loss) for the year (A+B)</t>
  </si>
  <si>
    <t>Other comprehensive income / (loss) for the year (B)</t>
  </si>
  <si>
    <t xml:space="preserve">Previously, the amount paid by the Company for the buy-back of shares was subject to buy-back tax (BBT) at the Company level and was exempt for shareholders. However, according to the Union Budget 2024, effective from 01 October 2024, any premium paid on the redemption of shares will be considered a dividend for shareholders and will be subject to Income Tax at the applicable rates. Consequently, the Company has reversed the deferred tax liability that was created for the BBT payable on redemption in the financial year ended 31 March 2024.
 </t>
  </si>
  <si>
    <r>
      <t xml:space="preserve">Debt service coverage ratio (in times) </t>
    </r>
    <r>
      <rPr>
        <b/>
        <sz val="10"/>
        <rFont val="Arial"/>
        <family val="2"/>
      </rPr>
      <t>(1)</t>
    </r>
  </si>
  <si>
    <r>
      <t xml:space="preserve">Return on Equity (ROE)  (in %) </t>
    </r>
    <r>
      <rPr>
        <b/>
        <sz val="10"/>
        <rFont val="Arial"/>
        <family val="2"/>
      </rPr>
      <t>(1)</t>
    </r>
  </si>
  <si>
    <t>The trade receivables as at 31 March 2023 includes receivables amounting to ₹ 4 lakhs pending settlement beyond the timeline stipulated by the FED Master Direction No. 16/2015-16 under the Foreign Exchange Management Act, 1999. No penalty has been levied by RBI for such  receivables.</t>
  </si>
  <si>
    <t>Age range</t>
  </si>
  <si>
    <t>Rates</t>
  </si>
  <si>
    <t>21-30</t>
  </si>
  <si>
    <t>31-34</t>
  </si>
  <si>
    <t>35-44</t>
  </si>
  <si>
    <t>45-50</t>
  </si>
  <si>
    <t>51-54</t>
  </si>
  <si>
    <t>55-59</t>
  </si>
  <si>
    <t>Withdrawal rates of different age groups</t>
  </si>
  <si>
    <t>Defined benefit obligation (continue)</t>
  </si>
  <si>
    <t>Rounding off adjustments in financials</t>
  </si>
  <si>
    <t>As per file</t>
  </si>
  <si>
    <t>Opening Balance 
01-Apr-24</t>
  </si>
  <si>
    <t>Closing Balance 
31-Mar-25</t>
  </si>
  <si>
    <t>Statement of profit and loss for the year ended 31 March 2025</t>
  </si>
  <si>
    <t>Balance as at 01 April 2023</t>
  </si>
  <si>
    <t>Balance as at 31 March 2025</t>
  </si>
  <si>
    <t>As at 31 March 2025</t>
  </si>
  <si>
    <t>For the year ended 31 March 2025</t>
  </si>
  <si>
    <t>Cash Flow Statement for the year ended 31 March 2025</t>
  </si>
  <si>
    <t>Statement of Changes in Equity for the year ended 31 March 2025</t>
  </si>
  <si>
    <t>Balance as on 31 March 2025</t>
  </si>
  <si>
    <r>
      <t xml:space="preserve">(*)  Includes right of use asset from related parties having net carrying value amounting to </t>
    </r>
    <r>
      <rPr>
        <sz val="10"/>
        <rFont val="Arial"/>
        <family val="2"/>
      </rPr>
      <t xml:space="preserve">₹  </t>
    </r>
    <r>
      <rPr>
        <sz val="10"/>
        <color theme="1"/>
        <rFont val="Arial"/>
        <family val="2"/>
      </rPr>
      <t xml:space="preserve"> (31 March 2024: ₹ 64) (refer note 28).</t>
    </r>
  </si>
  <si>
    <t>As at  31 March 2025</t>
  </si>
  <si>
    <t>Includes cash at bank amounting to ₹  Lakhs (31 March 2024 ₹  45 Lakhs) earning increased at floating rates based on daily bank deposit rates</t>
  </si>
  <si>
    <t>The Company has not issued any bonus shares or any shares for consideration other than cash and has not bought back any shares during five years immediately preceding 31 March 2025.</t>
  </si>
  <si>
    <t>As at 1 April 2023</t>
  </si>
  <si>
    <t>Balance as at 31 March 2025 (*)</t>
  </si>
  <si>
    <t>Year ended
31 March 2025</t>
  </si>
  <si>
    <t>During the year ending 31 March 2025 and 31 March 2024, there was no transfer between level 2 and level 3 fair value measurements.</t>
  </si>
  <si>
    <t>Foreign currency exposure as at 31 March 2025</t>
  </si>
  <si>
    <t>2024-25</t>
  </si>
  <si>
    <t xml:space="preserve"> As at 31 March 2025</t>
  </si>
  <si>
    <t>The applicable Indian statutory tax rate for fiscal 2025 and fiscal 2024 is 27.82%.</t>
  </si>
  <si>
    <t>The Company accrues for the compensated absences based on the entire available leave balance standing to the credit of the employees at year end. The amount of the provision is presented as current, since the Company does not have an unconditional right to defer settlement for any of these obligations. The value of such leave balance eligible for carry forward, is determined by actuarial valuation as at the Balance sheet date and is charged to Statement of profit and loss in the period determined. The provision as at 31 March 2025 is ₹ 3 lakhs (31 March 2024 - ₹ 3 lakhs).</t>
  </si>
  <si>
    <t>Below is selected segment financials data for the year ended 31 March 2025 and 31 March 2024</t>
  </si>
  <si>
    <t>Ind AS transition entries for the year 24-25</t>
  </si>
  <si>
    <t>ACCUMULATED DEFICITS</t>
  </si>
  <si>
    <t>NET INCOM FOR PERIOD</t>
  </si>
  <si>
    <t>SUNDRY BORROWINGS RE</t>
  </si>
  <si>
    <t>Trade payables - For</t>
  </si>
  <si>
    <t>FX Inv to be receive</t>
  </si>
  <si>
    <t>Trade receivables -</t>
  </si>
  <si>
    <t>Catering &amp; Restauran</t>
  </si>
  <si>
    <t>Ins - Office F &amp; F</t>
  </si>
  <si>
    <t>GS Recharge GIT</t>
  </si>
  <si>
    <t>CH. PROV: PENSIONS</t>
  </si>
  <si>
    <t>OOI Other Expenses</t>
  </si>
  <si>
    <t>FIN INC TERM DEPO</t>
  </si>
  <si>
    <t>Bad Debts</t>
  </si>
  <si>
    <t>Balance Sheet as at 31 March 2025</t>
  </si>
  <si>
    <t>Reversal restored</t>
  </si>
  <si>
    <t>Corp. Income Tax and</t>
  </si>
  <si>
    <t>(Being entry passed to reverse impact of tax provision JV from Jan 24 to Sept 24. Ref SAP Doc No.100002950.)</t>
  </si>
  <si>
    <t>(Being entry passed to reverse impact of tax provision JV from Oct 24 to Dec 24. Ref SAP Doc No.100006137.)</t>
  </si>
  <si>
    <t>( Being TDS on provisions for March 24 as per mail received from Swapnil  Mali on 22.08.2024  Revrsed in FY 24-25)</t>
  </si>
  <si>
    <t>( Being provision taken for medical insurance invoice Future Generali in hand . Reversed in FY 24-25)</t>
  </si>
  <si>
    <t>( Being reversal of excess provision made towards Actuary valuation for the period -Jan to Dec`23. Reversal taken in FY 24-25. )</t>
  </si>
  <si>
    <t>( Being Provision towards subscription of NSDL portal for filling of Softex, IUT and BOE for the FY.2023-24.Reversal taken in FY 24-25.as payment done )</t>
  </si>
  <si>
    <t>( BeingProvision towards subscription of NSDL portal for filling of Softex, IUT and BOE for the FY.2024-25.. )</t>
  </si>
  <si>
    <t>OTHER FEES</t>
  </si>
  <si>
    <t>( Being Provison towards payment of renewal of Annual membership charges of the association of EOU`s.)</t>
  </si>
  <si>
    <t>Other Fees</t>
  </si>
  <si>
    <t>( Being Accrual of electricity charges for the month of March`2025 )</t>
  </si>
  <si>
    <t>Bening TDS on Provision (External Vendors) March 25</t>
  </si>
  <si>
    <t>(Being TDS on Provision (Intercomapany))</t>
  </si>
  <si>
    <t>( Being reversal of provision for security charges June 23. Entry restored against reversal )</t>
  </si>
  <si>
    <t>( Beibg Reversal of provision of Comp Cost made in the month of Oct`2023. Entry restored against reversal  )</t>
  </si>
  <si>
    <t>( Being reversal of provision of Security Charges made in the month of Jan`2024. Entry restored against reversal  )</t>
  </si>
  <si>
    <t>( Being reversal of electricity provision made in Nov 24 restored in IGAAP )</t>
  </si>
  <si>
    <t>Received from Rajesh S</t>
  </si>
  <si>
    <t>( Bening entry made netting margin for FY 24-25 )</t>
  </si>
  <si>
    <t>SL0099</t>
  </si>
  <si>
    <t>SL0141</t>
  </si>
  <si>
    <t>Interest income from term deposits &amp; others</t>
  </si>
  <si>
    <t>TRA DEB-GUAR RETENT</t>
  </si>
  <si>
    <t>Wrong reversal made in nesssie corrected</t>
  </si>
  <si>
    <t>( Bening Wrong reversal made in nesssie corrected FY 24-25 )</t>
  </si>
  <si>
    <t>Other Rates and Taxes</t>
  </si>
  <si>
    <t>Advance paid towards Order Charges (Dev Commissioner SEEPZ Mumbai )</t>
  </si>
  <si>
    <t>Outstanding Liablities</t>
  </si>
  <si>
    <t>( Bening Advance paid towards Order Charges (Dev Commissioner SEEPZ Mumbai )</t>
  </si>
  <si>
    <t>Recclassification of GL Code</t>
  </si>
  <si>
    <t>( Being invoices booked in FY 24-25 against advances reclassed to GL  409100 )</t>
  </si>
  <si>
    <t>( Being advamnces given during FY 24-25 reclassed  to GL  409100 )</t>
  </si>
  <si>
    <t>Opening Balance 
01-Apr-23</t>
  </si>
  <si>
    <t>Closing Balance 
31-Mar-24</t>
  </si>
  <si>
    <t>( Being entry taken for interest income accrual. Entry received from treasury )</t>
  </si>
  <si>
    <t>( Medical Insurance reclass to 645004 Health Insurance )</t>
  </si>
  <si>
    <t>Discussed with Hari D</t>
  </si>
  <si>
    <t>Year ended 
31 March 2025</t>
  </si>
  <si>
    <t>( Correction of GL)</t>
  </si>
  <si>
    <t>Received from Swapnil Mali on 06.08.2025</t>
  </si>
  <si>
    <t>Received from Swapnil on teams 08.08.2025</t>
  </si>
  <si>
    <t>Reclassification of TDS  - Non Reversible  ( Rectification of TDS Entry Monthly - Jan'2024)  DCN 2000002329</t>
  </si>
  <si>
    <t>Reclassification of TDS  - Non Reversible  ( Rectification of TDS Entry Monthly - Jan'2023) Interst on TDS</t>
  </si>
  <si>
    <t>Catering and Restaurant</t>
  </si>
  <si>
    <t>Received from Harikrishna on teams 11.08.2025</t>
  </si>
  <si>
    <t>( Reclass of Lease deposit )</t>
  </si>
  <si>
    <t>( Being debit balances for exchange differences regrouped March 24  - Reversed  )</t>
  </si>
  <si>
    <t>( Being debit balances for exchange differences regrouped March 24 - Payable GL reclass )</t>
  </si>
  <si>
    <t>Reclass of Dividend entru - To be passed in OL</t>
  </si>
  <si>
    <t>Received from Hari on 12.08.2025</t>
  </si>
  <si>
    <t>( GST write off entry received from Manoj )</t>
  </si>
  <si>
    <t>Differenctial audit fees provision entry taken as per revised fees</t>
  </si>
  <si>
    <t>( Being correction entry received from Deepali for employee incentives )</t>
  </si>
  <si>
    <t>Mail from Deepali on 18.08.2025</t>
  </si>
  <si>
    <t>Received from Swapnil Mali on 19.08.2025 on mail</t>
  </si>
  <si>
    <t>( Rectification for TDS payable based on details received from Swapnil Mali )</t>
  </si>
  <si>
    <t>( Being GL expenses reclassed )</t>
  </si>
  <si>
    <t>Not to consider for L2 booking</t>
  </si>
  <si>
    <t>( Reclass loan to employee )</t>
  </si>
  <si>
    <t>Loan to employee reclass - reversible entry</t>
  </si>
  <si>
    <t>(Being entry passed to account for income tax provision for the year ended March 31, 2025 as per IGAAP tax computation.)</t>
  </si>
  <si>
    <t>(Being entry passed to account for DTL OCI gratuity for the year ended March 31, 2025.)</t>
  </si>
  <si>
    <t>(Being entry passed to account for DTL on leave and gratuity for the year ended March 31, 2025.)</t>
  </si>
  <si>
    <t>(Being entry passed to account for DTA on Ind AS 116 lease accounting impacts  for the year ended March 31, 2025.)</t>
  </si>
  <si>
    <t>( GL reclass for SPL receivables )</t>
  </si>
  <si>
    <t xml:space="preserve">                          Naisr Usman Shaikh </t>
  </si>
  <si>
    <t xml:space="preserve">             DIN No. 08771220</t>
  </si>
  <si>
    <t xml:space="preserve">                   Nasir Usman Shaikh</t>
  </si>
  <si>
    <t xml:space="preserve">      DIN No. 08771220</t>
  </si>
  <si>
    <t>There are no standards that are issued but not yet effective on 31 March 2025.</t>
  </si>
  <si>
    <t>Received from tax team</t>
  </si>
  <si>
    <t>( Dividend paid is adjusted against Liability )</t>
  </si>
  <si>
    <r>
      <t>(</t>
    </r>
    <r>
      <rPr>
        <vertAlign val="subscript"/>
        <sz val="12"/>
        <color theme="1"/>
        <rFont val="Arial"/>
        <family val="2"/>
      </rPr>
      <t>*</t>
    </r>
    <r>
      <rPr>
        <sz val="10"/>
        <color theme="1"/>
        <rFont val="Arial"/>
        <family val="2"/>
      </rPr>
      <t>) Includes dividend amounting to ₹ 3,360 [31 March 2024\ : Dividend amounting to ₹ 3,360]</t>
    </r>
  </si>
  <si>
    <t>(*) Deferred tax for the year ended 31 March 2024 and 31 March 2023 relates to origination and reversal of temporary differences and is net of MAT credit entitlement of ₹ 4.58 lakhs (31 March 2024: ₹ 4 lakhs)</t>
  </si>
  <si>
    <t>During the financial year 2024-25, the contractual cash flows of preference shares were renegotiated between the parties, hence the Company has accounted this as a modification in accordance with para 5.4.3 of Ind AS 109 - Financial Instruments. The Company has recalculate the gross carrying amount of the preference shares and has recognised a modification gain of ₹ 204 lakhs in the statement of profit and loss. The gross carrying amount of the preference shares has been recalculated as the present value of the renegotiated cash flows that are discounted using revised effective interest rate.</t>
  </si>
  <si>
    <t>(*) Includes finance lease liability payable to related parties amounting to ₹  40  (31 March 2024 : ₹ 73). (refer note 28)</t>
  </si>
  <si>
    <t>(**) Includes interest and payment of interest to related parties amounting to ₹   4    (31 March 2023 : ₹ 6). (refer note 28)</t>
  </si>
  <si>
    <t>(***) Includes repayment of lease liability to related parties amounting to ₹ 32    (31 March 2023 : ₹ 30). (refer note 28)</t>
  </si>
  <si>
    <t>Minimum Alternate Tax (“MAT”) is payable on Book Income. The excess tax paid under MAT provisions, over and above the normal tax liability is “MAT Credit”. MAT Credit can be carry forward and set-off against future tax liabilities computed under normal tax provisions in excess of tax payable under MAT. According to Section 115JAA of Income Tax Act, 1961, MAT Credit can be carry forward for set-off up to a period of 15 years from the end of the financial year in which MAT Credit arises. The Company has calculated the tax liability for current domestic taxes after considering MAT tax liability. Management estimates that the Company would be able to utilize the MAT credit within 5 years. The MAT Credit as of 31 March 2025 of ₹ 53 Lacs shall be utilized before 31 March of the following financial years and shall expire as follows:</t>
  </si>
  <si>
    <t>Income tax liabilities [net of advance tax and TDS ₹ 181  Lakhs (31 March 2024: ₹ 169 Lakhs)] (#)</t>
  </si>
  <si>
    <t>Advances tax and tax deducted at source [net of provision ₹ 2,503   Lakhs (31 March 2023: ₹ 2,466 Lakhs)]</t>
  </si>
  <si>
    <t>Eligible employees of the Company receive benefit under the Provident Fund which is a defined contribution plan where in both the employee and the Company make monthly contributions equal to a specified percentage of the covered employees' salary. These contributions are made to the Fund administered and managed by the Government of India. The Company's monthly contributions are charged to the Statement of profit and loss in the period they are incurred. The total charge for the year amounts to ₹ 1 lakhs (31 March 2024 - ₹ 1 lakhs).</t>
  </si>
  <si>
    <t>31 March 2025</t>
  </si>
  <si>
    <t>Neeluthodi Cheerakuzhi Ajith ( Director )</t>
  </si>
  <si>
    <t>Nasir Usman Shaikh ( Director )</t>
  </si>
  <si>
    <t>The sales to and purchases from related parties are made on terms equivalent to those that prevail in arm’s length transactions. Outstanding balances at the year-end are unsecured and interest free and settlement occurs in cash. There have been no guarantees provided or received for any related party receivables or payables. For the year ended 31 March 2025, the Group has not recorded any impairment of receivables relating to amounts owed by related parties (31 March 2024: INR Nil). This assessment is undertaken each financial year through examining the financial position of the related party and the market in which the related party operates.</t>
  </si>
  <si>
    <t>The ratios for the years ended 31 March 2025 and 31 March 2024 are as follows :</t>
  </si>
  <si>
    <t>31st March 2025</t>
  </si>
  <si>
    <r>
      <t>Debt – Equity ratio (in times)</t>
    </r>
    <r>
      <rPr>
        <b/>
        <sz val="10"/>
        <rFont val="Arial"/>
        <family val="2"/>
      </rPr>
      <t xml:space="preserve"> </t>
    </r>
  </si>
  <si>
    <r>
      <t xml:space="preserve">Current ratio (in times) </t>
    </r>
    <r>
      <rPr>
        <b/>
        <sz val="10"/>
        <rFont val="Arial"/>
        <family val="2"/>
      </rPr>
      <t>(1)</t>
    </r>
  </si>
  <si>
    <r>
      <rPr>
        <b/>
        <sz val="10"/>
        <rFont val="Arial"/>
        <family val="2"/>
      </rPr>
      <t xml:space="preserve">(1) </t>
    </r>
    <r>
      <rPr>
        <sz val="10"/>
        <rFont val="Arial"/>
        <family val="2"/>
      </rPr>
      <t xml:space="preserve">Change is on account of  preference shares liability considered current payables </t>
    </r>
  </si>
  <si>
    <t xml:space="preserve">Trade receivable turnover ratio (in times) </t>
  </si>
  <si>
    <t xml:space="preserve">Trade payables turnover ratio (in times) </t>
  </si>
  <si>
    <r>
      <t xml:space="preserve">Net capital turnover ratio (in times) ) </t>
    </r>
    <r>
      <rPr>
        <b/>
        <sz val="10"/>
        <rFont val="Arial"/>
        <family val="2"/>
      </rPr>
      <t>(1)</t>
    </r>
  </si>
  <si>
    <r>
      <t xml:space="preserve">Net profit ratio (in %) </t>
    </r>
    <r>
      <rPr>
        <b/>
        <sz val="10"/>
        <rFont val="Arial"/>
        <family val="2"/>
      </rPr>
      <t>(2)</t>
    </r>
  </si>
  <si>
    <r>
      <rPr>
        <b/>
        <sz val="10"/>
        <rFont val="Arial"/>
        <family val="2"/>
      </rPr>
      <t>(2)  Decrease</t>
    </r>
    <r>
      <rPr>
        <sz val="10"/>
        <rFont val="Arial"/>
        <family val="2"/>
      </rPr>
      <t xml:space="preserve"> in ratio is due to decrease in net profit  during the year</t>
    </r>
  </si>
  <si>
    <r>
      <t xml:space="preserve">Return on Capital Employed (ROCE) (in %) </t>
    </r>
    <r>
      <rPr>
        <b/>
        <sz val="10"/>
        <rFont val="Arial"/>
        <family val="2"/>
      </rPr>
      <t>(3)</t>
    </r>
  </si>
  <si>
    <r>
      <rPr>
        <b/>
        <sz val="10"/>
        <rFont val="Arial"/>
        <family val="2"/>
      </rPr>
      <t>(3)</t>
    </r>
    <r>
      <rPr>
        <sz val="10"/>
        <rFont val="Arial"/>
        <family val="2"/>
      </rPr>
      <t xml:space="preserve"> Decrease in ratio is due to decrease in earnings  during the year.</t>
    </r>
  </si>
  <si>
    <t>Tax Correction netry FY 23-24</t>
  </si>
  <si>
    <t>( Tax Correction entry for FY 23-24 for MAT utilization )</t>
  </si>
  <si>
    <t>(Being true up entry forFY 2023-24 i.e.  AY 2024-25.)</t>
  </si>
  <si>
    <t>VSV entries</t>
  </si>
  <si>
    <t>( VSV impact of reduction of refund for FY 11-12 i.e. AY 12-13 )</t>
  </si>
  <si>
    <t>SSIPL has paid Rs. 5955318 on 31.07.2025 for VSV tax payable for FY 2012-13 i.e. AY 13-14. Actual Payment is done in July 25, however provision taken for this payment in FY 24-25 as per above entry</t>
  </si>
  <si>
    <r>
      <t xml:space="preserve">Deferred tax [net of MAT credit </t>
    </r>
    <r>
      <rPr>
        <sz val="10"/>
        <rFont val="Arial"/>
        <family val="2"/>
      </rPr>
      <t>₹ 31  ( 31 March 2024 : ₹ 4)]</t>
    </r>
    <r>
      <rPr>
        <sz val="10"/>
        <color theme="1"/>
        <rFont val="Arial"/>
        <family val="2"/>
      </rPr>
      <t xml:space="preserve"> (refer note no 14)</t>
    </r>
  </si>
  <si>
    <t>,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</si>
</sst>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 #,##0.00_ ;_ * \-#,##0.00_ ;_ * &quot;-&quot;??_ ;_ @_ "/>
    <numFmt numFmtId="164" formatCode="_-* #,##0_-;\-* #,##0_-;_-* &quot;-&quot;_-;_-@_-"/>
    <numFmt numFmtId="165" formatCode="_-* #,##0.00_-;\-* #,##0.00_-;_-* &quot;-&quot;??_-;_-@_-"/>
    <numFmt numFmtId="166" formatCode="&quot;£&quot;#,##0.00_);[Red]\(&quot;£&quot;#,##0.00\)"/>
    <numFmt numFmtId="167" formatCode="_(* #,##0_);_(* \(#,##0\);_(* &quot;-&quot;_);_(@_)"/>
    <numFmt numFmtId="168" formatCode="_(* #,##0.00_);_(* \(#,##0.00\);_(* &quot;-&quot;??_);_(@_)"/>
    <numFmt numFmtId="169" formatCode="&quot;$&quot;#,##0.00_);[Red]\(&quot;$&quot;#,##0.00\)"/>
    <numFmt numFmtId="170" formatCode="_(&quot;$&quot;* #,##0.00_);_(&quot;$&quot;* \(#,##0.00\);_(&quot;$&quot;* &quot;-&quot;??_);_(@_)"/>
    <numFmt numFmtId="171" formatCode="dd\ mmmm\ yyyy"/>
    <numFmt numFmtId="172" formatCode="_(* #,##0_);_(* \(#,##0\);_(* &quot;-&quot;??_);_(@_)"/>
    <numFmt numFmtId="173" formatCode="[$-14009]d\ mmmm\ yyyy;@"/>
    <numFmt numFmtId="174" formatCode="[$-409]mmmm\ d\,\ yyyy;@"/>
    <numFmt numFmtId="175" formatCode="dd\ mmm\ yyyy"/>
    <numFmt numFmtId="176" formatCode="[$-409]d\-mmm\-yy;@"/>
    <numFmt numFmtId="177" formatCode="0000000000"/>
    <numFmt numFmtId="178" formatCode="[$-409]dd\-mmm\-yy;@"/>
    <numFmt numFmtId="179" formatCode="_(* #,##0.00000000000000000000000000000000000_);_(* \(#,##0.00000000000000000000000000000000000\);_(* &quot;-&quot;??_);_(@_)"/>
    <numFmt numFmtId="180" formatCode="_(&quot;$&quot;* #,##0_);_(&quot;$&quot;* \(#,##0\);_(&quot;$&quot;* &quot;-&quot;??_);_(@_)"/>
    <numFmt numFmtId="181" formatCode="0.0"/>
    <numFmt numFmtId="182" formatCode="[$-F800]dddd\,\ mmmm\ dd\,\ yyyy"/>
    <numFmt numFmtId="183" formatCode="_ * #,##0_ ;_ * \-#,##0_ ;_ * &quot;-&quot;??_ ;_ @_ "/>
    <numFmt numFmtId="184" formatCode="_(* #,##0.00000000_);_(* \(#,##0.00000000\);_(* &quot;-&quot;??_);_(@_)"/>
    <numFmt numFmtId="185" formatCode="0.0%"/>
    <numFmt numFmtId="186" formatCode="_(* #,##0.0000000000000_);_(* \(#,##0.0000000000000\);_(* &quot;-&quot;??_);_(@_)"/>
  </numFmts>
  <fonts count="12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Verdana"/>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font>
    <font>
      <sz val="11"/>
      <color theme="1"/>
      <name val="Times New Roman"/>
      <family val="1"/>
    </font>
    <font>
      <b/>
      <sz val="11"/>
      <color theme="0"/>
      <name val="Times New Roman"/>
      <family val="1"/>
    </font>
    <font>
      <b/>
      <sz val="11"/>
      <color theme="1"/>
      <name val="Times New Roman"/>
      <family val="1"/>
    </font>
    <font>
      <sz val="10"/>
      <name val="Arial"/>
      <family val="2"/>
    </font>
    <font>
      <sz val="11"/>
      <name val="Times New Roman"/>
      <family val="1"/>
    </font>
    <font>
      <sz val="18"/>
      <color theme="1"/>
      <name val="Times New Roman"/>
      <family val="1"/>
    </font>
    <font>
      <i/>
      <sz val="11"/>
      <color theme="1"/>
      <name val="Times New Roman"/>
      <family val="1"/>
    </font>
    <font>
      <b/>
      <sz val="14"/>
      <color theme="1"/>
      <name val="Times New Roman"/>
      <family val="1"/>
    </font>
    <font>
      <i/>
      <sz val="12"/>
      <color theme="1"/>
      <name val="Times New Roman"/>
      <family val="1"/>
    </font>
    <font>
      <sz val="10"/>
      <color theme="1"/>
      <name val="Times New Roman"/>
      <family val="1"/>
    </font>
    <font>
      <b/>
      <sz val="11"/>
      <name val="Times New Roman"/>
      <family val="1"/>
    </font>
    <font>
      <sz val="10"/>
      <name val="Times New Roman"/>
      <family val="1"/>
    </font>
    <font>
      <b/>
      <sz val="16"/>
      <color theme="1"/>
      <name val="Times New Roman"/>
      <family val="1"/>
    </font>
    <font>
      <b/>
      <sz val="13"/>
      <color theme="1"/>
      <name val="Times New Roman"/>
      <family val="1"/>
    </font>
    <font>
      <b/>
      <i/>
      <sz val="13"/>
      <color theme="1"/>
      <name val="Times New Roman"/>
      <family val="1"/>
    </font>
    <font>
      <b/>
      <sz val="11"/>
      <color theme="1"/>
      <name val="Calibri"/>
      <family val="2"/>
    </font>
    <font>
      <b/>
      <i/>
      <sz val="14"/>
      <color theme="1"/>
      <name val="Times New Roman"/>
      <family val="1"/>
    </font>
    <font>
      <sz val="10"/>
      <name val="MS Sans Serif"/>
      <family val="2"/>
    </font>
    <font>
      <b/>
      <sz val="9"/>
      <name val="Calibri"/>
      <family val="2"/>
      <scheme val="minor"/>
    </font>
    <font>
      <sz val="9"/>
      <name val="Calibri"/>
      <family val="2"/>
      <scheme val="minor"/>
    </font>
    <font>
      <sz val="9"/>
      <color theme="1"/>
      <name val="Calibri"/>
      <family val="2"/>
      <scheme val="minor"/>
    </font>
    <font>
      <sz val="9"/>
      <color rgb="FFC00000"/>
      <name val="Calibri"/>
      <family val="2"/>
      <scheme val="minor"/>
    </font>
    <font>
      <sz val="9"/>
      <color rgb="FFFF0000"/>
      <name val="Calibri"/>
      <family val="2"/>
      <scheme val="minor"/>
    </font>
    <font>
      <b/>
      <sz val="9"/>
      <color rgb="FFC00000"/>
      <name val="Calibri"/>
      <family val="2"/>
      <scheme val="minor"/>
    </font>
    <font>
      <i/>
      <sz val="9"/>
      <name val="Calibri"/>
      <family val="2"/>
      <scheme val="minor"/>
    </font>
    <font>
      <b/>
      <sz val="16"/>
      <name val="Calibri"/>
      <family val="2"/>
      <scheme val="minor"/>
    </font>
    <font>
      <b/>
      <sz val="11"/>
      <name val="Calibri"/>
      <family val="2"/>
      <scheme val="minor"/>
    </font>
    <font>
      <sz val="11"/>
      <name val="Calibri"/>
      <family val="2"/>
      <scheme val="minor"/>
    </font>
    <font>
      <i/>
      <sz val="11"/>
      <name val="Calibri"/>
      <family val="2"/>
      <scheme val="minor"/>
    </font>
    <font>
      <b/>
      <sz val="8"/>
      <name val="Rupee Foradian"/>
      <family val="2"/>
    </font>
    <font>
      <b/>
      <sz val="11"/>
      <color rgb="FFFF0000"/>
      <name val="Calibri"/>
      <family val="2"/>
      <scheme val="minor"/>
    </font>
    <font>
      <sz val="11"/>
      <color rgb="FFFF0000"/>
      <name val="Calibri"/>
      <family val="2"/>
      <scheme val="minor"/>
    </font>
    <font>
      <b/>
      <sz val="10.5"/>
      <name val="Calibri"/>
      <family val="2"/>
      <scheme val="minor"/>
    </font>
    <font>
      <sz val="10.5"/>
      <name val="Calibri"/>
      <family val="2"/>
      <scheme val="minor"/>
    </font>
    <font>
      <sz val="11"/>
      <color theme="1"/>
      <name val="Calibri"/>
      <family val="2"/>
      <scheme val="minor"/>
    </font>
    <font>
      <sz val="10.5"/>
      <color theme="1"/>
      <name val="Calibri"/>
      <family val="2"/>
      <scheme val="minor"/>
    </font>
    <font>
      <b/>
      <sz val="11"/>
      <color theme="1"/>
      <name val="Calibri"/>
      <family val="2"/>
      <scheme val="minor"/>
    </font>
    <font>
      <b/>
      <sz val="10.5"/>
      <color rgb="FFFF0000"/>
      <name val="Calibri"/>
      <family val="2"/>
      <scheme val="minor"/>
    </font>
    <font>
      <b/>
      <sz val="10.5"/>
      <color theme="1"/>
      <name val="Calibri"/>
      <family val="2"/>
      <scheme val="minor"/>
    </font>
    <font>
      <b/>
      <sz val="16"/>
      <color theme="1"/>
      <name val="Calibri"/>
      <family val="2"/>
    </font>
    <font>
      <sz val="11"/>
      <color rgb="FFFF0000"/>
      <name val="Calibri"/>
      <family val="2"/>
    </font>
    <font>
      <sz val="8"/>
      <color indexed="81"/>
      <name val="Tahoma"/>
      <family val="2"/>
    </font>
    <font>
      <b/>
      <sz val="9"/>
      <color indexed="81"/>
      <name val="Tahoma"/>
      <family val="2"/>
    </font>
    <font>
      <sz val="9"/>
      <color indexed="81"/>
      <name val="Tahoma"/>
      <family val="2"/>
    </font>
    <font>
      <b/>
      <sz val="10"/>
      <color theme="1"/>
      <name val="Calibri"/>
      <family val="2"/>
      <scheme val="minor"/>
    </font>
    <font>
      <sz val="10"/>
      <color theme="1"/>
      <name val="Calibri"/>
      <family val="2"/>
      <scheme val="minor"/>
    </font>
    <font>
      <b/>
      <sz val="11"/>
      <color indexed="8"/>
      <name val="Calibri"/>
      <family val="2"/>
      <scheme val="minor"/>
    </font>
    <font>
      <sz val="11"/>
      <color indexed="8"/>
      <name val="Calibri"/>
      <family val="2"/>
      <scheme val="minor"/>
    </font>
    <font>
      <sz val="9"/>
      <color theme="1"/>
      <name val="Calibri"/>
      <family val="2"/>
    </font>
    <font>
      <b/>
      <sz val="9"/>
      <color theme="1"/>
      <name val="Calibri"/>
      <family val="2"/>
    </font>
    <font>
      <b/>
      <sz val="9"/>
      <color theme="1"/>
      <name val="Calibri"/>
      <family val="2"/>
      <scheme val="minor"/>
    </font>
    <font>
      <b/>
      <sz val="9"/>
      <name val="Calibri"/>
      <family val="2"/>
    </font>
    <font>
      <sz val="9"/>
      <name val="Calibri"/>
      <family val="2"/>
    </font>
    <font>
      <b/>
      <sz val="10"/>
      <name val="Arial"/>
      <family val="2"/>
    </font>
    <font>
      <sz val="10"/>
      <color rgb="FFFF0000"/>
      <name val="Arial"/>
      <family val="2"/>
    </font>
    <font>
      <b/>
      <sz val="10"/>
      <color theme="1"/>
      <name val="Arial"/>
      <family val="2"/>
    </font>
    <font>
      <i/>
      <sz val="10"/>
      <color theme="1"/>
      <name val="Arial"/>
      <family val="2"/>
    </font>
    <font>
      <b/>
      <i/>
      <sz val="10"/>
      <color theme="1"/>
      <name val="Arial"/>
      <family val="2"/>
    </font>
    <font>
      <b/>
      <i/>
      <sz val="10"/>
      <name val="Arial"/>
      <family val="2"/>
    </font>
    <font>
      <b/>
      <sz val="10"/>
      <color theme="0"/>
      <name val="Arial"/>
      <family val="2"/>
    </font>
    <font>
      <sz val="10"/>
      <color theme="0"/>
      <name val="Arial"/>
      <family val="2"/>
    </font>
    <font>
      <i/>
      <sz val="10"/>
      <color theme="0"/>
      <name val="Arial"/>
      <family val="2"/>
    </font>
    <font>
      <i/>
      <sz val="10"/>
      <name val="Arial"/>
      <family val="2"/>
    </font>
    <font>
      <b/>
      <u/>
      <sz val="10"/>
      <color theme="1"/>
      <name val="Arial"/>
      <family val="2"/>
    </font>
    <font>
      <b/>
      <sz val="10"/>
      <color rgb="FF000000"/>
      <name val="Arial"/>
      <family val="2"/>
    </font>
    <font>
      <b/>
      <sz val="10"/>
      <color rgb="FFFF0000"/>
      <name val="Arial"/>
      <family val="2"/>
    </font>
    <font>
      <vertAlign val="subscript"/>
      <sz val="12"/>
      <color theme="1"/>
      <name val="Arial"/>
      <family val="2"/>
    </font>
    <font>
      <b/>
      <sz val="12"/>
      <name val="Times New Roman"/>
      <family val="1"/>
    </font>
    <font>
      <sz val="12"/>
      <name val="Times New Roman"/>
      <family val="1"/>
    </font>
    <font>
      <b/>
      <sz val="16"/>
      <name val="Arial"/>
      <family val="2"/>
    </font>
    <font>
      <sz val="10"/>
      <name val="MS Sans Serif"/>
    </font>
    <font>
      <sz val="16"/>
      <name val="Arial"/>
      <family val="2"/>
    </font>
    <font>
      <b/>
      <sz val="14"/>
      <name val="Arial"/>
      <family val="2"/>
    </font>
    <font>
      <b/>
      <sz val="12"/>
      <name val="Arial"/>
      <family val="2"/>
    </font>
    <font>
      <sz val="12"/>
      <name val="Arial"/>
      <family val="2"/>
    </font>
    <font>
      <sz val="10"/>
      <name val="Arial"/>
      <family val="2"/>
    </font>
    <font>
      <b/>
      <u/>
      <sz val="10.5"/>
      <name val="Calibri"/>
      <family val="2"/>
      <scheme val="minor"/>
    </font>
    <font>
      <b/>
      <vertAlign val="superscript"/>
      <sz val="10"/>
      <name val="Arial"/>
      <family val="2"/>
    </font>
    <font>
      <u/>
      <sz val="10"/>
      <name val="Arial"/>
      <family val="2"/>
    </font>
    <font>
      <sz val="9"/>
      <color indexed="81"/>
      <name val="Tahoma"/>
      <family val="2"/>
    </font>
    <font>
      <b/>
      <sz val="9"/>
      <color indexed="81"/>
      <name val="Tahoma"/>
      <family val="2"/>
    </font>
    <font>
      <sz val="10"/>
      <name val="Calibri"/>
      <family val="2"/>
      <scheme val="minor"/>
    </font>
    <font>
      <b/>
      <sz val="10"/>
      <name val="Calibri"/>
      <family val="2"/>
      <scheme val="minor"/>
    </font>
    <font>
      <sz val="11"/>
      <color theme="1"/>
      <name val="Segoe UI"/>
      <family val="2"/>
    </font>
    <font>
      <b/>
      <sz val="11"/>
      <color theme="1"/>
      <name val="Segoe UI"/>
      <family val="2"/>
    </font>
    <font>
      <b/>
      <sz val="9"/>
      <color theme="1"/>
      <name val="Segoe UI"/>
      <family val="2"/>
    </font>
    <font>
      <sz val="9"/>
      <color theme="1"/>
      <name val="Arial"/>
      <family val="2"/>
    </font>
  </fonts>
  <fills count="30">
    <fill>
      <patternFill patternType="none"/>
    </fill>
    <fill>
      <patternFill patternType="gray125"/>
    </fill>
    <fill>
      <patternFill patternType="solid">
        <fgColor theme="8" tint="-0.499984740745262"/>
        <bgColor indexed="64"/>
      </patternFill>
    </fill>
    <fill>
      <patternFill patternType="solid">
        <fgColor theme="8" tint="0.79998168889431442"/>
        <bgColor indexed="64"/>
      </patternFill>
    </fill>
    <fill>
      <patternFill patternType="solid">
        <fgColor rgb="FF66FF99"/>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9933"/>
        <bgColor indexed="64"/>
      </patternFill>
    </fill>
    <fill>
      <patternFill patternType="solid">
        <fgColor theme="5" tint="0.39997558519241921"/>
        <bgColor indexed="64"/>
      </patternFill>
    </fill>
    <fill>
      <patternFill patternType="solid">
        <fgColor rgb="FFCCFFCC"/>
        <bgColor indexed="64"/>
      </patternFill>
    </fill>
    <fill>
      <patternFill patternType="solid">
        <fgColor theme="6" tint="0.59999389629810485"/>
        <bgColor indexed="64"/>
      </patternFill>
    </fill>
    <fill>
      <patternFill patternType="solid">
        <fgColor rgb="FFFF7C80"/>
        <bgColor indexed="64"/>
      </patternFill>
    </fill>
    <fill>
      <patternFill patternType="solid">
        <fgColor rgb="FF92D050"/>
        <bgColor indexed="64"/>
      </patternFill>
    </fill>
    <fill>
      <patternFill patternType="solid">
        <fgColor rgb="FFFFC000"/>
        <bgColor indexed="64"/>
      </patternFill>
    </fill>
    <fill>
      <patternFill patternType="solid">
        <fgColor rgb="FFCCFFFF"/>
        <bgColor indexed="64"/>
      </patternFill>
    </fill>
    <fill>
      <patternFill patternType="solid">
        <fgColor theme="6" tint="0.39997558519241921"/>
        <bgColor indexed="64"/>
      </patternFill>
    </fill>
    <fill>
      <patternFill patternType="solid">
        <fgColor rgb="FF66FFFF"/>
        <bgColor indexed="64"/>
      </patternFill>
    </fill>
    <fill>
      <patternFill patternType="solid">
        <fgColor theme="5" tint="0.59999389629810485"/>
        <bgColor indexed="64"/>
      </patternFill>
    </fill>
    <fill>
      <patternFill patternType="solid">
        <fgColor rgb="FFFF0000"/>
        <bgColor indexed="64"/>
      </patternFill>
    </fill>
    <fill>
      <patternFill patternType="solid">
        <fgColor rgb="FF33CC33"/>
        <bgColor indexed="64"/>
      </patternFill>
    </fill>
    <fill>
      <patternFill patternType="solid">
        <fgColor theme="8" tint="-0.249977111117893"/>
        <bgColor indexed="64"/>
      </patternFill>
    </fill>
    <fill>
      <patternFill patternType="solid">
        <fgColor theme="3" tint="0.59999389629810485"/>
        <bgColor indexed="64"/>
      </patternFill>
    </fill>
    <fill>
      <patternFill patternType="solid">
        <fgColor theme="4" tint="0.79998168889431442"/>
        <bgColor theme="4" tint="0.79998168889431442"/>
      </patternFill>
    </fill>
    <fill>
      <patternFill patternType="solid">
        <fgColor theme="7" tint="0.39997558519241921"/>
        <bgColor indexed="64"/>
      </patternFill>
    </fill>
    <fill>
      <patternFill patternType="solid">
        <fgColor theme="9" tint="0.59999389629810485"/>
        <bgColor indexed="64"/>
      </patternFill>
    </fill>
  </fills>
  <borders count="50">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double">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double">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diagonal/>
    </border>
    <border>
      <left style="medium">
        <color indexed="64"/>
      </left>
      <right/>
      <top/>
      <bottom/>
      <diagonal/>
    </border>
    <border>
      <left/>
      <right style="thin">
        <color indexed="64"/>
      </right>
      <top/>
      <bottom style="medium">
        <color indexed="64"/>
      </bottom>
      <diagonal/>
    </border>
    <border>
      <left/>
      <right style="medium">
        <color indexed="64"/>
      </right>
      <top/>
      <bottom style="medium">
        <color indexed="64"/>
      </bottom>
      <diagonal/>
    </border>
  </borders>
  <cellStyleXfs count="40">
    <xf numFmtId="0" fontId="0" fillId="0" borderId="0"/>
    <xf numFmtId="168" fontId="33" fillId="0" borderId="0" applyFont="0" applyFill="0" applyBorder="0" applyAlignment="0" applyProtection="0"/>
    <xf numFmtId="170" fontId="33" fillId="0" borderId="0" applyFont="0" applyFill="0" applyBorder="0" applyAlignment="0" applyProtection="0"/>
    <xf numFmtId="9" fontId="33" fillId="0" borderId="0" applyFont="0" applyFill="0" applyBorder="0" applyAlignment="0" applyProtection="0"/>
    <xf numFmtId="0" fontId="37" fillId="0" borderId="0"/>
    <xf numFmtId="168" fontId="37" fillId="0" borderId="0" applyFont="0" applyFill="0" applyBorder="0" applyAlignment="0" applyProtection="0"/>
    <xf numFmtId="0" fontId="37" fillId="0" borderId="0"/>
    <xf numFmtId="0" fontId="51" fillId="0" borderId="0"/>
    <xf numFmtId="0" fontId="51" fillId="0" borderId="0"/>
    <xf numFmtId="4" fontId="51" fillId="0" borderId="0" applyFont="0" applyFill="0" applyBorder="0" applyAlignment="0" applyProtection="0"/>
    <xf numFmtId="169" fontId="51" fillId="0" borderId="0" applyFont="0" applyFill="0" applyBorder="0" applyAlignment="0" applyProtection="0"/>
    <xf numFmtId="0" fontId="38" fillId="0" borderId="0"/>
    <xf numFmtId="0" fontId="51" fillId="0" borderId="0" applyNumberFormat="0" applyFont="0" applyFill="0" applyBorder="0" applyAlignment="0" applyProtection="0">
      <alignment horizontal="left"/>
    </xf>
    <xf numFmtId="0" fontId="51" fillId="0" borderId="0"/>
    <xf numFmtId="0" fontId="51" fillId="0" borderId="0"/>
    <xf numFmtId="0" fontId="37" fillId="0" borderId="0"/>
    <xf numFmtId="168" fontId="33" fillId="0" borderId="0" applyFont="0" applyFill="0" applyBorder="0" applyAlignment="0" applyProtection="0"/>
    <xf numFmtId="168" fontId="38" fillId="0" borderId="0" applyFont="0" applyFill="0" applyBorder="0" applyAlignment="0" applyProtection="0"/>
    <xf numFmtId="0" fontId="38" fillId="0" borderId="0"/>
    <xf numFmtId="0" fontId="37" fillId="0" borderId="0" applyNumberFormat="0" applyFill="0" applyBorder="0" applyAlignment="0" applyProtection="0"/>
    <xf numFmtId="0" fontId="45" fillId="0" borderId="0"/>
    <xf numFmtId="0" fontId="37" fillId="0" borderId="0"/>
    <xf numFmtId="0" fontId="68" fillId="0" borderId="0"/>
    <xf numFmtId="165" fontId="37" fillId="0" borderId="0" applyFont="0" applyFill="0" applyBorder="0" applyAlignment="0" applyProtection="0"/>
    <xf numFmtId="0" fontId="37" fillId="0" borderId="0"/>
    <xf numFmtId="0" fontId="37" fillId="0" borderId="0"/>
    <xf numFmtId="0" fontId="16" fillId="0" borderId="0"/>
    <xf numFmtId="0" fontId="104" fillId="0" borderId="0">
      <alignment vertical="top"/>
    </xf>
    <xf numFmtId="0" fontId="13" fillId="0" borderId="0"/>
    <xf numFmtId="0" fontId="16" fillId="0" borderId="0"/>
    <xf numFmtId="0" fontId="11" fillId="0" borderId="0"/>
    <xf numFmtId="0" fontId="11" fillId="0" borderId="0"/>
    <xf numFmtId="4" fontId="51" fillId="0" borderId="0" applyFont="0" applyFill="0" applyBorder="0" applyAlignment="0" applyProtection="0"/>
    <xf numFmtId="164" fontId="33" fillId="0" borderId="0" applyFont="0" applyFill="0" applyBorder="0" applyAlignment="0" applyProtection="0"/>
    <xf numFmtId="0" fontId="109" fillId="0" borderId="0"/>
    <xf numFmtId="168" fontId="37" fillId="0" borderId="0" applyFont="0" applyFill="0" applyBorder="0" applyAlignment="0" applyProtection="0"/>
    <xf numFmtId="168" fontId="10" fillId="0" borderId="0" applyFont="0" applyFill="0" applyBorder="0" applyAlignment="0" applyProtection="0"/>
    <xf numFmtId="0" fontId="10" fillId="0" borderId="0"/>
    <xf numFmtId="43" fontId="10" fillId="0" borderId="0" applyFont="0" applyFill="0" applyBorder="0" applyAlignment="0" applyProtection="0"/>
    <xf numFmtId="0" fontId="104" fillId="0" borderId="0">
      <alignment vertical="top"/>
    </xf>
  </cellStyleXfs>
  <cellXfs count="1909">
    <xf numFmtId="0" fontId="0" fillId="0" borderId="0" xfId="0"/>
    <xf numFmtId="0" fontId="34" fillId="0" borderId="0" xfId="0" applyFont="1" applyAlignment="1">
      <alignment horizontal="left" vertical="center"/>
    </xf>
    <xf numFmtId="0" fontId="34" fillId="0" borderId="0" xfId="0" applyFont="1" applyAlignment="1">
      <alignment horizontal="center" vertical="center"/>
    </xf>
    <xf numFmtId="0" fontId="34" fillId="0" borderId="0" xfId="0" applyFont="1" applyAlignment="1">
      <alignment vertical="center"/>
    </xf>
    <xf numFmtId="0" fontId="35" fillId="2" borderId="1" xfId="0" applyFont="1" applyFill="1" applyBorder="1" applyAlignment="1">
      <alignment horizontal="left" vertical="center"/>
    </xf>
    <xf numFmtId="0" fontId="35" fillId="2" borderId="2" xfId="0" applyFont="1" applyFill="1" applyBorder="1" applyAlignment="1">
      <alignment horizontal="center" vertical="center"/>
    </xf>
    <xf numFmtId="0" fontId="34" fillId="3" borderId="3" xfId="0" applyFont="1" applyFill="1" applyBorder="1" applyAlignment="1">
      <alignment horizontal="left" vertical="center"/>
    </xf>
    <xf numFmtId="0" fontId="34" fillId="3" borderId="4" xfId="0" applyFont="1" applyFill="1" applyBorder="1" applyAlignment="1">
      <alignment horizontal="right" vertical="center"/>
    </xf>
    <xf numFmtId="15" fontId="34" fillId="4" borderId="4" xfId="0" applyNumberFormat="1" applyFont="1" applyFill="1" applyBorder="1" applyAlignment="1">
      <alignment horizontal="right" vertical="center"/>
    </xf>
    <xf numFmtId="15" fontId="34" fillId="3" borderId="4" xfId="0" applyNumberFormat="1" applyFont="1" applyFill="1" applyBorder="1" applyAlignment="1">
      <alignment horizontal="right" vertical="center"/>
    </xf>
    <xf numFmtId="0" fontId="34" fillId="3" borderId="4" xfId="1" applyNumberFormat="1" applyFont="1" applyFill="1" applyBorder="1" applyAlignment="1">
      <alignment horizontal="right" vertical="center"/>
    </xf>
    <xf numFmtId="0" fontId="34" fillId="5" borderId="3" xfId="0" applyFont="1" applyFill="1" applyBorder="1" applyAlignment="1">
      <alignment horizontal="left" vertical="center"/>
    </xf>
    <xf numFmtId="0" fontId="34" fillId="5" borderId="4" xfId="0" applyFont="1" applyFill="1" applyBorder="1" applyAlignment="1">
      <alignment horizontal="right" vertical="center"/>
    </xf>
    <xf numFmtId="15" fontId="34" fillId="5" borderId="4" xfId="0" applyNumberFormat="1" applyFont="1" applyFill="1" applyBorder="1" applyAlignment="1">
      <alignment horizontal="right" vertical="center"/>
    </xf>
    <xf numFmtId="0" fontId="34" fillId="5" borderId="4" xfId="1" applyNumberFormat="1" applyFont="1" applyFill="1" applyBorder="1" applyAlignment="1">
      <alignment horizontal="right" vertical="center"/>
    </xf>
    <xf numFmtId="0" fontId="34" fillId="6" borderId="3" xfId="0" applyFont="1" applyFill="1" applyBorder="1" applyAlignment="1">
      <alignment horizontal="left" vertical="center"/>
    </xf>
    <xf numFmtId="0" fontId="34" fillId="6" borderId="4" xfId="0" applyFont="1" applyFill="1" applyBorder="1" applyAlignment="1">
      <alignment horizontal="right" vertical="center"/>
    </xf>
    <xf numFmtId="15" fontId="34" fillId="6" borderId="4" xfId="0" applyNumberFormat="1" applyFont="1" applyFill="1" applyBorder="1" applyAlignment="1">
      <alignment horizontal="right" vertical="center"/>
    </xf>
    <xf numFmtId="0" fontId="34" fillId="4" borderId="4" xfId="0" applyFont="1" applyFill="1" applyBorder="1" applyAlignment="1">
      <alignment horizontal="center" vertical="center"/>
    </xf>
    <xf numFmtId="0" fontId="36" fillId="6" borderId="4" xfId="0" applyFont="1" applyFill="1" applyBorder="1" applyAlignment="1">
      <alignment horizontal="center" vertical="center"/>
    </xf>
    <xf numFmtId="0" fontId="34" fillId="0" borderId="3" xfId="0" applyFont="1" applyBorder="1" applyAlignment="1">
      <alignment horizontal="left" vertical="center"/>
    </xf>
    <xf numFmtId="0" fontId="34" fillId="0" borderId="4" xfId="0" applyFont="1" applyBorder="1" applyAlignment="1">
      <alignment horizontal="center" vertical="center"/>
    </xf>
    <xf numFmtId="0" fontId="34" fillId="0" borderId="8" xfId="0" applyFont="1" applyBorder="1" applyAlignment="1">
      <alignment horizontal="left" vertical="center"/>
    </xf>
    <xf numFmtId="0" fontId="34" fillId="0" borderId="9" xfId="0" applyFont="1" applyBorder="1" applyAlignment="1">
      <alignment horizontal="center" vertical="center"/>
    </xf>
    <xf numFmtId="0" fontId="38" fillId="0" borderId="10" xfId="4" applyFont="1" applyBorder="1"/>
    <xf numFmtId="0" fontId="38" fillId="4" borderId="10" xfId="4" applyFont="1" applyFill="1" applyBorder="1" applyAlignment="1">
      <alignment horizontal="center"/>
    </xf>
    <xf numFmtId="0" fontId="36" fillId="0" borderId="0" xfId="4" applyFont="1" applyAlignment="1">
      <alignment horizontal="left" vertical="top"/>
    </xf>
    <xf numFmtId="0" fontId="39" fillId="0" borderId="0" xfId="4" applyFont="1" applyAlignment="1">
      <alignment horizontal="left" vertical="top"/>
    </xf>
    <xf numFmtId="0" fontId="46" fillId="0" borderId="0" xfId="0" applyFont="1" applyAlignment="1">
      <alignment vertical="top"/>
    </xf>
    <xf numFmtId="0" fontId="34" fillId="0" borderId="0" xfId="0" applyFont="1" applyAlignment="1">
      <alignment vertical="top"/>
    </xf>
    <xf numFmtId="0" fontId="40" fillId="0" borderId="0" xfId="0" applyFont="1" applyAlignment="1">
      <alignment horizontal="left" vertical="top"/>
    </xf>
    <xf numFmtId="15" fontId="34" fillId="0" borderId="0" xfId="0" applyNumberFormat="1" applyFont="1" applyAlignment="1">
      <alignment vertical="top"/>
    </xf>
    <xf numFmtId="0" fontId="41" fillId="0" borderId="0" xfId="0" applyFont="1" applyAlignment="1">
      <alignment horizontal="left" vertical="top"/>
    </xf>
    <xf numFmtId="0" fontId="47" fillId="0" borderId="0" xfId="0" applyFont="1" applyAlignment="1">
      <alignment horizontal="left" vertical="top"/>
    </xf>
    <xf numFmtId="0" fontId="36" fillId="0" borderId="0" xfId="0" applyFont="1" applyAlignment="1">
      <alignment horizontal="left" vertical="top"/>
    </xf>
    <xf numFmtId="0" fontId="40" fillId="0" borderId="0" xfId="0" applyFont="1" applyAlignment="1">
      <alignment vertical="top"/>
    </xf>
    <xf numFmtId="0" fontId="34" fillId="0" borderId="0" xfId="0" applyFont="1" applyAlignment="1">
      <alignment horizontal="center" vertical="top"/>
    </xf>
    <xf numFmtId="0" fontId="36" fillId="0" borderId="0" xfId="0" applyFont="1" applyAlignment="1">
      <alignment vertical="top"/>
    </xf>
    <xf numFmtId="172" fontId="43" fillId="0" borderId="0" xfId="0" applyNumberFormat="1" applyFont="1"/>
    <xf numFmtId="0" fontId="43" fillId="0" borderId="0" xfId="0" applyFont="1" applyAlignment="1">
      <alignment horizontal="center" vertical="top"/>
    </xf>
    <xf numFmtId="0" fontId="43" fillId="0" borderId="0" xfId="0" applyFont="1"/>
    <xf numFmtId="172" fontId="34" fillId="0" borderId="0" xfId="0" applyNumberFormat="1" applyFont="1" applyAlignment="1">
      <alignment horizontal="center" vertical="top"/>
    </xf>
    <xf numFmtId="0" fontId="34" fillId="0" borderId="0" xfId="0" applyFont="1" applyAlignment="1">
      <alignment horizontal="center" vertical="top" wrapText="1"/>
    </xf>
    <xf numFmtId="0" fontId="34" fillId="0" borderId="12" xfId="0" applyFont="1" applyBorder="1" applyAlignment="1">
      <alignment horizontal="center" vertical="top"/>
    </xf>
    <xf numFmtId="0" fontId="34" fillId="0" borderId="12" xfId="0" applyFont="1" applyBorder="1" applyAlignment="1">
      <alignment horizontal="center" vertical="top" wrapText="1"/>
    </xf>
    <xf numFmtId="1" fontId="52" fillId="0" borderId="0" xfId="8" applyNumberFormat="1" applyFont="1" applyAlignment="1">
      <alignment vertical="center"/>
    </xf>
    <xf numFmtId="0" fontId="52" fillId="0" borderId="0" xfId="8" applyFont="1" applyAlignment="1">
      <alignment vertical="center" wrapText="1"/>
    </xf>
    <xf numFmtId="0" fontId="52" fillId="0" borderId="0" xfId="8" applyFont="1" applyAlignment="1">
      <alignment vertical="center"/>
    </xf>
    <xf numFmtId="37" fontId="53" fillId="9" borderId="0" xfId="9" applyNumberFormat="1" applyFont="1" applyFill="1" applyBorder="1" applyAlignment="1">
      <alignment vertical="center"/>
    </xf>
    <xf numFmtId="37" fontId="53" fillId="0" borderId="0" xfId="9" applyNumberFormat="1" applyFont="1" applyFill="1" applyBorder="1" applyAlignment="1">
      <alignment vertical="center"/>
    </xf>
    <xf numFmtId="37" fontId="52" fillId="0" borderId="0" xfId="8" applyNumberFormat="1" applyFont="1" applyAlignment="1">
      <alignment vertical="center"/>
    </xf>
    <xf numFmtId="37" fontId="52" fillId="0" borderId="0" xfId="8" applyNumberFormat="1" applyFont="1" applyAlignment="1">
      <alignment horizontal="center" vertical="center"/>
    </xf>
    <xf numFmtId="1" fontId="53" fillId="0" borderId="0" xfId="8" applyNumberFormat="1" applyFont="1" applyAlignment="1">
      <alignment vertical="center"/>
    </xf>
    <xf numFmtId="0" fontId="53" fillId="0" borderId="0" xfId="8" applyFont="1" applyAlignment="1">
      <alignment vertical="center" wrapText="1"/>
    </xf>
    <xf numFmtId="0" fontId="53" fillId="0" borderId="0" xfId="8" applyFont="1" applyAlignment="1">
      <alignment vertical="center"/>
    </xf>
    <xf numFmtId="37" fontId="53" fillId="0" borderId="0" xfId="8" applyNumberFormat="1" applyFont="1" applyAlignment="1">
      <alignment vertical="center"/>
    </xf>
    <xf numFmtId="37" fontId="53" fillId="0" borderId="0" xfId="8" applyNumberFormat="1" applyFont="1" applyAlignment="1">
      <alignment horizontal="center" vertical="center"/>
    </xf>
    <xf numFmtId="1" fontId="52" fillId="0" borderId="24" xfId="8" applyNumberFormat="1" applyFont="1" applyBorder="1" applyAlignment="1">
      <alignment horizontal="center" vertical="center"/>
    </xf>
    <xf numFmtId="0" fontId="52" fillId="0" borderId="24" xfId="8" applyFont="1" applyBorder="1" applyAlignment="1">
      <alignment vertical="center" wrapText="1"/>
    </xf>
    <xf numFmtId="37" fontId="52" fillId="0" borderId="24" xfId="8" applyNumberFormat="1" applyFont="1" applyBorder="1" applyAlignment="1">
      <alignment horizontal="center" vertical="center"/>
    </xf>
    <xf numFmtId="37" fontId="52" fillId="10" borderId="24" xfId="8" applyNumberFormat="1" applyFont="1" applyFill="1" applyBorder="1" applyAlignment="1">
      <alignment horizontal="center" vertical="center"/>
    </xf>
    <xf numFmtId="37" fontId="52" fillId="11" borderId="24" xfId="8" applyNumberFormat="1" applyFont="1" applyFill="1" applyBorder="1" applyAlignment="1">
      <alignment horizontal="center" vertical="center"/>
    </xf>
    <xf numFmtId="37" fontId="52" fillId="11" borderId="0" xfId="8" applyNumberFormat="1" applyFont="1" applyFill="1" applyAlignment="1">
      <alignment horizontal="center" vertical="center"/>
    </xf>
    <xf numFmtId="1" fontId="52" fillId="0" borderId="28" xfId="8" applyNumberFormat="1" applyFont="1" applyBorder="1" applyAlignment="1">
      <alignment horizontal="center" vertical="center"/>
    </xf>
    <xf numFmtId="0" fontId="52" fillId="0" borderId="28" xfId="8" applyFont="1" applyBorder="1" applyAlignment="1">
      <alignment vertical="center" wrapText="1"/>
    </xf>
    <xf numFmtId="176" fontId="52" fillId="0" borderId="28" xfId="10" applyNumberFormat="1" applyFont="1" applyFill="1" applyBorder="1" applyAlignment="1">
      <alignment horizontal="center" vertical="center"/>
    </xf>
    <xf numFmtId="37" fontId="52" fillId="0" borderId="0" xfId="10" applyNumberFormat="1" applyFont="1" applyFill="1" applyBorder="1" applyAlignment="1">
      <alignment horizontal="center" vertical="center"/>
    </xf>
    <xf numFmtId="37" fontId="52" fillId="10" borderId="28" xfId="10" applyNumberFormat="1" applyFont="1" applyFill="1" applyBorder="1" applyAlignment="1">
      <alignment horizontal="center" vertical="center"/>
    </xf>
    <xf numFmtId="37" fontId="52" fillId="11" borderId="28" xfId="10" applyNumberFormat="1" applyFont="1" applyFill="1" applyBorder="1" applyAlignment="1">
      <alignment horizontal="center" vertical="center"/>
    </xf>
    <xf numFmtId="37" fontId="52" fillId="11" borderId="0" xfId="10" applyNumberFormat="1" applyFont="1" applyFill="1" applyBorder="1" applyAlignment="1">
      <alignment horizontal="center" vertical="center"/>
    </xf>
    <xf numFmtId="1" fontId="53" fillId="0" borderId="26" xfId="8" applyNumberFormat="1" applyFont="1" applyBorder="1" applyAlignment="1">
      <alignment horizontal="center" vertical="center"/>
    </xf>
    <xf numFmtId="0" fontId="52" fillId="0" borderId="26" xfId="8" applyFont="1" applyBorder="1" applyAlignment="1">
      <alignment vertical="center" wrapText="1"/>
    </xf>
    <xf numFmtId="37" fontId="53" fillId="0" borderId="26" xfId="8" applyNumberFormat="1" applyFont="1" applyBorder="1" applyAlignment="1">
      <alignment vertical="center"/>
    </xf>
    <xf numFmtId="37" fontId="53" fillId="10" borderId="26" xfId="8" applyNumberFormat="1" applyFont="1" applyFill="1" applyBorder="1" applyAlignment="1">
      <alignment vertical="center"/>
    </xf>
    <xf numFmtId="37" fontId="53" fillId="11" borderId="26" xfId="8" applyNumberFormat="1" applyFont="1" applyFill="1" applyBorder="1" applyAlignment="1">
      <alignment vertical="center"/>
    </xf>
    <xf numFmtId="37" fontId="53" fillId="11" borderId="0" xfId="8" applyNumberFormat="1" applyFont="1" applyFill="1" applyAlignment="1">
      <alignment vertical="center"/>
    </xf>
    <xf numFmtId="37" fontId="53" fillId="10" borderId="26" xfId="8" applyNumberFormat="1" applyFont="1" applyFill="1" applyBorder="1" applyAlignment="1">
      <alignment horizontal="center" vertical="center"/>
    </xf>
    <xf numFmtId="0" fontId="52" fillId="0" borderId="0" xfId="8" applyFont="1" applyAlignment="1">
      <alignment horizontal="center" vertical="center"/>
    </xf>
    <xf numFmtId="0" fontId="53" fillId="0" borderId="26" xfId="8" applyFont="1" applyBorder="1" applyAlignment="1">
      <alignment vertical="center" wrapText="1"/>
    </xf>
    <xf numFmtId="172" fontId="53" fillId="0" borderId="26" xfId="1" applyNumberFormat="1" applyFont="1" applyFill="1" applyBorder="1" applyAlignment="1">
      <alignment vertical="center"/>
    </xf>
    <xf numFmtId="172" fontId="53" fillId="0" borderId="0" xfId="1" applyNumberFormat="1" applyFont="1" applyFill="1" applyBorder="1" applyAlignment="1">
      <alignment vertical="center"/>
    </xf>
    <xf numFmtId="172" fontId="53" fillId="10" borderId="26" xfId="1" applyNumberFormat="1" applyFont="1" applyFill="1" applyBorder="1" applyAlignment="1">
      <alignment vertical="center"/>
    </xf>
    <xf numFmtId="172" fontId="53" fillId="11" borderId="26" xfId="1" applyNumberFormat="1" applyFont="1" applyFill="1" applyBorder="1" applyAlignment="1">
      <alignment vertical="center"/>
    </xf>
    <xf numFmtId="172" fontId="53" fillId="11" borderId="0" xfId="1" applyNumberFormat="1" applyFont="1" applyFill="1" applyBorder="1" applyAlignment="1">
      <alignment vertical="center"/>
    </xf>
    <xf numFmtId="172" fontId="53" fillId="10" borderId="26" xfId="1" applyNumberFormat="1" applyFont="1" applyFill="1" applyBorder="1" applyAlignment="1">
      <alignment horizontal="center" vertical="center"/>
    </xf>
    <xf numFmtId="172" fontId="53" fillId="0" borderId="26" xfId="1" applyNumberFormat="1" applyFont="1" applyFill="1" applyBorder="1" applyAlignment="1">
      <alignment horizontal="center" vertical="center"/>
    </xf>
    <xf numFmtId="0" fontId="53" fillId="0" borderId="0" xfId="8" applyFont="1" applyAlignment="1">
      <alignment horizontal="center" vertical="center"/>
    </xf>
    <xf numFmtId="168" fontId="53" fillId="0" borderId="0" xfId="1" applyFont="1" applyFill="1" applyBorder="1" applyAlignment="1">
      <alignment vertical="center"/>
    </xf>
    <xf numFmtId="172" fontId="53" fillId="0" borderId="0" xfId="8" applyNumberFormat="1" applyFont="1" applyAlignment="1">
      <alignment vertical="center"/>
    </xf>
    <xf numFmtId="0" fontId="54" fillId="0" borderId="26" xfId="0" applyFont="1" applyBorder="1" applyAlignment="1">
      <alignment horizontal="center" vertical="center"/>
    </xf>
    <xf numFmtId="49" fontId="54" fillId="0" borderId="26" xfId="0" applyNumberFormat="1" applyFont="1" applyBorder="1" applyAlignment="1">
      <alignment horizontal="center" vertical="center"/>
    </xf>
    <xf numFmtId="0" fontId="53" fillId="0" borderId="26" xfId="0" applyFont="1" applyBorder="1" applyAlignment="1">
      <alignment horizontal="center" vertical="center"/>
    </xf>
    <xf numFmtId="1" fontId="53" fillId="0" borderId="26" xfId="11" applyNumberFormat="1" applyFont="1" applyBorder="1" applyAlignment="1">
      <alignment horizontal="center" vertical="center"/>
    </xf>
    <xf numFmtId="0" fontId="55" fillId="0" borderId="26" xfId="8" applyFont="1" applyBorder="1" applyAlignment="1">
      <alignment vertical="center" wrapText="1"/>
    </xf>
    <xf numFmtId="172" fontId="53" fillId="0" borderId="0" xfId="8" applyNumberFormat="1" applyFont="1" applyAlignment="1">
      <alignment horizontal="center" vertical="center"/>
    </xf>
    <xf numFmtId="172" fontId="52" fillId="8" borderId="29" xfId="1" applyNumberFormat="1" applyFont="1" applyFill="1" applyBorder="1" applyAlignment="1">
      <alignment vertical="center"/>
    </xf>
    <xf numFmtId="172" fontId="52" fillId="0" borderId="0" xfId="1" applyNumberFormat="1" applyFont="1" applyFill="1" applyBorder="1" applyAlignment="1">
      <alignment vertical="center"/>
    </xf>
    <xf numFmtId="172" fontId="52" fillId="0" borderId="29" xfId="1" applyNumberFormat="1" applyFont="1" applyFill="1" applyBorder="1" applyAlignment="1">
      <alignment vertical="center"/>
    </xf>
    <xf numFmtId="172" fontId="52" fillId="12" borderId="29" xfId="1" applyNumberFormat="1" applyFont="1" applyFill="1" applyBorder="1" applyAlignment="1">
      <alignment vertical="center"/>
    </xf>
    <xf numFmtId="172" fontId="52" fillId="10" borderId="29" xfId="1" applyNumberFormat="1" applyFont="1" applyFill="1" applyBorder="1" applyAlignment="1">
      <alignment vertical="center"/>
    </xf>
    <xf numFmtId="172" fontId="52" fillId="10" borderId="0" xfId="1" applyNumberFormat="1" applyFont="1" applyFill="1" applyBorder="1" applyAlignment="1">
      <alignment vertical="center"/>
    </xf>
    <xf numFmtId="172" fontId="52" fillId="10" borderId="29" xfId="1" applyNumberFormat="1" applyFont="1" applyFill="1" applyBorder="1" applyAlignment="1">
      <alignment horizontal="center" vertical="center"/>
    </xf>
    <xf numFmtId="172" fontId="52" fillId="11" borderId="29" xfId="1" applyNumberFormat="1" applyFont="1" applyFill="1" applyBorder="1" applyAlignment="1">
      <alignment vertical="center"/>
    </xf>
    <xf numFmtId="1" fontId="53" fillId="0" borderId="26" xfId="12" applyNumberFormat="1" applyFont="1" applyFill="1" applyBorder="1" applyAlignment="1">
      <alignment horizontal="center" vertical="center"/>
    </xf>
    <xf numFmtId="0" fontId="53" fillId="0" borderId="26" xfId="12" applyFont="1" applyFill="1" applyBorder="1" applyAlignment="1">
      <alignment vertical="center" wrapText="1"/>
    </xf>
    <xf numFmtId="1" fontId="52" fillId="0" borderId="26" xfId="8" applyNumberFormat="1" applyFont="1" applyBorder="1" applyAlignment="1">
      <alignment horizontal="center" vertical="center"/>
    </xf>
    <xf numFmtId="172" fontId="53" fillId="0" borderId="29" xfId="1" applyNumberFormat="1" applyFont="1" applyFill="1" applyBorder="1" applyAlignment="1">
      <alignment vertical="center"/>
    </xf>
    <xf numFmtId="172" fontId="53" fillId="10" borderId="29" xfId="1" applyNumberFormat="1" applyFont="1" applyFill="1" applyBorder="1" applyAlignment="1">
      <alignment vertical="center"/>
    </xf>
    <xf numFmtId="172" fontId="53" fillId="10" borderId="0" xfId="1" applyNumberFormat="1" applyFont="1" applyFill="1" applyBorder="1" applyAlignment="1">
      <alignment vertical="center"/>
    </xf>
    <xf numFmtId="172" fontId="53" fillId="10" borderId="29" xfId="1" applyNumberFormat="1" applyFont="1" applyFill="1" applyBorder="1" applyAlignment="1">
      <alignment horizontal="center" vertical="center"/>
    </xf>
    <xf numFmtId="172" fontId="53" fillId="11" borderId="29" xfId="1" applyNumberFormat="1" applyFont="1" applyFill="1" applyBorder="1" applyAlignment="1">
      <alignment vertical="center"/>
    </xf>
    <xf numFmtId="172" fontId="53" fillId="0" borderId="25" xfId="1" applyNumberFormat="1" applyFont="1" applyFill="1" applyBorder="1" applyAlignment="1">
      <alignment vertical="center"/>
    </xf>
    <xf numFmtId="172" fontId="53" fillId="10" borderId="25" xfId="1" applyNumberFormat="1" applyFont="1" applyFill="1" applyBorder="1" applyAlignment="1">
      <alignment vertical="center"/>
    </xf>
    <xf numFmtId="172" fontId="53" fillId="11" borderId="25" xfId="1" applyNumberFormat="1" applyFont="1" applyFill="1" applyBorder="1" applyAlignment="1">
      <alignment vertical="center"/>
    </xf>
    <xf numFmtId="172" fontId="53" fillId="10" borderId="25" xfId="1" applyNumberFormat="1" applyFont="1" applyFill="1" applyBorder="1" applyAlignment="1">
      <alignment horizontal="center" vertical="center"/>
    </xf>
    <xf numFmtId="172" fontId="52" fillId="0" borderId="26" xfId="1" applyNumberFormat="1" applyFont="1" applyFill="1" applyBorder="1" applyAlignment="1">
      <alignment vertical="center"/>
    </xf>
    <xf numFmtId="172" fontId="52" fillId="10" borderId="26" xfId="1" applyNumberFormat="1" applyFont="1" applyFill="1" applyBorder="1" applyAlignment="1">
      <alignment vertical="center"/>
    </xf>
    <xf numFmtId="172" fontId="52" fillId="10" borderId="26" xfId="1" applyNumberFormat="1" applyFont="1" applyFill="1" applyBorder="1" applyAlignment="1">
      <alignment horizontal="center" vertical="center"/>
    </xf>
    <xf numFmtId="172" fontId="52" fillId="11" borderId="26" xfId="1" applyNumberFormat="1" applyFont="1" applyFill="1" applyBorder="1" applyAlignment="1">
      <alignment vertical="center"/>
    </xf>
    <xf numFmtId="172" fontId="52" fillId="11" borderId="0" xfId="1" applyNumberFormat="1" applyFont="1" applyFill="1" applyBorder="1" applyAlignment="1">
      <alignment vertical="center"/>
    </xf>
    <xf numFmtId="172" fontId="53" fillId="13" borderId="26" xfId="1" applyNumberFormat="1" applyFont="1" applyFill="1" applyBorder="1" applyAlignment="1">
      <alignment vertical="center"/>
    </xf>
    <xf numFmtId="172" fontId="56" fillId="0" borderId="0" xfId="1" applyNumberFormat="1" applyFont="1" applyFill="1" applyBorder="1" applyAlignment="1">
      <alignment vertical="center"/>
    </xf>
    <xf numFmtId="172" fontId="53" fillId="8" borderId="26" xfId="1" applyNumberFormat="1" applyFont="1" applyFill="1" applyBorder="1" applyAlignment="1">
      <alignment vertical="center"/>
    </xf>
    <xf numFmtId="172" fontId="56" fillId="8" borderId="26" xfId="1" applyNumberFormat="1" applyFont="1" applyFill="1" applyBorder="1" applyAlignment="1">
      <alignment vertical="center"/>
    </xf>
    <xf numFmtId="172" fontId="53" fillId="14" borderId="26" xfId="1" applyNumberFormat="1" applyFont="1" applyFill="1" applyBorder="1" applyAlignment="1">
      <alignment horizontal="center" vertical="center"/>
    </xf>
    <xf numFmtId="172" fontId="53" fillId="0" borderId="0" xfId="1" applyNumberFormat="1" applyFont="1" applyFill="1" applyBorder="1" applyAlignment="1">
      <alignment horizontal="center" vertical="center"/>
    </xf>
    <xf numFmtId="172" fontId="52" fillId="0" borderId="25" xfId="1" applyNumberFormat="1" applyFont="1" applyFill="1" applyBorder="1" applyAlignment="1">
      <alignment vertical="center"/>
    </xf>
    <xf numFmtId="172" fontId="52" fillId="10" borderId="25" xfId="1" applyNumberFormat="1" applyFont="1" applyFill="1" applyBorder="1" applyAlignment="1">
      <alignment vertical="center"/>
    </xf>
    <xf numFmtId="172" fontId="52" fillId="11" borderId="25" xfId="1" applyNumberFormat="1" applyFont="1" applyFill="1" applyBorder="1" applyAlignment="1">
      <alignment vertical="center"/>
    </xf>
    <xf numFmtId="172" fontId="52" fillId="10" borderId="25" xfId="1" applyNumberFormat="1" applyFont="1" applyFill="1" applyBorder="1" applyAlignment="1">
      <alignment horizontal="center" vertical="center"/>
    </xf>
    <xf numFmtId="172" fontId="55" fillId="0" borderId="26" xfId="8" applyNumberFormat="1" applyFont="1" applyBorder="1" applyAlignment="1">
      <alignment vertical="center" wrapText="1"/>
    </xf>
    <xf numFmtId="3" fontId="53" fillId="0" borderId="26" xfId="1" applyNumberFormat="1" applyFont="1" applyFill="1" applyBorder="1" applyAlignment="1">
      <alignment vertical="center"/>
    </xf>
    <xf numFmtId="1" fontId="53" fillId="0" borderId="26" xfId="13" applyNumberFormat="1" applyFont="1" applyBorder="1" applyAlignment="1">
      <alignment horizontal="center" vertical="center"/>
    </xf>
    <xf numFmtId="3" fontId="53" fillId="13" borderId="26" xfId="1" applyNumberFormat="1" applyFont="1" applyFill="1" applyBorder="1" applyAlignment="1">
      <alignment vertical="center"/>
    </xf>
    <xf numFmtId="172" fontId="53" fillId="4" borderId="0" xfId="1" applyNumberFormat="1" applyFont="1" applyFill="1" applyBorder="1" applyAlignment="1">
      <alignment vertical="center"/>
    </xf>
    <xf numFmtId="3" fontId="53" fillId="4" borderId="26" xfId="1" applyNumberFormat="1" applyFont="1" applyFill="1" applyBorder="1" applyAlignment="1">
      <alignment vertical="center"/>
    </xf>
    <xf numFmtId="172" fontId="53" fillId="4" borderId="26" xfId="1" applyNumberFormat="1" applyFont="1" applyFill="1" applyBorder="1" applyAlignment="1">
      <alignment vertical="center"/>
    </xf>
    <xf numFmtId="172" fontId="52" fillId="8" borderId="26" xfId="1" applyNumberFormat="1" applyFont="1" applyFill="1" applyBorder="1" applyAlignment="1">
      <alignment vertical="center"/>
    </xf>
    <xf numFmtId="172" fontId="52" fillId="8" borderId="10" xfId="1" applyNumberFormat="1" applyFont="1" applyFill="1" applyBorder="1" applyAlignment="1">
      <alignment vertical="center"/>
    </xf>
    <xf numFmtId="172" fontId="52" fillId="0" borderId="10" xfId="1" applyNumberFormat="1" applyFont="1" applyFill="1" applyBorder="1" applyAlignment="1">
      <alignment vertical="center"/>
    </xf>
    <xf numFmtId="172" fontId="52" fillId="12" borderId="10" xfId="1" applyNumberFormat="1" applyFont="1" applyFill="1" applyBorder="1" applyAlignment="1">
      <alignment vertical="center"/>
    </xf>
    <xf numFmtId="172" fontId="52" fillId="10" borderId="10" xfId="1" applyNumberFormat="1" applyFont="1" applyFill="1" applyBorder="1" applyAlignment="1">
      <alignment vertical="center"/>
    </xf>
    <xf numFmtId="172" fontId="52" fillId="10" borderId="10" xfId="1" applyNumberFormat="1" applyFont="1" applyFill="1" applyBorder="1" applyAlignment="1">
      <alignment horizontal="center" vertical="center"/>
    </xf>
    <xf numFmtId="172" fontId="52" fillId="11" borderId="10" xfId="1" applyNumberFormat="1" applyFont="1" applyFill="1" applyBorder="1" applyAlignment="1">
      <alignment vertical="center"/>
    </xf>
    <xf numFmtId="0" fontId="53" fillId="0" borderId="26" xfId="8" applyFont="1" applyBorder="1" applyAlignment="1">
      <alignment horizontal="center" vertical="center"/>
    </xf>
    <xf numFmtId="172" fontId="53" fillId="15" borderId="26" xfId="1" applyNumberFormat="1" applyFont="1" applyFill="1" applyBorder="1" applyAlignment="1">
      <alignment vertical="center"/>
    </xf>
    <xf numFmtId="172" fontId="53" fillId="15" borderId="0" xfId="1" applyNumberFormat="1" applyFont="1" applyFill="1" applyBorder="1" applyAlignment="1">
      <alignment vertical="center"/>
    </xf>
    <xf numFmtId="1" fontId="53" fillId="0" borderId="26" xfId="8" applyNumberFormat="1" applyFont="1" applyBorder="1" applyAlignment="1">
      <alignment horizontal="left" vertical="center"/>
    </xf>
    <xf numFmtId="172" fontId="55" fillId="10" borderId="26" xfId="1" applyNumberFormat="1" applyFont="1" applyFill="1" applyBorder="1" applyAlignment="1">
      <alignment vertical="center"/>
    </xf>
    <xf numFmtId="0" fontId="53" fillId="0" borderId="26" xfId="12" applyFont="1" applyFill="1" applyBorder="1" applyAlignment="1">
      <alignment horizontal="center" vertical="center"/>
    </xf>
    <xf numFmtId="0" fontId="53" fillId="0" borderId="26" xfId="8" applyFont="1" applyBorder="1" applyAlignment="1">
      <alignment horizontal="left" vertical="center"/>
    </xf>
    <xf numFmtId="172" fontId="57" fillId="0" borderId="10" xfId="1" applyNumberFormat="1" applyFont="1" applyFill="1" applyBorder="1" applyAlignment="1">
      <alignment vertical="center"/>
    </xf>
    <xf numFmtId="172" fontId="52" fillId="0" borderId="10" xfId="1" applyNumberFormat="1" applyFont="1" applyFill="1" applyBorder="1" applyAlignment="1">
      <alignment horizontal="center" vertical="center"/>
    </xf>
    <xf numFmtId="172" fontId="57" fillId="10" borderId="10" xfId="1" applyNumberFormat="1" applyFont="1" applyFill="1" applyBorder="1" applyAlignment="1">
      <alignment vertical="center"/>
    </xf>
    <xf numFmtId="172" fontId="52" fillId="0" borderId="26" xfId="1" applyNumberFormat="1" applyFont="1" applyFill="1" applyBorder="1" applyAlignment="1">
      <alignment horizontal="center" vertical="center"/>
    </xf>
    <xf numFmtId="0" fontId="53" fillId="0" borderId="26" xfId="1" applyNumberFormat="1" applyFont="1" applyFill="1" applyBorder="1" applyAlignment="1">
      <alignment horizontal="center" vertical="center"/>
    </xf>
    <xf numFmtId="172" fontId="52" fillId="16" borderId="10" xfId="1" applyNumberFormat="1" applyFont="1" applyFill="1" applyBorder="1" applyAlignment="1">
      <alignment vertical="center"/>
    </xf>
    <xf numFmtId="172" fontId="52" fillId="16" borderId="29" xfId="1" applyNumberFormat="1" applyFont="1" applyFill="1" applyBorder="1" applyAlignment="1">
      <alignment vertical="center"/>
    </xf>
    <xf numFmtId="1" fontId="53" fillId="9" borderId="26" xfId="8" applyNumberFormat="1" applyFont="1" applyFill="1" applyBorder="1" applyAlignment="1">
      <alignment horizontal="center" vertical="center"/>
    </xf>
    <xf numFmtId="0" fontId="53" fillId="0" borderId="26" xfId="11" applyFont="1" applyBorder="1" applyAlignment="1">
      <alignment horizontal="center" vertical="center"/>
    </xf>
    <xf numFmtId="1" fontId="53" fillId="0" borderId="26" xfId="14" applyNumberFormat="1" applyFont="1" applyBorder="1" applyAlignment="1">
      <alignment horizontal="center" vertical="center"/>
    </xf>
    <xf numFmtId="0" fontId="53" fillId="0" borderId="26" xfId="14" applyFont="1" applyBorder="1" applyAlignment="1">
      <alignment vertical="center" wrapText="1"/>
    </xf>
    <xf numFmtId="172" fontId="53" fillId="17" borderId="26" xfId="1" applyNumberFormat="1" applyFont="1" applyFill="1" applyBorder="1" applyAlignment="1">
      <alignment vertical="center"/>
    </xf>
    <xf numFmtId="172" fontId="55" fillId="11" borderId="26" xfId="1" applyNumberFormat="1" applyFont="1" applyFill="1" applyBorder="1" applyAlignment="1">
      <alignment vertical="center"/>
    </xf>
    <xf numFmtId="168" fontId="53" fillId="17" borderId="26" xfId="1" applyFont="1" applyFill="1" applyBorder="1" applyAlignment="1">
      <alignment vertical="center"/>
    </xf>
    <xf numFmtId="168" fontId="53" fillId="4" borderId="26" xfId="1" applyFont="1" applyFill="1" applyBorder="1" applyAlignment="1">
      <alignment vertical="center"/>
    </xf>
    <xf numFmtId="168" fontId="53" fillId="10" borderId="26" xfId="1" applyFont="1" applyFill="1" applyBorder="1" applyAlignment="1">
      <alignment vertical="center"/>
    </xf>
    <xf numFmtId="168" fontId="53" fillId="11" borderId="26" xfId="1" applyFont="1" applyFill="1" applyBorder="1" applyAlignment="1">
      <alignment vertical="center"/>
    </xf>
    <xf numFmtId="172" fontId="57" fillId="12" borderId="29" xfId="1" applyNumberFormat="1" applyFont="1" applyFill="1" applyBorder="1" applyAlignment="1">
      <alignment vertical="center"/>
    </xf>
    <xf numFmtId="172" fontId="57" fillId="10" borderId="29" xfId="1" applyNumberFormat="1" applyFont="1" applyFill="1" applyBorder="1" applyAlignment="1">
      <alignment vertical="center"/>
    </xf>
    <xf numFmtId="0" fontId="56" fillId="0" borderId="0" xfId="8" applyFont="1" applyAlignment="1">
      <alignment horizontal="center" vertical="center"/>
    </xf>
    <xf numFmtId="172" fontId="52" fillId="13" borderId="26" xfId="1" applyNumberFormat="1" applyFont="1" applyFill="1" applyBorder="1" applyAlignment="1">
      <alignment vertical="center"/>
    </xf>
    <xf numFmtId="172" fontId="52" fillId="4" borderId="26" xfId="1" applyNumberFormat="1" applyFont="1" applyFill="1" applyBorder="1" applyAlignment="1">
      <alignment vertical="center"/>
    </xf>
    <xf numFmtId="0" fontId="53" fillId="0" borderId="26" xfId="0" applyFont="1" applyBorder="1" applyAlignment="1">
      <alignment vertical="center" wrapText="1"/>
    </xf>
    <xf numFmtId="0" fontId="52" fillId="0" borderId="26" xfId="0" applyFont="1" applyBorder="1" applyAlignment="1">
      <alignment horizontal="center" vertical="center"/>
    </xf>
    <xf numFmtId="0" fontId="52" fillId="0" borderId="26" xfId="0" applyFont="1" applyBorder="1" applyAlignment="1">
      <alignment vertical="center" wrapText="1"/>
    </xf>
    <xf numFmtId="172" fontId="52" fillId="18" borderId="29" xfId="1" applyNumberFormat="1" applyFont="1" applyFill="1" applyBorder="1" applyAlignment="1">
      <alignment vertical="center"/>
    </xf>
    <xf numFmtId="172" fontId="53" fillId="0" borderId="0" xfId="1" applyNumberFormat="1" applyFont="1" applyFill="1" applyAlignment="1">
      <alignment horizontal="right" vertical="center"/>
    </xf>
    <xf numFmtId="0" fontId="53" fillId="0" borderId="0" xfId="8" quotePrefix="1" applyFont="1" applyAlignment="1">
      <alignment horizontal="center" vertical="center"/>
    </xf>
    <xf numFmtId="1" fontId="52" fillId="0" borderId="25" xfId="8" applyNumberFormat="1" applyFont="1" applyBorder="1" applyAlignment="1">
      <alignment horizontal="center" vertical="center"/>
    </xf>
    <xf numFmtId="0" fontId="52" fillId="0" borderId="25" xfId="8" applyFont="1" applyBorder="1" applyAlignment="1">
      <alignment vertical="center" wrapText="1"/>
    </xf>
    <xf numFmtId="1" fontId="53" fillId="0" borderId="0" xfId="8" applyNumberFormat="1" applyFont="1" applyAlignment="1">
      <alignment horizontal="center" vertical="center"/>
    </xf>
    <xf numFmtId="39" fontId="53" fillId="0" borderId="0" xfId="8" applyNumberFormat="1" applyFont="1" applyAlignment="1">
      <alignment vertical="center"/>
    </xf>
    <xf numFmtId="37" fontId="53" fillId="0" borderId="0" xfId="1" applyNumberFormat="1" applyFont="1" applyFill="1" applyBorder="1" applyAlignment="1">
      <alignment vertical="center"/>
    </xf>
    <xf numFmtId="37" fontId="53" fillId="0" borderId="0" xfId="1" applyNumberFormat="1" applyFont="1" applyFill="1" applyBorder="1" applyAlignment="1">
      <alignment horizontal="center" vertical="center"/>
    </xf>
    <xf numFmtId="0" fontId="52" fillId="0" borderId="0" xfId="4" applyFont="1" applyAlignment="1">
      <alignment vertical="center"/>
    </xf>
    <xf numFmtId="0" fontId="52" fillId="19" borderId="27" xfId="4" applyFont="1" applyFill="1" applyBorder="1" applyAlignment="1">
      <alignment vertical="center"/>
    </xf>
    <xf numFmtId="15" fontId="52" fillId="19" borderId="27" xfId="4" applyNumberFormat="1" applyFont="1" applyFill="1" applyBorder="1" applyAlignment="1">
      <alignment horizontal="center" vertical="center"/>
    </xf>
    <xf numFmtId="172" fontId="52" fillId="0" borderId="0" xfId="1" applyNumberFormat="1" applyFont="1" applyFill="1" applyBorder="1" applyAlignment="1">
      <alignment horizontal="center" vertical="center"/>
    </xf>
    <xf numFmtId="37" fontId="53" fillId="19" borderId="30" xfId="8" applyNumberFormat="1" applyFont="1" applyFill="1" applyBorder="1" applyAlignment="1">
      <alignment vertical="center"/>
    </xf>
    <xf numFmtId="0" fontId="52" fillId="0" borderId="0" xfId="4" quotePrefix="1" applyFont="1" applyAlignment="1">
      <alignment horizontal="left" vertical="center"/>
    </xf>
    <xf numFmtId="0" fontId="52" fillId="19" borderId="31" xfId="4" quotePrefix="1" applyFont="1" applyFill="1" applyBorder="1" applyAlignment="1">
      <alignment horizontal="left" vertical="center"/>
    </xf>
    <xf numFmtId="0" fontId="53" fillId="19" borderId="31" xfId="4" applyFont="1" applyFill="1" applyBorder="1" applyAlignment="1">
      <alignment vertical="center"/>
    </xf>
    <xf numFmtId="37" fontId="53" fillId="19" borderId="32" xfId="8" applyNumberFormat="1" applyFont="1" applyFill="1" applyBorder="1" applyAlignment="1">
      <alignment vertical="center"/>
    </xf>
    <xf numFmtId="0" fontId="58" fillId="0" borderId="0" xfId="4" applyFont="1" applyAlignment="1">
      <alignment vertical="center"/>
    </xf>
    <xf numFmtId="0" fontId="58" fillId="19" borderId="26" xfId="4" applyFont="1" applyFill="1" applyBorder="1" applyAlignment="1">
      <alignment vertical="center"/>
    </xf>
    <xf numFmtId="0" fontId="53" fillId="19" borderId="26" xfId="4" applyFont="1" applyFill="1" applyBorder="1" applyAlignment="1">
      <alignment vertical="center"/>
    </xf>
    <xf numFmtId="37" fontId="53" fillId="19" borderId="18" xfId="8" applyNumberFormat="1" applyFont="1" applyFill="1" applyBorder="1" applyAlignment="1">
      <alignment vertical="center"/>
    </xf>
    <xf numFmtId="0" fontId="52" fillId="19" borderId="26" xfId="4" applyFont="1" applyFill="1" applyBorder="1" applyAlignment="1">
      <alignment horizontal="left" vertical="center"/>
    </xf>
    <xf numFmtId="172" fontId="53" fillId="19" borderId="26" xfId="1" applyNumberFormat="1" applyFont="1" applyFill="1" applyBorder="1" applyAlignment="1">
      <alignment horizontal="center" vertical="center"/>
    </xf>
    <xf numFmtId="172" fontId="53" fillId="19" borderId="26" xfId="1" applyNumberFormat="1" applyFont="1" applyFill="1" applyBorder="1" applyAlignment="1">
      <alignment vertical="center"/>
    </xf>
    <xf numFmtId="172" fontId="53" fillId="19" borderId="18" xfId="1" applyNumberFormat="1" applyFont="1" applyFill="1" applyBorder="1" applyAlignment="1">
      <alignment horizontal="center" vertical="center"/>
    </xf>
    <xf numFmtId="0" fontId="53" fillId="19" borderId="26" xfId="4" applyFont="1" applyFill="1" applyBorder="1" applyAlignment="1">
      <alignment horizontal="left" vertical="center"/>
    </xf>
    <xf numFmtId="172" fontId="52" fillId="19" borderId="26" xfId="1" applyNumberFormat="1" applyFont="1" applyFill="1" applyBorder="1" applyAlignment="1">
      <alignment horizontal="center" vertical="center"/>
    </xf>
    <xf numFmtId="172" fontId="52" fillId="19" borderId="26" xfId="1" applyNumberFormat="1" applyFont="1" applyFill="1" applyBorder="1" applyAlignment="1" applyProtection="1">
      <alignment vertical="center"/>
    </xf>
    <xf numFmtId="172" fontId="52" fillId="19" borderId="18" xfId="1" applyNumberFormat="1" applyFont="1" applyFill="1" applyBorder="1" applyAlignment="1">
      <alignment horizontal="center" vertical="center"/>
    </xf>
    <xf numFmtId="172" fontId="52" fillId="19" borderId="24" xfId="1" applyNumberFormat="1" applyFont="1" applyFill="1" applyBorder="1" applyAlignment="1">
      <alignment horizontal="center" vertical="center"/>
    </xf>
    <xf numFmtId="172" fontId="52" fillId="19" borderId="16" xfId="1" applyNumberFormat="1" applyFont="1" applyFill="1" applyBorder="1" applyAlignment="1">
      <alignment horizontal="center" vertical="center"/>
    </xf>
    <xf numFmtId="37" fontId="52" fillId="0" borderId="0" xfId="1" applyNumberFormat="1" applyFont="1" applyFill="1" applyBorder="1" applyAlignment="1">
      <alignment vertical="center"/>
    </xf>
    <xf numFmtId="37" fontId="52" fillId="0" borderId="0" xfId="1" applyNumberFormat="1" applyFont="1" applyFill="1" applyBorder="1" applyAlignment="1">
      <alignment horizontal="center" vertical="center"/>
    </xf>
    <xf numFmtId="172" fontId="52" fillId="19" borderId="27" xfId="1" applyNumberFormat="1" applyFont="1" applyFill="1" applyBorder="1" applyAlignment="1">
      <alignment horizontal="center" vertical="center"/>
    </xf>
    <xf numFmtId="172" fontId="52" fillId="19" borderId="30" xfId="1" applyNumberFormat="1" applyFont="1" applyFill="1" applyBorder="1" applyAlignment="1">
      <alignment horizontal="center" vertical="center"/>
    </xf>
    <xf numFmtId="168" fontId="53" fillId="0" borderId="0" xfId="8" applyNumberFormat="1" applyFont="1" applyAlignment="1">
      <alignment vertical="center"/>
    </xf>
    <xf numFmtId="0" fontId="53" fillId="19" borderId="26" xfId="4" quotePrefix="1" applyFont="1" applyFill="1" applyBorder="1" applyAlignment="1">
      <alignment horizontal="left" vertical="center"/>
    </xf>
    <xf numFmtId="0" fontId="52" fillId="19" borderId="26" xfId="4" quotePrefix="1" applyFont="1" applyFill="1" applyBorder="1" applyAlignment="1">
      <alignment horizontal="left" vertical="center"/>
    </xf>
    <xf numFmtId="0" fontId="53" fillId="19" borderId="26" xfId="4" applyFont="1" applyFill="1" applyBorder="1" applyAlignment="1">
      <alignment horizontal="left" vertical="center" wrapText="1"/>
    </xf>
    <xf numFmtId="172" fontId="53" fillId="19" borderId="25" xfId="1" applyNumberFormat="1" applyFont="1" applyFill="1" applyBorder="1" applyAlignment="1">
      <alignment horizontal="center" vertical="center"/>
    </xf>
    <xf numFmtId="0" fontId="53" fillId="0" borderId="0" xfId="4" applyFont="1" applyAlignment="1">
      <alignment horizontal="left" vertical="center"/>
    </xf>
    <xf numFmtId="172" fontId="53" fillId="19" borderId="26" xfId="4" applyNumberFormat="1" applyFont="1" applyFill="1" applyBorder="1" applyAlignment="1">
      <alignment horizontal="center" vertical="center"/>
    </xf>
    <xf numFmtId="172" fontId="53" fillId="19" borderId="18" xfId="4" applyNumberFormat="1" applyFont="1" applyFill="1" applyBorder="1" applyAlignment="1">
      <alignment horizontal="center" vertical="center"/>
    </xf>
    <xf numFmtId="0" fontId="52" fillId="0" borderId="0" xfId="4" applyFont="1" applyAlignment="1">
      <alignment horizontal="left" vertical="center"/>
    </xf>
    <xf numFmtId="0" fontId="52" fillId="19" borderId="25" xfId="4" applyFont="1" applyFill="1" applyBorder="1" applyAlignment="1">
      <alignment horizontal="left" vertical="center"/>
    </xf>
    <xf numFmtId="167" fontId="53" fillId="19" borderId="25" xfId="1" applyNumberFormat="1" applyFont="1" applyFill="1" applyBorder="1" applyAlignment="1">
      <alignment vertical="center"/>
    </xf>
    <xf numFmtId="37" fontId="53" fillId="19" borderId="19" xfId="1" applyNumberFormat="1" applyFont="1" applyFill="1" applyBorder="1" applyAlignment="1">
      <alignment vertical="center"/>
    </xf>
    <xf numFmtId="0" fontId="59" fillId="0" borderId="0" xfId="4" applyFont="1" applyAlignment="1">
      <alignment wrapText="1"/>
    </xf>
    <xf numFmtId="0" fontId="60" fillId="0" borderId="0" xfId="4" applyFont="1"/>
    <xf numFmtId="0" fontId="61" fillId="0" borderId="0" xfId="4" applyFont="1"/>
    <xf numFmtId="0" fontId="62" fillId="0" borderId="0" xfId="4" applyFont="1" applyAlignment="1">
      <alignment wrapText="1"/>
    </xf>
    <xf numFmtId="0" fontId="60" fillId="0" borderId="0" xfId="4" quotePrefix="1" applyFont="1" applyAlignment="1">
      <alignment horizontal="left"/>
    </xf>
    <xf numFmtId="0" fontId="60" fillId="0" borderId="0" xfId="4" applyFont="1" applyAlignment="1">
      <alignment horizontal="left" wrapText="1"/>
    </xf>
    <xf numFmtId="0" fontId="60" fillId="0" borderId="0" xfId="4" applyFont="1" applyAlignment="1">
      <alignment horizontal="left"/>
    </xf>
    <xf numFmtId="0" fontId="62" fillId="0" borderId="0" xfId="4" applyFont="1"/>
    <xf numFmtId="0" fontId="63" fillId="0" borderId="0" xfId="4" applyFont="1" applyAlignment="1">
      <alignment horizontal="right"/>
    </xf>
    <xf numFmtId="0" fontId="61" fillId="0" borderId="10" xfId="4" applyFont="1" applyBorder="1" applyAlignment="1">
      <alignment horizontal="center" wrapText="1"/>
    </xf>
    <xf numFmtId="0" fontId="61" fillId="0" borderId="0" xfId="4" applyFont="1" applyAlignment="1">
      <alignment horizontal="center"/>
    </xf>
    <xf numFmtId="0" fontId="60" fillId="0" borderId="10" xfId="4" applyFont="1" applyBorder="1" applyAlignment="1">
      <alignment horizontal="center"/>
    </xf>
    <xf numFmtId="0" fontId="60" fillId="0" borderId="0" xfId="4" applyFont="1" applyAlignment="1">
      <alignment horizontal="center"/>
    </xf>
    <xf numFmtId="0" fontId="60" fillId="0" borderId="26" xfId="4" applyFont="1" applyBorder="1" applyAlignment="1">
      <alignment horizontal="left" wrapText="1"/>
    </xf>
    <xf numFmtId="0" fontId="60" fillId="0" borderId="26" xfId="4" applyFont="1" applyBorder="1" applyAlignment="1">
      <alignment horizontal="center"/>
    </xf>
    <xf numFmtId="0" fontId="61" fillId="0" borderId="26" xfId="4" applyFont="1" applyBorder="1" applyAlignment="1">
      <alignment horizontal="center"/>
    </xf>
    <xf numFmtId="167" fontId="61" fillId="0" borderId="0" xfId="1" applyNumberFormat="1" applyFont="1" applyFill="1" applyBorder="1" applyAlignment="1"/>
    <xf numFmtId="167" fontId="61" fillId="0" borderId="26" xfId="1" applyNumberFormat="1" applyFont="1" applyFill="1" applyBorder="1" applyAlignment="1"/>
    <xf numFmtId="0" fontId="61" fillId="0" borderId="26" xfId="4" applyFont="1" applyBorder="1" applyAlignment="1">
      <alignment horizontal="left" wrapText="1" indent="1"/>
    </xf>
    <xf numFmtId="167" fontId="61" fillId="0" borderId="0" xfId="4" applyNumberFormat="1" applyFont="1"/>
    <xf numFmtId="0" fontId="61" fillId="0" borderId="26" xfId="4" quotePrefix="1" applyFont="1" applyBorder="1" applyAlignment="1">
      <alignment horizontal="left" wrapText="1"/>
    </xf>
    <xf numFmtId="0" fontId="61" fillId="0" borderId="0" xfId="4" quotePrefix="1" applyFont="1" applyAlignment="1">
      <alignment horizontal="left" indent="1"/>
    </xf>
    <xf numFmtId="0" fontId="60" fillId="0" borderId="29" xfId="4" applyFont="1" applyBorder="1" applyAlignment="1">
      <alignment horizontal="left" wrapText="1"/>
    </xf>
    <xf numFmtId="0" fontId="61" fillId="0" borderId="29" xfId="4" applyFont="1" applyBorder="1" applyAlignment="1">
      <alignment horizontal="center"/>
    </xf>
    <xf numFmtId="167" fontId="60" fillId="0" borderId="0" xfId="1" applyNumberFormat="1" applyFont="1" applyFill="1" applyBorder="1" applyAlignment="1" applyProtection="1"/>
    <xf numFmtId="167" fontId="60" fillId="0" borderId="29" xfId="1" applyNumberFormat="1" applyFont="1" applyFill="1" applyBorder="1" applyAlignment="1" applyProtection="1"/>
    <xf numFmtId="0" fontId="61" fillId="0" borderId="24" xfId="4" applyFont="1" applyBorder="1" applyAlignment="1">
      <alignment wrapText="1"/>
    </xf>
    <xf numFmtId="0" fontId="61" fillId="0" borderId="24" xfId="4" applyFont="1" applyBorder="1"/>
    <xf numFmtId="3" fontId="61" fillId="0" borderId="0" xfId="1" applyNumberFormat="1" applyFont="1" applyFill="1" applyBorder="1" applyAlignment="1"/>
    <xf numFmtId="3" fontId="61" fillId="0" borderId="24" xfId="1" applyNumberFormat="1" applyFont="1" applyFill="1" applyBorder="1" applyAlignment="1"/>
    <xf numFmtId="0" fontId="61" fillId="0" borderId="26" xfId="4" applyFont="1" applyBorder="1"/>
    <xf numFmtId="3" fontId="61" fillId="0" borderId="26" xfId="1" applyNumberFormat="1" applyFont="1" applyFill="1" applyBorder="1" applyAlignment="1"/>
    <xf numFmtId="0" fontId="61" fillId="0" borderId="26" xfId="4" applyFont="1" applyBorder="1" applyAlignment="1">
      <alignment horizontal="left" wrapText="1"/>
    </xf>
    <xf numFmtId="167" fontId="61" fillId="14" borderId="26" xfId="1" applyNumberFormat="1" applyFont="1" applyFill="1" applyBorder="1" applyAlignment="1"/>
    <xf numFmtId="167" fontId="60" fillId="0" borderId="26" xfId="1" applyNumberFormat="1" applyFont="1" applyFill="1" applyBorder="1" applyAlignment="1" applyProtection="1"/>
    <xf numFmtId="0" fontId="61" fillId="0" borderId="26" xfId="4" applyFont="1" applyBorder="1" applyAlignment="1">
      <alignment wrapText="1"/>
    </xf>
    <xf numFmtId="167" fontId="61" fillId="0" borderId="14" xfId="1" applyNumberFormat="1" applyFont="1" applyFill="1" applyBorder="1" applyAlignment="1"/>
    <xf numFmtId="167" fontId="61" fillId="0" borderId="25" xfId="1" applyNumberFormat="1" applyFont="1" applyFill="1" applyBorder="1" applyAlignment="1"/>
    <xf numFmtId="167" fontId="61" fillId="0" borderId="24" xfId="1" applyNumberFormat="1" applyFont="1" applyFill="1" applyBorder="1" applyAlignment="1"/>
    <xf numFmtId="167" fontId="60" fillId="0" borderId="0" xfId="1" applyNumberFormat="1" applyFont="1" applyFill="1" applyBorder="1" applyAlignment="1"/>
    <xf numFmtId="167" fontId="60" fillId="0" borderId="24" xfId="1" applyNumberFormat="1" applyFont="1" applyFill="1" applyBorder="1" applyAlignment="1"/>
    <xf numFmtId="167" fontId="61" fillId="8" borderId="0" xfId="1" applyNumberFormat="1" applyFont="1" applyFill="1" applyBorder="1" applyAlignment="1"/>
    <xf numFmtId="167" fontId="61" fillId="8" borderId="26" xfId="1" applyNumberFormat="1" applyFont="1" applyFill="1" applyBorder="1" applyAlignment="1"/>
    <xf numFmtId="167" fontId="65" fillId="0" borderId="0" xfId="1" applyNumberFormat="1" applyFont="1" applyFill="1" applyBorder="1" applyAlignment="1"/>
    <xf numFmtId="167" fontId="65" fillId="0" borderId="26" xfId="1" applyNumberFormat="1" applyFont="1" applyFill="1" applyBorder="1" applyAlignment="1"/>
    <xf numFmtId="167" fontId="60" fillId="0" borderId="12" xfId="1" applyNumberFormat="1" applyFont="1" applyFill="1" applyBorder="1" applyAlignment="1"/>
    <xf numFmtId="167" fontId="61" fillId="20" borderId="26" xfId="1" applyNumberFormat="1" applyFont="1" applyFill="1" applyBorder="1" applyAlignment="1"/>
    <xf numFmtId="167" fontId="60" fillId="0" borderId="28" xfId="1" applyNumberFormat="1" applyFont="1" applyFill="1" applyBorder="1" applyAlignment="1"/>
    <xf numFmtId="0" fontId="61" fillId="0" borderId="0" xfId="4" applyFont="1" applyAlignment="1">
      <alignment wrapText="1"/>
    </xf>
    <xf numFmtId="0" fontId="61" fillId="0" borderId="0" xfId="4" applyFont="1" applyAlignment="1">
      <alignment horizontal="left" vertical="distributed" wrapText="1"/>
    </xf>
    <xf numFmtId="167" fontId="61" fillId="4" borderId="26" xfId="1" applyNumberFormat="1" applyFont="1" applyFill="1" applyBorder="1" applyAlignment="1"/>
    <xf numFmtId="167" fontId="60" fillId="0" borderId="26" xfId="1" applyNumberFormat="1" applyFont="1" applyFill="1" applyBorder="1" applyAlignment="1"/>
    <xf numFmtId="167" fontId="61" fillId="0" borderId="29" xfId="1" applyNumberFormat="1" applyFont="1" applyFill="1" applyBorder="1" applyAlignment="1" applyProtection="1"/>
    <xf numFmtId="0" fontId="60" fillId="0" borderId="24" xfId="4" applyFont="1" applyBorder="1" applyAlignment="1">
      <alignment wrapText="1"/>
    </xf>
    <xf numFmtId="167" fontId="61" fillId="0" borderId="0" xfId="1" applyNumberFormat="1" applyFont="1" applyFill="1" applyBorder="1" applyAlignment="1" applyProtection="1"/>
    <xf numFmtId="167" fontId="61" fillId="0" borderId="26" xfId="1" applyNumberFormat="1" applyFont="1" applyFill="1" applyBorder="1" applyAlignment="1" applyProtection="1"/>
    <xf numFmtId="0" fontId="61" fillId="0" borderId="0" xfId="4" applyFont="1" applyAlignment="1">
      <alignment horizontal="right" wrapText="1"/>
    </xf>
    <xf numFmtId="0" fontId="66" fillId="0" borderId="0" xfId="0" applyFont="1" applyAlignment="1">
      <alignment vertical="top"/>
    </xf>
    <xf numFmtId="0" fontId="67" fillId="0" borderId="0" xfId="0" applyFont="1" applyAlignment="1">
      <alignment horizontal="center" vertical="top"/>
    </xf>
    <xf numFmtId="0" fontId="67" fillId="0" borderId="0" xfId="0" applyFont="1" applyAlignment="1">
      <alignment horizontal="justify" vertical="top"/>
    </xf>
    <xf numFmtId="168" fontId="67" fillId="0" borderId="0" xfId="1" applyFont="1" applyAlignment="1">
      <alignment vertical="top"/>
    </xf>
    <xf numFmtId="177" fontId="67" fillId="0" borderId="0" xfId="1" applyNumberFormat="1" applyFont="1" applyAlignment="1">
      <alignment horizontal="right" vertical="top"/>
    </xf>
    <xf numFmtId="177" fontId="67" fillId="0" borderId="0" xfId="1" applyNumberFormat="1" applyFont="1" applyAlignment="1">
      <alignment horizontal="center" vertical="top"/>
    </xf>
    <xf numFmtId="168" fontId="67" fillId="0" borderId="0" xfId="1" applyFont="1" applyAlignment="1">
      <alignment horizontal="justify" vertical="top" wrapText="1"/>
    </xf>
    <xf numFmtId="178" fontId="67" fillId="0" borderId="0" xfId="1" applyNumberFormat="1" applyFont="1" applyAlignment="1">
      <alignment horizontal="right" vertical="top" wrapText="1"/>
    </xf>
    <xf numFmtId="0" fontId="67" fillId="0" borderId="0" xfId="0" applyFont="1" applyAlignment="1">
      <alignment vertical="top"/>
    </xf>
    <xf numFmtId="0" fontId="67" fillId="0" borderId="0" xfId="0" applyFont="1" applyAlignment="1">
      <alignment horizontal="right" vertical="top"/>
    </xf>
    <xf numFmtId="172" fontId="67" fillId="0" borderId="0" xfId="1" applyNumberFormat="1" applyFont="1" applyFill="1" applyAlignment="1">
      <alignment horizontal="right" vertical="top"/>
    </xf>
    <xf numFmtId="178" fontId="67" fillId="0" borderId="0" xfId="0" applyNumberFormat="1" applyFont="1" applyAlignment="1">
      <alignment horizontal="right" vertical="top"/>
    </xf>
    <xf numFmtId="179" fontId="67" fillId="0" borderId="0" xfId="1" applyNumberFormat="1" applyFont="1" applyAlignment="1">
      <alignment horizontal="justify" vertical="top" wrapText="1"/>
    </xf>
    <xf numFmtId="0" fontId="66" fillId="5" borderId="27" xfId="0" applyFont="1" applyFill="1" applyBorder="1" applyAlignment="1">
      <alignment horizontal="center" vertical="center"/>
    </xf>
    <xf numFmtId="0" fontId="66" fillId="5" borderId="33" xfId="0" applyFont="1" applyFill="1" applyBorder="1" applyAlignment="1">
      <alignment horizontal="center" vertical="center"/>
    </xf>
    <xf numFmtId="168" fontId="66" fillId="5" borderId="33" xfId="1" applyFont="1" applyFill="1" applyBorder="1" applyAlignment="1">
      <alignment horizontal="center" vertical="center"/>
    </xf>
    <xf numFmtId="168" fontId="66" fillId="5" borderId="27" xfId="1" applyFont="1" applyFill="1" applyBorder="1" applyAlignment="1">
      <alignment horizontal="center" vertical="center"/>
    </xf>
    <xf numFmtId="177" fontId="66" fillId="5" borderId="27" xfId="1" applyNumberFormat="1" applyFont="1" applyFill="1" applyBorder="1" applyAlignment="1">
      <alignment horizontal="center" vertical="center"/>
    </xf>
    <xf numFmtId="177" fontId="66" fillId="18" borderId="27" xfId="1" applyNumberFormat="1" applyFont="1" applyFill="1" applyBorder="1" applyAlignment="1">
      <alignment horizontal="center" vertical="center" wrapText="1"/>
    </xf>
    <xf numFmtId="0" fontId="66" fillId="5" borderId="27" xfId="1" applyNumberFormat="1" applyFont="1" applyFill="1" applyBorder="1" applyAlignment="1">
      <alignment horizontal="center" vertical="center" wrapText="1"/>
    </xf>
    <xf numFmtId="178" fontId="66" fillId="5" borderId="27" xfId="1" applyNumberFormat="1" applyFont="1" applyFill="1" applyBorder="1" applyAlignment="1">
      <alignment horizontal="center" vertical="center" wrapText="1"/>
    </xf>
    <xf numFmtId="0" fontId="66" fillId="0" borderId="0" xfId="0" applyFont="1" applyAlignment="1">
      <alignment horizontal="center" vertical="top"/>
    </xf>
    <xf numFmtId="0" fontId="66" fillId="0" borderId="0" xfId="0" applyFont="1" applyAlignment="1">
      <alignment horizontal="right" vertical="top"/>
    </xf>
    <xf numFmtId="172" fontId="66" fillId="0" borderId="0" xfId="1" applyNumberFormat="1" applyFont="1" applyFill="1" applyAlignment="1">
      <alignment horizontal="right" vertical="top"/>
    </xf>
    <xf numFmtId="178" fontId="66" fillId="0" borderId="0" xfId="0" applyNumberFormat="1" applyFont="1" applyAlignment="1">
      <alignment horizontal="right" vertical="top"/>
    </xf>
    <xf numFmtId="0" fontId="66" fillId="3" borderId="26" xfId="0" applyFont="1" applyFill="1" applyBorder="1" applyAlignment="1">
      <alignment horizontal="left" vertical="top"/>
    </xf>
    <xf numFmtId="0" fontId="67" fillId="3" borderId="0" xfId="0" applyFont="1" applyFill="1" applyAlignment="1">
      <alignment horizontal="center" vertical="top"/>
    </xf>
    <xf numFmtId="0" fontId="67" fillId="3" borderId="26" xfId="0" applyFont="1" applyFill="1" applyBorder="1" applyAlignment="1">
      <alignment horizontal="justify" vertical="top"/>
    </xf>
    <xf numFmtId="168" fontId="67" fillId="3" borderId="0" xfId="1" applyFont="1" applyFill="1" applyAlignment="1">
      <alignment vertical="top"/>
    </xf>
    <xf numFmtId="168" fontId="67" fillId="3" borderId="26" xfId="1" applyFont="1" applyFill="1" applyBorder="1" applyAlignment="1">
      <alignment vertical="top"/>
    </xf>
    <xf numFmtId="177" fontId="67" fillId="3" borderId="26" xfId="1" applyNumberFormat="1" applyFont="1" applyFill="1" applyBorder="1" applyAlignment="1">
      <alignment horizontal="right" vertical="top"/>
    </xf>
    <xf numFmtId="177" fontId="67" fillId="3" borderId="26" xfId="1" applyNumberFormat="1" applyFont="1" applyFill="1" applyBorder="1" applyAlignment="1">
      <alignment horizontal="center" vertical="top"/>
    </xf>
    <xf numFmtId="168" fontId="67" fillId="3" borderId="26" xfId="1" applyFont="1" applyFill="1" applyBorder="1" applyAlignment="1">
      <alignment horizontal="justify" vertical="top" wrapText="1"/>
    </xf>
    <xf numFmtId="178" fontId="67" fillId="3" borderId="26" xfId="1" applyNumberFormat="1" applyFont="1" applyFill="1" applyBorder="1" applyAlignment="1">
      <alignment horizontal="right" vertical="top" wrapText="1"/>
    </xf>
    <xf numFmtId="0" fontId="67" fillId="0" borderId="26" xfId="0" applyFont="1" applyBorder="1" applyAlignment="1">
      <alignment horizontal="center" vertical="top"/>
    </xf>
    <xf numFmtId="0" fontId="67" fillId="0" borderId="26" xfId="0" applyFont="1" applyBorder="1" applyAlignment="1">
      <alignment horizontal="justify" vertical="top"/>
    </xf>
    <xf numFmtId="168" fontId="67" fillId="0" borderId="0" xfId="1" applyFont="1" applyFill="1" applyAlignment="1">
      <alignment vertical="top"/>
    </xf>
    <xf numFmtId="168" fontId="67" fillId="0" borderId="26" xfId="1" applyFont="1" applyFill="1" applyBorder="1" applyAlignment="1">
      <alignment vertical="top"/>
    </xf>
    <xf numFmtId="177" fontId="67" fillId="0" borderId="26" xfId="1" applyNumberFormat="1" applyFont="1" applyFill="1" applyBorder="1" applyAlignment="1">
      <alignment horizontal="right" vertical="top"/>
    </xf>
    <xf numFmtId="172" fontId="67" fillId="0" borderId="26" xfId="1" applyNumberFormat="1" applyFont="1" applyFill="1" applyBorder="1" applyAlignment="1">
      <alignment horizontal="center" vertical="top"/>
    </xf>
    <xf numFmtId="177" fontId="67" fillId="0" borderId="26" xfId="1" applyNumberFormat="1" applyFont="1" applyFill="1" applyBorder="1" applyAlignment="1">
      <alignment horizontal="center" vertical="top"/>
    </xf>
    <xf numFmtId="168" fontId="67" fillId="0" borderId="26" xfId="1" applyFont="1" applyFill="1" applyBorder="1" applyAlignment="1">
      <alignment horizontal="justify" vertical="top" wrapText="1"/>
    </xf>
    <xf numFmtId="178" fontId="67" fillId="0" borderId="26" xfId="1" applyNumberFormat="1" applyFont="1" applyFill="1" applyBorder="1" applyAlignment="1">
      <alignment horizontal="right" vertical="top" wrapText="1"/>
    </xf>
    <xf numFmtId="1" fontId="67" fillId="0" borderId="0" xfId="0" applyNumberFormat="1" applyFont="1" applyAlignment="1">
      <alignment horizontal="center" vertical="top"/>
    </xf>
    <xf numFmtId="177" fontId="67" fillId="0" borderId="26" xfId="1" quotePrefix="1" applyNumberFormat="1" applyFont="1" applyFill="1" applyBorder="1" applyAlignment="1">
      <alignment horizontal="right" vertical="top"/>
    </xf>
    <xf numFmtId="177" fontId="69" fillId="0" borderId="26" xfId="1" applyNumberFormat="1" applyFont="1" applyFill="1" applyBorder="1" applyAlignment="1">
      <alignment horizontal="right" vertical="top"/>
    </xf>
    <xf numFmtId="0" fontId="68" fillId="0" borderId="0" xfId="0" applyFont="1" applyAlignment="1">
      <alignment horizontal="center" vertical="center"/>
    </xf>
    <xf numFmtId="168" fontId="71" fillId="0" borderId="26" xfId="1" applyFont="1" applyFill="1" applyBorder="1" applyAlignment="1">
      <alignment horizontal="justify" vertical="top" wrapText="1"/>
    </xf>
    <xf numFmtId="0" fontId="67" fillId="0" borderId="17" xfId="0" applyFont="1" applyBorder="1" applyAlignment="1">
      <alignment horizontal="center" vertical="top"/>
    </xf>
    <xf numFmtId="168" fontId="66" fillId="0" borderId="26" xfId="1" applyFont="1" applyFill="1" applyBorder="1" applyAlignment="1">
      <alignment horizontal="justify" vertical="top" wrapText="1"/>
    </xf>
    <xf numFmtId="0" fontId="67" fillId="0" borderId="26" xfId="1" applyNumberFormat="1" applyFont="1" applyFill="1" applyBorder="1" applyAlignment="1">
      <alignment horizontal="right" vertical="top"/>
    </xf>
    <xf numFmtId="168" fontId="67" fillId="0" borderId="26" xfId="1" applyFont="1" applyFill="1" applyBorder="1" applyAlignment="1">
      <alignment horizontal="left" vertical="top"/>
    </xf>
    <xf numFmtId="0" fontId="67" fillId="5" borderId="27" xfId="0" applyFont="1" applyFill="1" applyBorder="1" applyAlignment="1">
      <alignment horizontal="center" vertical="top"/>
    </xf>
    <xf numFmtId="0" fontId="67" fillId="5" borderId="33" xfId="0" applyFont="1" applyFill="1" applyBorder="1" applyAlignment="1">
      <alignment horizontal="center" vertical="top"/>
    </xf>
    <xf numFmtId="0" fontId="67" fillId="5" borderId="27" xfId="0" applyFont="1" applyFill="1" applyBorder="1" applyAlignment="1">
      <alignment horizontal="justify" vertical="top"/>
    </xf>
    <xf numFmtId="168" fontId="66" fillId="5" borderId="33" xfId="1" applyFont="1" applyFill="1" applyBorder="1" applyAlignment="1">
      <alignment vertical="top"/>
    </xf>
    <xf numFmtId="168" fontId="66" fillId="5" borderId="27" xfId="1" applyFont="1" applyFill="1" applyBorder="1" applyAlignment="1">
      <alignment vertical="top"/>
    </xf>
    <xf numFmtId="177" fontId="66" fillId="5" borderId="27" xfId="1" applyNumberFormat="1" applyFont="1" applyFill="1" applyBorder="1" applyAlignment="1">
      <alignment horizontal="right" vertical="top"/>
    </xf>
    <xf numFmtId="177" fontId="66" fillId="5" borderId="27" xfId="1" applyNumberFormat="1" applyFont="1" applyFill="1" applyBorder="1" applyAlignment="1">
      <alignment horizontal="center" vertical="top"/>
    </xf>
    <xf numFmtId="168" fontId="66" fillId="5" borderId="27" xfId="1" applyFont="1" applyFill="1" applyBorder="1" applyAlignment="1">
      <alignment horizontal="justify" vertical="top" wrapText="1"/>
    </xf>
    <xf numFmtId="178" fontId="66" fillId="5" borderId="27" xfId="1" applyNumberFormat="1" applyFont="1" applyFill="1" applyBorder="1" applyAlignment="1">
      <alignment horizontal="right" vertical="top" wrapText="1"/>
    </xf>
    <xf numFmtId="172" fontId="67" fillId="0" borderId="0" xfId="1" applyNumberFormat="1" applyFont="1" applyAlignment="1">
      <alignment horizontal="right" vertical="top"/>
    </xf>
    <xf numFmtId="0" fontId="66" fillId="0" borderId="0" xfId="8" applyFont="1" applyAlignment="1">
      <alignment vertical="center"/>
    </xf>
    <xf numFmtId="37" fontId="61" fillId="9" borderId="0" xfId="9" applyNumberFormat="1" applyFont="1" applyFill="1" applyBorder="1" applyAlignment="1">
      <alignment vertical="center"/>
    </xf>
    <xf numFmtId="3" fontId="67" fillId="0" borderId="0" xfId="9" applyNumberFormat="1" applyFont="1" applyFill="1" applyBorder="1" applyAlignment="1">
      <alignment vertical="center"/>
    </xf>
    <xf numFmtId="172" fontId="67" fillId="0" borderId="0" xfId="1" applyNumberFormat="1" applyFont="1" applyFill="1" applyBorder="1" applyAlignment="1">
      <alignment vertical="center"/>
    </xf>
    <xf numFmtId="0" fontId="67" fillId="0" borderId="0" xfId="15" applyFont="1" applyAlignment="1">
      <alignment vertical="center"/>
    </xf>
    <xf numFmtId="3" fontId="66" fillId="0" borderId="0" xfId="9" applyNumberFormat="1" applyFont="1" applyFill="1" applyBorder="1" applyAlignment="1">
      <alignment vertical="center"/>
    </xf>
    <xf numFmtId="172" fontId="66" fillId="0" borderId="0" xfId="1" applyNumberFormat="1" applyFont="1" applyFill="1" applyBorder="1" applyAlignment="1">
      <alignment vertical="center"/>
    </xf>
    <xf numFmtId="0" fontId="66" fillId="0" borderId="0" xfId="15" applyFont="1" applyAlignment="1">
      <alignment vertical="center"/>
    </xf>
    <xf numFmtId="0" fontId="67" fillId="0" borderId="0" xfId="15" applyFont="1" applyAlignment="1">
      <alignment vertical="center" wrapText="1"/>
    </xf>
    <xf numFmtId="167" fontId="66" fillId="0" borderId="0" xfId="15" applyNumberFormat="1" applyFont="1" applyAlignment="1">
      <alignment vertical="center" wrapText="1"/>
    </xf>
    <xf numFmtId="167" fontId="66" fillId="0" borderId="0" xfId="15" applyNumberFormat="1" applyFont="1" applyAlignment="1">
      <alignment vertical="center"/>
    </xf>
    <xf numFmtId="39" fontId="67" fillId="0" borderId="0" xfId="8" applyNumberFormat="1" applyFont="1" applyAlignment="1">
      <alignment vertical="center"/>
    </xf>
    <xf numFmtId="0" fontId="66" fillId="0" borderId="29" xfId="8" applyFont="1" applyBorder="1" applyAlignment="1">
      <alignment horizontal="center" vertical="center"/>
    </xf>
    <xf numFmtId="0" fontId="66" fillId="0" borderId="29" xfId="8" applyFont="1" applyBorder="1" applyAlignment="1">
      <alignment vertical="center"/>
    </xf>
    <xf numFmtId="39" fontId="66" fillId="0" borderId="0" xfId="8" applyNumberFormat="1" applyFont="1" applyAlignment="1">
      <alignment horizontal="center" vertical="center"/>
    </xf>
    <xf numFmtId="0" fontId="66" fillId="0" borderId="29" xfId="1" applyNumberFormat="1" applyFont="1" applyFill="1" applyBorder="1" applyAlignment="1">
      <alignment horizontal="center" vertical="center"/>
    </xf>
    <xf numFmtId="0" fontId="66" fillId="0" borderId="0" xfId="1" applyNumberFormat="1" applyFont="1" applyFill="1" applyBorder="1" applyAlignment="1">
      <alignment horizontal="center" vertical="center"/>
    </xf>
    <xf numFmtId="0" fontId="67" fillId="0" borderId="26" xfId="15" applyFont="1" applyBorder="1" applyAlignment="1">
      <alignment horizontal="center" vertical="center" wrapText="1"/>
    </xf>
    <xf numFmtId="0" fontId="67" fillId="0" borderId="26" xfId="15" applyFont="1" applyBorder="1" applyAlignment="1">
      <alignment vertical="center" wrapText="1"/>
    </xf>
    <xf numFmtId="0" fontId="67" fillId="0" borderId="26" xfId="15" applyFont="1" applyBorder="1" applyAlignment="1">
      <alignment vertical="center"/>
    </xf>
    <xf numFmtId="172" fontId="67" fillId="0" borderId="26" xfId="1" applyNumberFormat="1" applyFont="1" applyFill="1" applyBorder="1" applyAlignment="1">
      <alignment vertical="center"/>
    </xf>
    <xf numFmtId="172" fontId="66" fillId="0" borderId="26" xfId="1" applyNumberFormat="1" applyFont="1" applyFill="1" applyBorder="1" applyAlignment="1">
      <alignment vertical="center"/>
    </xf>
    <xf numFmtId="172" fontId="67" fillId="0" borderId="0" xfId="15" applyNumberFormat="1" applyFont="1" applyAlignment="1">
      <alignment vertical="center"/>
    </xf>
    <xf numFmtId="0" fontId="66" fillId="0" borderId="26" xfId="15" applyFont="1" applyBorder="1" applyAlignment="1">
      <alignment horizontal="center" vertical="center" wrapText="1"/>
    </xf>
    <xf numFmtId="172" fontId="66" fillId="0" borderId="29" xfId="1" applyNumberFormat="1" applyFont="1" applyFill="1" applyBorder="1" applyAlignment="1">
      <alignment vertical="center"/>
    </xf>
    <xf numFmtId="0" fontId="66" fillId="0" borderId="26" xfId="15" applyFont="1" applyBorder="1" applyAlignment="1">
      <alignment vertical="center" wrapText="1"/>
    </xf>
    <xf numFmtId="0" fontId="67" fillId="9" borderId="26" xfId="15" applyFont="1" applyFill="1" applyBorder="1" applyAlignment="1">
      <alignment horizontal="center" vertical="center" wrapText="1"/>
    </xf>
    <xf numFmtId="0" fontId="67" fillId="0" borderId="26" xfId="0" applyFont="1" applyBorder="1" applyAlignment="1">
      <alignment horizontal="center" vertical="center"/>
    </xf>
    <xf numFmtId="49" fontId="67" fillId="0" borderId="26" xfId="15" applyNumberFormat="1" applyFont="1" applyBorder="1" applyAlignment="1">
      <alignment vertical="center" wrapText="1"/>
    </xf>
    <xf numFmtId="0" fontId="67" fillId="0" borderId="26" xfId="0" applyFont="1" applyBorder="1" applyAlignment="1">
      <alignment horizontal="left" vertical="center"/>
    </xf>
    <xf numFmtId="172" fontId="67" fillId="15" borderId="26" xfId="1" applyNumberFormat="1" applyFont="1" applyFill="1" applyBorder="1" applyAlignment="1">
      <alignment vertical="center"/>
    </xf>
    <xf numFmtId="0" fontId="67" fillId="0" borderId="26" xfId="0" applyFont="1" applyBorder="1" applyAlignment="1">
      <alignment vertical="center"/>
    </xf>
    <xf numFmtId="172" fontId="66" fillId="0" borderId="10" xfId="1" applyNumberFormat="1" applyFont="1" applyFill="1" applyBorder="1" applyAlignment="1">
      <alignment vertical="center"/>
    </xf>
    <xf numFmtId="0" fontId="67" fillId="0" borderId="26" xfId="15" applyFont="1" applyBorder="1" applyAlignment="1">
      <alignment horizontal="left" vertical="center" wrapText="1"/>
    </xf>
    <xf numFmtId="0" fontId="66" fillId="0" borderId="25" xfId="15" applyFont="1" applyBorder="1" applyAlignment="1">
      <alignment horizontal="center" vertical="center" wrapText="1"/>
    </xf>
    <xf numFmtId="0" fontId="66" fillId="0" borderId="25" xfId="15" applyFont="1" applyBorder="1" applyAlignment="1">
      <alignment vertical="center" wrapText="1"/>
    </xf>
    <xf numFmtId="0" fontId="67" fillId="0" borderId="0" xfId="15" applyFont="1" applyAlignment="1">
      <alignment horizontal="center" vertical="center" wrapText="1"/>
    </xf>
    <xf numFmtId="0" fontId="66" fillId="0" borderId="0" xfId="15" applyFont="1" applyAlignment="1">
      <alignment horizontal="left" vertical="center"/>
    </xf>
    <xf numFmtId="0" fontId="67" fillId="21" borderId="24" xfId="15" applyFont="1" applyFill="1" applyBorder="1" applyAlignment="1">
      <alignment vertical="center" wrapText="1"/>
    </xf>
    <xf numFmtId="0" fontId="67" fillId="21" borderId="24" xfId="15" applyFont="1" applyFill="1" applyBorder="1" applyAlignment="1">
      <alignment vertical="center"/>
    </xf>
    <xf numFmtId="172" fontId="67" fillId="21" borderId="24" xfId="1" applyNumberFormat="1" applyFont="1" applyFill="1" applyBorder="1" applyAlignment="1">
      <alignment vertical="center"/>
    </xf>
    <xf numFmtId="0" fontId="69" fillId="21" borderId="26" xfId="4" applyFont="1" applyFill="1" applyBorder="1" applyAlignment="1">
      <alignment horizontal="left" vertical="top"/>
    </xf>
    <xf numFmtId="172" fontId="67" fillId="21" borderId="26" xfId="1" applyNumberFormat="1" applyFont="1" applyFill="1" applyBorder="1" applyAlignment="1">
      <alignment vertical="center"/>
    </xf>
    <xf numFmtId="0" fontId="69" fillId="21" borderId="26" xfId="4" quotePrefix="1" applyFont="1" applyFill="1" applyBorder="1" applyAlignment="1">
      <alignment horizontal="left" vertical="top"/>
    </xf>
    <xf numFmtId="0" fontId="72" fillId="21" borderId="26" xfId="4" applyFont="1" applyFill="1" applyBorder="1" applyAlignment="1">
      <alignment vertical="top"/>
    </xf>
    <xf numFmtId="172" fontId="66" fillId="21" borderId="24" xfId="1" applyNumberFormat="1" applyFont="1" applyFill="1" applyBorder="1" applyAlignment="1">
      <alignment vertical="center"/>
    </xf>
    <xf numFmtId="0" fontId="72" fillId="21" borderId="26" xfId="4" applyFont="1" applyFill="1" applyBorder="1" applyAlignment="1">
      <alignment horizontal="left" vertical="top"/>
    </xf>
    <xf numFmtId="0" fontId="72" fillId="21" borderId="25" xfId="4" applyFont="1" applyFill="1" applyBorder="1" applyAlignment="1">
      <alignment horizontal="left" vertical="top"/>
    </xf>
    <xf numFmtId="172" fontId="67" fillId="21" borderId="25" xfId="1" applyNumberFormat="1" applyFont="1" applyFill="1" applyBorder="1" applyAlignment="1">
      <alignment vertical="center"/>
    </xf>
    <xf numFmtId="174" fontId="60" fillId="0" borderId="26" xfId="4" applyNumberFormat="1" applyFont="1" applyBorder="1" applyAlignment="1">
      <alignment horizontal="center"/>
    </xf>
    <xf numFmtId="174" fontId="60" fillId="0" borderId="0" xfId="4" applyNumberFormat="1" applyFont="1" applyAlignment="1">
      <alignment horizontal="center"/>
    </xf>
    <xf numFmtId="172" fontId="61" fillId="0" borderId="26" xfId="1" applyNumberFormat="1" applyFont="1" applyFill="1" applyBorder="1" applyAlignment="1"/>
    <xf numFmtId="172" fontId="61" fillId="0" borderId="0" xfId="1" applyNumberFormat="1" applyFont="1" applyFill="1" applyBorder="1" applyAlignment="1"/>
    <xf numFmtId="172" fontId="60" fillId="0" borderId="29" xfId="1" applyNumberFormat="1" applyFont="1" applyFill="1" applyBorder="1" applyAlignment="1" applyProtection="1"/>
    <xf numFmtId="49" fontId="61" fillId="0" borderId="26" xfId="4" applyNumberFormat="1" applyFont="1" applyBorder="1" applyAlignment="1">
      <alignment horizontal="left" wrapText="1"/>
    </xf>
    <xf numFmtId="167" fontId="60" fillId="0" borderId="29" xfId="1" applyNumberFormat="1" applyFont="1" applyFill="1" applyBorder="1" applyAlignment="1"/>
    <xf numFmtId="0" fontId="61" fillId="3" borderId="0" xfId="4" applyFont="1" applyFill="1" applyAlignment="1">
      <alignment wrapText="1"/>
    </xf>
    <xf numFmtId="0" fontId="61" fillId="3" borderId="0" xfId="4" applyFont="1" applyFill="1"/>
    <xf numFmtId="167" fontId="61" fillId="3" borderId="0" xfId="4" applyNumberFormat="1" applyFont="1" applyFill="1"/>
    <xf numFmtId="0" fontId="49" fillId="0" borderId="0" xfId="0" applyFont="1"/>
    <xf numFmtId="0" fontId="34" fillId="0" borderId="0" xfId="0" applyFont="1" applyAlignment="1">
      <alignment horizontal="left" indent="1"/>
    </xf>
    <xf numFmtId="49" fontId="34" fillId="0" borderId="0" xfId="4" applyNumberFormat="1" applyFont="1" applyAlignment="1">
      <alignment horizontal="left" vertical="top"/>
    </xf>
    <xf numFmtId="0" fontId="73" fillId="0" borderId="0" xfId="0" applyFont="1" applyAlignment="1">
      <alignment horizontal="left" vertical="center"/>
    </xf>
    <xf numFmtId="0" fontId="73" fillId="0" borderId="0" xfId="0" applyFont="1" applyAlignment="1">
      <alignment vertical="center" wrapText="1"/>
    </xf>
    <xf numFmtId="0" fontId="73"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9" fillId="4" borderId="0" xfId="0" applyFont="1" applyFill="1" applyAlignment="1">
      <alignment horizontal="center" vertical="center"/>
    </xf>
    <xf numFmtId="0" fontId="49" fillId="0" borderId="0" xfId="0" applyFont="1" applyAlignment="1">
      <alignment horizontal="left" vertical="center"/>
    </xf>
    <xf numFmtId="0" fontId="0" fillId="0" borderId="0" xfId="0" applyAlignment="1">
      <alignment vertical="center" wrapText="1"/>
    </xf>
    <xf numFmtId="0" fontId="49" fillId="5" borderId="10" xfId="0" applyFont="1" applyFill="1" applyBorder="1" applyAlignment="1">
      <alignment horizontal="center" vertical="center" wrapText="1"/>
    </xf>
    <xf numFmtId="0" fontId="49" fillId="0" borderId="10" xfId="0" applyFont="1" applyBorder="1" applyAlignment="1">
      <alignment horizontal="center" vertical="center" wrapText="1"/>
    </xf>
    <xf numFmtId="0" fontId="49" fillId="0" borderId="0" xfId="0" applyFont="1" applyAlignment="1">
      <alignment horizontal="center" vertical="center"/>
    </xf>
    <xf numFmtId="15" fontId="49" fillId="5" borderId="10" xfId="0" applyNumberFormat="1" applyFont="1" applyFill="1" applyBorder="1" applyAlignment="1">
      <alignment horizontal="center" vertical="center"/>
    </xf>
    <xf numFmtId="15" fontId="49" fillId="0" borderId="0" xfId="0" applyNumberFormat="1" applyFont="1" applyAlignment="1">
      <alignment horizontal="center" vertical="center"/>
    </xf>
    <xf numFmtId="15" fontId="0" fillId="0" borderId="0" xfId="0" applyNumberFormat="1" applyAlignment="1">
      <alignment horizontal="center" vertical="center"/>
    </xf>
    <xf numFmtId="15" fontId="49" fillId="5" borderId="10" xfId="1" applyNumberFormat="1" applyFont="1" applyFill="1" applyBorder="1" applyAlignment="1">
      <alignment horizontal="center" vertical="center"/>
    </xf>
    <xf numFmtId="0" fontId="49" fillId="5" borderId="10" xfId="1" applyNumberFormat="1" applyFont="1" applyFill="1" applyBorder="1" applyAlignment="1">
      <alignment horizontal="center" vertical="center"/>
    </xf>
    <xf numFmtId="0" fontId="0" fillId="0" borderId="26" xfId="0" applyBorder="1" applyAlignment="1">
      <alignment horizontal="center" vertical="center"/>
    </xf>
    <xf numFmtId="0" fontId="49" fillId="0" borderId="17" xfId="0" applyFont="1" applyBorder="1" applyAlignment="1">
      <alignment vertical="center" wrapText="1"/>
    </xf>
    <xf numFmtId="0" fontId="0" fillId="0" borderId="17" xfId="0" applyBorder="1" applyAlignment="1">
      <alignment vertical="center"/>
    </xf>
    <xf numFmtId="0" fontId="0" fillId="0" borderId="26" xfId="0" applyBorder="1" applyAlignment="1">
      <alignment vertical="center"/>
    </xf>
    <xf numFmtId="0" fontId="0" fillId="0" borderId="17" xfId="0" applyBorder="1" applyAlignment="1">
      <alignment vertical="center" wrapText="1"/>
    </xf>
    <xf numFmtId="172" fontId="0" fillId="0" borderId="26" xfId="1" applyNumberFormat="1" applyFont="1" applyBorder="1" applyAlignment="1">
      <alignment vertical="center"/>
    </xf>
    <xf numFmtId="172" fontId="0" fillId="0" borderId="0" xfId="1" applyNumberFormat="1" applyFont="1" applyAlignment="1">
      <alignment vertical="center"/>
    </xf>
    <xf numFmtId="172" fontId="0" fillId="22" borderId="0" xfId="1" applyNumberFormat="1" applyFont="1" applyFill="1" applyBorder="1" applyAlignment="1">
      <alignment vertical="center"/>
    </xf>
    <xf numFmtId="172" fontId="0" fillId="0" borderId="0" xfId="0" applyNumberFormat="1" applyAlignment="1">
      <alignment vertical="center"/>
    </xf>
    <xf numFmtId="172" fontId="0" fillId="0" borderId="24" xfId="1" applyNumberFormat="1" applyFont="1" applyBorder="1" applyAlignment="1">
      <alignment vertical="center"/>
    </xf>
    <xf numFmtId="172" fontId="0" fillId="4" borderId="24" xfId="1" applyNumberFormat="1" applyFont="1" applyFill="1" applyBorder="1" applyAlignment="1">
      <alignment vertical="center"/>
    </xf>
    <xf numFmtId="172" fontId="0" fillId="0" borderId="26" xfId="1" applyNumberFormat="1" applyFont="1" applyFill="1" applyBorder="1" applyAlignment="1">
      <alignment vertical="center"/>
    </xf>
    <xf numFmtId="0" fontId="49" fillId="0" borderId="26" xfId="0" applyFont="1" applyBorder="1" applyAlignment="1">
      <alignment horizontal="center" vertical="center"/>
    </xf>
    <xf numFmtId="0" fontId="49" fillId="0" borderId="17" xfId="0" applyFont="1" applyBorder="1" applyAlignment="1">
      <alignment vertical="center"/>
    </xf>
    <xf numFmtId="172" fontId="49" fillId="21" borderId="29" xfId="1" applyNumberFormat="1" applyFont="1" applyFill="1" applyBorder="1" applyAlignment="1">
      <alignment vertical="center"/>
    </xf>
    <xf numFmtId="172" fontId="49" fillId="0" borderId="0" xfId="1" applyNumberFormat="1" applyFont="1" applyAlignment="1">
      <alignment vertical="center"/>
    </xf>
    <xf numFmtId="172" fontId="49" fillId="0" borderId="26" xfId="1" applyNumberFormat="1" applyFont="1" applyBorder="1" applyAlignment="1">
      <alignment vertical="center"/>
    </xf>
    <xf numFmtId="0" fontId="49" fillId="0" borderId="0" xfId="0" applyFont="1" applyAlignment="1">
      <alignment vertical="center"/>
    </xf>
    <xf numFmtId="172" fontId="74" fillId="0" borderId="26" xfId="1" applyNumberFormat="1" applyFont="1" applyFill="1" applyBorder="1" applyAlignment="1">
      <alignment vertical="center"/>
    </xf>
    <xf numFmtId="172" fontId="49" fillId="0" borderId="24" xfId="1" applyNumberFormat="1" applyFont="1" applyBorder="1" applyAlignment="1">
      <alignment vertical="center"/>
    </xf>
    <xf numFmtId="172" fontId="0" fillId="4" borderId="26" xfId="1" applyNumberFormat="1" applyFont="1" applyFill="1" applyBorder="1" applyAlignment="1">
      <alignment vertical="center"/>
    </xf>
    <xf numFmtId="172" fontId="33" fillId="0" borderId="26" xfId="1" applyNumberFormat="1" applyFont="1" applyBorder="1" applyAlignment="1">
      <alignment vertical="center"/>
    </xf>
    <xf numFmtId="172" fontId="33" fillId="0" borderId="0" xfId="1" applyNumberFormat="1" applyFont="1" applyAlignment="1">
      <alignment vertical="center"/>
    </xf>
    <xf numFmtId="172" fontId="33" fillId="0" borderId="26" xfId="1" applyNumberFormat="1" applyFont="1" applyFill="1" applyBorder="1" applyAlignment="1">
      <alignment vertical="center"/>
    </xf>
    <xf numFmtId="172" fontId="33" fillId="0" borderId="10" xfId="1" applyNumberFormat="1" applyFont="1" applyFill="1" applyBorder="1" applyAlignment="1">
      <alignment vertical="center"/>
    </xf>
    <xf numFmtId="172" fontId="33" fillId="23" borderId="26" xfId="1" applyNumberFormat="1" applyFont="1" applyFill="1" applyBorder="1" applyAlignment="1">
      <alignment vertical="center"/>
    </xf>
    <xf numFmtId="172" fontId="0" fillId="23" borderId="26" xfId="1" applyNumberFormat="1" applyFont="1" applyFill="1" applyBorder="1" applyAlignment="1">
      <alignment vertical="center"/>
    </xf>
    <xf numFmtId="172" fontId="49" fillId="0" borderId="10" xfId="1" applyNumberFormat="1" applyFont="1" applyFill="1" applyBorder="1" applyAlignment="1">
      <alignment vertical="center"/>
    </xf>
    <xf numFmtId="172" fontId="49" fillId="0" borderId="10" xfId="1" applyNumberFormat="1" applyFont="1" applyBorder="1" applyAlignment="1">
      <alignment vertical="center"/>
    </xf>
    <xf numFmtId="167" fontId="0" fillId="0" borderId="26" xfId="1" applyNumberFormat="1" applyFont="1" applyBorder="1" applyAlignment="1">
      <alignment vertical="center"/>
    </xf>
    <xf numFmtId="0" fontId="44" fillId="11" borderId="0" xfId="4" applyFont="1" applyFill="1" applyAlignment="1">
      <alignment horizontal="left" vertical="top" wrapText="1"/>
    </xf>
    <xf numFmtId="0" fontId="49" fillId="11" borderId="17" xfId="0" applyFont="1" applyFill="1" applyBorder="1" applyAlignment="1">
      <alignment vertical="center"/>
    </xf>
    <xf numFmtId="172" fontId="49" fillId="11" borderId="29" xfId="1" applyNumberFormat="1" applyFont="1" applyFill="1" applyBorder="1" applyAlignment="1">
      <alignment vertical="center"/>
    </xf>
    <xf numFmtId="172" fontId="49" fillId="11" borderId="0" xfId="1" applyNumberFormat="1" applyFont="1" applyFill="1" applyAlignment="1">
      <alignment vertical="center"/>
    </xf>
    <xf numFmtId="172" fontId="0" fillId="0" borderId="0" xfId="1" applyNumberFormat="1" applyFont="1" applyBorder="1" applyAlignment="1">
      <alignment vertical="center"/>
    </xf>
    <xf numFmtId="172" fontId="49" fillId="21" borderId="10" xfId="1" applyNumberFormat="1" applyFont="1" applyFill="1" applyBorder="1" applyAlignment="1">
      <alignment vertical="center"/>
    </xf>
    <xf numFmtId="0" fontId="49" fillId="0" borderId="0" xfId="0" applyFont="1" applyAlignment="1">
      <alignment vertical="center" wrapText="1"/>
    </xf>
    <xf numFmtId="172" fontId="49" fillId="23" borderId="10" xfId="1" applyNumberFormat="1" applyFont="1" applyFill="1" applyBorder="1" applyAlignment="1">
      <alignment vertical="center"/>
    </xf>
    <xf numFmtId="0" fontId="0" fillId="11" borderId="17" xfId="0" applyFill="1" applyBorder="1" applyAlignment="1">
      <alignment vertical="center"/>
    </xf>
    <xf numFmtId="168" fontId="0" fillId="0" borderId="26" xfId="1" applyFont="1" applyBorder="1" applyAlignment="1">
      <alignment vertical="center"/>
    </xf>
    <xf numFmtId="180" fontId="0" fillId="0" borderId="26" xfId="2" applyNumberFormat="1" applyFont="1" applyBorder="1" applyAlignment="1">
      <alignment vertical="center"/>
    </xf>
    <xf numFmtId="168" fontId="0" fillId="0" borderId="0" xfId="0" applyNumberFormat="1" applyAlignment="1">
      <alignment vertical="center"/>
    </xf>
    <xf numFmtId="172" fontId="49" fillId="0" borderId="29" xfId="1" applyNumberFormat="1" applyFont="1" applyBorder="1" applyAlignment="1">
      <alignment vertical="center"/>
    </xf>
    <xf numFmtId="180" fontId="0" fillId="0" borderId="29" xfId="2" applyNumberFormat="1" applyFont="1" applyBorder="1" applyAlignment="1">
      <alignment vertical="center"/>
    </xf>
    <xf numFmtId="0" fontId="49" fillId="0" borderId="17" xfId="0" applyFont="1" applyBorder="1" applyAlignment="1">
      <alignment horizontal="right" vertical="center" wrapText="1"/>
    </xf>
    <xf numFmtId="172" fontId="49" fillId="0" borderId="0" xfId="1" applyNumberFormat="1" applyFont="1" applyFill="1" applyAlignment="1">
      <alignment vertical="center"/>
    </xf>
    <xf numFmtId="172" fontId="0" fillId="0" borderId="0" xfId="1" applyNumberFormat="1" applyFont="1" applyFill="1" applyBorder="1" applyAlignment="1">
      <alignment vertical="center"/>
    </xf>
    <xf numFmtId="0" fontId="49" fillId="11" borderId="17" xfId="0" applyFont="1" applyFill="1" applyBorder="1" applyAlignment="1">
      <alignment horizontal="left" vertical="center" wrapText="1"/>
    </xf>
    <xf numFmtId="172" fontId="49" fillId="11" borderId="10" xfId="1" applyNumberFormat="1" applyFont="1" applyFill="1" applyBorder="1" applyAlignment="1">
      <alignment vertical="center"/>
    </xf>
    <xf numFmtId="172" fontId="0" fillId="0" borderId="0" xfId="1" applyNumberFormat="1" applyFont="1" applyFill="1" applyAlignment="1">
      <alignment vertical="center"/>
    </xf>
    <xf numFmtId="0" fontId="49" fillId="11" borderId="17" xfId="0" applyFont="1" applyFill="1" applyBorder="1" applyAlignment="1">
      <alignment vertical="center" wrapText="1"/>
    </xf>
    <xf numFmtId="168" fontId="0" fillId="0" borderId="24" xfId="1" applyFont="1" applyBorder="1" applyAlignment="1">
      <alignment vertical="center"/>
    </xf>
    <xf numFmtId="167" fontId="0" fillId="4" borderId="26" xfId="1" applyNumberFormat="1" applyFont="1" applyFill="1" applyBorder="1" applyAlignment="1">
      <alignment vertical="center"/>
    </xf>
    <xf numFmtId="172" fontId="0" fillId="24" borderId="26" xfId="1" applyNumberFormat="1" applyFont="1" applyFill="1" applyBorder="1" applyAlignment="1">
      <alignment vertical="center"/>
    </xf>
    <xf numFmtId="172" fontId="0" fillId="24" borderId="0" xfId="1" applyNumberFormat="1" applyFont="1" applyFill="1" applyAlignment="1">
      <alignment vertical="center"/>
    </xf>
    <xf numFmtId="172" fontId="49" fillId="21" borderId="26" xfId="1" applyNumberFormat="1" applyFont="1" applyFill="1" applyBorder="1" applyAlignment="1">
      <alignment vertical="center"/>
    </xf>
    <xf numFmtId="172" fontId="0" fillId="8" borderId="26" xfId="1" applyNumberFormat="1" applyFont="1" applyFill="1" applyBorder="1" applyAlignment="1">
      <alignment vertical="center"/>
    </xf>
    <xf numFmtId="172" fontId="49" fillId="21" borderId="24" xfId="1" applyNumberFormat="1" applyFont="1" applyFill="1" applyBorder="1" applyAlignment="1">
      <alignment vertical="center"/>
    </xf>
    <xf numFmtId="172" fontId="0" fillId="22" borderId="26" xfId="1" applyNumberFormat="1" applyFont="1" applyFill="1" applyBorder="1" applyAlignment="1">
      <alignment vertical="center"/>
    </xf>
    <xf numFmtId="172" fontId="0" fillId="22" borderId="0" xfId="1" applyNumberFormat="1" applyFont="1" applyFill="1" applyAlignment="1">
      <alignment vertical="center"/>
    </xf>
    <xf numFmtId="0" fontId="61" fillId="0" borderId="26" xfId="8" applyFont="1" applyBorder="1" applyAlignment="1">
      <alignment vertical="center" wrapText="1"/>
    </xf>
    <xf numFmtId="172" fontId="0" fillId="0" borderId="25" xfId="1" applyNumberFormat="1" applyFont="1" applyFill="1" applyBorder="1" applyAlignment="1">
      <alignment vertical="center"/>
    </xf>
    <xf numFmtId="172" fontId="0" fillId="22" borderId="10" xfId="1" applyNumberFormat="1" applyFont="1" applyFill="1" applyBorder="1" applyAlignment="1">
      <alignment vertical="center"/>
    </xf>
    <xf numFmtId="0" fontId="61" fillId="0" borderId="17" xfId="8" applyFont="1" applyBorder="1" applyAlignment="1">
      <alignment vertical="center" wrapText="1"/>
    </xf>
    <xf numFmtId="172" fontId="49" fillId="21" borderId="28" xfId="1" applyNumberFormat="1" applyFont="1" applyFill="1" applyBorder="1" applyAlignment="1">
      <alignment vertical="center"/>
    </xf>
    <xf numFmtId="0" fontId="0" fillId="0" borderId="25" xfId="0" applyBorder="1" applyAlignment="1">
      <alignment horizontal="center" vertical="center"/>
    </xf>
    <xf numFmtId="0" fontId="0" fillId="0" borderId="25" xfId="0" applyBorder="1" applyAlignment="1">
      <alignment vertical="center" wrapText="1"/>
    </xf>
    <xf numFmtId="172" fontId="0" fillId="0" borderId="25" xfId="1" applyNumberFormat="1" applyFont="1" applyBorder="1" applyAlignment="1">
      <alignment vertical="center"/>
    </xf>
    <xf numFmtId="0" fontId="59" fillId="0" borderId="0" xfId="4" applyFont="1"/>
    <xf numFmtId="0" fontId="68" fillId="0" borderId="0" xfId="0" applyFont="1"/>
    <xf numFmtId="0" fontId="70" fillId="0" borderId="0" xfId="0" applyFont="1"/>
    <xf numFmtId="0" fontId="78" fillId="3" borderId="34" xfId="0" applyFont="1" applyFill="1" applyBorder="1" applyAlignment="1">
      <alignment horizontal="center" vertical="center"/>
    </xf>
    <xf numFmtId="0" fontId="78" fillId="3" borderId="11" xfId="0" applyFont="1" applyFill="1" applyBorder="1" applyAlignment="1">
      <alignment horizontal="center" vertical="center" wrapText="1"/>
    </xf>
    <xf numFmtId="0" fontId="78" fillId="3" borderId="20" xfId="0" applyFont="1" applyFill="1" applyBorder="1" applyAlignment="1">
      <alignment horizontal="center" vertical="center" wrapText="1"/>
    </xf>
    <xf numFmtId="0" fontId="78" fillId="0" borderId="0" xfId="0" applyFont="1" applyAlignment="1">
      <alignment horizontal="center" vertical="center"/>
    </xf>
    <xf numFmtId="0" fontId="78" fillId="3" borderId="10" xfId="0" applyFont="1" applyFill="1" applyBorder="1" applyAlignment="1">
      <alignment horizontal="center" vertical="center" wrapText="1"/>
    </xf>
    <xf numFmtId="0" fontId="70" fillId="0" borderId="17" xfId="0" applyFont="1" applyBorder="1" applyAlignment="1">
      <alignment horizontal="left" vertical="center"/>
    </xf>
    <xf numFmtId="0" fontId="70" fillId="0" borderId="0" xfId="0" applyFont="1" applyAlignment="1">
      <alignment horizontal="center" vertical="center" wrapText="1"/>
    </xf>
    <xf numFmtId="0" fontId="70" fillId="0" borderId="18" xfId="0" applyFont="1" applyBorder="1" applyAlignment="1">
      <alignment horizontal="center" vertical="center" wrapText="1"/>
    </xf>
    <xf numFmtId="0" fontId="70" fillId="0" borderId="0" xfId="0" applyFont="1" applyAlignment="1">
      <alignment horizontal="center" vertical="center"/>
    </xf>
    <xf numFmtId="0" fontId="70" fillId="0" borderId="26" xfId="0" applyFont="1" applyBorder="1" applyAlignment="1">
      <alignment horizontal="center" vertical="center" wrapText="1"/>
    </xf>
    <xf numFmtId="15" fontId="70" fillId="0" borderId="17" xfId="0" applyNumberFormat="1" applyFont="1" applyBorder="1"/>
    <xf numFmtId="172" fontId="68" fillId="0" borderId="0" xfId="1" applyNumberFormat="1" applyFont="1" applyFill="1" applyBorder="1"/>
    <xf numFmtId="172" fontId="70" fillId="0" borderId="0" xfId="1" applyNumberFormat="1" applyFont="1" applyFill="1" applyBorder="1"/>
    <xf numFmtId="172" fontId="70" fillId="0" borderId="18" xfId="1" applyNumberFormat="1" applyFont="1" applyBorder="1"/>
    <xf numFmtId="172" fontId="70" fillId="0" borderId="26" xfId="1" applyNumberFormat="1" applyFont="1" applyBorder="1"/>
    <xf numFmtId="0" fontId="68" fillId="0" borderId="17" xfId="0" applyFont="1" applyBorder="1"/>
    <xf numFmtId="0" fontId="68" fillId="0" borderId="17" xfId="0" quotePrefix="1" applyFont="1" applyBorder="1"/>
    <xf numFmtId="0" fontId="70" fillId="0" borderId="17" xfId="0" applyFont="1" applyBorder="1"/>
    <xf numFmtId="172" fontId="70" fillId="0" borderId="11" xfId="1" applyNumberFormat="1" applyFont="1" applyFill="1" applyBorder="1"/>
    <xf numFmtId="172" fontId="70" fillId="0" borderId="20" xfId="1" applyNumberFormat="1" applyFont="1" applyBorder="1"/>
    <xf numFmtId="172" fontId="70" fillId="0" borderId="10" xfId="1" applyNumberFormat="1" applyFont="1" applyBorder="1"/>
    <xf numFmtId="172" fontId="70" fillId="0" borderId="0" xfId="0" applyNumberFormat="1" applyFont="1"/>
    <xf numFmtId="172" fontId="68" fillId="0" borderId="0" xfId="1" applyNumberFormat="1" applyFont="1" applyBorder="1"/>
    <xf numFmtId="172" fontId="70" fillId="0" borderId="0" xfId="1" applyNumberFormat="1" applyFont="1" applyBorder="1"/>
    <xf numFmtId="0" fontId="70" fillId="0" borderId="35" xfId="0" applyFont="1" applyBorder="1"/>
    <xf numFmtId="172" fontId="70" fillId="0" borderId="13" xfId="1" applyNumberFormat="1" applyFont="1" applyBorder="1"/>
    <xf numFmtId="172" fontId="70" fillId="0" borderId="13" xfId="1" applyNumberFormat="1" applyFont="1" applyFill="1" applyBorder="1"/>
    <xf numFmtId="172" fontId="70" fillId="0" borderId="22" xfId="1" applyNumberFormat="1" applyFont="1" applyFill="1" applyBorder="1"/>
    <xf numFmtId="172" fontId="70" fillId="0" borderId="29" xfId="1" applyNumberFormat="1" applyFont="1" applyBorder="1"/>
    <xf numFmtId="0" fontId="79" fillId="0" borderId="0" xfId="0" applyFont="1"/>
    <xf numFmtId="172" fontId="70" fillId="0" borderId="18" xfId="1" applyNumberFormat="1" applyFont="1" applyFill="1" applyBorder="1"/>
    <xf numFmtId="172" fontId="70" fillId="0" borderId="20" xfId="1" applyNumberFormat="1" applyFont="1" applyFill="1" applyBorder="1"/>
    <xf numFmtId="172" fontId="68" fillId="0" borderId="0" xfId="0" applyNumberFormat="1" applyFont="1"/>
    <xf numFmtId="172" fontId="70" fillId="0" borderId="11" xfId="1" applyNumberFormat="1" applyFont="1" applyBorder="1"/>
    <xf numFmtId="172" fontId="70" fillId="22" borderId="11" xfId="1" applyNumberFormat="1" applyFont="1" applyFill="1" applyBorder="1"/>
    <xf numFmtId="172" fontId="70" fillId="22" borderId="20" xfId="1" applyNumberFormat="1" applyFont="1" applyFill="1" applyBorder="1"/>
    <xf numFmtId="172" fontId="70" fillId="3" borderId="11" xfId="1" applyNumberFormat="1" applyFont="1" applyFill="1" applyBorder="1"/>
    <xf numFmtId="172" fontId="70" fillId="3" borderId="20" xfId="1" applyNumberFormat="1" applyFont="1" applyFill="1" applyBorder="1"/>
    <xf numFmtId="172" fontId="70" fillId="3" borderId="10" xfId="1" applyNumberFormat="1" applyFont="1" applyFill="1" applyBorder="1"/>
    <xf numFmtId="0" fontId="70" fillId="0" borderId="36" xfId="0" applyFont="1" applyBorder="1"/>
    <xf numFmtId="172" fontId="70" fillId="3" borderId="13" xfId="1" applyNumberFormat="1" applyFont="1" applyFill="1" applyBorder="1"/>
    <xf numFmtId="172" fontId="70" fillId="3" borderId="22" xfId="1" applyNumberFormat="1" applyFont="1" applyFill="1" applyBorder="1"/>
    <xf numFmtId="172" fontId="70" fillId="3" borderId="29" xfId="1" applyNumberFormat="1" applyFont="1" applyFill="1" applyBorder="1"/>
    <xf numFmtId="172" fontId="70" fillId="0" borderId="0" xfId="1" applyNumberFormat="1" applyFont="1"/>
    <xf numFmtId="1" fontId="68" fillId="0" borderId="0" xfId="0" applyNumberFormat="1" applyFont="1"/>
    <xf numFmtId="1" fontId="70" fillId="0" borderId="0" xfId="0" applyNumberFormat="1" applyFont="1"/>
    <xf numFmtId="172" fontId="70" fillId="0" borderId="0" xfId="0" quotePrefix="1" applyNumberFormat="1" applyFont="1"/>
    <xf numFmtId="0" fontId="70" fillId="0" borderId="0" xfId="0" quotePrefix="1" applyFont="1"/>
    <xf numFmtId="172" fontId="70" fillId="14" borderId="0" xfId="0" applyNumberFormat="1" applyFont="1" applyFill="1"/>
    <xf numFmtId="167" fontId="70" fillId="0" borderId="0" xfId="0" applyNumberFormat="1" applyFont="1"/>
    <xf numFmtId="0" fontId="80" fillId="0" borderId="0" xfId="0" applyFont="1" applyAlignment="1">
      <alignment horizontal="left"/>
    </xf>
    <xf numFmtId="0" fontId="81" fillId="0" borderId="0" xfId="0" applyFont="1"/>
    <xf numFmtId="0" fontId="81" fillId="0" borderId="0" xfId="0" applyFont="1" applyAlignment="1">
      <alignment horizontal="fill"/>
    </xf>
    <xf numFmtId="0" fontId="80" fillId="0" borderId="0" xfId="0" applyFont="1" applyAlignment="1">
      <alignment horizontal="right"/>
    </xf>
    <xf numFmtId="0" fontId="80" fillId="0" borderId="37" xfId="0" applyFont="1" applyBorder="1" applyAlignment="1">
      <alignment horizontal="fill"/>
    </xf>
    <xf numFmtId="0" fontId="80" fillId="8" borderId="39" xfId="0" applyFont="1" applyFill="1" applyBorder="1" applyAlignment="1">
      <alignment horizontal="center"/>
    </xf>
    <xf numFmtId="0" fontId="80" fillId="0" borderId="6" xfId="0" applyFont="1" applyBorder="1" applyAlignment="1">
      <alignment horizontal="left"/>
    </xf>
    <xf numFmtId="0" fontId="80" fillId="0" borderId="26" xfId="0" applyFont="1" applyBorder="1" applyAlignment="1">
      <alignment horizontal="center"/>
    </xf>
    <xf numFmtId="39" fontId="80" fillId="0" borderId="24" xfId="0" applyNumberFormat="1" applyFont="1" applyBorder="1" applyAlignment="1">
      <alignment horizontal="center" vertical="center" wrapText="1"/>
    </xf>
    <xf numFmtId="39" fontId="80" fillId="0" borderId="26" xfId="0" applyNumberFormat="1" applyFont="1" applyBorder="1" applyAlignment="1">
      <alignment horizontal="center" vertical="center" wrapText="1"/>
    </xf>
    <xf numFmtId="0" fontId="80" fillId="0" borderId="42" xfId="0" applyFont="1" applyBorder="1" applyAlignment="1">
      <alignment horizontal="center"/>
    </xf>
    <xf numFmtId="0" fontId="80" fillId="0" borderId="43" xfId="0" applyFont="1" applyBorder="1" applyAlignment="1">
      <alignment horizontal="center"/>
    </xf>
    <xf numFmtId="15" fontId="80" fillId="0" borderId="44" xfId="0" applyNumberFormat="1" applyFont="1" applyBorder="1" applyAlignment="1">
      <alignment horizontal="center"/>
    </xf>
    <xf numFmtId="39" fontId="80" fillId="0" borderId="44" xfId="0" applyNumberFormat="1" applyFont="1" applyBorder="1" applyAlignment="1">
      <alignment horizontal="center" vertical="center" wrapText="1"/>
    </xf>
    <xf numFmtId="15" fontId="80" fillId="0" borderId="45" xfId="0" applyNumberFormat="1" applyFont="1" applyBorder="1" applyAlignment="1">
      <alignment horizontal="center"/>
    </xf>
    <xf numFmtId="0" fontId="81" fillId="0" borderId="6" xfId="0" applyFont="1" applyBorder="1" applyAlignment="1">
      <alignment horizontal="left"/>
    </xf>
    <xf numFmtId="172" fontId="81" fillId="0" borderId="18" xfId="1" applyNumberFormat="1" applyFont="1" applyFill="1" applyBorder="1"/>
    <xf numFmtId="172" fontId="81" fillId="8" borderId="18" xfId="1" applyNumberFormat="1" applyFont="1" applyFill="1" applyBorder="1"/>
    <xf numFmtId="172" fontId="81" fillId="0" borderId="46" xfId="1" applyNumberFormat="1" applyFont="1" applyFill="1" applyBorder="1" applyAlignment="1">
      <alignment horizontal="center"/>
    </xf>
    <xf numFmtId="172" fontId="80" fillId="0" borderId="18" xfId="1" applyNumberFormat="1" applyFont="1" applyFill="1" applyBorder="1" applyProtection="1"/>
    <xf numFmtId="168" fontId="81" fillId="0" borderId="18" xfId="1" applyFont="1" applyFill="1" applyBorder="1" applyProtection="1"/>
    <xf numFmtId="168" fontId="81" fillId="8" borderId="18" xfId="1" applyFont="1" applyFill="1" applyBorder="1"/>
    <xf numFmtId="172" fontId="81" fillId="0" borderId="18" xfId="1" applyNumberFormat="1" applyFont="1" applyFill="1" applyBorder="1" applyProtection="1"/>
    <xf numFmtId="168" fontId="81" fillId="0" borderId="18" xfId="1" applyFont="1" applyFill="1" applyBorder="1"/>
    <xf numFmtId="172" fontId="80" fillId="0" borderId="18" xfId="1" applyNumberFormat="1" applyFont="1" applyFill="1" applyBorder="1"/>
    <xf numFmtId="0" fontId="81" fillId="0" borderId="6" xfId="0" applyFont="1" applyBorder="1"/>
    <xf numFmtId="172" fontId="81" fillId="0" borderId="18" xfId="1" applyNumberFormat="1" applyFont="1" applyFill="1" applyBorder="1" applyAlignment="1" applyProtection="1">
      <alignment horizontal="fill"/>
    </xf>
    <xf numFmtId="172" fontId="81" fillId="0" borderId="18" xfId="1" applyNumberFormat="1" applyFont="1" applyFill="1" applyBorder="1" applyAlignment="1">
      <alignment horizontal="fill"/>
    </xf>
    <xf numFmtId="172" fontId="81" fillId="0" borderId="46" xfId="1" applyNumberFormat="1" applyFont="1" applyFill="1" applyBorder="1" applyAlignment="1" applyProtection="1">
      <alignment horizontal="fill"/>
    </xf>
    <xf numFmtId="0" fontId="80" fillId="0" borderId="47" xfId="0" applyFont="1" applyBorder="1"/>
    <xf numFmtId="172" fontId="80" fillId="0" borderId="10" xfId="1" applyNumberFormat="1" applyFont="1" applyFill="1" applyBorder="1" applyProtection="1"/>
    <xf numFmtId="172" fontId="80" fillId="0" borderId="4" xfId="1" applyNumberFormat="1" applyFont="1" applyFill="1" applyBorder="1" applyProtection="1"/>
    <xf numFmtId="0" fontId="81" fillId="0" borderId="47" xfId="0" applyFont="1" applyBorder="1"/>
    <xf numFmtId="172" fontId="81" fillId="0" borderId="10" xfId="1" applyNumberFormat="1" applyFont="1" applyFill="1" applyBorder="1" applyAlignment="1" applyProtection="1"/>
    <xf numFmtId="172" fontId="81" fillId="0" borderId="10" xfId="1" applyNumberFormat="1" applyFont="1" applyFill="1" applyBorder="1" applyAlignment="1"/>
    <xf numFmtId="172" fontId="81" fillId="0" borderId="4" xfId="1" applyNumberFormat="1" applyFont="1" applyFill="1" applyBorder="1" applyAlignment="1" applyProtection="1"/>
    <xf numFmtId="0" fontId="81" fillId="0" borderId="43" xfId="0" applyFont="1" applyBorder="1"/>
    <xf numFmtId="0" fontId="81" fillId="0" borderId="48" xfId="0" applyFont="1" applyBorder="1"/>
    <xf numFmtId="39" fontId="81" fillId="0" borderId="48" xfId="0" applyNumberFormat="1" applyFont="1" applyBorder="1"/>
    <xf numFmtId="39" fontId="81" fillId="0" borderId="48" xfId="0" applyNumberFormat="1" applyFont="1" applyBorder="1" applyAlignment="1">
      <alignment horizontal="fill"/>
    </xf>
    <xf numFmtId="0" fontId="81" fillId="0" borderId="49" xfId="0" applyFont="1" applyBorder="1" applyAlignment="1">
      <alignment horizontal="fill"/>
    </xf>
    <xf numFmtId="172" fontId="68" fillId="0" borderId="0" xfId="1" applyNumberFormat="1" applyFont="1" applyFill="1"/>
    <xf numFmtId="168" fontId="68" fillId="0" borderId="0" xfId="0" applyNumberFormat="1" applyFont="1"/>
    <xf numFmtId="172" fontId="81" fillId="0" borderId="18" xfId="16" applyNumberFormat="1" applyFont="1" applyFill="1" applyBorder="1"/>
    <xf numFmtId="172" fontId="81" fillId="8" borderId="18" xfId="1" applyNumberFormat="1" applyFont="1" applyFill="1" applyBorder="1" applyAlignment="1" applyProtection="1">
      <alignment horizontal="fill"/>
    </xf>
    <xf numFmtId="172" fontId="81" fillId="8" borderId="18" xfId="1" applyNumberFormat="1" applyFont="1" applyFill="1" applyBorder="1" applyAlignment="1">
      <alignment horizontal="fill"/>
    </xf>
    <xf numFmtId="172" fontId="80" fillId="8" borderId="10" xfId="1" applyNumberFormat="1" applyFont="1" applyFill="1" applyBorder="1" applyProtection="1"/>
    <xf numFmtId="16" fontId="81" fillId="0" borderId="47" xfId="0" applyNumberFormat="1" applyFont="1" applyBorder="1"/>
    <xf numFmtId="172" fontId="61" fillId="0" borderId="10" xfId="1" applyNumberFormat="1" applyFont="1" applyFill="1" applyBorder="1" applyAlignment="1" applyProtection="1"/>
    <xf numFmtId="172" fontId="65" fillId="0" borderId="10" xfId="1" applyNumberFormat="1" applyFont="1" applyFill="1" applyBorder="1" applyAlignment="1" applyProtection="1"/>
    <xf numFmtId="172" fontId="61" fillId="0" borderId="10" xfId="1" applyNumberFormat="1" applyFont="1" applyFill="1" applyBorder="1" applyAlignment="1"/>
    <xf numFmtId="172" fontId="65" fillId="0" borderId="10" xfId="1" applyNumberFormat="1" applyFont="1" applyFill="1" applyBorder="1" applyAlignment="1"/>
    <xf numFmtId="172" fontId="61" fillId="0" borderId="4" xfId="1" applyNumberFormat="1" applyFont="1" applyFill="1" applyBorder="1" applyAlignment="1" applyProtection="1"/>
    <xf numFmtId="0" fontId="52" fillId="0" borderId="0" xfId="11" applyFont="1"/>
    <xf numFmtId="168" fontId="53" fillId="9" borderId="0" xfId="17" applyFont="1" applyFill="1"/>
    <xf numFmtId="168" fontId="53" fillId="0" borderId="0" xfId="17" applyFont="1" applyFill="1"/>
    <xf numFmtId="0" fontId="53" fillId="0" borderId="0" xfId="11" applyFont="1" applyAlignment="1">
      <alignment horizontal="center"/>
    </xf>
    <xf numFmtId="168" fontId="53" fillId="0" borderId="0" xfId="1" applyFont="1" applyFill="1" applyAlignment="1">
      <alignment horizontal="center"/>
    </xf>
    <xf numFmtId="0" fontId="53" fillId="0" borderId="0" xfId="11" applyFont="1"/>
    <xf numFmtId="0" fontId="52" fillId="0" borderId="0" xfId="0" applyFont="1"/>
    <xf numFmtId="167" fontId="53" fillId="0" borderId="0" xfId="17" applyNumberFormat="1" applyFont="1" applyFill="1"/>
    <xf numFmtId="168" fontId="52" fillId="5" borderId="29" xfId="17" applyFont="1" applyFill="1" applyBorder="1" applyAlignment="1">
      <alignment horizontal="center" vertical="center" wrapText="1"/>
    </xf>
    <xf numFmtId="0" fontId="52" fillId="5" borderId="13" xfId="18" applyFont="1" applyFill="1" applyBorder="1" applyAlignment="1">
      <alignment horizontal="center" vertical="center" wrapText="1"/>
    </xf>
    <xf numFmtId="168" fontId="52" fillId="5" borderId="13" xfId="17" applyFont="1" applyFill="1" applyBorder="1" applyAlignment="1">
      <alignment horizontal="center" vertical="center" wrapText="1"/>
    </xf>
    <xf numFmtId="168" fontId="52" fillId="0" borderId="0" xfId="17" applyFont="1" applyFill="1" applyBorder="1" applyAlignment="1">
      <alignment horizontal="center" vertical="center" wrapText="1"/>
    </xf>
    <xf numFmtId="0" fontId="53" fillId="0" borderId="0" xfId="11" applyFont="1" applyAlignment="1">
      <alignment horizontal="center" vertical="center" wrapText="1"/>
    </xf>
    <xf numFmtId="0" fontId="53" fillId="0" borderId="26" xfId="0" applyFont="1" applyBorder="1"/>
    <xf numFmtId="0" fontId="53" fillId="0" borderId="0" xfId="0" applyFont="1"/>
    <xf numFmtId="172" fontId="53" fillId="0" borderId="26" xfId="1" applyNumberFormat="1" applyFont="1" applyFill="1" applyBorder="1"/>
    <xf numFmtId="172" fontId="53" fillId="0" borderId="0" xfId="1" applyNumberFormat="1" applyFont="1" applyFill="1"/>
    <xf numFmtId="0" fontId="53" fillId="0" borderId="26" xfId="11" applyFont="1" applyBorder="1"/>
    <xf numFmtId="172" fontId="53" fillId="0" borderId="0" xfId="11" applyNumberFormat="1" applyFont="1"/>
    <xf numFmtId="0" fontId="53" fillId="25" borderId="26" xfId="11" applyFont="1" applyFill="1" applyBorder="1"/>
    <xf numFmtId="49" fontId="53" fillId="0" borderId="0" xfId="0" applyNumberFormat="1" applyFont="1"/>
    <xf numFmtId="0" fontId="82" fillId="0" borderId="26" xfId="0" applyFont="1" applyBorder="1" applyAlignment="1">
      <alignment vertical="center"/>
    </xf>
    <xf numFmtId="172" fontId="53" fillId="0" borderId="0" xfId="1" applyNumberFormat="1" applyFont="1" applyFill="1" applyAlignment="1">
      <alignment horizontal="center"/>
    </xf>
    <xf numFmtId="172" fontId="53" fillId="0" borderId="26" xfId="1" applyNumberFormat="1" applyFont="1" applyFill="1" applyBorder="1" applyAlignment="1">
      <alignment horizontal="center"/>
    </xf>
    <xf numFmtId="0" fontId="52" fillId="5" borderId="29" xfId="11" applyFont="1" applyFill="1" applyBorder="1"/>
    <xf numFmtId="0" fontId="52" fillId="5" borderId="13" xfId="11" applyFont="1" applyFill="1" applyBorder="1"/>
    <xf numFmtId="172" fontId="52" fillId="5" borderId="22" xfId="1" applyNumberFormat="1" applyFont="1" applyFill="1" applyBorder="1"/>
    <xf numFmtId="172" fontId="52" fillId="5" borderId="13" xfId="1" applyNumberFormat="1" applyFont="1" applyFill="1" applyBorder="1"/>
    <xf numFmtId="172" fontId="52" fillId="5" borderId="29" xfId="1" applyNumberFormat="1" applyFont="1" applyFill="1" applyBorder="1"/>
    <xf numFmtId="172" fontId="53" fillId="0" borderId="0" xfId="11" applyNumberFormat="1" applyFont="1" applyAlignment="1">
      <alignment horizontal="center"/>
    </xf>
    <xf numFmtId="0" fontId="83" fillId="0" borderId="0" xfId="0" applyFont="1" applyAlignment="1">
      <alignment vertical="center"/>
    </xf>
    <xf numFmtId="0" fontId="82" fillId="0" borderId="0" xfId="0" applyFont="1" applyAlignment="1">
      <alignment vertical="center"/>
    </xf>
    <xf numFmtId="172" fontId="82" fillId="13" borderId="0" xfId="1" applyNumberFormat="1" applyFont="1" applyFill="1" applyAlignment="1">
      <alignment vertical="center"/>
    </xf>
    <xf numFmtId="172" fontId="82" fillId="0" borderId="0" xfId="1" applyNumberFormat="1" applyFont="1" applyAlignment="1">
      <alignment vertical="center"/>
    </xf>
    <xf numFmtId="0" fontId="83" fillId="5" borderId="34" xfId="0" applyFont="1" applyFill="1" applyBorder="1" applyAlignment="1">
      <alignment horizontal="center" vertical="center"/>
    </xf>
    <xf numFmtId="0" fontId="83" fillId="5" borderId="10" xfId="0" applyFont="1" applyFill="1" applyBorder="1" applyAlignment="1">
      <alignment horizontal="center" vertical="center"/>
    </xf>
    <xf numFmtId="172" fontId="83" fillId="5" borderId="20" xfId="1" applyNumberFormat="1" applyFont="1" applyFill="1" applyBorder="1" applyAlignment="1">
      <alignment horizontal="center" vertical="center"/>
    </xf>
    <xf numFmtId="0" fontId="82" fillId="0" borderId="17" xfId="0" applyFont="1" applyBorder="1" applyAlignment="1">
      <alignment vertical="center"/>
    </xf>
    <xf numFmtId="49" fontId="82" fillId="0" borderId="26" xfId="0" applyNumberFormat="1" applyFont="1" applyBorder="1" applyAlignment="1">
      <alignment vertical="center"/>
    </xf>
    <xf numFmtId="172" fontId="82" fillId="0" borderId="18" xfId="1" applyNumberFormat="1" applyFont="1" applyFill="1" applyBorder="1" applyAlignment="1">
      <alignment vertical="center"/>
    </xf>
    <xf numFmtId="0" fontId="82" fillId="5" borderId="35" xfId="0" applyFont="1" applyFill="1" applyBorder="1" applyAlignment="1">
      <alignment vertical="center"/>
    </xf>
    <xf numFmtId="0" fontId="82" fillId="5" borderId="29" xfId="0" applyFont="1" applyFill="1" applyBorder="1" applyAlignment="1">
      <alignment vertical="center"/>
    </xf>
    <xf numFmtId="172" fontId="82" fillId="5" borderId="22" xfId="1" applyNumberFormat="1" applyFont="1" applyFill="1" applyBorder="1" applyAlignment="1">
      <alignment vertical="center"/>
    </xf>
    <xf numFmtId="172" fontId="83" fillId="0" borderId="0" xfId="1" applyNumberFormat="1" applyFont="1" applyBorder="1" applyAlignment="1">
      <alignment vertical="center"/>
    </xf>
    <xf numFmtId="0" fontId="52" fillId="0" borderId="0" xfId="0" applyFont="1" applyAlignment="1">
      <alignment vertical="top"/>
    </xf>
    <xf numFmtId="0" fontId="54" fillId="0" borderId="0" xfId="0" applyFont="1"/>
    <xf numFmtId="0" fontId="52" fillId="5" borderId="24" xfId="0" applyFont="1" applyFill="1" applyBorder="1" applyAlignment="1">
      <alignment horizontal="center" vertical="center"/>
    </xf>
    <xf numFmtId="0" fontId="52" fillId="5" borderId="12" xfId="0" applyFont="1" applyFill="1" applyBorder="1" applyAlignment="1">
      <alignment horizontal="center" vertical="center"/>
    </xf>
    <xf numFmtId="168" fontId="52" fillId="5" borderId="12" xfId="1" applyFont="1" applyFill="1" applyBorder="1" applyAlignment="1">
      <alignment horizontal="center" vertical="center"/>
    </xf>
    <xf numFmtId="168" fontId="52" fillId="5" borderId="24" xfId="1" applyFont="1" applyFill="1" applyBorder="1" applyAlignment="1">
      <alignment horizontal="center" vertical="center"/>
    </xf>
    <xf numFmtId="0" fontId="53" fillId="0" borderId="0" xfId="0" applyFont="1" applyAlignment="1">
      <alignment horizontal="center" vertical="top"/>
    </xf>
    <xf numFmtId="172" fontId="54" fillId="0" borderId="0" xfId="1" applyNumberFormat="1" applyFont="1" applyBorder="1"/>
    <xf numFmtId="172" fontId="54" fillId="0" borderId="0" xfId="0" applyNumberFormat="1" applyFont="1"/>
    <xf numFmtId="15" fontId="54" fillId="0" borderId="0" xfId="0" applyNumberFormat="1" applyFont="1"/>
    <xf numFmtId="172" fontId="54" fillId="0" borderId="0" xfId="1" applyNumberFormat="1" applyFont="1"/>
    <xf numFmtId="168" fontId="84" fillId="0" borderId="0" xfId="1" applyFont="1" applyBorder="1"/>
    <xf numFmtId="168" fontId="54" fillId="0" borderId="0" xfId="1" applyFont="1" applyBorder="1"/>
    <xf numFmtId="168" fontId="54" fillId="0" borderId="0" xfId="0" applyNumberFormat="1" applyFont="1"/>
    <xf numFmtId="0" fontId="83" fillId="0" borderId="0" xfId="0" applyFont="1"/>
    <xf numFmtId="0" fontId="82" fillId="0" borderId="0" xfId="0" applyFont="1"/>
    <xf numFmtId="0" fontId="83" fillId="0" borderId="0" xfId="0" applyFont="1" applyAlignment="1">
      <alignment horizontal="left"/>
    </xf>
    <xf numFmtId="168" fontId="85" fillId="5" borderId="29" xfId="17" applyFont="1" applyFill="1" applyBorder="1" applyAlignment="1">
      <alignment horizontal="center" vertical="center" wrapText="1"/>
    </xf>
    <xf numFmtId="0" fontId="85" fillId="5" borderId="22" xfId="18" applyFont="1" applyFill="1" applyBorder="1" applyAlignment="1">
      <alignment horizontal="center" vertical="center" wrapText="1"/>
    </xf>
    <xf numFmtId="0" fontId="86" fillId="0" borderId="26" xfId="0" applyFont="1" applyBorder="1"/>
    <xf numFmtId="0" fontId="86" fillId="0" borderId="18" xfId="0" applyFont="1" applyBorder="1"/>
    <xf numFmtId="168" fontId="82" fillId="0" borderId="18" xfId="1" applyFont="1" applyBorder="1"/>
    <xf numFmtId="49" fontId="86" fillId="0" borderId="18" xfId="0" applyNumberFormat="1" applyFont="1" applyBorder="1"/>
    <xf numFmtId="0" fontId="86" fillId="18" borderId="26" xfId="0" applyFont="1" applyFill="1" applyBorder="1"/>
    <xf numFmtId="0" fontId="86" fillId="5" borderId="26" xfId="0" applyFont="1" applyFill="1" applyBorder="1"/>
    <xf numFmtId="0" fontId="86" fillId="5" borderId="18" xfId="0" applyFont="1" applyFill="1" applyBorder="1"/>
    <xf numFmtId="0" fontId="82" fillId="7" borderId="0" xfId="0" applyFont="1" applyFill="1"/>
    <xf numFmtId="168" fontId="82" fillId="0" borderId="26" xfId="1" applyFont="1" applyBorder="1"/>
    <xf numFmtId="0" fontId="82" fillId="26" borderId="34" xfId="0" applyFont="1" applyFill="1" applyBorder="1"/>
    <xf numFmtId="0" fontId="85" fillId="26" borderId="20" xfId="0" applyFont="1" applyFill="1" applyBorder="1"/>
    <xf numFmtId="168" fontId="83" fillId="26" borderId="20" xfId="0" applyNumberFormat="1" applyFont="1" applyFill="1" applyBorder="1"/>
    <xf numFmtId="168" fontId="82" fillId="0" borderId="0" xfId="0" applyNumberFormat="1" applyFont="1"/>
    <xf numFmtId="172" fontId="82" fillId="0" borderId="0" xfId="0" applyNumberFormat="1" applyFont="1"/>
    <xf numFmtId="172" fontId="0" fillId="0" borderId="0" xfId="0" applyNumberFormat="1"/>
    <xf numFmtId="168" fontId="68" fillId="0" borderId="0" xfId="1" applyFont="1" applyFill="1" applyAlignment="1">
      <alignment vertical="center"/>
    </xf>
    <xf numFmtId="168" fontId="68" fillId="0" borderId="26" xfId="1" applyFont="1" applyFill="1" applyBorder="1" applyAlignment="1">
      <alignment vertical="center"/>
    </xf>
    <xf numFmtId="168" fontId="68" fillId="0" borderId="0" xfId="1" applyFont="1" applyFill="1" applyBorder="1" applyAlignment="1">
      <alignment vertical="center"/>
    </xf>
    <xf numFmtId="168" fontId="68" fillId="0" borderId="18" xfId="1" applyFont="1" applyFill="1" applyBorder="1" applyAlignment="1">
      <alignment vertical="center"/>
    </xf>
    <xf numFmtId="168" fontId="67" fillId="0" borderId="18" xfId="1" applyFont="1" applyFill="1" applyBorder="1" applyAlignment="1">
      <alignment vertical="top"/>
    </xf>
    <xf numFmtId="172" fontId="49" fillId="0" borderId="26" xfId="1" applyNumberFormat="1" applyFont="1" applyFill="1" applyBorder="1" applyAlignment="1">
      <alignment vertical="center"/>
    </xf>
    <xf numFmtId="168" fontId="66" fillId="0" borderId="26" xfId="1" applyFont="1" applyFill="1" applyBorder="1" applyAlignment="1">
      <alignment horizontal="justify" vertical="top"/>
    </xf>
    <xf numFmtId="0" fontId="89" fillId="0" borderId="12" xfId="0" applyFont="1" applyBorder="1" applyAlignment="1">
      <alignment vertical="top"/>
    </xf>
    <xf numFmtId="0" fontId="89" fillId="0" borderId="0" xfId="0" applyFont="1" applyAlignment="1">
      <alignment vertical="top"/>
    </xf>
    <xf numFmtId="0" fontId="90" fillId="0" borderId="0" xfId="0" applyFont="1" applyAlignment="1">
      <alignment horizontal="left" vertical="top"/>
    </xf>
    <xf numFmtId="0" fontId="89" fillId="0" borderId="0" xfId="0" applyFont="1" applyAlignment="1">
      <alignment horizontal="left" vertical="top"/>
    </xf>
    <xf numFmtId="0" fontId="89" fillId="0" borderId="0" xfId="0" applyFont="1" applyAlignment="1">
      <alignment horizontal="center" vertical="top"/>
    </xf>
    <xf numFmtId="0" fontId="89" fillId="0" borderId="0" xfId="0" applyFont="1" applyAlignment="1">
      <alignment horizontal="left" vertical="top" wrapText="1"/>
    </xf>
    <xf numFmtId="0" fontId="90" fillId="0" borderId="0" xfId="0" applyFont="1" applyAlignment="1">
      <alignment vertical="top"/>
    </xf>
    <xf numFmtId="0" fontId="87" fillId="0" borderId="0" xfId="0" applyFont="1" applyAlignment="1">
      <alignment horizontal="left" vertical="top"/>
    </xf>
    <xf numFmtId="0" fontId="87" fillId="0" borderId="0" xfId="0" applyFont="1" applyAlignment="1">
      <alignment vertical="top"/>
    </xf>
    <xf numFmtId="0" fontId="89" fillId="0" borderId="0" xfId="4" applyFont="1" applyAlignment="1">
      <alignment horizontal="left" vertical="top"/>
    </xf>
    <xf numFmtId="0" fontId="37" fillId="0" borderId="0" xfId="20" quotePrefix="1" applyFont="1" applyAlignment="1">
      <alignment horizontal="justify" vertical="top" wrapText="1"/>
    </xf>
    <xf numFmtId="0" fontId="37" fillId="0" borderId="0" xfId="22" applyFont="1" applyAlignment="1">
      <alignment horizontal="left" vertical="top"/>
    </xf>
    <xf numFmtId="0" fontId="89" fillId="0" borderId="0" xfId="22" quotePrefix="1" applyFont="1" applyAlignment="1">
      <alignment horizontal="left" vertical="top"/>
    </xf>
    <xf numFmtId="0" fontId="37" fillId="0" borderId="0" xfId="20" applyFont="1" applyAlignment="1">
      <alignment horizontal="justify" vertical="top" wrapText="1"/>
    </xf>
    <xf numFmtId="0" fontId="89" fillId="0" borderId="0" xfId="0" applyFont="1" applyAlignment="1">
      <alignment horizontal="justify" vertical="top" wrapText="1"/>
    </xf>
    <xf numFmtId="0" fontId="37" fillId="0" borderId="0" xfId="0" applyFont="1" applyAlignment="1">
      <alignment horizontal="justify" vertical="top"/>
    </xf>
    <xf numFmtId="0" fontId="89" fillId="0" borderId="0" xfId="0" quotePrefix="1" applyFont="1" applyAlignment="1">
      <alignment horizontal="left" vertical="top"/>
    </xf>
    <xf numFmtId="0" fontId="37" fillId="0" borderId="0" xfId="22" quotePrefix="1" applyFont="1" applyAlignment="1">
      <alignment horizontal="justify" vertical="top" wrapText="1"/>
    </xf>
    <xf numFmtId="2" fontId="89" fillId="0" borderId="0" xfId="0" applyNumberFormat="1" applyFont="1" applyAlignment="1">
      <alignment vertical="top"/>
    </xf>
    <xf numFmtId="0" fontId="32" fillId="0" borderId="0" xfId="0" applyFont="1" applyAlignment="1">
      <alignment vertical="top"/>
    </xf>
    <xf numFmtId="168" fontId="32" fillId="0" borderId="0" xfId="1" applyFont="1" applyFill="1" applyAlignment="1">
      <alignment vertical="top"/>
    </xf>
    <xf numFmtId="0" fontId="32" fillId="0" borderId="0" xfId="0" applyFont="1" applyAlignment="1">
      <alignment horizontal="left" vertical="top"/>
    </xf>
    <xf numFmtId="15" fontId="32" fillId="0" borderId="0" xfId="0" applyNumberFormat="1" applyFont="1" applyAlignment="1">
      <alignment vertical="top"/>
    </xf>
    <xf numFmtId="0" fontId="32" fillId="0" borderId="0" xfId="0" applyFont="1" applyAlignment="1">
      <alignment horizontal="justify" vertical="top"/>
    </xf>
    <xf numFmtId="0" fontId="32" fillId="0" borderId="0" xfId="0" applyFont="1" applyAlignment="1">
      <alignment horizontal="justify" vertical="top" wrapText="1"/>
    </xf>
    <xf numFmtId="0" fontId="32" fillId="0" borderId="0" xfId="0" quotePrefix="1" applyFont="1" applyAlignment="1">
      <alignment horizontal="justify" vertical="top"/>
    </xf>
    <xf numFmtId="0" fontId="32" fillId="0" borderId="0" xfId="22" quotePrefix="1" applyFont="1" applyAlignment="1">
      <alignment horizontal="left" vertical="top"/>
    </xf>
    <xf numFmtId="0" fontId="32" fillId="0" borderId="12" xfId="0" applyFont="1" applyBorder="1" applyAlignment="1">
      <alignment vertical="top"/>
    </xf>
    <xf numFmtId="0" fontId="32" fillId="0" borderId="12" xfId="0" applyFont="1" applyBorder="1" applyAlignment="1">
      <alignment horizontal="center" vertical="top"/>
    </xf>
    <xf numFmtId="0" fontId="32" fillId="0" borderId="17" xfId="0" applyFont="1" applyBorder="1" applyAlignment="1">
      <alignment horizontal="left" vertical="top"/>
    </xf>
    <xf numFmtId="0" fontId="32" fillId="0" borderId="0" xfId="0" applyFont="1" applyAlignment="1">
      <alignment horizontal="center" vertical="top"/>
    </xf>
    <xf numFmtId="0" fontId="32" fillId="0" borderId="14" xfId="0" applyFont="1" applyBorder="1" applyAlignment="1">
      <alignment vertical="top"/>
    </xf>
    <xf numFmtId="0" fontId="32" fillId="0" borderId="14" xfId="0" applyFont="1" applyBorder="1" applyAlignment="1">
      <alignment horizontal="center" vertical="top"/>
    </xf>
    <xf numFmtId="0" fontId="32" fillId="0" borderId="0" xfId="0" applyFont="1" applyAlignment="1">
      <alignment vertical="top" wrapText="1"/>
    </xf>
    <xf numFmtId="0" fontId="37" fillId="0" borderId="0" xfId="22" applyFont="1" applyAlignment="1">
      <alignment horizontal="left"/>
    </xf>
    <xf numFmtId="0" fontId="37" fillId="0" borderId="0" xfId="22" applyFont="1" applyAlignment="1">
      <alignment horizontal="justify"/>
    </xf>
    <xf numFmtId="0" fontId="37" fillId="0" borderId="0" xfId="22" applyFont="1"/>
    <xf numFmtId="0" fontId="37" fillId="0" borderId="0" xfId="22" applyFont="1" applyAlignment="1">
      <alignment horizontal="justify" vertical="top"/>
    </xf>
    <xf numFmtId="0" fontId="87" fillId="7" borderId="0" xfId="0" applyFont="1" applyFill="1"/>
    <xf numFmtId="0" fontId="37" fillId="0" borderId="0" xfId="20" applyFont="1" applyAlignment="1">
      <alignment vertical="top"/>
    </xf>
    <xf numFmtId="0" fontId="37" fillId="0" borderId="0" xfId="20" applyFont="1" applyAlignment="1">
      <alignment horizontal="center" vertical="top"/>
    </xf>
    <xf numFmtId="0" fontId="37" fillId="0" borderId="0" xfId="20" applyFont="1" applyAlignment="1">
      <alignment horizontal="right" vertical="top"/>
    </xf>
    <xf numFmtId="2" fontId="87" fillId="0" borderId="0" xfId="20" applyNumberFormat="1" applyFont="1" applyAlignment="1">
      <alignment horizontal="center" vertical="top"/>
    </xf>
    <xf numFmtId="2" fontId="89" fillId="0" borderId="0" xfId="0" applyNumberFormat="1" applyFont="1" applyAlignment="1">
      <alignment horizontal="left" vertical="top"/>
    </xf>
    <xf numFmtId="0" fontId="32" fillId="0" borderId="0" xfId="4" applyFont="1" applyAlignment="1">
      <alignment vertical="top"/>
    </xf>
    <xf numFmtId="0" fontId="89" fillId="0" borderId="0" xfId="4" applyFont="1" applyAlignment="1">
      <alignment vertical="top"/>
    </xf>
    <xf numFmtId="0" fontId="32" fillId="0" borderId="0" xfId="4" applyFont="1" applyAlignment="1">
      <alignment horizontal="right" vertical="top"/>
    </xf>
    <xf numFmtId="0" fontId="32" fillId="0" borderId="0" xfId="0" applyFont="1"/>
    <xf numFmtId="0" fontId="90" fillId="0" borderId="0" xfId="4" applyFont="1" applyAlignment="1">
      <alignment vertical="top"/>
    </xf>
    <xf numFmtId="0" fontId="89" fillId="0" borderId="0" xfId="4" quotePrefix="1" applyFont="1" applyAlignment="1">
      <alignment horizontal="left" vertical="top"/>
    </xf>
    <xf numFmtId="49" fontId="89" fillId="0" borderId="0" xfId="4" applyNumberFormat="1" applyFont="1" applyAlignment="1">
      <alignment horizontal="left" vertical="top"/>
    </xf>
    <xf numFmtId="0" fontId="95" fillId="0" borderId="0" xfId="4" applyFont="1" applyAlignment="1">
      <alignment horizontal="left" vertical="top"/>
    </xf>
    <xf numFmtId="0" fontId="90" fillId="0" borderId="0" xfId="4" applyFont="1" applyAlignment="1">
      <alignment horizontal="right" vertical="top"/>
    </xf>
    <xf numFmtId="0" fontId="89" fillId="0" borderId="0" xfId="4" applyFont="1" applyAlignment="1">
      <alignment horizontal="right" vertical="top"/>
    </xf>
    <xf numFmtId="0" fontId="89" fillId="0" borderId="0" xfId="4" applyFont="1" applyAlignment="1">
      <alignment horizontal="center" vertical="top"/>
    </xf>
    <xf numFmtId="171" fontId="89" fillId="0" borderId="0" xfId="4" applyNumberFormat="1" applyFont="1" applyAlignment="1">
      <alignment horizontal="right" vertical="top"/>
    </xf>
    <xf numFmtId="171" fontId="32" fillId="0" borderId="0" xfId="4" applyNumberFormat="1" applyFont="1" applyAlignment="1">
      <alignment horizontal="right" vertical="top"/>
    </xf>
    <xf numFmtId="0" fontId="90" fillId="0" borderId="0" xfId="4" applyFont="1" applyAlignment="1">
      <alignment horizontal="center" vertical="top"/>
    </xf>
    <xf numFmtId="172" fontId="89" fillId="0" borderId="0" xfId="1" applyNumberFormat="1" applyFont="1" applyFill="1" applyBorder="1" applyAlignment="1">
      <alignment horizontal="right" vertical="top"/>
    </xf>
    <xf numFmtId="0" fontId="32" fillId="0" borderId="0" xfId="4" applyFont="1" applyAlignment="1">
      <alignment horizontal="left" vertical="top"/>
    </xf>
    <xf numFmtId="172" fontId="32" fillId="0" borderId="0" xfId="1" applyNumberFormat="1" applyFont="1" applyFill="1" applyBorder="1" applyAlignment="1">
      <alignment horizontal="right" vertical="top"/>
    </xf>
    <xf numFmtId="167" fontId="89" fillId="0" borderId="0" xfId="1" applyNumberFormat="1" applyFont="1" applyFill="1" applyBorder="1" applyAlignment="1">
      <alignment horizontal="right" vertical="top"/>
    </xf>
    <xf numFmtId="172" fontId="32" fillId="0" borderId="0" xfId="0" applyNumberFormat="1" applyFont="1"/>
    <xf numFmtId="172" fontId="89" fillId="0" borderId="11" xfId="1" applyNumberFormat="1" applyFont="1" applyFill="1" applyBorder="1" applyAlignment="1">
      <alignment horizontal="right" vertical="top"/>
    </xf>
    <xf numFmtId="167" fontId="89" fillId="0" borderId="12" xfId="1" applyNumberFormat="1" applyFont="1" applyFill="1" applyBorder="1" applyAlignment="1">
      <alignment horizontal="right" vertical="top"/>
    </xf>
    <xf numFmtId="172" fontId="89" fillId="0" borderId="0" xfId="1" applyNumberFormat="1" applyFont="1" applyFill="1" applyBorder="1" applyAlignment="1" applyProtection="1">
      <alignment horizontal="right" vertical="top"/>
    </xf>
    <xf numFmtId="172" fontId="89" fillId="0" borderId="13" xfId="1" applyNumberFormat="1" applyFont="1" applyFill="1" applyBorder="1" applyAlignment="1" applyProtection="1">
      <alignment horizontal="right" vertical="top"/>
    </xf>
    <xf numFmtId="167" fontId="89" fillId="0" borderId="0" xfId="1" applyNumberFormat="1" applyFont="1" applyFill="1" applyBorder="1" applyAlignment="1" applyProtection="1">
      <alignment horizontal="right" vertical="top"/>
    </xf>
    <xf numFmtId="0" fontId="32" fillId="0" borderId="0" xfId="4" quotePrefix="1" applyFont="1" applyAlignment="1">
      <alignment horizontal="left" vertical="top"/>
    </xf>
    <xf numFmtId="167" fontId="94" fillId="0" borderId="0" xfId="1" applyNumberFormat="1" applyFont="1" applyFill="1" applyBorder="1" applyAlignment="1" applyProtection="1">
      <alignment horizontal="right" vertical="top"/>
    </xf>
    <xf numFmtId="167" fontId="37" fillId="0" borderId="0" xfId="1" applyNumberFormat="1" applyFont="1" applyFill="1" applyBorder="1" applyAlignment="1" applyProtection="1">
      <alignment horizontal="right" vertical="top"/>
    </xf>
    <xf numFmtId="168" fontId="32" fillId="0" borderId="0" xfId="1" applyFont="1" applyFill="1" applyBorder="1" applyAlignment="1">
      <alignment horizontal="right" vertical="top"/>
    </xf>
    <xf numFmtId="0" fontId="32" fillId="7" borderId="0" xfId="19" applyFont="1" applyFill="1" applyAlignment="1">
      <alignment horizontal="left" vertical="top"/>
    </xf>
    <xf numFmtId="49" fontId="89" fillId="0" borderId="0" xfId="4" applyNumberFormat="1" applyFont="1" applyAlignment="1">
      <alignment horizontal="right" vertical="top"/>
    </xf>
    <xf numFmtId="0" fontId="90" fillId="0" borderId="0" xfId="4" applyFont="1" applyAlignment="1">
      <alignment horizontal="left" vertical="top"/>
    </xf>
    <xf numFmtId="0" fontId="32" fillId="0" borderId="0" xfId="4" applyFont="1" applyAlignment="1" applyProtection="1">
      <alignment horizontal="left" vertical="top"/>
      <protection locked="0"/>
    </xf>
    <xf numFmtId="0" fontId="89" fillId="0" borderId="14" xfId="4" applyFont="1" applyBorder="1" applyAlignment="1">
      <alignment horizontal="left" vertical="top"/>
    </xf>
    <xf numFmtId="0" fontId="89" fillId="0" borderId="14" xfId="4" applyFont="1" applyBorder="1" applyAlignment="1">
      <alignment horizontal="center" vertical="top"/>
    </xf>
    <xf numFmtId="171" fontId="89" fillId="0" borderId="14" xfId="4" applyNumberFormat="1" applyFont="1" applyBorder="1" applyAlignment="1">
      <alignment horizontal="right" vertical="top"/>
    </xf>
    <xf numFmtId="15" fontId="89" fillId="0" borderId="14" xfId="5" applyNumberFormat="1" applyFont="1" applyFill="1" applyBorder="1" applyAlignment="1">
      <alignment horizontal="right" vertical="top"/>
    </xf>
    <xf numFmtId="171" fontId="89" fillId="0" borderId="14" xfId="4" applyNumberFormat="1" applyFont="1" applyBorder="1" applyAlignment="1">
      <alignment horizontal="center" vertical="top"/>
    </xf>
    <xf numFmtId="15" fontId="89" fillId="0" borderId="14" xfId="5" applyNumberFormat="1" applyFont="1" applyFill="1" applyBorder="1" applyAlignment="1">
      <alignment horizontal="center" vertical="top"/>
    </xf>
    <xf numFmtId="49" fontId="89" fillId="0" borderId="0" xfId="4" quotePrefix="1" applyNumberFormat="1" applyFont="1" applyAlignment="1">
      <alignment horizontal="left" vertical="top"/>
    </xf>
    <xf numFmtId="172" fontId="89" fillId="0" borderId="0" xfId="1" applyNumberFormat="1" applyFont="1" applyFill="1" applyBorder="1" applyAlignment="1">
      <alignment vertical="top"/>
    </xf>
    <xf numFmtId="172" fontId="32" fillId="0" borderId="0" xfId="1" applyNumberFormat="1" applyFont="1" applyFill="1" applyBorder="1" applyAlignment="1">
      <alignment vertical="top"/>
    </xf>
    <xf numFmtId="172" fontId="89" fillId="0" borderId="12" xfId="1" applyNumberFormat="1" applyFont="1" applyFill="1" applyBorder="1" applyAlignment="1">
      <alignment vertical="top"/>
    </xf>
    <xf numFmtId="172" fontId="32" fillId="0" borderId="12" xfId="1" applyNumberFormat="1" applyFont="1" applyFill="1" applyBorder="1" applyAlignment="1">
      <alignment vertical="top"/>
    </xf>
    <xf numFmtId="0" fontId="89" fillId="0" borderId="0" xfId="4" applyFont="1" applyAlignment="1">
      <alignment horizontal="left" vertical="top" wrapText="1"/>
    </xf>
    <xf numFmtId="172" fontId="89" fillId="0" borderId="13" xfId="1" applyNumberFormat="1" applyFont="1" applyFill="1" applyBorder="1" applyAlignment="1" applyProtection="1">
      <alignment vertical="top"/>
    </xf>
    <xf numFmtId="172" fontId="89" fillId="0" borderId="0" xfId="1" applyNumberFormat="1" applyFont="1" applyFill="1" applyBorder="1" applyAlignment="1" applyProtection="1">
      <alignment vertical="top"/>
    </xf>
    <xf numFmtId="172" fontId="89" fillId="0" borderId="13" xfId="1" applyNumberFormat="1" applyFont="1" applyFill="1" applyBorder="1" applyAlignment="1">
      <alignment vertical="top"/>
    </xf>
    <xf numFmtId="172" fontId="89" fillId="0" borderId="14" xfId="1" applyNumberFormat="1" applyFont="1" applyFill="1" applyBorder="1" applyAlignment="1">
      <alignment vertical="top"/>
    </xf>
    <xf numFmtId="172" fontId="32" fillId="0" borderId="14" xfId="1" applyNumberFormat="1" applyFont="1" applyFill="1" applyBorder="1" applyAlignment="1">
      <alignment vertical="top"/>
    </xf>
    <xf numFmtId="0" fontId="94" fillId="0" borderId="0" xfId="4" applyFont="1" applyAlignment="1">
      <alignment horizontal="left" vertical="top"/>
    </xf>
    <xf numFmtId="0" fontId="94" fillId="0" borderId="0" xfId="4" applyFont="1" applyAlignment="1">
      <alignment horizontal="center" vertical="top"/>
    </xf>
    <xf numFmtId="172" fontId="93" fillId="0" borderId="0" xfId="1" applyNumberFormat="1" applyFont="1" applyFill="1" applyBorder="1" applyAlignment="1">
      <alignment vertical="top"/>
    </xf>
    <xf numFmtId="172" fontId="94" fillId="0" borderId="0" xfId="1" applyNumberFormat="1" applyFont="1" applyFill="1" applyBorder="1" applyAlignment="1">
      <alignment horizontal="center" vertical="top"/>
    </xf>
    <xf numFmtId="172" fontId="94" fillId="0" borderId="0" xfId="1" applyNumberFormat="1" applyFont="1" applyFill="1" applyBorder="1" applyAlignment="1">
      <alignment vertical="top"/>
    </xf>
    <xf numFmtId="0" fontId="94" fillId="0" borderId="0" xfId="4" applyFont="1" applyAlignment="1">
      <alignment vertical="top"/>
    </xf>
    <xf numFmtId="0" fontId="32" fillId="0" borderId="0" xfId="6" applyFont="1" applyAlignment="1">
      <alignment horizontal="left" vertical="top"/>
    </xf>
    <xf numFmtId="172" fontId="87" fillId="0" borderId="0" xfId="0" applyNumberFormat="1" applyFont="1" applyAlignment="1">
      <alignment horizontal="center"/>
    </xf>
    <xf numFmtId="171" fontId="89" fillId="0" borderId="0" xfId="4" applyNumberFormat="1" applyFont="1" applyAlignment="1">
      <alignment vertical="top"/>
    </xf>
    <xf numFmtId="0" fontId="89" fillId="0" borderId="14" xfId="4" quotePrefix="1" applyFont="1" applyBorder="1" applyAlignment="1">
      <alignment horizontal="left" vertical="top"/>
    </xf>
    <xf numFmtId="37" fontId="87" fillId="7" borderId="0" xfId="19" applyNumberFormat="1" applyFont="1" applyFill="1" applyAlignment="1">
      <alignment vertical="top"/>
    </xf>
    <xf numFmtId="0" fontId="96" fillId="0" borderId="0" xfId="4" quotePrefix="1" applyFont="1" applyAlignment="1">
      <alignment horizontal="left" vertical="top"/>
    </xf>
    <xf numFmtId="172" fontId="32" fillId="0" borderId="0" xfId="1" applyNumberFormat="1" applyFont="1" applyBorder="1" applyAlignment="1">
      <alignment vertical="top"/>
    </xf>
    <xf numFmtId="172" fontId="32" fillId="0" borderId="0" xfId="1" applyNumberFormat="1" applyFont="1" applyAlignment="1">
      <alignment vertical="top"/>
    </xf>
    <xf numFmtId="172" fontId="89" fillId="0" borderId="11" xfId="1" applyNumberFormat="1" applyFont="1" applyBorder="1" applyAlignment="1">
      <alignment vertical="top"/>
    </xf>
    <xf numFmtId="0" fontId="32" fillId="0" borderId="17" xfId="0" applyFont="1" applyBorder="1"/>
    <xf numFmtId="0" fontId="89" fillId="0" borderId="14" xfId="0" applyFont="1" applyBorder="1" applyAlignment="1">
      <alignment horizontal="center" wrapText="1"/>
    </xf>
    <xf numFmtId="0" fontId="32" fillId="0" borderId="18" xfId="0" applyFont="1" applyBorder="1"/>
    <xf numFmtId="0" fontId="93" fillId="0" borderId="14" xfId="0" applyFont="1" applyBorder="1" applyAlignment="1">
      <alignment horizontal="center" wrapText="1"/>
    </xf>
    <xf numFmtId="0" fontId="32" fillId="0" borderId="0" xfId="0" applyFont="1" applyAlignment="1">
      <alignment wrapText="1"/>
    </xf>
    <xf numFmtId="0" fontId="32" fillId="0" borderId="17" xfId="0" applyFont="1" applyBorder="1" applyAlignment="1">
      <alignment wrapText="1"/>
    </xf>
    <xf numFmtId="167" fontId="32" fillId="0" borderId="0" xfId="0" applyNumberFormat="1" applyFont="1"/>
    <xf numFmtId="168" fontId="32" fillId="0" borderId="0" xfId="1" applyFont="1" applyBorder="1"/>
    <xf numFmtId="167" fontId="32" fillId="0" borderId="18" xfId="0" applyNumberFormat="1" applyFont="1" applyBorder="1"/>
    <xf numFmtId="167" fontId="32" fillId="0" borderId="14" xfId="0" applyNumberFormat="1" applyFont="1" applyBorder="1"/>
    <xf numFmtId="0" fontId="89" fillId="0" borderId="17" xfId="0" applyFont="1" applyBorder="1" applyAlignment="1">
      <alignment wrapText="1"/>
    </xf>
    <xf numFmtId="167" fontId="93" fillId="0" borderId="11" xfId="0" applyNumberFormat="1" applyFont="1" applyBorder="1"/>
    <xf numFmtId="167" fontId="89" fillId="0" borderId="11" xfId="0" applyNumberFormat="1" applyFont="1" applyBorder="1"/>
    <xf numFmtId="167" fontId="89" fillId="0" borderId="20" xfId="0" applyNumberFormat="1" applyFont="1" applyBorder="1"/>
    <xf numFmtId="172" fontId="32" fillId="0" borderId="0" xfId="1" applyNumberFormat="1" applyFont="1" applyBorder="1"/>
    <xf numFmtId="172" fontId="94" fillId="0" borderId="0" xfId="1" applyNumberFormat="1" applyFont="1" applyBorder="1"/>
    <xf numFmtId="172" fontId="32" fillId="0" borderId="18" xfId="1" applyNumberFormat="1" applyFont="1" applyBorder="1"/>
    <xf numFmtId="0" fontId="89" fillId="0" borderId="17" xfId="0" applyFont="1" applyBorder="1"/>
    <xf numFmtId="172" fontId="93" fillId="0" borderId="0" xfId="1" applyNumberFormat="1" applyFont="1" applyBorder="1"/>
    <xf numFmtId="172" fontId="93" fillId="0" borderId="11" xfId="1" applyNumberFormat="1" applyFont="1" applyBorder="1"/>
    <xf numFmtId="172" fontId="89" fillId="0" borderId="11" xfId="1" applyNumberFormat="1" applyFont="1" applyBorder="1"/>
    <xf numFmtId="172" fontId="89" fillId="0" borderId="20" xfId="1" applyNumberFormat="1" applyFont="1" applyBorder="1"/>
    <xf numFmtId="0" fontId="94" fillId="0" borderId="0" xfId="0" applyFont="1"/>
    <xf numFmtId="172" fontId="89" fillId="0" borderId="0" xfId="1" applyNumberFormat="1" applyFont="1" applyBorder="1"/>
    <xf numFmtId="0" fontId="89" fillId="0" borderId="0" xfId="0" applyFont="1"/>
    <xf numFmtId="168" fontId="32" fillId="0" borderId="0" xfId="1" applyFont="1"/>
    <xf numFmtId="167" fontId="89" fillId="0" borderId="0" xfId="0" applyNumberFormat="1" applyFont="1" applyAlignment="1">
      <alignment horizontal="right"/>
    </xf>
    <xf numFmtId="167" fontId="32" fillId="0" borderId="0" xfId="0" applyNumberFormat="1" applyFont="1" applyAlignment="1">
      <alignment horizontal="right"/>
    </xf>
    <xf numFmtId="0" fontId="32" fillId="0" borderId="14" xfId="4" applyFont="1" applyBorder="1" applyAlignment="1">
      <alignment horizontal="left" vertical="top"/>
    </xf>
    <xf numFmtId="0" fontId="89" fillId="0" borderId="12" xfId="4" applyFont="1" applyBorder="1" applyAlignment="1">
      <alignment horizontal="left" vertical="top"/>
    </xf>
    <xf numFmtId="172" fontId="89" fillId="0" borderId="12" xfId="1" applyNumberFormat="1" applyFont="1" applyBorder="1" applyAlignment="1">
      <alignment vertical="top"/>
    </xf>
    <xf numFmtId="0" fontId="89" fillId="0" borderId="11" xfId="4" applyFont="1" applyBorder="1" applyAlignment="1">
      <alignment horizontal="left" vertical="top"/>
    </xf>
    <xf numFmtId="0" fontId="89" fillId="0" borderId="11" xfId="0" applyFont="1" applyBorder="1" applyAlignment="1">
      <alignment vertical="top"/>
    </xf>
    <xf numFmtId="0" fontId="89" fillId="0" borderId="14" xfId="0" applyFont="1" applyBorder="1" applyAlignment="1">
      <alignment horizontal="right" vertical="top"/>
    </xf>
    <xf numFmtId="0" fontId="89" fillId="0" borderId="14" xfId="0" applyFont="1" applyBorder="1" applyAlignment="1">
      <alignment horizontal="center"/>
    </xf>
    <xf numFmtId="0" fontId="89" fillId="0" borderId="12" xfId="0" applyFont="1" applyBorder="1" applyAlignment="1">
      <alignment horizontal="center" vertical="top"/>
    </xf>
    <xf numFmtId="0" fontId="37" fillId="0" borderId="0" xfId="4" applyAlignment="1">
      <alignment vertical="top"/>
    </xf>
    <xf numFmtId="0" fontId="87" fillId="0" borderId="0" xfId="4" applyFont="1" applyAlignment="1">
      <alignment vertical="top"/>
    </xf>
    <xf numFmtId="0" fontId="96" fillId="0" borderId="0" xfId="4" applyFont="1" applyAlignment="1">
      <alignment vertical="top"/>
    </xf>
    <xf numFmtId="0" fontId="87" fillId="0" borderId="0" xfId="4" quotePrefix="1" applyFont="1" applyAlignment="1">
      <alignment horizontal="left" vertical="top"/>
    </xf>
    <xf numFmtId="0" fontId="37" fillId="0" borderId="0" xfId="4" applyAlignment="1">
      <alignment horizontal="center" vertical="top" wrapText="1"/>
    </xf>
    <xf numFmtId="0" fontId="37" fillId="0" borderId="0" xfId="4" applyAlignment="1">
      <alignment horizontal="center" vertical="top"/>
    </xf>
    <xf numFmtId="0" fontId="87" fillId="0" borderId="0" xfId="4" applyFont="1" applyAlignment="1">
      <alignment horizontal="center" vertical="top"/>
    </xf>
    <xf numFmtId="174" fontId="87" fillId="0" borderId="0" xfId="4" applyNumberFormat="1" applyFont="1" applyAlignment="1">
      <alignment horizontal="center" vertical="top"/>
    </xf>
    <xf numFmtId="174" fontId="37" fillId="0" borderId="0" xfId="4" applyNumberFormat="1" applyAlignment="1">
      <alignment horizontal="center" vertical="top"/>
    </xf>
    <xf numFmtId="0" fontId="87" fillId="0" borderId="0" xfId="4" applyFont="1" applyAlignment="1">
      <alignment vertical="top" wrapText="1"/>
    </xf>
    <xf numFmtId="3" fontId="87" fillId="0" borderId="0" xfId="1" applyNumberFormat="1" applyFont="1" applyFill="1" applyBorder="1" applyAlignment="1">
      <alignment vertical="top"/>
    </xf>
    <xf numFmtId="3" fontId="37" fillId="0" borderId="0" xfId="1" applyNumberFormat="1" applyFont="1" applyFill="1" applyBorder="1" applyAlignment="1">
      <alignment vertical="top"/>
    </xf>
    <xf numFmtId="0" fontId="37" fillId="0" borderId="0" xfId="4" applyAlignment="1">
      <alignment horizontal="left" vertical="top" wrapText="1"/>
    </xf>
    <xf numFmtId="0" fontId="87" fillId="0" borderId="0" xfId="4" applyFont="1" applyAlignment="1">
      <alignment horizontal="left" vertical="top"/>
    </xf>
    <xf numFmtId="172" fontId="87" fillId="0" borderId="0" xfId="1" applyNumberFormat="1" applyFont="1" applyFill="1" applyBorder="1" applyAlignment="1">
      <alignment vertical="top"/>
    </xf>
    <xf numFmtId="172" fontId="37" fillId="0" borderId="0" xfId="1" applyNumberFormat="1" applyFont="1" applyFill="1" applyBorder="1" applyAlignment="1">
      <alignment vertical="top"/>
    </xf>
    <xf numFmtId="0" fontId="87" fillId="0" borderId="0" xfId="4" applyFont="1" applyAlignment="1">
      <alignment horizontal="left" vertical="top" wrapText="1"/>
    </xf>
    <xf numFmtId="0" fontId="37" fillId="0" borderId="0" xfId="4" applyAlignment="1">
      <alignment vertical="top" wrapText="1"/>
    </xf>
    <xf numFmtId="0" fontId="37" fillId="0" borderId="0" xfId="4" quotePrefix="1" applyAlignment="1">
      <alignment horizontal="left" vertical="top" wrapText="1"/>
    </xf>
    <xf numFmtId="0" fontId="37" fillId="0" borderId="0" xfId="4" quotePrefix="1" applyAlignment="1">
      <alignment horizontal="left" vertical="top"/>
    </xf>
    <xf numFmtId="172" fontId="87" fillId="0" borderId="12" xfId="1" applyNumberFormat="1" applyFont="1" applyFill="1" applyBorder="1" applyAlignment="1">
      <alignment vertical="top"/>
    </xf>
    <xf numFmtId="172" fontId="37" fillId="0" borderId="12" xfId="1" applyNumberFormat="1" applyFont="1" applyFill="1" applyBorder="1" applyAlignment="1">
      <alignment vertical="top"/>
    </xf>
    <xf numFmtId="0" fontId="37" fillId="0" borderId="0" xfId="4" applyAlignment="1">
      <alignment horizontal="left" vertical="top"/>
    </xf>
    <xf numFmtId="172" fontId="87" fillId="0" borderId="13" xfId="1" applyNumberFormat="1" applyFont="1" applyFill="1" applyBorder="1" applyAlignment="1" applyProtection="1">
      <alignment vertical="top"/>
    </xf>
    <xf numFmtId="172" fontId="87" fillId="0" borderId="0" xfId="1" applyNumberFormat="1" applyFont="1" applyFill="1" applyBorder="1" applyAlignment="1" applyProtection="1">
      <alignment vertical="top"/>
    </xf>
    <xf numFmtId="0" fontId="37" fillId="0" borderId="0" xfId="0" applyFont="1" applyAlignment="1">
      <alignment vertical="top"/>
    </xf>
    <xf numFmtId="0" fontId="87" fillId="0" borderId="0" xfId="4" applyFont="1" applyAlignment="1">
      <alignment horizontal="right" vertical="top"/>
    </xf>
    <xf numFmtId="0" fontId="37" fillId="0" borderId="0" xfId="4" applyAlignment="1">
      <alignment horizontal="right" vertical="top"/>
    </xf>
    <xf numFmtId="0" fontId="37" fillId="0" borderId="0" xfId="4" applyAlignment="1" applyProtection="1">
      <alignment horizontal="left" vertical="top"/>
      <protection locked="0"/>
    </xf>
    <xf numFmtId="172" fontId="87" fillId="0" borderId="0" xfId="0" applyNumberFormat="1" applyFont="1" applyAlignment="1">
      <alignment horizontal="right"/>
    </xf>
    <xf numFmtId="0" fontId="87" fillId="0" borderId="14" xfId="4" quotePrefix="1" applyFont="1" applyBorder="1" applyAlignment="1">
      <alignment horizontal="left" vertical="top"/>
    </xf>
    <xf numFmtId="0" fontId="37" fillId="0" borderId="14" xfId="4" applyBorder="1" applyAlignment="1">
      <alignment vertical="top"/>
    </xf>
    <xf numFmtId="171" fontId="87" fillId="0" borderId="14" xfId="4" applyNumberFormat="1" applyFont="1" applyBorder="1" applyAlignment="1">
      <alignment horizontal="right" vertical="top"/>
    </xf>
    <xf numFmtId="0" fontId="87" fillId="0" borderId="14" xfId="4" applyFont="1" applyBorder="1" applyAlignment="1">
      <alignment horizontal="right" vertical="top"/>
    </xf>
    <xf numFmtId="0" fontId="89" fillId="0" borderId="0" xfId="0" applyFont="1" applyAlignment="1">
      <alignment horizontal="right" vertical="top" wrapText="1"/>
    </xf>
    <xf numFmtId="0" fontId="89" fillId="0" borderId="17" xfId="0" applyFont="1" applyBorder="1" applyAlignment="1">
      <alignment vertical="top"/>
    </xf>
    <xf numFmtId="0" fontId="32" fillId="0" borderId="18" xfId="0" applyFont="1" applyBorder="1" applyAlignment="1">
      <alignment vertical="top"/>
    </xf>
    <xf numFmtId="0" fontId="32" fillId="0" borderId="17" xfId="0" applyFont="1" applyBorder="1" applyAlignment="1">
      <alignment vertical="top"/>
    </xf>
    <xf numFmtId="172" fontId="32" fillId="0" borderId="18" xfId="1" applyNumberFormat="1" applyFont="1" applyFill="1" applyBorder="1" applyAlignment="1">
      <alignment vertical="top"/>
    </xf>
    <xf numFmtId="172" fontId="32" fillId="0" borderId="16" xfId="1" applyNumberFormat="1" applyFont="1" applyFill="1" applyBorder="1" applyAlignment="1">
      <alignment vertical="top"/>
    </xf>
    <xf numFmtId="0" fontId="32" fillId="0" borderId="15" xfId="0" applyFont="1" applyBorder="1" applyAlignment="1">
      <alignment vertical="top"/>
    </xf>
    <xf numFmtId="171" fontId="89" fillId="0" borderId="12" xfId="4" applyNumberFormat="1" applyFont="1" applyBorder="1" applyAlignment="1">
      <alignment horizontal="right" vertical="top"/>
    </xf>
    <xf numFmtId="171" fontId="89" fillId="0" borderId="16" xfId="4" applyNumberFormat="1" applyFont="1" applyBorder="1" applyAlignment="1">
      <alignment horizontal="right" vertical="top"/>
    </xf>
    <xf numFmtId="167" fontId="89" fillId="0" borderId="0" xfId="0" applyNumberFormat="1" applyFont="1" applyAlignment="1">
      <alignment vertical="top"/>
    </xf>
    <xf numFmtId="167" fontId="32" fillId="0" borderId="19" xfId="0" applyNumberFormat="1" applyFont="1" applyBorder="1" applyAlignment="1">
      <alignment vertical="top"/>
    </xf>
    <xf numFmtId="167" fontId="89" fillId="0" borderId="13" xfId="0" applyNumberFormat="1" applyFont="1" applyBorder="1" applyAlignment="1">
      <alignment vertical="top"/>
    </xf>
    <xf numFmtId="0" fontId="32" fillId="0" borderId="21" xfId="0" applyFont="1" applyBorder="1" applyAlignment="1">
      <alignment vertical="top"/>
    </xf>
    <xf numFmtId="167" fontId="89" fillId="0" borderId="14" xfId="0" applyNumberFormat="1" applyFont="1" applyBorder="1" applyAlignment="1">
      <alignment vertical="top"/>
    </xf>
    <xf numFmtId="172" fontId="32" fillId="0" borderId="0" xfId="0" applyNumberFormat="1" applyFont="1" applyAlignment="1">
      <alignment vertical="top"/>
    </xf>
    <xf numFmtId="167" fontId="32" fillId="0" borderId="0" xfId="0" applyNumberFormat="1" applyFont="1" applyAlignment="1">
      <alignment vertical="top"/>
    </xf>
    <xf numFmtId="167" fontId="32" fillId="0" borderId="14" xfId="0" applyNumberFormat="1" applyFont="1" applyBorder="1" applyAlignment="1">
      <alignment vertical="top"/>
    </xf>
    <xf numFmtId="172" fontId="32" fillId="0" borderId="19" xfId="1" applyNumberFormat="1" applyFont="1" applyFill="1" applyBorder="1" applyAlignment="1">
      <alignment vertical="top"/>
    </xf>
    <xf numFmtId="0" fontId="32" fillId="0" borderId="12" xfId="0" applyFont="1" applyBorder="1" applyAlignment="1">
      <alignment horizontal="left" vertical="top"/>
    </xf>
    <xf numFmtId="167" fontId="32" fillId="0" borderId="18" xfId="0" applyNumberFormat="1" applyFont="1" applyBorder="1" applyAlignment="1">
      <alignment vertical="top"/>
    </xf>
    <xf numFmtId="0" fontId="37" fillId="0" borderId="0" xfId="0" applyFont="1" applyAlignment="1">
      <alignment horizontal="left" vertical="top"/>
    </xf>
    <xf numFmtId="168" fontId="89" fillId="0" borderId="0" xfId="1" applyFont="1" applyFill="1" applyAlignment="1">
      <alignment vertical="top"/>
    </xf>
    <xf numFmtId="172" fontId="32" fillId="0" borderId="22" xfId="1" applyNumberFormat="1" applyFont="1" applyFill="1" applyBorder="1" applyAlignment="1">
      <alignment vertical="top"/>
    </xf>
    <xf numFmtId="168" fontId="32" fillId="0" borderId="12" xfId="1" applyFont="1" applyFill="1" applyBorder="1" applyAlignment="1">
      <alignment vertical="top"/>
    </xf>
    <xf numFmtId="168" fontId="32" fillId="0" borderId="0" xfId="1" applyFont="1" applyFill="1" applyBorder="1" applyAlignment="1">
      <alignment vertical="top"/>
    </xf>
    <xf numFmtId="168" fontId="32" fillId="0" borderId="14" xfId="1" applyFont="1" applyFill="1" applyBorder="1" applyAlignment="1">
      <alignment vertical="top"/>
    </xf>
    <xf numFmtId="167" fontId="87" fillId="0" borderId="0" xfId="0" applyNumberFormat="1" applyFont="1" applyAlignment="1">
      <alignment vertical="top"/>
    </xf>
    <xf numFmtId="171" fontId="89" fillId="0" borderId="18" xfId="4" applyNumberFormat="1" applyFont="1" applyBorder="1" applyAlignment="1">
      <alignment horizontal="right" vertical="top"/>
    </xf>
    <xf numFmtId="167" fontId="32" fillId="0" borderId="13" xfId="0" applyNumberFormat="1" applyFont="1" applyBorder="1" applyAlignment="1">
      <alignment vertical="top"/>
    </xf>
    <xf numFmtId="0" fontId="89" fillId="0" borderId="14" xfId="0" applyFont="1" applyBorder="1" applyAlignment="1">
      <alignment vertical="top"/>
    </xf>
    <xf numFmtId="167" fontId="89" fillId="8" borderId="0" xfId="0" applyNumberFormat="1" applyFont="1" applyFill="1" applyAlignment="1">
      <alignment vertical="top"/>
    </xf>
    <xf numFmtId="0" fontId="89" fillId="0" borderId="0" xfId="0" applyFont="1" applyAlignment="1">
      <alignment vertical="top" wrapText="1"/>
    </xf>
    <xf numFmtId="0" fontId="32" fillId="0" borderId="15" xfId="0" applyFont="1" applyBorder="1" applyAlignment="1">
      <alignment horizontal="center" vertical="top"/>
    </xf>
    <xf numFmtId="168" fontId="32" fillId="0" borderId="0" xfId="1" applyFont="1" applyFill="1" applyAlignment="1">
      <alignment vertical="top" wrapText="1"/>
    </xf>
    <xf numFmtId="167" fontId="37" fillId="0" borderId="0" xfId="0" applyNumberFormat="1" applyFont="1" applyAlignment="1">
      <alignment vertical="top"/>
    </xf>
    <xf numFmtId="0" fontId="37" fillId="0" borderId="14" xfId="0" applyFont="1" applyBorder="1" applyAlignment="1">
      <alignment vertical="top"/>
    </xf>
    <xf numFmtId="0" fontId="37" fillId="0" borderId="0" xfId="0" applyFont="1" applyAlignment="1">
      <alignment horizontal="center" vertical="top"/>
    </xf>
    <xf numFmtId="0" fontId="87" fillId="0" borderId="14" xfId="0" applyFont="1" applyBorder="1" applyAlignment="1">
      <alignment vertical="top"/>
    </xf>
    <xf numFmtId="0" fontId="87" fillId="0" borderId="0" xfId="1" applyNumberFormat="1" applyFont="1" applyFill="1" applyBorder="1" applyAlignment="1">
      <alignment horizontal="right" vertical="top"/>
    </xf>
    <xf numFmtId="172" fontId="32" fillId="0" borderId="0" xfId="1" applyNumberFormat="1" applyFont="1" applyFill="1" applyBorder="1" applyAlignment="1">
      <alignment horizontal="center" vertical="top" wrapText="1"/>
    </xf>
    <xf numFmtId="0" fontId="89" fillId="0" borderId="0" xfId="0" applyFont="1" applyAlignment="1">
      <alignment horizontal="right" vertical="top"/>
    </xf>
    <xf numFmtId="0" fontId="32" fillId="0" borderId="23" xfId="0" applyFont="1" applyBorder="1" applyAlignment="1">
      <alignment vertical="top"/>
    </xf>
    <xf numFmtId="0" fontId="94" fillId="0" borderId="0" xfId="0" applyFont="1" applyAlignment="1">
      <alignment vertical="top"/>
    </xf>
    <xf numFmtId="168" fontId="32" fillId="0" borderId="0" xfId="0" applyNumberFormat="1" applyFont="1" applyAlignment="1">
      <alignment vertical="top"/>
    </xf>
    <xf numFmtId="0" fontId="37" fillId="0" borderId="0" xfId="1" applyNumberFormat="1" applyFont="1" applyFill="1" applyBorder="1" applyAlignment="1">
      <alignment horizontal="right" vertical="top"/>
    </xf>
    <xf numFmtId="171" fontId="32" fillId="0" borderId="16" xfId="4" applyNumberFormat="1" applyFont="1" applyBorder="1" applyAlignment="1">
      <alignment horizontal="right" vertical="top"/>
    </xf>
    <xf numFmtId="0" fontId="94" fillId="0" borderId="0" xfId="0" applyFont="1" applyAlignment="1">
      <alignment horizontal="left" vertical="top"/>
    </xf>
    <xf numFmtId="0" fontId="89" fillId="0" borderId="0" xfId="0" applyFont="1" applyAlignment="1">
      <alignment horizontal="center" vertical="top" wrapText="1"/>
    </xf>
    <xf numFmtId="172" fontId="89" fillId="0" borderId="0" xfId="1" applyNumberFormat="1" applyFont="1" applyBorder="1" applyAlignment="1">
      <alignment horizontal="right"/>
    </xf>
    <xf numFmtId="172" fontId="89" fillId="0" borderId="0" xfId="1" applyNumberFormat="1" applyFont="1" applyBorder="1" applyAlignment="1">
      <alignment horizontal="center"/>
    </xf>
    <xf numFmtId="172" fontId="32" fillId="0" borderId="0" xfId="1" applyNumberFormat="1" applyFont="1" applyFill="1" applyBorder="1" applyAlignment="1">
      <alignment horizontal="right"/>
    </xf>
    <xf numFmtId="172" fontId="32" fillId="0" borderId="0" xfId="1" applyNumberFormat="1" applyFont="1" applyFill="1" applyBorder="1" applyAlignment="1">
      <alignment horizontal="center"/>
    </xf>
    <xf numFmtId="172" fontId="32" fillId="0" borderId="0" xfId="1" applyNumberFormat="1" applyFont="1" applyFill="1" applyBorder="1"/>
    <xf numFmtId="172" fontId="89" fillId="0" borderId="13" xfId="1" applyNumberFormat="1" applyFont="1" applyBorder="1"/>
    <xf numFmtId="0" fontId="89" fillId="0" borderId="0" xfId="0" applyFont="1" applyAlignment="1">
      <alignment horizontal="left"/>
    </xf>
    <xf numFmtId="0" fontId="37" fillId="0" borderId="0" xfId="0" applyFont="1" applyAlignment="1">
      <alignment vertical="top" wrapText="1"/>
    </xf>
    <xf numFmtId="172" fontId="93" fillId="0" borderId="0" xfId="1" applyNumberFormat="1" applyFont="1" applyFill="1" applyBorder="1" applyAlignment="1">
      <alignment horizontal="right" vertical="top" wrapText="1"/>
    </xf>
    <xf numFmtId="172" fontId="94" fillId="0" borderId="0" xfId="1" applyNumberFormat="1" applyFont="1" applyFill="1" applyBorder="1" applyAlignment="1">
      <alignment horizontal="right" vertical="top" wrapText="1"/>
    </xf>
    <xf numFmtId="10" fontId="93" fillId="0" borderId="0" xfId="0" applyNumberFormat="1" applyFont="1" applyAlignment="1">
      <alignment vertical="top" wrapText="1"/>
    </xf>
    <xf numFmtId="10" fontId="94" fillId="0" borderId="0" xfId="0" applyNumberFormat="1" applyFont="1" applyAlignment="1">
      <alignment vertical="top" wrapText="1"/>
    </xf>
    <xf numFmtId="168" fontId="37" fillId="0" borderId="0" xfId="0" applyNumberFormat="1" applyFont="1" applyAlignment="1">
      <alignment vertical="top" wrapText="1"/>
    </xf>
    <xf numFmtId="172" fontId="94" fillId="0" borderId="0" xfId="1" applyNumberFormat="1" applyFont="1" applyFill="1" applyBorder="1" applyAlignment="1">
      <alignment vertical="top" wrapText="1"/>
    </xf>
    <xf numFmtId="172" fontId="93" fillId="0" borderId="0" xfId="1" applyNumberFormat="1" applyFont="1" applyFill="1" applyBorder="1" applyAlignment="1">
      <alignment vertical="top" wrapText="1"/>
    </xf>
    <xf numFmtId="0" fontId="87" fillId="0" borderId="0" xfId="0" applyFont="1" applyAlignment="1">
      <alignment vertical="top" wrapText="1"/>
    </xf>
    <xf numFmtId="0" fontId="97" fillId="0" borderId="0" xfId="0" applyFont="1" applyAlignment="1">
      <alignment horizontal="left" vertical="top"/>
    </xf>
    <xf numFmtId="0" fontId="89" fillId="0" borderId="14" xfId="0" applyFont="1" applyBorder="1" applyAlignment="1">
      <alignment horizontal="left" vertical="top"/>
    </xf>
    <xf numFmtId="168" fontId="89" fillId="0" borderId="0" xfId="1" applyFont="1" applyFill="1" applyBorder="1" applyAlignment="1">
      <alignment vertical="top"/>
    </xf>
    <xf numFmtId="0" fontId="37" fillId="0" borderId="0" xfId="0" applyFont="1" applyAlignment="1">
      <alignment horizontal="right" vertical="top"/>
    </xf>
    <xf numFmtId="172" fontId="37" fillId="0" borderId="0" xfId="1" applyNumberFormat="1" applyFont="1" applyFill="1" applyBorder="1" applyAlignment="1">
      <alignment horizontal="right" vertical="top"/>
    </xf>
    <xf numFmtId="0" fontId="92" fillId="0" borderId="0" xfId="0" applyFont="1" applyAlignment="1">
      <alignment horizontal="left" vertical="top"/>
    </xf>
    <xf numFmtId="15" fontId="37" fillId="0" borderId="0" xfId="0" applyNumberFormat="1" applyFont="1" applyAlignment="1">
      <alignment horizontal="right" vertical="top" wrapText="1"/>
    </xf>
    <xf numFmtId="15" fontId="87" fillId="0" borderId="0" xfId="0" applyNumberFormat="1" applyFont="1" applyAlignment="1">
      <alignment horizontal="right" vertical="top" wrapText="1"/>
    </xf>
    <xf numFmtId="172" fontId="37" fillId="0" borderId="0" xfId="1" applyNumberFormat="1" applyFont="1" applyFill="1" applyBorder="1" applyAlignment="1">
      <alignment horizontal="right" vertical="top" wrapText="1"/>
    </xf>
    <xf numFmtId="10" fontId="37" fillId="0" borderId="0" xfId="3" applyNumberFormat="1" applyFont="1" applyFill="1" applyBorder="1" applyAlignment="1">
      <alignment horizontal="right" vertical="top" wrapText="1"/>
    </xf>
    <xf numFmtId="172" fontId="37" fillId="0" borderId="0" xfId="1" applyNumberFormat="1" applyFont="1" applyFill="1" applyBorder="1" applyAlignment="1">
      <alignment vertical="top" wrapText="1"/>
    </xf>
    <xf numFmtId="0" fontId="96" fillId="0" borderId="0" xfId="0" applyFont="1" applyAlignment="1">
      <alignment vertical="top"/>
    </xf>
    <xf numFmtId="172" fontId="89" fillId="0" borderId="0" xfId="0" applyNumberFormat="1" applyFont="1" applyAlignment="1">
      <alignment horizontal="center" vertical="top"/>
    </xf>
    <xf numFmtId="0" fontId="98" fillId="0" borderId="0" xfId="0" applyFont="1" applyAlignment="1">
      <alignment horizontal="right" vertical="center"/>
    </xf>
    <xf numFmtId="0" fontId="98" fillId="0" borderId="0" xfId="0" applyFont="1" applyAlignment="1">
      <alignment horizontal="right" vertical="center" wrapText="1"/>
    </xf>
    <xf numFmtId="0" fontId="32" fillId="0" borderId="0" xfId="0" applyFont="1" applyAlignment="1">
      <alignment horizontal="right" vertical="top"/>
    </xf>
    <xf numFmtId="172" fontId="32" fillId="0" borderId="0" xfId="0" applyNumberFormat="1" applyFont="1" applyAlignment="1">
      <alignment horizontal="center" vertical="top"/>
    </xf>
    <xf numFmtId="10" fontId="32" fillId="0" borderId="0" xfId="3" applyNumberFormat="1" applyFont="1" applyFill="1" applyBorder="1" applyAlignment="1">
      <alignment horizontal="right" vertical="top"/>
    </xf>
    <xf numFmtId="0" fontId="32" fillId="0" borderId="0" xfId="0" applyFont="1" applyAlignment="1">
      <alignment horizontal="center" vertical="top" wrapText="1"/>
    </xf>
    <xf numFmtId="0" fontId="87" fillId="0" borderId="0" xfId="0" applyFont="1" applyAlignment="1">
      <alignment horizontal="center" vertical="top" wrapText="1"/>
    </xf>
    <xf numFmtId="172" fontId="87" fillId="0" borderId="0" xfId="0" applyNumberFormat="1" applyFont="1" applyAlignment="1">
      <alignment horizontal="center" vertical="top" wrapText="1"/>
    </xf>
    <xf numFmtId="0" fontId="32" fillId="0" borderId="0" xfId="0" applyFont="1" applyAlignment="1">
      <alignment horizontal="left" vertical="top" indent="1"/>
    </xf>
    <xf numFmtId="0" fontId="91" fillId="0" borderId="0" xfId="0" applyFont="1" applyAlignment="1">
      <alignment horizontal="left" vertical="top"/>
    </xf>
    <xf numFmtId="0" fontId="32" fillId="0" borderId="17" xfId="0" applyFont="1" applyBorder="1" applyAlignment="1">
      <alignment horizontal="center" vertical="top" wrapText="1"/>
    </xf>
    <xf numFmtId="0" fontId="32" fillId="0" borderId="0" xfId="0" applyFont="1" applyAlignment="1">
      <alignment horizontal="right" vertical="top" wrapText="1"/>
    </xf>
    <xf numFmtId="0" fontId="32" fillId="0" borderId="18" xfId="0" applyFont="1" applyBorder="1" applyAlignment="1">
      <alignment horizontal="right" vertical="top" wrapText="1"/>
    </xf>
    <xf numFmtId="0" fontId="88" fillId="0" borderId="17" xfId="0" applyFont="1" applyBorder="1" applyAlignment="1">
      <alignment vertical="top"/>
    </xf>
    <xf numFmtId="0" fontId="88" fillId="0" borderId="0" xfId="0" applyFont="1" applyAlignment="1">
      <alignment vertical="top"/>
    </xf>
    <xf numFmtId="167" fontId="99" fillId="0" borderId="0" xfId="0" applyNumberFormat="1" applyFont="1" applyAlignment="1">
      <alignment vertical="top"/>
    </xf>
    <xf numFmtId="168" fontId="32" fillId="0" borderId="0" xfId="1" applyFont="1" applyFill="1" applyBorder="1"/>
    <xf numFmtId="168" fontId="32" fillId="0" borderId="0" xfId="1" applyFont="1" applyFill="1" applyBorder="1" applyAlignment="1">
      <alignment horizontal="right"/>
    </xf>
    <xf numFmtId="172" fontId="32" fillId="0" borderId="0" xfId="1" applyNumberFormat="1" applyFont="1" applyFill="1" applyBorder="1" applyAlignment="1"/>
    <xf numFmtId="0" fontId="32" fillId="0" borderId="0" xfId="0" applyFont="1" applyAlignment="1">
      <alignment vertical="center"/>
    </xf>
    <xf numFmtId="0" fontId="32" fillId="0" borderId="0" xfId="0" applyFont="1" applyAlignment="1">
      <alignment horizontal="justify" vertical="center"/>
    </xf>
    <xf numFmtId="0" fontId="93" fillId="0" borderId="0" xfId="0" applyFont="1" applyAlignment="1">
      <alignment horizontal="left" vertical="top"/>
    </xf>
    <xf numFmtId="0" fontId="87" fillId="0" borderId="0" xfId="0" applyFont="1"/>
    <xf numFmtId="0" fontId="37" fillId="0" borderId="0" xfId="0" applyFont="1"/>
    <xf numFmtId="0" fontId="32" fillId="0" borderId="14" xfId="0" applyFont="1" applyBorder="1"/>
    <xf numFmtId="175" fontId="89" fillId="0" borderId="0" xfId="0" applyNumberFormat="1" applyFont="1" applyAlignment="1">
      <alignment horizontal="center" vertical="top" wrapText="1"/>
    </xf>
    <xf numFmtId="172" fontId="32" fillId="0" borderId="0" xfId="1" applyNumberFormat="1" applyFont="1" applyBorder="1" applyAlignment="1">
      <alignment horizontal="justify" vertical="top" wrapText="1"/>
    </xf>
    <xf numFmtId="172" fontId="32" fillId="0" borderId="0" xfId="1" applyNumberFormat="1" applyFont="1" applyFill="1" applyBorder="1" applyAlignment="1">
      <alignment horizontal="justify" vertical="top" wrapText="1"/>
    </xf>
    <xf numFmtId="0" fontId="32" fillId="0" borderId="14" xfId="0" applyFont="1" applyBorder="1" applyAlignment="1">
      <alignment horizontal="justify" vertical="top" wrapText="1"/>
    </xf>
    <xf numFmtId="172" fontId="89" fillId="0" borderId="0" xfId="1" applyNumberFormat="1" applyFont="1" applyFill="1" applyBorder="1" applyAlignment="1">
      <alignment horizontal="justify" vertical="top" wrapText="1"/>
    </xf>
    <xf numFmtId="0" fontId="90" fillId="0" borderId="0" xfId="4" applyFont="1" applyAlignment="1">
      <alignment horizontal="left" vertical="top" wrapText="1"/>
    </xf>
    <xf numFmtId="0" fontId="32" fillId="0" borderId="0" xfId="4" applyFont="1" applyAlignment="1" applyProtection="1">
      <alignment horizontal="left" vertical="center"/>
      <protection locked="0"/>
    </xf>
    <xf numFmtId="173" fontId="32" fillId="0" borderId="0" xfId="4" applyNumberFormat="1" applyFont="1" applyAlignment="1" applyProtection="1">
      <alignment horizontal="left" vertical="top"/>
      <protection locked="0"/>
    </xf>
    <xf numFmtId="15" fontId="93" fillId="0" borderId="0" xfId="0" applyNumberFormat="1" applyFont="1" applyAlignment="1">
      <alignment horizontal="right" vertical="top" wrapText="1"/>
    </xf>
    <xf numFmtId="15" fontId="94" fillId="0" borderId="0" xfId="0" applyNumberFormat="1" applyFont="1" applyAlignment="1">
      <alignment horizontal="right" vertical="top" wrapText="1"/>
    </xf>
    <xf numFmtId="167" fontId="89" fillId="0" borderId="11" xfId="1" applyNumberFormat="1" applyFont="1" applyFill="1" applyBorder="1" applyAlignment="1">
      <alignment horizontal="right" vertical="top"/>
    </xf>
    <xf numFmtId="172" fontId="89" fillId="0" borderId="11" xfId="1" applyNumberFormat="1" applyFont="1" applyFill="1" applyBorder="1" applyAlignment="1">
      <alignment vertical="top"/>
    </xf>
    <xf numFmtId="172" fontId="37" fillId="0" borderId="0" xfId="1" applyNumberFormat="1" applyFont="1" applyFill="1" applyBorder="1" applyAlignment="1">
      <alignment horizontal="center" vertical="top"/>
    </xf>
    <xf numFmtId="172" fontId="87" fillId="0" borderId="0" xfId="1" applyNumberFormat="1" applyFont="1" applyFill="1" applyBorder="1" applyAlignment="1">
      <alignment horizontal="center" vertical="top"/>
    </xf>
    <xf numFmtId="0" fontId="89" fillId="0" borderId="14" xfId="0" applyFont="1" applyBorder="1" applyAlignment="1">
      <alignment horizontal="center" vertical="top" wrapText="1"/>
    </xf>
    <xf numFmtId="0" fontId="32" fillId="0" borderId="0" xfId="0" applyFont="1" applyAlignment="1">
      <alignment horizontal="left" vertical="top" wrapText="1"/>
    </xf>
    <xf numFmtId="171" fontId="89" fillId="0" borderId="0" xfId="4" applyNumberFormat="1" applyFont="1" applyAlignment="1">
      <alignment horizontal="center" vertical="top"/>
    </xf>
    <xf numFmtId="0" fontId="87" fillId="0" borderId="0" xfId="0" applyFont="1" applyAlignment="1">
      <alignment horizontal="right" vertical="top"/>
    </xf>
    <xf numFmtId="0" fontId="89" fillId="0" borderId="12" xfId="0" applyFont="1" applyBorder="1" applyAlignment="1">
      <alignment horizontal="left" vertical="top"/>
    </xf>
    <xf numFmtId="0" fontId="31" fillId="0" borderId="0" xfId="0" applyFont="1" applyAlignment="1">
      <alignment horizontal="justify" vertical="top" wrapText="1"/>
    </xf>
    <xf numFmtId="0" fontId="31" fillId="0" borderId="0" xfId="0" quotePrefix="1" applyFont="1" applyAlignment="1">
      <alignment horizontal="justify" vertical="top" wrapText="1"/>
    </xf>
    <xf numFmtId="0" fontId="31" fillId="0" borderId="0" xfId="0" applyFont="1" applyAlignment="1">
      <alignment horizontal="justify" vertical="top"/>
    </xf>
    <xf numFmtId="0" fontId="37" fillId="0" borderId="0" xfId="20" applyFont="1" applyAlignment="1">
      <alignment horizontal="right" vertical="top" wrapText="1"/>
    </xf>
    <xf numFmtId="0" fontId="31" fillId="0" borderId="0" xfId="0" quotePrefix="1" applyFont="1" applyAlignment="1">
      <alignment vertical="top"/>
    </xf>
    <xf numFmtId="0" fontId="87" fillId="0" borderId="0" xfId="20" applyFont="1" applyAlignment="1">
      <alignment horizontal="right" vertical="top" wrapText="1"/>
    </xf>
    <xf numFmtId="0" fontId="31" fillId="0" borderId="0" xfId="0" applyFont="1" applyAlignment="1">
      <alignment vertical="top"/>
    </xf>
    <xf numFmtId="181" fontId="89" fillId="0" borderId="0" xfId="0" quotePrefix="1" applyNumberFormat="1" applyFont="1" applyAlignment="1">
      <alignment horizontal="left" vertical="top"/>
    </xf>
    <xf numFmtId="0" fontId="30" fillId="0" borderId="0" xfId="4" applyFont="1" applyAlignment="1">
      <alignment horizontal="left" vertical="top"/>
    </xf>
    <xf numFmtId="172" fontId="30" fillId="0" borderId="0" xfId="1" applyNumberFormat="1" applyFont="1" applyFill="1" applyBorder="1" applyAlignment="1">
      <alignment vertical="top"/>
    </xf>
    <xf numFmtId="172" fontId="30" fillId="0" borderId="0" xfId="1" applyNumberFormat="1" applyFont="1" applyFill="1" applyBorder="1" applyAlignment="1">
      <alignment horizontal="center" vertical="top"/>
    </xf>
    <xf numFmtId="0" fontId="90" fillId="0" borderId="14" xfId="4" applyFont="1" applyBorder="1" applyAlignment="1">
      <alignment horizontal="center" vertical="top"/>
    </xf>
    <xf numFmtId="0" fontId="30" fillId="0" borderId="0" xfId="4" applyFont="1" applyAlignment="1">
      <alignment vertical="top"/>
    </xf>
    <xf numFmtId="0" fontId="30" fillId="0" borderId="0" xfId="4" applyFont="1" applyAlignment="1">
      <alignment horizontal="right" vertical="top"/>
    </xf>
    <xf numFmtId="0" fontId="30" fillId="0" borderId="0" xfId="0" applyFont="1"/>
    <xf numFmtId="169" fontId="30" fillId="0" borderId="0" xfId="4" applyNumberFormat="1" applyFont="1" applyAlignment="1">
      <alignment vertical="top"/>
    </xf>
    <xf numFmtId="0" fontId="30" fillId="0" borderId="14" xfId="4" applyFont="1" applyBorder="1" applyAlignment="1">
      <alignment horizontal="center" vertical="top"/>
    </xf>
    <xf numFmtId="0" fontId="30" fillId="0" borderId="0" xfId="4" applyFont="1" applyAlignment="1">
      <alignment horizontal="center" vertical="top"/>
    </xf>
    <xf numFmtId="171" fontId="30" fillId="0" borderId="0" xfId="4" applyNumberFormat="1" applyFont="1" applyAlignment="1">
      <alignment horizontal="right" vertical="top"/>
    </xf>
    <xf numFmtId="167" fontId="30" fillId="0" borderId="0" xfId="1" applyNumberFormat="1" applyFont="1" applyFill="1" applyBorder="1" applyAlignment="1">
      <alignment horizontal="right" vertical="top"/>
    </xf>
    <xf numFmtId="167" fontId="30" fillId="0" borderId="0" xfId="1" applyNumberFormat="1" applyFont="1" applyFill="1" applyBorder="1" applyAlignment="1" applyProtection="1">
      <alignment horizontal="right" vertical="top"/>
    </xf>
    <xf numFmtId="172" fontId="30" fillId="0" borderId="0" xfId="1" applyNumberFormat="1" applyFont="1" applyFill="1" applyBorder="1" applyAlignment="1">
      <alignment horizontal="right" vertical="top"/>
    </xf>
    <xf numFmtId="0" fontId="30" fillId="0" borderId="0" xfId="4" applyFont="1" applyAlignment="1">
      <alignment horizontal="left" vertical="top" indent="1"/>
    </xf>
    <xf numFmtId="172" fontId="30" fillId="0" borderId="0" xfId="4" applyNumberFormat="1" applyFont="1" applyAlignment="1">
      <alignment vertical="top"/>
    </xf>
    <xf numFmtId="172" fontId="30" fillId="0" borderId="0" xfId="0" applyNumberFormat="1" applyFont="1"/>
    <xf numFmtId="167" fontId="30" fillId="0" borderId="0" xfId="4" applyNumberFormat="1" applyFont="1" applyAlignment="1">
      <alignment vertical="top"/>
    </xf>
    <xf numFmtId="168" fontId="30" fillId="0" borderId="0" xfId="4" applyNumberFormat="1" applyFont="1" applyAlignment="1">
      <alignment vertical="top"/>
    </xf>
    <xf numFmtId="0" fontId="30" fillId="0" borderId="0" xfId="4" quotePrefix="1" applyFont="1" applyAlignment="1">
      <alignment horizontal="left" vertical="top" indent="1"/>
    </xf>
    <xf numFmtId="0" fontId="30" fillId="0" borderId="0" xfId="4" quotePrefix="1" applyFont="1" applyAlignment="1">
      <alignment horizontal="left" vertical="top"/>
    </xf>
    <xf numFmtId="167" fontId="30" fillId="8" borderId="0" xfId="1" applyNumberFormat="1" applyFont="1" applyFill="1" applyBorder="1" applyAlignment="1" applyProtection="1">
      <alignment horizontal="right" vertical="top"/>
    </xf>
    <xf numFmtId="167" fontId="30" fillId="0" borderId="0" xfId="4" applyNumberFormat="1" applyFont="1" applyAlignment="1">
      <alignment horizontal="right" vertical="top"/>
    </xf>
    <xf numFmtId="168" fontId="30" fillId="0" borderId="0" xfId="1" applyFont="1" applyFill="1" applyBorder="1" applyAlignment="1">
      <alignment horizontal="right" vertical="top"/>
    </xf>
    <xf numFmtId="167" fontId="30" fillId="7" borderId="0" xfId="4" applyNumberFormat="1" applyFont="1" applyFill="1" applyAlignment="1">
      <alignment horizontal="right" vertical="top"/>
    </xf>
    <xf numFmtId="167" fontId="30" fillId="0" borderId="14" xfId="1" applyNumberFormat="1" applyFont="1" applyFill="1" applyBorder="1" applyAlignment="1">
      <alignment horizontal="right" vertical="top"/>
    </xf>
    <xf numFmtId="0" fontId="30" fillId="7" borderId="0" xfId="19" applyFont="1" applyFill="1" applyAlignment="1">
      <alignment horizontal="left" vertical="top"/>
    </xf>
    <xf numFmtId="0" fontId="30" fillId="7" borderId="0" xfId="19" applyFont="1" applyFill="1"/>
    <xf numFmtId="10" fontId="30" fillId="0" borderId="0" xfId="3" applyNumberFormat="1" applyFont="1" applyFill="1" applyAlignment="1">
      <alignment vertical="top"/>
    </xf>
    <xf numFmtId="172" fontId="30" fillId="0" borderId="11" xfId="1" applyNumberFormat="1" applyFont="1" applyFill="1" applyBorder="1" applyAlignment="1">
      <alignment vertical="top"/>
    </xf>
    <xf numFmtId="0" fontId="30" fillId="0" borderId="14" xfId="4" applyFont="1" applyBorder="1" applyAlignment="1">
      <alignment vertical="top"/>
    </xf>
    <xf numFmtId="167" fontId="30" fillId="0" borderId="14" xfId="1" applyNumberFormat="1" applyFont="1" applyFill="1" applyBorder="1" applyAlignment="1">
      <alignment vertical="top"/>
    </xf>
    <xf numFmtId="0" fontId="30" fillId="0" borderId="0" xfId="0" applyFont="1" applyAlignment="1">
      <alignment vertical="top"/>
    </xf>
    <xf numFmtId="0" fontId="30" fillId="0" borderId="0" xfId="0" applyFont="1" applyAlignment="1">
      <alignment horizontal="justify" vertical="top"/>
    </xf>
    <xf numFmtId="0" fontId="89" fillId="0" borderId="11" xfId="0" applyFont="1" applyBorder="1" applyAlignment="1">
      <alignment horizontal="center"/>
    </xf>
    <xf numFmtId="0" fontId="89" fillId="0" borderId="11" xfId="0" applyFont="1" applyBorder="1" applyAlignment="1">
      <alignment horizontal="center" wrapText="1"/>
    </xf>
    <xf numFmtId="0" fontId="89" fillId="0" borderId="11" xfId="0" applyFont="1" applyBorder="1" applyAlignment="1">
      <alignment horizontal="center" vertical="top" wrapText="1"/>
    </xf>
    <xf numFmtId="0" fontId="89" fillId="0" borderId="12" xfId="0" applyFont="1" applyBorder="1"/>
    <xf numFmtId="172" fontId="93" fillId="0" borderId="12" xfId="1" applyNumberFormat="1" applyFont="1" applyBorder="1"/>
    <xf numFmtId="172" fontId="89" fillId="0" borderId="12" xfId="1" applyNumberFormat="1" applyFont="1" applyBorder="1"/>
    <xf numFmtId="0" fontId="89" fillId="0" borderId="13" xfId="0" applyFont="1" applyBorder="1"/>
    <xf numFmtId="172" fontId="93" fillId="0" borderId="13" xfId="1" applyNumberFormat="1" applyFont="1" applyBorder="1"/>
    <xf numFmtId="0" fontId="89" fillId="0" borderId="11" xfId="0" applyFont="1" applyBorder="1" applyAlignment="1">
      <alignment horizontal="left"/>
    </xf>
    <xf numFmtId="0" fontId="89" fillId="0" borderId="12" xfId="0" applyFont="1" applyBorder="1" applyAlignment="1">
      <alignment horizontal="right" vertical="top"/>
    </xf>
    <xf numFmtId="0" fontId="89" fillId="0" borderId="11" xfId="0" applyFont="1" applyBorder="1" applyAlignment="1">
      <alignment horizontal="right" vertical="top" wrapText="1"/>
    </xf>
    <xf numFmtId="168" fontId="32" fillId="0" borderId="11" xfId="1" applyFont="1" applyFill="1" applyBorder="1" applyAlignment="1">
      <alignment vertical="top"/>
    </xf>
    <xf numFmtId="0" fontId="87" fillId="0" borderId="0" xfId="0" applyFont="1" applyAlignment="1">
      <alignment horizontal="left"/>
    </xf>
    <xf numFmtId="172" fontId="87" fillId="0" borderId="11" xfId="0" applyNumberFormat="1" applyFont="1" applyBorder="1" applyAlignment="1">
      <alignment horizontal="left" vertical="top"/>
    </xf>
    <xf numFmtId="0" fontId="32" fillId="0" borderId="11" xfId="0" applyFont="1" applyBorder="1" applyAlignment="1">
      <alignment vertical="top"/>
    </xf>
    <xf numFmtId="167" fontId="89" fillId="0" borderId="11" xfId="0" applyNumberFormat="1" applyFont="1" applyBorder="1" applyAlignment="1">
      <alignment vertical="top"/>
    </xf>
    <xf numFmtId="168" fontId="32" fillId="0" borderId="0" xfId="1" applyFont="1" applyFill="1" applyAlignment="1">
      <alignment horizontal="center" vertical="top"/>
    </xf>
    <xf numFmtId="172" fontId="32" fillId="0" borderId="0" xfId="1" applyNumberFormat="1" applyFont="1" applyFill="1" applyBorder="1" applyAlignment="1">
      <alignment vertical="top" wrapText="1"/>
    </xf>
    <xf numFmtId="0" fontId="30" fillId="0" borderId="0" xfId="0" applyFont="1" applyAlignment="1">
      <alignment horizontal="left" vertical="top"/>
    </xf>
    <xf numFmtId="0" fontId="29" fillId="0" borderId="0" xfId="0" applyFont="1" applyAlignment="1">
      <alignment horizontal="left" vertical="top"/>
    </xf>
    <xf numFmtId="0" fontId="96" fillId="0" borderId="0" xfId="0" applyFont="1"/>
    <xf numFmtId="168" fontId="43" fillId="0" borderId="0" xfId="1" applyFont="1" applyFill="1" applyAlignment="1">
      <alignment vertical="top"/>
    </xf>
    <xf numFmtId="167" fontId="28" fillId="0" borderId="0" xfId="0" applyNumberFormat="1" applyFont="1" applyAlignment="1">
      <alignment vertical="top"/>
    </xf>
    <xf numFmtId="172" fontId="28" fillId="0" borderId="0" xfId="1" applyNumberFormat="1" applyFont="1" applyFill="1" applyBorder="1" applyAlignment="1">
      <alignment vertical="top"/>
    </xf>
    <xf numFmtId="0" fontId="87" fillId="0" borderId="14" xfId="0" applyFont="1" applyBorder="1" applyAlignment="1">
      <alignment horizontal="right" vertical="top"/>
    </xf>
    <xf numFmtId="0" fontId="89" fillId="0" borderId="11" xfId="4" quotePrefix="1" applyFont="1" applyBorder="1" applyAlignment="1">
      <alignment horizontal="left" vertical="top"/>
    </xf>
    <xf numFmtId="172" fontId="37" fillId="0" borderId="11" xfId="1" applyNumberFormat="1" applyFont="1" applyFill="1" applyBorder="1" applyAlignment="1">
      <alignment vertical="top"/>
    </xf>
    <xf numFmtId="172" fontId="87" fillId="0" borderId="11" xfId="1" applyNumberFormat="1" applyFont="1" applyFill="1" applyBorder="1" applyAlignment="1">
      <alignment horizontal="center" vertical="top"/>
    </xf>
    <xf numFmtId="0" fontId="32" fillId="0" borderId="11" xfId="0" applyFont="1" applyBorder="1"/>
    <xf numFmtId="0" fontId="32" fillId="0" borderId="11" xfId="4" applyFont="1" applyBorder="1" applyAlignment="1">
      <alignment horizontal="left" vertical="top"/>
    </xf>
    <xf numFmtId="0" fontId="28" fillId="0" borderId="0" xfId="0" applyFont="1" applyAlignment="1">
      <alignment horizontal="left" vertical="top"/>
    </xf>
    <xf numFmtId="0" fontId="37" fillId="0" borderId="0" xfId="1" applyNumberFormat="1" applyFont="1" applyFill="1" applyBorder="1" applyAlignment="1">
      <alignment horizontal="center" vertical="top"/>
    </xf>
    <xf numFmtId="0" fontId="37" fillId="0" borderId="14" xfId="0" applyFont="1" applyBorder="1" applyAlignment="1">
      <alignment horizontal="center" vertical="top"/>
    </xf>
    <xf numFmtId="0" fontId="87" fillId="0" borderId="14" xfId="0" applyFont="1" applyBorder="1" applyAlignment="1">
      <alignment horizontal="right" vertical="top" wrapText="1"/>
    </xf>
    <xf numFmtId="0" fontId="89" fillId="0" borderId="14" xfId="0" applyFont="1" applyBorder="1" applyAlignment="1">
      <alignment horizontal="right" vertical="top" wrapText="1"/>
    </xf>
    <xf numFmtId="0" fontId="87" fillId="0" borderId="11" xfId="0" applyFont="1" applyBorder="1" applyAlignment="1">
      <alignment vertical="top"/>
    </xf>
    <xf numFmtId="167" fontId="87" fillId="0" borderId="11" xfId="0" applyNumberFormat="1" applyFont="1" applyBorder="1" applyAlignment="1">
      <alignment vertical="top"/>
    </xf>
    <xf numFmtId="0" fontId="37" fillId="0" borderId="11" xfId="0" applyFont="1" applyBorder="1" applyAlignment="1">
      <alignment vertical="top"/>
    </xf>
    <xf numFmtId="172" fontId="87" fillId="0" borderId="11" xfId="1" applyNumberFormat="1" applyFont="1" applyFill="1" applyBorder="1" applyAlignment="1">
      <alignment vertical="top"/>
    </xf>
    <xf numFmtId="0" fontId="37" fillId="0" borderId="0" xfId="0" applyFont="1" applyAlignment="1">
      <alignment horizontal="justify" vertical="top" wrapText="1"/>
    </xf>
    <xf numFmtId="0" fontId="32" fillId="0" borderId="0" xfId="0" applyFont="1" applyAlignment="1">
      <alignment horizontal="justify" vertical="justify" wrapText="1"/>
    </xf>
    <xf numFmtId="0" fontId="32" fillId="0" borderId="14" xfId="0" applyFont="1" applyBorder="1" applyAlignment="1">
      <alignment horizontal="left" vertical="top"/>
    </xf>
    <xf numFmtId="168" fontId="89" fillId="0" borderId="14" xfId="1" applyFont="1" applyFill="1" applyBorder="1" applyAlignment="1">
      <alignment horizontal="center" vertical="center"/>
    </xf>
    <xf numFmtId="0" fontId="27" fillId="0" borderId="0" xfId="0" applyFont="1" applyAlignment="1">
      <alignment vertical="top"/>
    </xf>
    <xf numFmtId="0" fontId="53" fillId="0" borderId="26" xfId="8" applyFont="1" applyBorder="1" applyAlignment="1">
      <alignment vertical="center"/>
    </xf>
    <xf numFmtId="0" fontId="26" fillId="0" borderId="0" xfId="0" applyFont="1" applyAlignment="1">
      <alignment horizontal="left" vertical="top"/>
    </xf>
    <xf numFmtId="0" fontId="32" fillId="0" borderId="0" xfId="0" quotePrefix="1" applyFont="1" applyAlignment="1">
      <alignment horizontal="left"/>
    </xf>
    <xf numFmtId="168" fontId="32" fillId="0" borderId="0" xfId="1" applyFont="1" applyFill="1" applyBorder="1" applyAlignment="1">
      <alignment vertical="top" wrapText="1"/>
    </xf>
    <xf numFmtId="0" fontId="96" fillId="0" borderId="0" xfId="0" applyFont="1" applyAlignment="1">
      <alignment horizontal="justify" vertical="top" wrapText="1"/>
    </xf>
    <xf numFmtId="172" fontId="32" fillId="0" borderId="0" xfId="1" applyNumberFormat="1" applyFont="1" applyFill="1" applyBorder="1" applyAlignment="1">
      <alignment horizontal="center" vertical="top"/>
    </xf>
    <xf numFmtId="0" fontId="37" fillId="0" borderId="14" xfId="0" applyFont="1" applyBorder="1" applyAlignment="1">
      <alignment vertical="top" wrapText="1"/>
    </xf>
    <xf numFmtId="15" fontId="93" fillId="0" borderId="14" xfId="0" applyNumberFormat="1" applyFont="1" applyBorder="1" applyAlignment="1">
      <alignment horizontal="right" vertical="top" wrapText="1"/>
    </xf>
    <xf numFmtId="15" fontId="94" fillId="0" borderId="14" xfId="0" applyNumberFormat="1" applyFont="1" applyBorder="1" applyAlignment="1">
      <alignment horizontal="right" vertical="top" wrapText="1"/>
    </xf>
    <xf numFmtId="0" fontId="32" fillId="0" borderId="14" xfId="4" quotePrefix="1" applyFont="1" applyBorder="1" applyAlignment="1">
      <alignment horizontal="left" vertical="top"/>
    </xf>
    <xf numFmtId="172" fontId="32" fillId="0" borderId="11" xfId="0" applyNumberFormat="1" applyFont="1" applyBorder="1" applyAlignment="1">
      <alignment vertical="top"/>
    </xf>
    <xf numFmtId="0" fontId="32" fillId="0" borderId="11" xfId="0" applyFont="1" applyBorder="1" applyAlignment="1">
      <alignment horizontal="left" vertical="top"/>
    </xf>
    <xf numFmtId="172" fontId="89" fillId="0" borderId="11" xfId="1" applyNumberFormat="1" applyFont="1" applyBorder="1" applyAlignment="1">
      <alignment horizontal="center"/>
    </xf>
    <xf numFmtId="0" fontId="32" fillId="0" borderId="11" xfId="0" applyFont="1" applyBorder="1" applyAlignment="1">
      <alignment vertical="top" wrapText="1"/>
    </xf>
    <xf numFmtId="0" fontId="37" fillId="0" borderId="11" xfId="4" applyBorder="1" applyAlignment="1">
      <alignment horizontal="left" vertical="top"/>
    </xf>
    <xf numFmtId="0" fontId="32" fillId="0" borderId="11" xfId="4" quotePrefix="1" applyFont="1" applyBorder="1" applyAlignment="1">
      <alignment horizontal="left" vertical="top"/>
    </xf>
    <xf numFmtId="0" fontId="89" fillId="0" borderId="11" xfId="0" applyFont="1" applyBorder="1" applyAlignment="1">
      <alignment horizontal="left" vertical="top"/>
    </xf>
    <xf numFmtId="0" fontId="26" fillId="0" borderId="0" xfId="0" applyFont="1" applyAlignment="1">
      <alignment horizontal="justify" vertical="top" wrapText="1"/>
    </xf>
    <xf numFmtId="0" fontId="89" fillId="0" borderId="11" xfId="0" applyFont="1" applyBorder="1" applyAlignment="1">
      <alignment horizontal="justify" vertical="top" wrapText="1"/>
    </xf>
    <xf numFmtId="0" fontId="32" fillId="0" borderId="11" xfId="0" applyFont="1" applyBorder="1" applyAlignment="1">
      <alignment horizontal="justify" vertical="top" wrapText="1"/>
    </xf>
    <xf numFmtId="0" fontId="97" fillId="0" borderId="14" xfId="0" applyFont="1" applyBorder="1" applyAlignment="1">
      <alignment horizontal="left" vertical="top"/>
    </xf>
    <xf numFmtId="0" fontId="26" fillId="0" borderId="0" xfId="0" applyFont="1" applyAlignment="1">
      <alignment vertical="top"/>
    </xf>
    <xf numFmtId="168" fontId="89" fillId="0" borderId="0" xfId="1" applyFont="1" applyFill="1" applyBorder="1" applyAlignment="1">
      <alignment horizontal="center" wrapText="1"/>
    </xf>
    <xf numFmtId="168" fontId="89" fillId="0" borderId="0" xfId="1" applyFont="1" applyFill="1" applyBorder="1" applyAlignment="1">
      <alignment horizontal="center" vertical="center"/>
    </xf>
    <xf numFmtId="168" fontId="89" fillId="0" borderId="0" xfId="1" applyFont="1" applyBorder="1"/>
    <xf numFmtId="168" fontId="89" fillId="0" borderId="14" xfId="1" applyFont="1" applyFill="1" applyBorder="1" applyAlignment="1">
      <alignment horizontal="center" wrapText="1"/>
    </xf>
    <xf numFmtId="0" fontId="89" fillId="0" borderId="11" xfId="0" applyFont="1" applyBorder="1"/>
    <xf numFmtId="168" fontId="89" fillId="0" borderId="11" xfId="1" applyFont="1" applyBorder="1"/>
    <xf numFmtId="172" fontId="27" fillId="0" borderId="0" xfId="1" applyNumberFormat="1" applyFont="1" applyBorder="1"/>
    <xf numFmtId="168" fontId="89" fillId="0" borderId="0" xfId="1" applyFont="1" applyFill="1" applyBorder="1"/>
    <xf numFmtId="168" fontId="89" fillId="0" borderId="14" xfId="1" applyFont="1" applyFill="1" applyBorder="1" applyAlignment="1">
      <alignment horizontal="right"/>
    </xf>
    <xf numFmtId="168" fontId="89" fillId="0" borderId="11" xfId="0" applyNumberFormat="1" applyFont="1" applyBorder="1" applyAlignment="1">
      <alignment horizontal="right" vertical="top" wrapText="1"/>
    </xf>
    <xf numFmtId="168" fontId="89" fillId="0" borderId="11" xfId="0" applyNumberFormat="1" applyFont="1" applyBorder="1" applyAlignment="1">
      <alignment horizontal="justify" vertical="top" wrapText="1"/>
    </xf>
    <xf numFmtId="0" fontId="25" fillId="0" borderId="0" xfId="0" applyFont="1" applyAlignment="1">
      <alignment vertical="top"/>
    </xf>
    <xf numFmtId="172" fontId="25" fillId="0" borderId="0" xfId="1" applyNumberFormat="1" applyFont="1" applyFill="1" applyBorder="1" applyAlignment="1">
      <alignment vertical="top"/>
    </xf>
    <xf numFmtId="172" fontId="25" fillId="0" borderId="12" xfId="1" applyNumberFormat="1" applyFont="1" applyFill="1" applyBorder="1" applyAlignment="1">
      <alignment vertical="top"/>
    </xf>
    <xf numFmtId="0" fontId="37" fillId="7" borderId="0" xfId="19" applyFill="1"/>
    <xf numFmtId="0" fontId="24" fillId="0" borderId="0" xfId="0" applyFont="1" applyAlignment="1">
      <alignment horizontal="right" vertical="top"/>
    </xf>
    <xf numFmtId="0" fontId="24" fillId="0" borderId="0" xfId="0" applyFont="1" applyAlignment="1">
      <alignment vertical="top"/>
    </xf>
    <xf numFmtId="0" fontId="89" fillId="0" borderId="14" xfId="0" applyFont="1" applyBorder="1" applyAlignment="1">
      <alignment vertical="top" wrapText="1"/>
    </xf>
    <xf numFmtId="0" fontId="37" fillId="0" borderId="0" xfId="0" applyFont="1" applyAlignment="1">
      <alignment horizontal="center" vertical="top" wrapText="1"/>
    </xf>
    <xf numFmtId="172" fontId="87" fillId="0" borderId="0" xfId="0" applyNumberFormat="1" applyFont="1" applyAlignment="1">
      <alignment vertical="top"/>
    </xf>
    <xf numFmtId="0" fontId="37" fillId="0" borderId="0" xfId="0" applyFont="1" applyAlignment="1">
      <alignment horizontal="left" vertical="top" indent="1"/>
    </xf>
    <xf numFmtId="172" fontId="94" fillId="0" borderId="0" xfId="0" applyNumberFormat="1" applyFont="1" applyAlignment="1">
      <alignment vertical="top"/>
    </xf>
    <xf numFmtId="0" fontId="32" fillId="0" borderId="14" xfId="0" applyFont="1" applyBorder="1" applyAlignment="1">
      <alignment vertical="top" wrapText="1"/>
    </xf>
    <xf numFmtId="0" fontId="89" fillId="0" borderId="14" xfId="0" applyFont="1" applyBorder="1" applyAlignment="1">
      <alignment horizontal="left" vertical="top" wrapText="1"/>
    </xf>
    <xf numFmtId="0" fontId="23" fillId="0" borderId="0" xfId="0" applyFont="1" applyAlignment="1">
      <alignment vertical="top"/>
    </xf>
    <xf numFmtId="0" fontId="22" fillId="0" borderId="0" xfId="4" applyFont="1" applyAlignment="1">
      <alignment horizontal="center" vertical="top"/>
    </xf>
    <xf numFmtId="0" fontId="22" fillId="0" borderId="14" xfId="4" applyFont="1" applyBorder="1" applyAlignment="1">
      <alignment horizontal="center" vertical="top"/>
    </xf>
    <xf numFmtId="0" fontId="89" fillId="0" borderId="14" xfId="4" applyFont="1" applyBorder="1" applyAlignment="1">
      <alignment horizontal="center" vertical="center"/>
    </xf>
    <xf numFmtId="0" fontId="89" fillId="0" borderId="0" xfId="4" applyFont="1" applyAlignment="1">
      <alignment horizontal="center" vertical="center"/>
    </xf>
    <xf numFmtId="0" fontId="22" fillId="0" borderId="0" xfId="4" applyFont="1" applyAlignment="1">
      <alignment vertical="top"/>
    </xf>
    <xf numFmtId="0" fontId="22" fillId="0" borderId="0" xfId="4" quotePrefix="1" applyFont="1" applyAlignment="1">
      <alignment horizontal="left" vertical="top"/>
    </xf>
    <xf numFmtId="0" fontId="22" fillId="0" borderId="0" xfId="4" applyFont="1" applyAlignment="1">
      <alignment horizontal="left" vertical="top"/>
    </xf>
    <xf numFmtId="0" fontId="89" fillId="0" borderId="14" xfId="0" applyFont="1" applyBorder="1" applyAlignment="1">
      <alignment horizontal="center" vertical="top"/>
    </xf>
    <xf numFmtId="172" fontId="32" fillId="0" borderId="0" xfId="1" applyNumberFormat="1" applyFont="1"/>
    <xf numFmtId="0" fontId="21" fillId="0" borderId="0" xfId="0" applyFont="1" applyAlignment="1">
      <alignment horizontal="justify" vertical="top" wrapText="1"/>
    </xf>
    <xf numFmtId="172" fontId="21" fillId="0" borderId="0" xfId="1" applyNumberFormat="1" applyFont="1" applyFill="1" applyBorder="1" applyAlignment="1">
      <alignment horizontal="right" vertical="top"/>
    </xf>
    <xf numFmtId="167" fontId="20" fillId="0" borderId="0" xfId="0" applyNumberFormat="1" applyFont="1" applyAlignment="1">
      <alignment vertical="top"/>
    </xf>
    <xf numFmtId="172" fontId="87" fillId="0" borderId="14" xfId="0" applyNumberFormat="1" applyFont="1" applyBorder="1" applyAlignment="1">
      <alignment horizontal="center" vertical="center" wrapText="1"/>
    </xf>
    <xf numFmtId="3" fontId="87" fillId="0" borderId="14" xfId="0" applyNumberFormat="1" applyFont="1" applyBorder="1" applyAlignment="1">
      <alignment horizontal="center" vertical="center" wrapText="1"/>
    </xf>
    <xf numFmtId="172" fontId="87" fillId="0" borderId="0" xfId="23" applyNumberFormat="1" applyFont="1" applyBorder="1" applyAlignment="1">
      <alignment horizontal="center" vertical="center"/>
    </xf>
    <xf numFmtId="0" fontId="20" fillId="0" borderId="0" xfId="0" applyFont="1" applyAlignment="1">
      <alignment vertical="top"/>
    </xf>
    <xf numFmtId="168" fontId="20" fillId="0" borderId="0" xfId="1" applyFont="1" applyFill="1" applyBorder="1"/>
    <xf numFmtId="172" fontId="20" fillId="0" borderId="0" xfId="1" applyNumberFormat="1" applyFont="1" applyFill="1" applyBorder="1"/>
    <xf numFmtId="0" fontId="20" fillId="0" borderId="0" xfId="0" applyFont="1" applyAlignment="1">
      <alignment horizontal="justify" vertical="top" wrapText="1"/>
    </xf>
    <xf numFmtId="0" fontId="19" fillId="0" borderId="0" xfId="4" applyFont="1" applyAlignment="1">
      <alignment horizontal="left" vertical="top"/>
    </xf>
    <xf numFmtId="172" fontId="89" fillId="0" borderId="0" xfId="1" applyNumberFormat="1" applyFont="1" applyFill="1" applyBorder="1"/>
    <xf numFmtId="172" fontId="32" fillId="0" borderId="0" xfId="1" applyNumberFormat="1" applyFont="1" applyFill="1" applyAlignment="1">
      <alignment vertical="top"/>
    </xf>
    <xf numFmtId="0" fontId="18" fillId="0" borderId="0" xfId="0" applyFont="1" applyAlignment="1">
      <alignment vertical="top"/>
    </xf>
    <xf numFmtId="1" fontId="32" fillId="0" borderId="0" xfId="0" applyNumberFormat="1" applyFont="1" applyAlignment="1">
      <alignment vertical="top"/>
    </xf>
    <xf numFmtId="168" fontId="18" fillId="0" borderId="0" xfId="1" applyFont="1" applyFill="1" applyBorder="1"/>
    <xf numFmtId="168" fontId="18" fillId="0" borderId="0" xfId="1" applyFont="1" applyFill="1" applyBorder="1" applyAlignment="1">
      <alignment horizontal="right"/>
    </xf>
    <xf numFmtId="168" fontId="89" fillId="0" borderId="14" xfId="1" applyFont="1" applyFill="1" applyBorder="1" applyAlignment="1"/>
    <xf numFmtId="0" fontId="18" fillId="0" borderId="0" xfId="0" applyFont="1" applyAlignment="1">
      <alignment horizontal="left" vertical="top"/>
    </xf>
    <xf numFmtId="172" fontId="89" fillId="0" borderId="11" xfId="0" applyNumberFormat="1" applyFont="1" applyBorder="1" applyAlignment="1">
      <alignment vertical="top"/>
    </xf>
    <xf numFmtId="0" fontId="18" fillId="0" borderId="0" xfId="0" applyFont="1" applyAlignment="1">
      <alignment horizontal="justify" vertical="top" wrapText="1"/>
    </xf>
    <xf numFmtId="0" fontId="18" fillId="0" borderId="0" xfId="0" applyFont="1" applyAlignment="1">
      <alignment horizontal="left" vertical="top" indent="1"/>
    </xf>
    <xf numFmtId="172" fontId="18" fillId="0" borderId="0" xfId="1" applyNumberFormat="1" applyFont="1" applyFill="1" applyBorder="1" applyAlignment="1">
      <alignment horizontal="right" vertical="top"/>
    </xf>
    <xf numFmtId="37" fontId="37" fillId="8" borderId="0" xfId="1" applyNumberFormat="1" applyFont="1" applyFill="1" applyBorder="1" applyAlignment="1">
      <alignment vertical="top"/>
    </xf>
    <xf numFmtId="37" fontId="32" fillId="8" borderId="0" xfId="0" applyNumberFormat="1" applyFont="1" applyFill="1" applyAlignment="1">
      <alignment vertical="top"/>
    </xf>
    <xf numFmtId="37" fontId="32" fillId="8" borderId="0" xfId="1" applyNumberFormat="1" applyFont="1" applyFill="1" applyBorder="1" applyAlignment="1">
      <alignment vertical="top"/>
    </xf>
    <xf numFmtId="37" fontId="37" fillId="8" borderId="0" xfId="1" applyNumberFormat="1" applyFont="1" applyFill="1" applyBorder="1" applyAlignment="1">
      <alignment horizontal="right" vertical="top" wrapText="1"/>
    </xf>
    <xf numFmtId="0" fontId="18" fillId="0" borderId="0" xfId="4" applyFont="1" applyAlignment="1">
      <alignment horizontal="left" vertical="top"/>
    </xf>
    <xf numFmtId="0" fontId="18" fillId="0" borderId="0" xfId="4" quotePrefix="1" applyFont="1" applyAlignment="1">
      <alignment horizontal="left" vertical="top"/>
    </xf>
    <xf numFmtId="37" fontId="37" fillId="0" borderId="0" xfId="1" applyNumberFormat="1" applyFont="1" applyFill="1" applyBorder="1" applyAlignment="1">
      <alignment vertical="top"/>
    </xf>
    <xf numFmtId="37" fontId="32" fillId="0" borderId="0" xfId="1" applyNumberFormat="1" applyFont="1" applyFill="1" applyBorder="1" applyAlignment="1">
      <alignment vertical="top"/>
    </xf>
    <xf numFmtId="37" fontId="32" fillId="0" borderId="0" xfId="0" applyNumberFormat="1" applyFont="1" applyAlignment="1">
      <alignment vertical="top"/>
    </xf>
    <xf numFmtId="37" fontId="87" fillId="0" borderId="0" xfId="1" applyNumberFormat="1" applyFont="1" applyFill="1" applyBorder="1" applyAlignment="1">
      <alignment vertical="top"/>
    </xf>
    <xf numFmtId="37" fontId="32" fillId="0" borderId="0" xfId="1" applyNumberFormat="1" applyFont="1" applyFill="1" applyBorder="1" applyAlignment="1">
      <alignment horizontal="right" vertical="top"/>
    </xf>
    <xf numFmtId="37" fontId="89" fillId="0" borderId="11" xfId="1" applyNumberFormat="1" applyFont="1" applyFill="1" applyBorder="1" applyAlignment="1">
      <alignment vertical="top"/>
    </xf>
    <xf numFmtId="172" fontId="89" fillId="0" borderId="0" xfId="1" applyNumberFormat="1" applyFont="1" applyFill="1" applyAlignment="1">
      <alignment vertical="top"/>
    </xf>
    <xf numFmtId="172" fontId="89" fillId="0" borderId="0" xfId="0" applyNumberFormat="1" applyFont="1" applyAlignment="1">
      <alignment vertical="top"/>
    </xf>
    <xf numFmtId="0" fontId="17" fillId="0" borderId="0" xfId="0" applyFont="1" applyAlignment="1">
      <alignment horizontal="right" vertical="top"/>
    </xf>
    <xf numFmtId="0" fontId="17" fillId="0" borderId="0" xfId="0" applyFont="1" applyAlignment="1">
      <alignment vertical="top"/>
    </xf>
    <xf numFmtId="0" fontId="17" fillId="0" borderId="0" xfId="0" applyFont="1" applyAlignment="1">
      <alignment horizontal="left" vertical="top"/>
    </xf>
    <xf numFmtId="172" fontId="17" fillId="0" borderId="0" xfId="0" applyNumberFormat="1" applyFont="1" applyAlignment="1">
      <alignment vertical="top"/>
    </xf>
    <xf numFmtId="167" fontId="17" fillId="0" borderId="0" xfId="0" applyNumberFormat="1" applyFont="1" applyAlignment="1">
      <alignment vertical="top"/>
    </xf>
    <xf numFmtId="172" fontId="17" fillId="0" borderId="0" xfId="1" applyNumberFormat="1" applyFont="1" applyFill="1" applyBorder="1" applyAlignment="1">
      <alignment vertical="top"/>
    </xf>
    <xf numFmtId="0" fontId="17" fillId="0" borderId="11" xfId="0" applyFont="1" applyBorder="1" applyAlignment="1">
      <alignment vertical="top"/>
    </xf>
    <xf numFmtId="0" fontId="17" fillId="0" borderId="0" xfId="4" applyFont="1" applyAlignment="1">
      <alignment horizontal="left" vertical="top"/>
    </xf>
    <xf numFmtId="0" fontId="17" fillId="0" borderId="0" xfId="4" quotePrefix="1" applyFont="1" applyAlignment="1">
      <alignment horizontal="left" vertical="top"/>
    </xf>
    <xf numFmtId="0" fontId="17" fillId="0" borderId="0" xfId="0" applyFont="1" applyAlignment="1">
      <alignment horizontal="left" vertical="top" indent="1"/>
    </xf>
    <xf numFmtId="168" fontId="17" fillId="0" borderId="0" xfId="1" applyFont="1" applyFill="1" applyBorder="1" applyAlignment="1">
      <alignment horizontal="right"/>
    </xf>
    <xf numFmtId="0" fontId="17" fillId="0" borderId="0" xfId="0" applyFont="1"/>
    <xf numFmtId="37" fontId="17" fillId="0" borderId="0" xfId="0" applyNumberFormat="1" applyFont="1" applyAlignment="1">
      <alignment vertical="top"/>
    </xf>
    <xf numFmtId="172" fontId="17" fillId="0" borderId="0" xfId="0" applyNumberFormat="1" applyFont="1" applyAlignment="1">
      <alignment horizontal="center" vertical="top"/>
    </xf>
    <xf numFmtId="37" fontId="89" fillId="0" borderId="11" xfId="0" applyNumberFormat="1" applyFont="1" applyBorder="1" applyAlignment="1">
      <alignment horizontal="right" vertical="top"/>
    </xf>
    <xf numFmtId="0" fontId="102" fillId="0" borderId="0" xfId="25" applyFont="1" applyAlignment="1">
      <alignment vertical="top"/>
    </xf>
    <xf numFmtId="167" fontId="101" fillId="0" borderId="0" xfId="25" applyNumberFormat="1" applyFont="1" applyAlignment="1">
      <alignment vertical="top"/>
    </xf>
    <xf numFmtId="167" fontId="102" fillId="0" borderId="0" xfId="25" applyNumberFormat="1" applyFont="1" applyAlignment="1">
      <alignment vertical="top"/>
    </xf>
    <xf numFmtId="0" fontId="102" fillId="0" borderId="0" xfId="25" applyFont="1" applyAlignment="1">
      <alignment vertical="top" wrapText="1"/>
    </xf>
    <xf numFmtId="0" fontId="87" fillId="0" borderId="0" xfId="25" applyFont="1" applyAlignment="1">
      <alignment vertical="top"/>
    </xf>
    <xf numFmtId="0" fontId="37" fillId="0" borderId="0" xfId="25" applyAlignment="1">
      <alignment vertical="top"/>
    </xf>
    <xf numFmtId="3" fontId="87" fillId="0" borderId="0" xfId="1" applyNumberFormat="1" applyFont="1" applyFill="1" applyBorder="1" applyAlignment="1" applyProtection="1">
      <alignment vertical="top"/>
    </xf>
    <xf numFmtId="37" fontId="87" fillId="0" borderId="0" xfId="1" applyNumberFormat="1" applyFont="1" applyFill="1" applyBorder="1" applyAlignment="1" applyProtection="1">
      <alignment vertical="top"/>
    </xf>
    <xf numFmtId="37" fontId="37" fillId="0" borderId="0" xfId="1" applyNumberFormat="1" applyFont="1" applyFill="1" applyBorder="1" applyAlignment="1" applyProtection="1">
      <alignment vertical="top"/>
      <protection locked="0"/>
    </xf>
    <xf numFmtId="0" fontId="87" fillId="0" borderId="14" xfId="25" applyFont="1" applyBorder="1" applyAlignment="1">
      <alignment vertical="top"/>
    </xf>
    <xf numFmtId="0" fontId="37" fillId="0" borderId="14" xfId="25" applyBorder="1" applyAlignment="1">
      <alignment vertical="top"/>
    </xf>
    <xf numFmtId="171" fontId="87" fillId="0" borderId="14" xfId="4" applyNumberFormat="1" applyFont="1" applyBorder="1" applyAlignment="1">
      <alignment horizontal="center" vertical="top"/>
    </xf>
    <xf numFmtId="174" fontId="37" fillId="0" borderId="0" xfId="4" applyNumberFormat="1" applyAlignment="1">
      <alignment horizontal="right" vertical="top"/>
    </xf>
    <xf numFmtId="0" fontId="90" fillId="0" borderId="0" xfId="0" quotePrefix="1" applyFont="1" applyAlignment="1">
      <alignment horizontal="left" vertical="top"/>
    </xf>
    <xf numFmtId="0" fontId="89" fillId="0" borderId="0" xfId="26" applyFont="1" applyAlignment="1">
      <alignment vertical="center"/>
    </xf>
    <xf numFmtId="0" fontId="17" fillId="0" borderId="0" xfId="26" applyFont="1"/>
    <xf numFmtId="0" fontId="17" fillId="0" borderId="0" xfId="26" applyFont="1" applyAlignment="1">
      <alignment horizontal="justify" vertical="center"/>
    </xf>
    <xf numFmtId="0" fontId="89" fillId="0" borderId="0" xfId="26" applyFont="1" applyAlignment="1">
      <alignment horizontal="left" vertical="center"/>
    </xf>
    <xf numFmtId="0" fontId="17" fillId="0" borderId="0" xfId="26" applyFont="1" applyAlignment="1">
      <alignment vertical="center"/>
    </xf>
    <xf numFmtId="0" fontId="17" fillId="0" borderId="0" xfId="26" applyFont="1" applyAlignment="1">
      <alignment horizontal="left" vertical="center"/>
    </xf>
    <xf numFmtId="172" fontId="93" fillId="0" borderId="14" xfId="1" applyNumberFormat="1" applyFont="1" applyFill="1" applyBorder="1" applyAlignment="1">
      <alignment vertical="top" wrapText="1"/>
    </xf>
    <xf numFmtId="0" fontId="17" fillId="0" borderId="0" xfId="0" applyFont="1" applyAlignment="1">
      <alignment horizontal="justify" vertical="top" wrapText="1"/>
    </xf>
    <xf numFmtId="0" fontId="17" fillId="0" borderId="0" xfId="26" applyFont="1" applyAlignment="1">
      <alignment horizontal="left" vertical="top" wrapText="1"/>
    </xf>
    <xf numFmtId="0" fontId="90" fillId="0" borderId="0" xfId="0" applyFont="1"/>
    <xf numFmtId="0" fontId="103" fillId="0" borderId="0" xfId="4" applyFont="1" applyAlignment="1">
      <alignment vertical="top"/>
    </xf>
    <xf numFmtId="0" fontId="105" fillId="0" borderId="0" xfId="27" applyFont="1" applyAlignment="1"/>
    <xf numFmtId="0" fontId="103" fillId="0" borderId="0" xfId="27" applyFont="1" applyAlignment="1"/>
    <xf numFmtId="0" fontId="106" fillId="0" borderId="0" xfId="4" applyFont="1" applyAlignment="1">
      <alignment vertical="top"/>
    </xf>
    <xf numFmtId="0" fontId="37" fillId="0" borderId="0" xfId="27" applyFont="1" applyAlignment="1"/>
    <xf numFmtId="0" fontId="107" fillId="0" borderId="0" xfId="27" applyFont="1" applyAlignment="1"/>
    <xf numFmtId="0" fontId="107" fillId="0" borderId="0" xfId="27" applyFont="1" applyAlignment="1">
      <alignment horizontal="center"/>
    </xf>
    <xf numFmtId="0" fontId="108" fillId="0" borderId="0" xfId="27" applyFont="1" applyAlignment="1"/>
    <xf numFmtId="16" fontId="108" fillId="0" borderId="0" xfId="27" quotePrefix="1" applyNumberFormat="1" applyFont="1" applyAlignment="1">
      <alignment horizontal="center"/>
    </xf>
    <xf numFmtId="0" fontId="108" fillId="0" borderId="0" xfId="27" applyFont="1" applyAlignment="1">
      <alignment horizontal="center"/>
    </xf>
    <xf numFmtId="17" fontId="108" fillId="0" borderId="0" xfId="27" quotePrefix="1" applyNumberFormat="1" applyFont="1" applyAlignment="1">
      <alignment horizontal="center" vertical="center"/>
    </xf>
    <xf numFmtId="0" fontId="91" fillId="0" borderId="0" xfId="0" applyFont="1" applyAlignment="1">
      <alignment vertical="top"/>
    </xf>
    <xf numFmtId="0" fontId="91" fillId="0" borderId="0" xfId="26" applyFont="1" applyAlignment="1">
      <alignment vertical="center"/>
    </xf>
    <xf numFmtId="0" fontId="89" fillId="0" borderId="0" xfId="26" applyFont="1" applyAlignment="1">
      <alignment horizontal="center"/>
    </xf>
    <xf numFmtId="0" fontId="89" fillId="0" borderId="0" xfId="26" applyFont="1"/>
    <xf numFmtId="0" fontId="17" fillId="0" borderId="0" xfId="26" applyFont="1" applyAlignment="1">
      <alignment horizontal="justify" vertical="top" wrapText="1"/>
    </xf>
    <xf numFmtId="171" fontId="32" fillId="0" borderId="12" xfId="4" applyNumberFormat="1" applyFont="1" applyBorder="1" applyAlignment="1">
      <alignment horizontal="right" vertical="top"/>
    </xf>
    <xf numFmtId="172" fontId="32" fillId="0" borderId="13" xfId="1" applyNumberFormat="1" applyFont="1" applyFill="1" applyBorder="1" applyAlignment="1">
      <alignment vertical="top"/>
    </xf>
    <xf numFmtId="0" fontId="67" fillId="0" borderId="18" xfId="0" applyFont="1" applyBorder="1" applyAlignment="1">
      <alignment horizontal="center" vertical="top"/>
    </xf>
    <xf numFmtId="15" fontId="49" fillId="0" borderId="17" xfId="0" applyNumberFormat="1" applyFont="1" applyBorder="1" applyAlignment="1">
      <alignment horizontal="center"/>
    </xf>
    <xf numFmtId="15" fontId="49" fillId="0" borderId="18" xfId="0" applyNumberFormat="1" applyFont="1" applyBorder="1" applyAlignment="1">
      <alignment horizontal="center"/>
    </xf>
    <xf numFmtId="172" fontId="0" fillId="0" borderId="17" xfId="1" applyNumberFormat="1" applyFont="1" applyBorder="1"/>
    <xf numFmtId="172" fontId="0" fillId="0" borderId="18" xfId="1" applyNumberFormat="1" applyFont="1" applyBorder="1"/>
    <xf numFmtId="172" fontId="0" fillId="0" borderId="21" xfId="1" applyNumberFormat="1" applyFont="1" applyBorder="1"/>
    <xf numFmtId="172" fontId="0" fillId="0" borderId="19" xfId="1" applyNumberFormat="1" applyFont="1" applyBorder="1"/>
    <xf numFmtId="168" fontId="67" fillId="0" borderId="26" xfId="1" applyFont="1" applyBorder="1" applyAlignment="1">
      <alignment vertical="top"/>
    </xf>
    <xf numFmtId="0" fontId="15" fillId="0" borderId="0" xfId="0" applyFont="1" applyAlignment="1">
      <alignment horizontal="center" vertical="center"/>
    </xf>
    <xf numFmtId="0" fontId="14" fillId="0" borderId="0" xfId="0" applyFont="1" applyAlignment="1">
      <alignment horizontal="center" vertical="center"/>
    </xf>
    <xf numFmtId="168" fontId="67" fillId="0" borderId="18" xfId="1" applyFont="1" applyBorder="1" applyAlignment="1">
      <alignment vertical="top"/>
    </xf>
    <xf numFmtId="0" fontId="32" fillId="0" borderId="0" xfId="1" applyNumberFormat="1" applyFont="1" applyFill="1" applyBorder="1" applyAlignment="1">
      <alignment vertical="top"/>
    </xf>
    <xf numFmtId="172" fontId="94" fillId="0" borderId="14" xfId="1" applyNumberFormat="1" applyFont="1" applyFill="1" applyBorder="1" applyAlignment="1">
      <alignment horizontal="right" vertical="top" wrapText="1"/>
    </xf>
    <xf numFmtId="49" fontId="90" fillId="0" borderId="0" xfId="4" applyNumberFormat="1" applyFont="1" applyAlignment="1">
      <alignment vertical="top"/>
    </xf>
    <xf numFmtId="49" fontId="91" fillId="0" borderId="0" xfId="4" applyNumberFormat="1" applyFont="1" applyAlignment="1">
      <alignment vertical="top"/>
    </xf>
    <xf numFmtId="172" fontId="17" fillId="0" borderId="0" xfId="16" applyNumberFormat="1" applyFont="1" applyAlignment="1">
      <alignment horizontal="right" vertical="top"/>
    </xf>
    <xf numFmtId="0" fontId="17" fillId="0" borderId="0" xfId="4" applyFont="1" applyAlignment="1">
      <alignment horizontal="left" vertical="top" indent="1"/>
    </xf>
    <xf numFmtId="172" fontId="89" fillId="0" borderId="11" xfId="16" applyNumberFormat="1" applyFont="1" applyBorder="1" applyAlignment="1">
      <alignment horizontal="right" vertical="top"/>
    </xf>
    <xf numFmtId="172" fontId="89" fillId="0" borderId="12" xfId="16" applyNumberFormat="1" applyFont="1" applyBorder="1" applyAlignment="1">
      <alignment horizontal="right" vertical="top"/>
    </xf>
    <xf numFmtId="172" fontId="89" fillId="0" borderId="13" xfId="16" applyNumberFormat="1" applyFont="1" applyBorder="1" applyAlignment="1">
      <alignment horizontal="right" vertical="top"/>
    </xf>
    <xf numFmtId="167" fontId="17" fillId="0" borderId="0" xfId="16" applyNumberFormat="1" applyFont="1" applyAlignment="1">
      <alignment horizontal="right" vertical="top"/>
    </xf>
    <xf numFmtId="0" fontId="17" fillId="0" borderId="0" xfId="4" quotePrefix="1" applyFont="1" applyAlignment="1">
      <alignment horizontal="left" vertical="top" indent="1"/>
    </xf>
    <xf numFmtId="167" fontId="17" fillId="0" borderId="0" xfId="4" applyNumberFormat="1" applyFont="1" applyAlignment="1">
      <alignment horizontal="right" vertical="top"/>
    </xf>
    <xf numFmtId="172" fontId="17" fillId="0" borderId="14" xfId="16" applyNumberFormat="1" applyFont="1" applyBorder="1" applyAlignment="1">
      <alignment horizontal="right" vertical="top"/>
    </xf>
    <xf numFmtId="0" fontId="17" fillId="0" borderId="0" xfId="4" applyFont="1" applyAlignment="1">
      <alignment horizontal="center" vertical="top"/>
    </xf>
    <xf numFmtId="172" fontId="17" fillId="0" borderId="0" xfId="16" applyNumberFormat="1" applyFont="1" applyAlignment="1">
      <alignment vertical="top"/>
    </xf>
    <xf numFmtId="172" fontId="89" fillId="0" borderId="12" xfId="16" applyNumberFormat="1" applyFont="1" applyBorder="1" applyAlignment="1">
      <alignment vertical="top"/>
    </xf>
    <xf numFmtId="172" fontId="89" fillId="0" borderId="0" xfId="16" applyNumberFormat="1" applyFont="1" applyAlignment="1">
      <alignment vertical="top"/>
    </xf>
    <xf numFmtId="172" fontId="89" fillId="0" borderId="13" xfId="16" applyNumberFormat="1" applyFont="1" applyBorder="1" applyAlignment="1">
      <alignment vertical="top"/>
    </xf>
    <xf numFmtId="0" fontId="17" fillId="0" borderId="0" xfId="0" applyFont="1" applyAlignment="1">
      <alignment horizontal="left" wrapText="1" indent="1"/>
    </xf>
    <xf numFmtId="172" fontId="17" fillId="0" borderId="14" xfId="16" applyNumberFormat="1" applyFont="1" applyBorder="1" applyAlignment="1">
      <alignment vertical="top"/>
    </xf>
    <xf numFmtId="0" fontId="17" fillId="0" borderId="0" xfId="16" applyNumberFormat="1" applyFont="1" applyAlignment="1">
      <alignment horizontal="right" vertical="top"/>
    </xf>
    <xf numFmtId="0" fontId="17" fillId="0" borderId="0" xfId="16" applyNumberFormat="1" applyFont="1" applyAlignment="1">
      <alignment vertical="top"/>
    </xf>
    <xf numFmtId="0" fontId="37" fillId="0" borderId="0" xfId="1" applyNumberFormat="1" applyFont="1" applyFill="1" applyBorder="1" applyAlignment="1">
      <alignment vertical="top"/>
    </xf>
    <xf numFmtId="172" fontId="20" fillId="0" borderId="0" xfId="1" applyNumberFormat="1" applyFont="1" applyFill="1" applyBorder="1" applyAlignment="1">
      <alignment vertical="top"/>
    </xf>
    <xf numFmtId="172" fontId="17" fillId="0" borderId="0" xfId="1" applyNumberFormat="1" applyFont="1" applyFill="1" applyBorder="1" applyAlignment="1">
      <alignment horizontal="right" vertical="top"/>
    </xf>
    <xf numFmtId="168" fontId="37" fillId="0" borderId="0" xfId="1" applyFont="1" applyFill="1" applyBorder="1" applyAlignment="1">
      <alignment vertical="top"/>
    </xf>
    <xf numFmtId="168" fontId="30" fillId="0" borderId="0" xfId="1" applyFont="1" applyFill="1" applyBorder="1" applyAlignment="1">
      <alignment vertical="top"/>
    </xf>
    <xf numFmtId="0" fontId="23" fillId="0" borderId="0" xfId="0" applyFont="1" applyAlignment="1">
      <alignment vertical="top" wrapText="1"/>
    </xf>
    <xf numFmtId="0" fontId="17" fillId="0" borderId="0" xfId="29" applyFont="1"/>
    <xf numFmtId="0" fontId="37" fillId="0" borderId="0" xfId="4" applyAlignment="1">
      <alignment vertical="center"/>
    </xf>
    <xf numFmtId="0" fontId="32" fillId="0" borderId="0" xfId="0" applyFont="1" applyAlignment="1">
      <alignment horizontal="justify" vertical="justify"/>
    </xf>
    <xf numFmtId="0" fontId="89" fillId="0" borderId="14" xfId="0" applyFont="1" applyBorder="1" applyAlignment="1">
      <alignment wrapText="1"/>
    </xf>
    <xf numFmtId="168" fontId="17" fillId="0" borderId="0" xfId="1" applyFont="1" applyFill="1" applyBorder="1" applyAlignment="1">
      <alignment horizontal="right" wrapText="1"/>
    </xf>
    <xf numFmtId="0" fontId="17" fillId="0" borderId="0" xfId="29" applyFont="1" applyAlignment="1">
      <alignment horizontal="justify" vertical="top" wrapText="1"/>
    </xf>
    <xf numFmtId="0" fontId="17" fillId="0" borderId="0" xfId="29" applyFont="1" applyAlignment="1">
      <alignment horizontal="justify" vertical="top"/>
    </xf>
    <xf numFmtId="172" fontId="17" fillId="0" borderId="0" xfId="16" applyNumberFormat="1" applyFont="1" applyAlignment="1">
      <alignment horizontal="justify" vertical="top" wrapText="1"/>
    </xf>
    <xf numFmtId="172" fontId="89" fillId="0" borderId="11" xfId="0" applyNumberFormat="1" applyFont="1" applyBorder="1" applyAlignment="1">
      <alignment horizontal="justify" vertical="top" wrapText="1"/>
    </xf>
    <xf numFmtId="0" fontId="89" fillId="0" borderId="0" xfId="0" applyFont="1" applyAlignment="1">
      <alignment horizontal="center"/>
    </xf>
    <xf numFmtId="171" fontId="89" fillId="0" borderId="14" xfId="4" applyNumberFormat="1" applyFont="1" applyBorder="1" applyAlignment="1">
      <alignment horizontal="left" vertical="top"/>
    </xf>
    <xf numFmtId="171" fontId="89" fillId="0" borderId="12" xfId="4" applyNumberFormat="1" applyFont="1" applyBorder="1" applyAlignment="1">
      <alignment horizontal="center" vertical="top"/>
    </xf>
    <xf numFmtId="0" fontId="30" fillId="0" borderId="12" xfId="4" applyFont="1" applyBorder="1" applyAlignment="1">
      <alignment horizontal="center" vertical="top"/>
    </xf>
    <xf numFmtId="0" fontId="89" fillId="0" borderId="12" xfId="4" applyFont="1" applyBorder="1" applyAlignment="1">
      <alignment horizontal="center" vertical="top"/>
    </xf>
    <xf numFmtId="15" fontId="89" fillId="0" borderId="12" xfId="5" applyNumberFormat="1" applyFont="1" applyFill="1" applyBorder="1" applyAlignment="1">
      <alignment horizontal="right" vertical="top"/>
    </xf>
    <xf numFmtId="15" fontId="89" fillId="0" borderId="12" xfId="5" applyNumberFormat="1" applyFont="1" applyFill="1" applyBorder="1" applyAlignment="1">
      <alignment horizontal="center" vertical="top"/>
    </xf>
    <xf numFmtId="168" fontId="25" fillId="0" borderId="12" xfId="1" applyFont="1" applyFill="1" applyBorder="1" applyAlignment="1">
      <alignment vertical="top"/>
    </xf>
    <xf numFmtId="0" fontId="89" fillId="8" borderId="0" xfId="0" applyFont="1" applyFill="1" applyAlignment="1">
      <alignment horizontal="left" vertical="top"/>
    </xf>
    <xf numFmtId="0" fontId="12" fillId="0" borderId="0" xfId="0" applyFont="1" applyAlignment="1">
      <alignment horizontal="center" vertical="center"/>
    </xf>
    <xf numFmtId="168" fontId="12" fillId="0" borderId="26" xfId="1" applyFont="1" applyFill="1" applyBorder="1" applyAlignment="1">
      <alignment vertical="center"/>
    </xf>
    <xf numFmtId="168" fontId="12" fillId="0" borderId="0" xfId="1" applyFont="1" applyFill="1" applyBorder="1" applyAlignment="1">
      <alignment vertical="center"/>
    </xf>
    <xf numFmtId="168" fontId="12" fillId="0" borderId="18" xfId="1" applyFont="1" applyFill="1" applyBorder="1" applyAlignment="1">
      <alignment vertical="center"/>
    </xf>
    <xf numFmtId="168" fontId="12" fillId="0" borderId="0" xfId="1" applyFont="1" applyFill="1" applyAlignment="1">
      <alignment vertical="center"/>
    </xf>
    <xf numFmtId="172" fontId="67" fillId="8" borderId="26" xfId="1" applyNumberFormat="1" applyFont="1" applyFill="1" applyBorder="1" applyAlignment="1">
      <alignment horizontal="center" vertical="top"/>
    </xf>
    <xf numFmtId="168" fontId="11" fillId="0" borderId="0" xfId="1" applyFont="1" applyFill="1" applyAlignment="1">
      <alignment vertical="center"/>
    </xf>
    <xf numFmtId="168" fontId="11" fillId="0" borderId="26" xfId="1" applyFont="1" applyFill="1" applyBorder="1" applyAlignment="1">
      <alignment vertical="center"/>
    </xf>
    <xf numFmtId="172" fontId="94" fillId="0" borderId="0" xfId="0" applyNumberFormat="1" applyFont="1" applyAlignment="1">
      <alignment vertical="top" wrapText="1"/>
    </xf>
    <xf numFmtId="10" fontId="37" fillId="0" borderId="0" xfId="3" applyNumberFormat="1" applyFont="1" applyFill="1" applyBorder="1" applyAlignment="1">
      <alignment horizontal="left" vertical="top"/>
    </xf>
    <xf numFmtId="172" fontId="37" fillId="0" borderId="14" xfId="1" applyNumberFormat="1" applyFont="1" applyFill="1" applyBorder="1" applyAlignment="1">
      <alignment horizontal="left" vertical="top" wrapText="1"/>
    </xf>
    <xf numFmtId="172" fontId="87" fillId="8" borderId="0" xfId="0" applyNumberFormat="1" applyFont="1" applyFill="1"/>
    <xf numFmtId="0" fontId="32" fillId="8" borderId="0" xfId="0" applyFont="1" applyFill="1" applyAlignment="1">
      <alignment vertical="top"/>
    </xf>
    <xf numFmtId="172" fontId="32" fillId="8" borderId="0" xfId="1" applyNumberFormat="1" applyFont="1" applyFill="1" applyBorder="1" applyAlignment="1">
      <alignment vertical="top"/>
    </xf>
    <xf numFmtId="0" fontId="89" fillId="8" borderId="0" xfId="0" applyFont="1" applyFill="1" applyAlignment="1">
      <alignment vertical="top"/>
    </xf>
    <xf numFmtId="0" fontId="89" fillId="8" borderId="0" xfId="0" applyFont="1" applyFill="1" applyAlignment="1">
      <alignment horizontal="center" vertical="top"/>
    </xf>
    <xf numFmtId="0" fontId="89" fillId="8" borderId="14" xfId="0" applyFont="1" applyFill="1" applyBorder="1" applyAlignment="1">
      <alignment vertical="top"/>
    </xf>
    <xf numFmtId="0" fontId="32" fillId="8" borderId="14" xfId="0" applyFont="1" applyFill="1" applyBorder="1" applyAlignment="1">
      <alignment vertical="top"/>
    </xf>
    <xf numFmtId="171" fontId="89" fillId="8" borderId="14" xfId="4" applyNumberFormat="1" applyFont="1" applyFill="1" applyBorder="1" applyAlignment="1">
      <alignment horizontal="right" vertical="top"/>
    </xf>
    <xf numFmtId="171" fontId="89" fillId="8" borderId="0" xfId="4" applyNumberFormat="1" applyFont="1" applyFill="1" applyAlignment="1">
      <alignment horizontal="right" vertical="top"/>
    </xf>
    <xf numFmtId="171" fontId="32" fillId="8" borderId="0" xfId="4" applyNumberFormat="1" applyFont="1" applyFill="1" applyAlignment="1">
      <alignment horizontal="right" vertical="top"/>
    </xf>
    <xf numFmtId="0" fontId="37" fillId="8" borderId="0" xfId="0" applyFont="1" applyFill="1" applyAlignment="1">
      <alignment vertical="top"/>
    </xf>
    <xf numFmtId="172" fontId="17" fillId="8" borderId="0" xfId="1" applyNumberFormat="1" applyFont="1" applyFill="1" applyBorder="1" applyAlignment="1">
      <alignment horizontal="right" vertical="top"/>
    </xf>
    <xf numFmtId="172" fontId="32" fillId="8" borderId="0" xfId="1" applyNumberFormat="1" applyFont="1" applyFill="1" applyBorder="1" applyAlignment="1">
      <alignment horizontal="right" vertical="top"/>
    </xf>
    <xf numFmtId="168" fontId="17" fillId="8" borderId="0" xfId="1" applyFont="1" applyFill="1" applyBorder="1" applyAlignment="1">
      <alignment horizontal="right" vertical="top"/>
    </xf>
    <xf numFmtId="0" fontId="32" fillId="8" borderId="14" xfId="0" applyFont="1" applyFill="1" applyBorder="1" applyAlignment="1">
      <alignment horizontal="left" vertical="top"/>
    </xf>
    <xf numFmtId="172" fontId="89" fillId="8" borderId="14" xfId="1" applyNumberFormat="1" applyFont="1" applyFill="1" applyBorder="1" applyAlignment="1">
      <alignment horizontal="right" vertical="top"/>
    </xf>
    <xf numFmtId="172" fontId="32" fillId="8" borderId="14" xfId="1" applyNumberFormat="1" applyFont="1" applyFill="1" applyBorder="1" applyAlignment="1">
      <alignment horizontal="right" vertical="top"/>
    </xf>
    <xf numFmtId="168" fontId="25" fillId="0" borderId="0" xfId="1" applyFont="1" applyFill="1" applyBorder="1" applyAlignment="1">
      <alignment vertical="top"/>
    </xf>
    <xf numFmtId="0" fontId="87" fillId="0" borderId="12" xfId="4" applyFont="1" applyBorder="1" applyAlignment="1">
      <alignment horizontal="left" vertical="top" wrapText="1"/>
    </xf>
    <xf numFmtId="0" fontId="37" fillId="0" borderId="12" xfId="4" applyBorder="1" applyAlignment="1">
      <alignment horizontal="left" vertical="center" wrapText="1"/>
    </xf>
    <xf numFmtId="0" fontId="87" fillId="0" borderId="14" xfId="4" applyFont="1" applyBorder="1" applyAlignment="1">
      <alignment horizontal="left" vertical="top" wrapText="1"/>
    </xf>
    <xf numFmtId="0" fontId="37" fillId="0" borderId="14" xfId="4" applyBorder="1" applyAlignment="1">
      <alignment horizontal="left" vertical="center" wrapText="1"/>
    </xf>
    <xf numFmtId="0" fontId="87" fillId="0" borderId="14" xfId="4" applyFont="1" applyBorder="1" applyAlignment="1">
      <alignment horizontal="right" vertical="center" wrapText="1"/>
    </xf>
    <xf numFmtId="4" fontId="87" fillId="0" borderId="14" xfId="32" applyFont="1" applyFill="1" applyBorder="1" applyAlignment="1">
      <alignment horizontal="right" vertical="center"/>
    </xf>
    <xf numFmtId="0" fontId="37" fillId="0" borderId="0" xfId="4" applyAlignment="1">
      <alignment horizontal="left" vertical="center" wrapText="1"/>
    </xf>
    <xf numFmtId="0" fontId="87" fillId="0" borderId="0" xfId="4" applyFont="1" applyAlignment="1">
      <alignment horizontal="left" vertical="center" wrapText="1"/>
    </xf>
    <xf numFmtId="4" fontId="87" fillId="0" borderId="0" xfId="32" applyFont="1" applyFill="1" applyBorder="1" applyAlignment="1">
      <alignment horizontal="right" vertical="center"/>
    </xf>
    <xf numFmtId="0" fontId="17" fillId="0" borderId="0" xfId="7" applyFont="1"/>
    <xf numFmtId="3" fontId="37" fillId="0" borderId="0" xfId="32" applyNumberFormat="1" applyFont="1" applyFill="1" applyBorder="1" applyAlignment="1">
      <alignment horizontal="right" vertical="center" wrapText="1"/>
    </xf>
    <xf numFmtId="183" fontId="37" fillId="0" borderId="0" xfId="1" applyNumberFormat="1" applyFont="1" applyFill="1" applyBorder="1" applyAlignment="1">
      <alignment horizontal="left" vertical="center" wrapText="1"/>
    </xf>
    <xf numFmtId="183" fontId="37" fillId="0" borderId="0" xfId="1" applyNumberFormat="1" applyFont="1" applyFill="1" applyAlignment="1">
      <alignment horizontal="left" vertical="center"/>
    </xf>
    <xf numFmtId="0" fontId="89" fillId="0" borderId="11" xfId="7" applyFont="1" applyBorder="1"/>
    <xf numFmtId="0" fontId="37" fillId="0" borderId="11" xfId="4" applyBorder="1" applyAlignment="1">
      <alignment horizontal="left" vertical="center" wrapText="1"/>
    </xf>
    <xf numFmtId="183" fontId="87" fillId="0" borderId="11" xfId="1" applyNumberFormat="1" applyFont="1" applyFill="1" applyBorder="1" applyAlignment="1">
      <alignment horizontal="left" vertical="center" wrapText="1"/>
    </xf>
    <xf numFmtId="183" fontId="87" fillId="0" borderId="0" xfId="1" applyNumberFormat="1" applyFont="1" applyFill="1" applyBorder="1" applyAlignment="1">
      <alignment horizontal="left" vertical="center" wrapText="1"/>
    </xf>
    <xf numFmtId="0" fontId="87" fillId="0" borderId="12" xfId="4" applyFont="1" applyBorder="1" applyAlignment="1">
      <alignment horizontal="center" vertical="center" wrapText="1"/>
    </xf>
    <xf numFmtId="166" fontId="37" fillId="0" borderId="0" xfId="4" applyNumberFormat="1" applyAlignment="1">
      <alignment vertical="center"/>
    </xf>
    <xf numFmtId="4" fontId="37" fillId="0" borderId="0" xfId="32" applyFont="1" applyFill="1" applyBorder="1" applyAlignment="1">
      <alignment horizontal="left" vertical="center" wrapText="1"/>
    </xf>
    <xf numFmtId="0" fontId="37" fillId="0" borderId="0" xfId="4" applyAlignment="1">
      <alignment horizontal="right" vertical="center" wrapText="1"/>
    </xf>
    <xf numFmtId="166" fontId="37" fillId="0" borderId="0" xfId="4" applyNumberFormat="1" applyAlignment="1">
      <alignment vertical="center" wrapText="1"/>
    </xf>
    <xf numFmtId="183" fontId="37" fillId="0" borderId="0" xfId="1" applyNumberFormat="1" applyFont="1" applyFill="1" applyAlignment="1">
      <alignment horizontal="left" vertical="center" wrapText="1"/>
    </xf>
    <xf numFmtId="0" fontId="87" fillId="0" borderId="0" xfId="4" applyFont="1" applyAlignment="1">
      <alignment vertical="center"/>
    </xf>
    <xf numFmtId="183" fontId="37" fillId="0" borderId="0" xfId="1" applyNumberFormat="1" applyFont="1" applyFill="1" applyBorder="1" applyAlignment="1">
      <alignment horizontal="left" vertical="center"/>
    </xf>
    <xf numFmtId="0" fontId="89" fillId="0" borderId="0" xfId="7" applyFont="1"/>
    <xf numFmtId="4" fontId="37" fillId="0" borderId="0" xfId="32" applyFont="1" applyFill="1" applyBorder="1" applyAlignment="1">
      <alignment vertical="center" wrapText="1"/>
    </xf>
    <xf numFmtId="0" fontId="89" fillId="0" borderId="0" xfId="7" quotePrefix="1" applyFont="1" applyAlignment="1">
      <alignment horizontal="left" vertical="top"/>
    </xf>
    <xf numFmtId="0" fontId="89" fillId="0" borderId="0" xfId="7" applyFont="1" applyAlignment="1">
      <alignment horizontal="center" vertical="top"/>
    </xf>
    <xf numFmtId="0" fontId="89" fillId="0" borderId="14" xfId="7" applyFont="1" applyBorder="1" applyAlignment="1">
      <alignment horizontal="center" vertical="top"/>
    </xf>
    <xf numFmtId="0" fontId="17" fillId="0" borderId="0" xfId="7" applyFont="1" applyAlignment="1">
      <alignment vertical="top"/>
    </xf>
    <xf numFmtId="172" fontId="17" fillId="0" borderId="0" xfId="32" applyNumberFormat="1" applyFont="1" applyFill="1" applyBorder="1" applyAlignment="1">
      <alignment horizontal="justify" wrapText="1"/>
    </xf>
    <xf numFmtId="183" fontId="17" fillId="0" borderId="0" xfId="1" applyNumberFormat="1" applyFont="1" applyFill="1" applyBorder="1" applyAlignment="1">
      <alignment horizontal="left" wrapText="1"/>
    </xf>
    <xf numFmtId="0" fontId="89" fillId="0" borderId="0" xfId="7" applyFont="1" applyAlignment="1">
      <alignment horizontal="left" vertical="top"/>
    </xf>
    <xf numFmtId="167" fontId="37" fillId="0" borderId="0" xfId="32" applyNumberFormat="1" applyFont="1" applyFill="1" applyBorder="1" applyAlignment="1">
      <alignment horizontal="left" vertical="center" wrapText="1"/>
    </xf>
    <xf numFmtId="0" fontId="89" fillId="0" borderId="11" xfId="7" applyFont="1" applyBorder="1" applyAlignment="1">
      <alignment vertical="top"/>
    </xf>
    <xf numFmtId="167" fontId="37" fillId="0" borderId="0" xfId="32" applyNumberFormat="1" applyFont="1" applyFill="1" applyBorder="1" applyAlignment="1">
      <alignment vertical="center" wrapText="1"/>
    </xf>
    <xf numFmtId="0" fontId="89" fillId="0" borderId="14" xfId="7" applyFont="1" applyBorder="1" applyAlignment="1">
      <alignment horizontal="center" vertical="top" wrapText="1"/>
    </xf>
    <xf numFmtId="183" fontId="32" fillId="0" borderId="0" xfId="0" applyNumberFormat="1" applyFont="1" applyAlignment="1">
      <alignment vertical="top"/>
    </xf>
    <xf numFmtId="1" fontId="37" fillId="0" borderId="0" xfId="1" applyNumberFormat="1" applyFont="1" applyFill="1" applyBorder="1" applyAlignment="1">
      <alignment vertical="top"/>
    </xf>
    <xf numFmtId="172" fontId="17" fillId="0" borderId="0" xfId="1" applyNumberFormat="1" applyFont="1" applyFill="1" applyAlignment="1">
      <alignment vertical="top"/>
    </xf>
    <xf numFmtId="0" fontId="93" fillId="0" borderId="11" xfId="0" applyFont="1" applyBorder="1" applyAlignment="1">
      <alignment horizontal="right" vertical="top" wrapText="1"/>
    </xf>
    <xf numFmtId="0" fontId="93" fillId="0" borderId="0" xfId="0" applyFont="1" applyAlignment="1">
      <alignment horizontal="right" vertical="top" wrapText="1"/>
    </xf>
    <xf numFmtId="0" fontId="94" fillId="0" borderId="0" xfId="0" applyFont="1" applyAlignment="1">
      <alignment horizontal="center" vertical="top"/>
    </xf>
    <xf numFmtId="168" fontId="89" fillId="0" borderId="11" xfId="1" applyFont="1" applyFill="1" applyBorder="1" applyAlignment="1">
      <alignment horizontal="right" vertical="top"/>
    </xf>
    <xf numFmtId="0" fontId="32" fillId="0" borderId="0" xfId="1" applyNumberFormat="1" applyFont="1" applyFill="1" applyBorder="1"/>
    <xf numFmtId="164" fontId="37" fillId="0" borderId="0" xfId="33" applyFont="1" applyFill="1" applyBorder="1" applyAlignment="1">
      <alignment vertical="top"/>
    </xf>
    <xf numFmtId="0" fontId="17" fillId="0" borderId="0" xfId="4" applyFont="1" applyAlignment="1">
      <alignment horizontal="left" vertical="top" indent="3"/>
    </xf>
    <xf numFmtId="0" fontId="30" fillId="0" borderId="0" xfId="0" applyFont="1" applyAlignment="1">
      <alignment horizontal="left" indent="3"/>
    </xf>
    <xf numFmtId="172" fontId="82" fillId="0" borderId="0" xfId="0" applyNumberFormat="1" applyFont="1" applyAlignment="1">
      <alignment vertical="center"/>
    </xf>
    <xf numFmtId="168" fontId="82" fillId="0" borderId="0" xfId="1" applyFont="1" applyAlignment="1">
      <alignment vertical="center"/>
    </xf>
    <xf numFmtId="0" fontId="87" fillId="0" borderId="0" xfId="34" applyFont="1" applyAlignment="1">
      <alignment vertical="top"/>
    </xf>
    <xf numFmtId="0" fontId="109" fillId="0" borderId="0" xfId="34" applyAlignment="1">
      <alignment vertical="top"/>
    </xf>
    <xf numFmtId="0" fontId="109" fillId="0" borderId="0" xfId="34" applyAlignment="1">
      <alignment vertical="top" wrapText="1"/>
    </xf>
    <xf numFmtId="0" fontId="89" fillId="27" borderId="10" xfId="34" applyFont="1" applyFill="1" applyBorder="1" applyAlignment="1">
      <alignment vertical="top" wrapText="1"/>
    </xf>
    <xf numFmtId="0" fontId="89" fillId="27" borderId="10" xfId="34" applyFont="1" applyFill="1" applyBorder="1" applyAlignment="1">
      <alignment vertical="top"/>
    </xf>
    <xf numFmtId="0" fontId="89" fillId="27" borderId="10" xfId="34" applyFont="1" applyFill="1" applyBorder="1" applyAlignment="1">
      <alignment wrapText="1"/>
    </xf>
    <xf numFmtId="0" fontId="89" fillId="27" borderId="10" xfId="34" applyFont="1" applyFill="1" applyBorder="1"/>
    <xf numFmtId="0" fontId="109" fillId="0" borderId="10" xfId="34" applyBorder="1" applyAlignment="1">
      <alignment vertical="top"/>
    </xf>
    <xf numFmtId="168" fontId="0" fillId="0" borderId="10" xfId="35" applyFont="1" applyBorder="1" applyAlignment="1">
      <alignment vertical="top"/>
    </xf>
    <xf numFmtId="0" fontId="109" fillId="0" borderId="10" xfId="34" applyBorder="1" applyAlignment="1">
      <alignment vertical="top" wrapText="1"/>
    </xf>
    <xf numFmtId="168" fontId="109" fillId="0" borderId="0" xfId="34" applyNumberFormat="1" applyAlignment="1">
      <alignment vertical="top"/>
    </xf>
    <xf numFmtId="0" fontId="37" fillId="0" borderId="10" xfId="34" applyFont="1" applyBorder="1" applyAlignment="1">
      <alignment vertical="top" wrapText="1"/>
    </xf>
    <xf numFmtId="0" fontId="87" fillId="0" borderId="10" xfId="34" applyFont="1" applyBorder="1" applyAlignment="1">
      <alignment vertical="top"/>
    </xf>
    <xf numFmtId="168" fontId="87" fillId="0" borderId="10" xfId="34" applyNumberFormat="1" applyFont="1" applyBorder="1" applyAlignment="1">
      <alignment vertical="top"/>
    </xf>
    <xf numFmtId="168" fontId="0" fillId="0" borderId="0" xfId="1" applyFont="1"/>
    <xf numFmtId="168" fontId="0" fillId="0" borderId="0" xfId="0" applyNumberFormat="1"/>
    <xf numFmtId="168" fontId="0" fillId="8" borderId="0" xfId="1" applyFont="1" applyFill="1"/>
    <xf numFmtId="0" fontId="82" fillId="8" borderId="17" xfId="0" applyFont="1" applyFill="1" applyBorder="1" applyAlignment="1">
      <alignment vertical="center"/>
    </xf>
    <xf numFmtId="0" fontId="82" fillId="23" borderId="0" xfId="0" applyFont="1" applyFill="1" applyAlignment="1">
      <alignment vertical="center"/>
    </xf>
    <xf numFmtId="0" fontId="53" fillId="13" borderId="26" xfId="0" applyFont="1" applyFill="1" applyBorder="1"/>
    <xf numFmtId="172" fontId="83" fillId="5" borderId="20" xfId="1" applyNumberFormat="1" applyFont="1" applyFill="1" applyBorder="1" applyAlignment="1">
      <alignment horizontal="center" vertical="center" wrapText="1"/>
    </xf>
    <xf numFmtId="1" fontId="53" fillId="13" borderId="26" xfId="8" applyNumberFormat="1" applyFont="1" applyFill="1" applyBorder="1" applyAlignment="1">
      <alignment horizontal="center" vertical="center"/>
    </xf>
    <xf numFmtId="1" fontId="53" fillId="13" borderId="26" xfId="12" applyNumberFormat="1" applyFont="1" applyFill="1" applyBorder="1" applyAlignment="1">
      <alignment horizontal="center" vertical="center"/>
    </xf>
    <xf numFmtId="0" fontId="54" fillId="13" borderId="26" xfId="0" applyFont="1" applyFill="1" applyBorder="1" applyAlignment="1">
      <alignment horizontal="center" vertical="center"/>
    </xf>
    <xf numFmtId="1" fontId="53" fillId="13" borderId="26" xfId="13" applyNumberFormat="1" applyFont="1" applyFill="1" applyBorder="1" applyAlignment="1">
      <alignment horizontal="center" vertical="center"/>
    </xf>
    <xf numFmtId="1" fontId="53" fillId="13" borderId="26" xfId="14" applyNumberFormat="1" applyFont="1" applyFill="1" applyBorder="1" applyAlignment="1">
      <alignment horizontal="center" vertical="center"/>
    </xf>
    <xf numFmtId="0" fontId="53" fillId="13" borderId="26" xfId="8" applyFont="1" applyFill="1" applyBorder="1" applyAlignment="1">
      <alignment horizontal="center" vertical="center"/>
    </xf>
    <xf numFmtId="0" fontId="67" fillId="13" borderId="26" xfId="15" applyFont="1" applyFill="1" applyBorder="1" applyAlignment="1">
      <alignment horizontal="center" vertical="center" wrapText="1"/>
    </xf>
    <xf numFmtId="0" fontId="67" fillId="13" borderId="26" xfId="0" applyFont="1" applyFill="1" applyBorder="1" applyAlignment="1">
      <alignment horizontal="center" vertical="center"/>
    </xf>
    <xf numFmtId="37" fontId="53" fillId="0" borderId="0" xfId="8" applyNumberFormat="1" applyFont="1" applyAlignment="1">
      <alignment horizontal="right" vertical="center"/>
    </xf>
    <xf numFmtId="0" fontId="53" fillId="0" borderId="0" xfId="8" applyFont="1" applyAlignment="1">
      <alignment horizontal="right" vertical="center" wrapText="1"/>
    </xf>
    <xf numFmtId="168" fontId="67" fillId="0" borderId="0" xfId="1" applyFont="1" applyFill="1" applyAlignment="1">
      <alignment vertical="center"/>
    </xf>
    <xf numFmtId="172" fontId="94" fillId="0" borderId="0" xfId="4" applyNumberFormat="1" applyFont="1" applyAlignment="1">
      <alignment vertical="top"/>
    </xf>
    <xf numFmtId="0" fontId="66" fillId="0" borderId="26" xfId="0" applyFont="1" applyBorder="1" applyAlignment="1">
      <alignment horizontal="justify" vertical="top"/>
    </xf>
    <xf numFmtId="0" fontId="110" fillId="0" borderId="26" xfId="0" applyFont="1" applyBorder="1" applyAlignment="1">
      <alignment horizontal="justify" vertical="top"/>
    </xf>
    <xf numFmtId="0" fontId="15" fillId="13" borderId="0" xfId="0" applyFont="1" applyFill="1" applyAlignment="1">
      <alignment horizontal="center" vertical="center"/>
    </xf>
    <xf numFmtId="168" fontId="67" fillId="0" borderId="0" xfId="1" applyFont="1" applyFill="1" applyBorder="1" applyAlignment="1">
      <alignment vertical="top"/>
    </xf>
    <xf numFmtId="0" fontId="0" fillId="0" borderId="0" xfId="0" applyAlignment="1">
      <alignment wrapText="1"/>
    </xf>
    <xf numFmtId="0" fontId="0" fillId="8" borderId="0" xfId="0" applyFill="1"/>
    <xf numFmtId="172" fontId="37" fillId="0" borderId="0" xfId="1" applyNumberFormat="1" applyFont="1" applyFill="1" applyBorder="1" applyAlignment="1">
      <alignment horizontal="left" vertical="top" wrapText="1"/>
    </xf>
    <xf numFmtId="1" fontId="87" fillId="0" borderId="0" xfId="5" applyNumberFormat="1" applyFont="1" applyFill="1" applyBorder="1" applyAlignment="1">
      <alignment horizontal="left" vertical="center"/>
    </xf>
    <xf numFmtId="1" fontId="87" fillId="0" borderId="14" xfId="5" applyNumberFormat="1" applyFont="1" applyFill="1" applyBorder="1" applyAlignment="1">
      <alignment horizontal="right" vertical="center" wrapText="1"/>
    </xf>
    <xf numFmtId="4" fontId="87" fillId="0" borderId="14" xfId="32" applyFont="1" applyFill="1" applyBorder="1" applyAlignment="1">
      <alignment horizontal="right" vertical="center" wrapText="1"/>
    </xf>
    <xf numFmtId="1" fontId="37" fillId="0" borderId="0" xfId="5" applyNumberFormat="1" applyFont="1" applyFill="1" applyBorder="1" applyAlignment="1">
      <alignment horizontal="left" vertical="center"/>
    </xf>
    <xf numFmtId="183" fontId="87" fillId="0" borderId="0" xfId="1" applyNumberFormat="1" applyFont="1" applyFill="1" applyBorder="1" applyAlignment="1">
      <alignment horizontal="right" vertical="center"/>
    </xf>
    <xf numFmtId="0" fontId="87" fillId="0" borderId="0" xfId="4" applyFont="1" applyAlignment="1">
      <alignment horizontal="right" wrapText="1"/>
    </xf>
    <xf numFmtId="0" fontId="87" fillId="0" borderId="0" xfId="4" applyFont="1" applyAlignment="1">
      <alignment horizontal="right" vertical="center" wrapText="1"/>
    </xf>
    <xf numFmtId="0" fontId="87" fillId="0" borderId="14" xfId="4" applyFont="1" applyBorder="1" applyAlignment="1">
      <alignment horizontal="justify" vertical="center" wrapText="1"/>
    </xf>
    <xf numFmtId="0" fontId="37" fillId="0" borderId="0" xfId="4" applyAlignment="1">
      <alignment horizontal="justify" vertical="center" wrapText="1"/>
    </xf>
    <xf numFmtId="0" fontId="37" fillId="0" borderId="0" xfId="7" applyFont="1"/>
    <xf numFmtId="0" fontId="37" fillId="0" borderId="0" xfId="4" applyAlignment="1">
      <alignment horizontal="justify" vertical="top" wrapText="1"/>
    </xf>
    <xf numFmtId="172" fontId="17" fillId="0" borderId="0" xfId="36" applyNumberFormat="1" applyFont="1" applyFill="1" applyBorder="1" applyAlignment="1">
      <alignment vertical="top"/>
    </xf>
    <xf numFmtId="168" fontId="37" fillId="0" borderId="0" xfId="1" applyFont="1" applyFill="1" applyAlignment="1">
      <alignment horizontal="right" vertical="center" wrapText="1"/>
    </xf>
    <xf numFmtId="37" fontId="37" fillId="0" borderId="0" xfId="1" applyNumberFormat="1" applyFont="1" applyFill="1" applyAlignment="1">
      <alignment horizontal="right" vertical="center" wrapText="1"/>
    </xf>
    <xf numFmtId="168" fontId="37" fillId="0" borderId="0" xfId="1" applyFont="1" applyFill="1" applyAlignment="1">
      <alignment horizontal="right" vertical="top" wrapText="1"/>
    </xf>
    <xf numFmtId="0" fontId="10" fillId="0" borderId="0" xfId="37"/>
    <xf numFmtId="0" fontId="70" fillId="0" borderId="0" xfId="37" quotePrefix="1" applyFont="1"/>
    <xf numFmtId="183" fontId="0" fillId="0" borderId="0" xfId="38" applyNumberFormat="1" applyFont="1"/>
    <xf numFmtId="43" fontId="0" fillId="0" borderId="0" xfId="38" applyFont="1"/>
    <xf numFmtId="0" fontId="10" fillId="0" borderId="0" xfId="37" applyAlignment="1">
      <alignment wrapText="1"/>
    </xf>
    <xf numFmtId="183" fontId="87" fillId="0" borderId="14" xfId="38" applyNumberFormat="1" applyFont="1" applyFill="1" applyBorder="1" applyAlignment="1">
      <alignment horizontal="right" vertical="center" wrapText="1"/>
    </xf>
    <xf numFmtId="0" fontId="17" fillId="0" borderId="0" xfId="0" applyFont="1" applyAlignment="1">
      <alignment horizontal="left" vertical="top" wrapText="1"/>
    </xf>
    <xf numFmtId="171" fontId="89" fillId="0" borderId="0" xfId="0" applyNumberFormat="1" applyFont="1" applyAlignment="1">
      <alignment horizontal="right" vertical="top"/>
    </xf>
    <xf numFmtId="3" fontId="32" fillId="0" borderId="0" xfId="0" applyNumberFormat="1" applyFont="1" applyAlignment="1">
      <alignment horizontal="right" vertical="top"/>
    </xf>
    <xf numFmtId="168" fontId="89" fillId="0" borderId="14" xfId="1" applyFont="1" applyFill="1" applyBorder="1" applyAlignment="1">
      <alignment horizontal="center" vertical="top" wrapText="1"/>
    </xf>
    <xf numFmtId="3" fontId="89" fillId="0" borderId="14" xfId="0" applyNumberFormat="1" applyFont="1" applyBorder="1" applyAlignment="1">
      <alignment horizontal="center" vertical="top" wrapText="1"/>
    </xf>
    <xf numFmtId="0" fontId="89" fillId="0" borderId="0" xfId="0" applyFont="1" applyAlignment="1">
      <alignment horizontal="center" vertical="center" wrapText="1"/>
    </xf>
    <xf numFmtId="168" fontId="89" fillId="0" borderId="0" xfId="1" applyFont="1" applyFill="1" applyBorder="1" applyAlignment="1">
      <alignment horizontal="center" vertical="center" wrapText="1"/>
    </xf>
    <xf numFmtId="3" fontId="89" fillId="0" borderId="0" xfId="0" applyNumberFormat="1" applyFont="1" applyAlignment="1">
      <alignment horizontal="center" vertical="center" wrapText="1"/>
    </xf>
    <xf numFmtId="172" fontId="32" fillId="0" borderId="0" xfId="0" applyNumberFormat="1" applyFont="1" applyAlignment="1">
      <alignment horizontal="left" vertical="top"/>
    </xf>
    <xf numFmtId="172" fontId="17" fillId="0" borderId="0" xfId="0" applyNumberFormat="1" applyFont="1" applyAlignment="1">
      <alignment horizontal="left" vertical="top" wrapText="1"/>
    </xf>
    <xf numFmtId="10" fontId="17" fillId="0" borderId="0" xfId="0" applyNumberFormat="1" applyFont="1" applyAlignment="1">
      <alignment horizontal="left" vertical="top" wrapText="1"/>
    </xf>
    <xf numFmtId="172" fontId="17" fillId="0" borderId="0" xfId="1" applyNumberFormat="1" applyFont="1" applyFill="1" applyBorder="1" applyAlignment="1">
      <alignment horizontal="left" vertical="top" wrapText="1"/>
    </xf>
    <xf numFmtId="172" fontId="32" fillId="0" borderId="0" xfId="1" applyNumberFormat="1" applyFont="1" applyFill="1" applyBorder="1" applyAlignment="1">
      <alignment horizontal="left" vertical="top"/>
    </xf>
    <xf numFmtId="0" fontId="89" fillId="0" borderId="14" xfId="0" applyFont="1" applyBorder="1" applyAlignment="1">
      <alignment horizontal="center" vertical="center" wrapText="1"/>
    </xf>
    <xf numFmtId="3" fontId="89" fillId="0" borderId="14" xfId="0" applyNumberFormat="1" applyFont="1" applyBorder="1" applyAlignment="1">
      <alignment horizontal="left" vertical="top" wrapText="1"/>
    </xf>
    <xf numFmtId="3" fontId="89" fillId="0" borderId="0" xfId="0" applyNumberFormat="1" applyFont="1" applyAlignment="1">
      <alignment horizontal="left" vertical="top" wrapText="1"/>
    </xf>
    <xf numFmtId="172" fontId="87" fillId="0" borderId="0" xfId="1" applyNumberFormat="1" applyFont="1" applyFill="1" applyAlignment="1">
      <alignment horizontal="left" vertical="center" wrapText="1"/>
    </xf>
    <xf numFmtId="172" fontId="37" fillId="0" borderId="0" xfId="1" applyNumberFormat="1" applyFont="1" applyFill="1" applyAlignment="1">
      <alignment horizontal="left" vertical="center" wrapText="1"/>
    </xf>
    <xf numFmtId="1" fontId="37" fillId="0" borderId="0" xfId="1" applyNumberFormat="1" applyFont="1" applyFill="1" applyAlignment="1">
      <alignment horizontal="right" vertical="center" wrapText="1"/>
    </xf>
    <xf numFmtId="1" fontId="87" fillId="0" borderId="11" xfId="5" applyNumberFormat="1" applyFont="1" applyFill="1" applyBorder="1" applyAlignment="1">
      <alignment horizontal="left" vertical="center"/>
    </xf>
    <xf numFmtId="172" fontId="37" fillId="0" borderId="0" xfId="1" applyNumberFormat="1" applyFont="1" applyFill="1" applyBorder="1" applyAlignment="1">
      <alignment vertical="center"/>
    </xf>
    <xf numFmtId="172" fontId="37" fillId="0" borderId="0" xfId="1" applyNumberFormat="1" applyFont="1" applyFill="1" applyBorder="1" applyAlignment="1">
      <alignment horizontal="right" vertical="center"/>
    </xf>
    <xf numFmtId="172" fontId="87" fillId="0" borderId="0" xfId="1" applyNumberFormat="1" applyFont="1" applyFill="1" applyBorder="1" applyAlignment="1">
      <alignment horizontal="right" vertical="center"/>
    </xf>
    <xf numFmtId="172" fontId="87" fillId="0" borderId="11" xfId="1" applyNumberFormat="1" applyFont="1" applyFill="1" applyBorder="1" applyAlignment="1">
      <alignment horizontal="right" vertical="center"/>
    </xf>
    <xf numFmtId="183" fontId="87" fillId="0" borderId="11" xfId="1" applyNumberFormat="1" applyFont="1" applyFill="1" applyBorder="1" applyAlignment="1">
      <alignment horizontal="right" vertical="center"/>
    </xf>
    <xf numFmtId="168" fontId="67" fillId="0" borderId="26" xfId="1" applyFont="1" applyFill="1" applyBorder="1" applyAlignment="1">
      <alignment horizontal="justify" vertical="top"/>
    </xf>
    <xf numFmtId="168" fontId="67" fillId="0" borderId="0" xfId="15" applyNumberFormat="1" applyFont="1" applyAlignment="1">
      <alignment vertical="center"/>
    </xf>
    <xf numFmtId="172" fontId="89" fillId="7" borderId="11" xfId="1" applyNumberFormat="1" applyFont="1" applyFill="1" applyBorder="1" applyAlignment="1">
      <alignment horizontal="right" vertical="top"/>
    </xf>
    <xf numFmtId="0" fontId="89" fillId="0" borderId="14" xfId="0" applyFont="1" applyBorder="1" applyAlignment="1">
      <alignment horizontal="justify" vertical="top" wrapText="1"/>
    </xf>
    <xf numFmtId="168" fontId="89" fillId="0" borderId="14" xfId="1" applyFont="1" applyFill="1" applyBorder="1" applyAlignment="1">
      <alignment vertical="top"/>
    </xf>
    <xf numFmtId="0" fontId="17" fillId="0" borderId="0" xfId="0" applyFont="1" applyAlignment="1">
      <alignment horizontal="justify" vertical="top"/>
    </xf>
    <xf numFmtId="0" fontId="32" fillId="0" borderId="0" xfId="0" quotePrefix="1" applyFont="1" applyAlignment="1">
      <alignment horizontal="left" vertical="top"/>
    </xf>
    <xf numFmtId="167" fontId="89" fillId="0" borderId="0" xfId="0" quotePrefix="1" applyNumberFormat="1" applyFont="1" applyAlignment="1">
      <alignment horizontal="right" vertical="top"/>
    </xf>
    <xf numFmtId="167" fontId="37" fillId="0" borderId="0" xfId="0" quotePrefix="1" applyNumberFormat="1" applyFont="1" applyAlignment="1">
      <alignment horizontal="right" vertical="top"/>
    </xf>
    <xf numFmtId="167" fontId="32" fillId="0" borderId="0" xfId="0" applyNumberFormat="1" applyFont="1" applyAlignment="1">
      <alignment horizontal="right" vertical="top"/>
    </xf>
    <xf numFmtId="167" fontId="87" fillId="0" borderId="0" xfId="0" quotePrefix="1" applyNumberFormat="1" applyFont="1" applyAlignment="1">
      <alignment horizontal="right" vertical="top"/>
    </xf>
    <xf numFmtId="167" fontId="87" fillId="0" borderId="0" xfId="0" applyNumberFormat="1" applyFont="1" applyAlignment="1">
      <alignment horizontal="right" vertical="top"/>
    </xf>
    <xf numFmtId="167" fontId="37" fillId="0" borderId="0" xfId="0" applyNumberFormat="1" applyFont="1" applyAlignment="1">
      <alignment horizontal="right" vertical="top"/>
    </xf>
    <xf numFmtId="9" fontId="37" fillId="0" borderId="0" xfId="3" applyFont="1" applyFill="1" applyAlignment="1">
      <alignment horizontal="right" vertical="top" wrapText="1"/>
    </xf>
    <xf numFmtId="173" fontId="32" fillId="0" borderId="0" xfId="4" quotePrefix="1" applyNumberFormat="1" applyFont="1" applyAlignment="1">
      <alignment horizontal="left" vertical="top"/>
    </xf>
    <xf numFmtId="168" fontId="89" fillId="0" borderId="14" xfId="1" applyFont="1" applyFill="1" applyBorder="1" applyAlignment="1">
      <alignment horizontal="center"/>
    </xf>
    <xf numFmtId="0" fontId="32" fillId="0" borderId="14" xfId="0" applyFont="1" applyBorder="1" applyAlignment="1">
      <alignment horizontal="center" vertical="top" wrapText="1"/>
    </xf>
    <xf numFmtId="49" fontId="96" fillId="0" borderId="0" xfId="4" applyNumberFormat="1" applyFont="1" applyAlignment="1" applyProtection="1">
      <alignment horizontal="center" vertical="top"/>
      <protection locked="0"/>
    </xf>
    <xf numFmtId="49" fontId="87" fillId="0" borderId="0" xfId="4" applyNumberFormat="1" applyFont="1" applyAlignment="1" applyProtection="1">
      <alignment horizontal="center" vertical="top"/>
      <protection locked="0"/>
    </xf>
    <xf numFmtId="0" fontId="96" fillId="0" borderId="0" xfId="4" applyFont="1" applyAlignment="1">
      <alignment horizontal="right" vertical="top"/>
    </xf>
    <xf numFmtId="49" fontId="87" fillId="0" borderId="0" xfId="4" applyNumberFormat="1" applyFont="1" applyAlignment="1" applyProtection="1">
      <alignment horizontal="right" vertical="top"/>
      <protection locked="0"/>
    </xf>
    <xf numFmtId="49" fontId="96" fillId="0" borderId="0" xfId="4" applyNumberFormat="1" applyFont="1" applyAlignment="1" applyProtection="1">
      <alignment horizontal="right" vertical="top"/>
      <protection locked="0"/>
    </xf>
    <xf numFmtId="49" fontId="89" fillId="0" borderId="0" xfId="0" applyNumberFormat="1" applyFont="1" applyAlignment="1">
      <alignment horizontal="right" vertical="top"/>
    </xf>
    <xf numFmtId="49" fontId="90" fillId="0" borderId="0" xfId="0" applyNumberFormat="1" applyFont="1" applyAlignment="1">
      <alignment horizontal="right" vertical="top"/>
    </xf>
    <xf numFmtId="49" fontId="17" fillId="0" borderId="0" xfId="0" applyNumberFormat="1" applyFont="1" applyAlignment="1">
      <alignment horizontal="right" vertical="top"/>
    </xf>
    <xf numFmtId="0" fontId="32" fillId="0" borderId="0" xfId="0" applyFont="1" applyAlignment="1">
      <alignment horizontal="right"/>
    </xf>
    <xf numFmtId="0" fontId="17" fillId="0" borderId="0" xfId="4" applyFont="1" applyAlignment="1">
      <alignment horizontal="right" vertical="top"/>
    </xf>
    <xf numFmtId="173" fontId="17" fillId="0" borderId="0" xfId="0" applyNumberFormat="1" applyFont="1" applyAlignment="1">
      <alignment horizontal="right" vertical="top"/>
    </xf>
    <xf numFmtId="0" fontId="90" fillId="0" borderId="0" xfId="0" applyFont="1" applyAlignment="1">
      <alignment horizontal="right"/>
    </xf>
    <xf numFmtId="0" fontId="87" fillId="0" borderId="0" xfId="4" applyFont="1" applyAlignment="1" applyProtection="1">
      <alignment horizontal="right" vertical="top"/>
      <protection locked="0"/>
    </xf>
    <xf numFmtId="0" fontId="66" fillId="0" borderId="0" xfId="0" applyFont="1" applyAlignment="1">
      <alignment horizontal="justify" vertical="top"/>
    </xf>
    <xf numFmtId="0" fontId="84" fillId="0" borderId="0" xfId="0" applyFont="1"/>
    <xf numFmtId="0" fontId="67" fillId="0" borderId="0" xfId="34" applyFont="1" applyAlignment="1">
      <alignment horizontal="center" vertical="top"/>
    </xf>
    <xf numFmtId="167" fontId="37" fillId="8" borderId="0" xfId="1" applyNumberFormat="1" applyFont="1" applyFill="1" applyBorder="1" applyAlignment="1" applyProtection="1">
      <alignment horizontal="right" vertical="top"/>
    </xf>
    <xf numFmtId="0" fontId="66" fillId="0" borderId="26" xfId="34" applyFont="1" applyBorder="1" applyAlignment="1">
      <alignment horizontal="justify" vertical="top"/>
    </xf>
    <xf numFmtId="0" fontId="9" fillId="0" borderId="0" xfId="34" applyFont="1" applyAlignment="1">
      <alignment horizontal="center" vertical="center"/>
    </xf>
    <xf numFmtId="168" fontId="9" fillId="0" borderId="26" xfId="35" applyFont="1" applyFill="1" applyBorder="1" applyAlignment="1">
      <alignment vertical="center"/>
    </xf>
    <xf numFmtId="168" fontId="9" fillId="0" borderId="0" xfId="35" applyFont="1" applyFill="1" applyBorder="1" applyAlignment="1">
      <alignment vertical="center"/>
    </xf>
    <xf numFmtId="168" fontId="9" fillId="0" borderId="0" xfId="35" applyFont="1" applyFill="1" applyAlignment="1">
      <alignment vertical="center"/>
    </xf>
    <xf numFmtId="168" fontId="67" fillId="0" borderId="26" xfId="35" applyFont="1" applyBorder="1" applyAlignment="1">
      <alignment vertical="top"/>
    </xf>
    <xf numFmtId="168" fontId="67" fillId="0" borderId="18" xfId="35" applyFont="1" applyBorder="1" applyAlignment="1">
      <alignment vertical="top"/>
    </xf>
    <xf numFmtId="172" fontId="67" fillId="21" borderId="0" xfId="1" applyNumberFormat="1" applyFont="1" applyFill="1" applyBorder="1" applyAlignment="1">
      <alignment vertical="center"/>
    </xf>
    <xf numFmtId="172" fontId="66" fillId="21" borderId="0" xfId="1" applyNumberFormat="1" applyFont="1" applyFill="1" applyBorder="1" applyAlignment="1">
      <alignment vertical="center"/>
    </xf>
    <xf numFmtId="168" fontId="17" fillId="0" borderId="0" xfId="1" applyFont="1" applyFill="1" applyAlignment="1">
      <alignment vertical="top"/>
    </xf>
    <xf numFmtId="167" fontId="37" fillId="0" borderId="0" xfId="25" applyNumberFormat="1" applyAlignment="1">
      <alignment vertical="top"/>
    </xf>
    <xf numFmtId="167" fontId="37" fillId="0" borderId="0" xfId="25" applyNumberFormat="1" applyAlignment="1" applyProtection="1">
      <alignment vertical="top"/>
      <protection locked="0"/>
    </xf>
    <xf numFmtId="172" fontId="37" fillId="0" borderId="14" xfId="1" applyNumberFormat="1" applyFont="1" applyFill="1" applyBorder="1" applyAlignment="1" applyProtection="1">
      <alignment vertical="top"/>
    </xf>
    <xf numFmtId="172" fontId="30" fillId="8" borderId="0" xfId="0" applyNumberFormat="1" applyFont="1" applyFill="1"/>
    <xf numFmtId="0" fontId="30" fillId="8" borderId="0" xfId="4" applyFont="1" applyFill="1" applyAlignment="1">
      <alignment vertical="top"/>
    </xf>
    <xf numFmtId="0" fontId="87" fillId="0" borderId="14" xfId="4" applyFont="1" applyBorder="1" applyAlignment="1">
      <alignment vertical="center"/>
    </xf>
    <xf numFmtId="0" fontId="87" fillId="0" borderId="14" xfId="0" applyFont="1" applyBorder="1" applyAlignment="1">
      <alignment horizontal="center" vertical="center" wrapText="1"/>
    </xf>
    <xf numFmtId="172" fontId="32" fillId="0" borderId="14" xfId="1" applyNumberFormat="1" applyFont="1" applyFill="1" applyBorder="1" applyAlignment="1"/>
    <xf numFmtId="172" fontId="32" fillId="0" borderId="14" xfId="1" applyNumberFormat="1" applyFont="1" applyFill="1" applyBorder="1" applyAlignment="1">
      <alignment horizontal="right"/>
    </xf>
    <xf numFmtId="0" fontId="37" fillId="0" borderId="0" xfId="7" applyFont="1" applyAlignment="1">
      <alignment horizontal="justify" vertical="top" wrapText="1"/>
    </xf>
    <xf numFmtId="172" fontId="18" fillId="0" borderId="0" xfId="1" applyNumberFormat="1" applyFont="1" applyFill="1" applyBorder="1" applyAlignment="1">
      <alignment vertical="top"/>
    </xf>
    <xf numFmtId="183" fontId="37" fillId="0" borderId="0" xfId="1" applyNumberFormat="1" applyFont="1" applyFill="1" applyBorder="1" applyAlignment="1">
      <alignment vertical="center"/>
    </xf>
    <xf numFmtId="183" fontId="37" fillId="0" borderId="0" xfId="1" applyNumberFormat="1" applyFont="1" applyFill="1" applyBorder="1" applyAlignment="1">
      <alignment horizontal="right" vertical="center"/>
    </xf>
    <xf numFmtId="171" fontId="89" fillId="8" borderId="14" xfId="4" applyNumberFormat="1" applyFont="1" applyFill="1" applyBorder="1" applyAlignment="1">
      <alignment horizontal="center" vertical="top"/>
    </xf>
    <xf numFmtId="0" fontId="32" fillId="8" borderId="0" xfId="0" applyFont="1" applyFill="1" applyAlignment="1">
      <alignment horizontal="left" vertical="top"/>
    </xf>
    <xf numFmtId="0" fontId="26" fillId="8" borderId="0" xfId="0" applyFont="1" applyFill="1" applyAlignment="1">
      <alignment horizontal="left" vertical="top"/>
    </xf>
    <xf numFmtId="0" fontId="97" fillId="8" borderId="0" xfId="0" applyFont="1" applyFill="1" applyAlignment="1">
      <alignment horizontal="left" vertical="top"/>
    </xf>
    <xf numFmtId="172" fontId="37" fillId="8" borderId="0" xfId="1" applyNumberFormat="1" applyFont="1" applyFill="1" applyBorder="1" applyAlignment="1">
      <alignment vertical="top"/>
    </xf>
    <xf numFmtId="172" fontId="87" fillId="0" borderId="14" xfId="1" applyNumberFormat="1" applyFont="1" applyFill="1" applyBorder="1" applyAlignment="1">
      <alignment vertical="top" wrapText="1"/>
    </xf>
    <xf numFmtId="184" fontId="37" fillId="0" borderId="0" xfId="1" applyNumberFormat="1" applyFont="1" applyFill="1" applyBorder="1" applyAlignment="1">
      <alignment vertical="top"/>
    </xf>
    <xf numFmtId="0" fontId="17" fillId="7" borderId="0" xfId="19" applyFont="1" applyFill="1"/>
    <xf numFmtId="172" fontId="37" fillId="0" borderId="14" xfId="25" applyNumberFormat="1" applyBorder="1" applyAlignment="1">
      <alignment vertical="top"/>
    </xf>
    <xf numFmtId="0" fontId="112" fillId="0" borderId="0" xfId="4" applyFont="1" applyAlignment="1">
      <alignment horizontal="left" vertical="top" wrapText="1"/>
    </xf>
    <xf numFmtId="0" fontId="32" fillId="0" borderId="12" xfId="0" applyFont="1" applyBorder="1"/>
    <xf numFmtId="0" fontId="37" fillId="0" borderId="12" xfId="4" applyBorder="1" applyAlignment="1">
      <alignment horizontal="left" vertical="top"/>
    </xf>
    <xf numFmtId="0" fontId="37" fillId="0" borderId="12" xfId="4" applyBorder="1" applyAlignment="1">
      <alignment vertical="top"/>
    </xf>
    <xf numFmtId="0" fontId="17" fillId="0" borderId="12" xfId="4" applyFont="1" applyBorder="1" applyAlignment="1">
      <alignment horizontal="left" vertical="top"/>
    </xf>
    <xf numFmtId="172" fontId="37" fillId="0" borderId="0" xfId="1" applyNumberFormat="1" applyFont="1" applyFill="1" applyBorder="1" applyAlignment="1">
      <alignment horizontal="left" vertical="center" wrapText="1"/>
    </xf>
    <xf numFmtId="172" fontId="32" fillId="0" borderId="12" xfId="1" applyNumberFormat="1" applyFont="1" applyFill="1" applyBorder="1" applyAlignment="1">
      <alignment horizontal="right"/>
    </xf>
    <xf numFmtId="0" fontId="89" fillId="0" borderId="0" xfId="26" applyFont="1" applyAlignment="1">
      <alignment vertical="top"/>
    </xf>
    <xf numFmtId="167" fontId="61" fillId="18" borderId="26" xfId="1" applyNumberFormat="1" applyFont="1" applyFill="1" applyBorder="1" applyAlignment="1"/>
    <xf numFmtId="172" fontId="61" fillId="18" borderId="26" xfId="1" applyNumberFormat="1" applyFont="1" applyFill="1" applyBorder="1" applyAlignment="1"/>
    <xf numFmtId="172" fontId="53" fillId="0" borderId="0" xfId="1" applyNumberFormat="1" applyFont="1" applyFill="1" applyBorder="1"/>
    <xf numFmtId="172" fontId="52" fillId="0" borderId="0" xfId="1" applyNumberFormat="1" applyFont="1" applyFill="1" applyBorder="1"/>
    <xf numFmtId="172" fontId="17" fillId="0" borderId="0" xfId="1" applyNumberFormat="1" applyFont="1" applyFill="1" applyBorder="1" applyAlignment="1">
      <alignment horizontal="justify" vertical="top" wrapText="1"/>
    </xf>
    <xf numFmtId="168" fontId="52" fillId="5" borderId="0" xfId="17" applyFont="1" applyFill="1" applyBorder="1" applyAlignment="1">
      <alignment horizontal="center" vertical="center" wrapText="1"/>
    </xf>
    <xf numFmtId="0" fontId="67" fillId="0" borderId="26" xfId="34" applyFont="1" applyBorder="1" applyAlignment="1">
      <alignment horizontal="justify" vertical="top"/>
    </xf>
    <xf numFmtId="172" fontId="53" fillId="8" borderId="0" xfId="1" applyNumberFormat="1" applyFont="1" applyFill="1"/>
    <xf numFmtId="172" fontId="67" fillId="8" borderId="26" xfId="1" applyNumberFormat="1" applyFont="1" applyFill="1" applyBorder="1" applyAlignment="1">
      <alignment vertical="center"/>
    </xf>
    <xf numFmtId="168" fontId="67" fillId="21" borderId="24" xfId="1" applyFont="1" applyFill="1" applyBorder="1" applyAlignment="1">
      <alignment vertical="center"/>
    </xf>
    <xf numFmtId="168" fontId="67" fillId="21" borderId="26" xfId="1" applyFont="1" applyFill="1" applyBorder="1" applyAlignment="1">
      <alignment vertical="center"/>
    </xf>
    <xf numFmtId="168" fontId="66" fillId="21" borderId="24" xfId="1" applyFont="1" applyFill="1" applyBorder="1" applyAlignment="1">
      <alignment vertical="center"/>
    </xf>
    <xf numFmtId="172" fontId="53" fillId="8" borderId="26" xfId="1" applyNumberFormat="1" applyFont="1" applyFill="1" applyBorder="1"/>
    <xf numFmtId="168" fontId="37" fillId="0" borderId="0" xfId="1" applyFont="1" applyFill="1" applyBorder="1" applyAlignment="1" applyProtection="1">
      <alignment horizontal="right" vertical="top"/>
    </xf>
    <xf numFmtId="0" fontId="82" fillId="15" borderId="17" xfId="0" applyFont="1" applyFill="1" applyBorder="1" applyAlignment="1">
      <alignment vertical="center"/>
    </xf>
    <xf numFmtId="49" fontId="82" fillId="15" borderId="26" xfId="0" applyNumberFormat="1" applyFont="1" applyFill="1" applyBorder="1" applyAlignment="1">
      <alignment vertical="center"/>
    </xf>
    <xf numFmtId="168" fontId="49" fillId="0" borderId="0" xfId="0" applyNumberFormat="1" applyFont="1"/>
    <xf numFmtId="0" fontId="8" fillId="0" borderId="0" xfId="0" applyFont="1" applyAlignment="1">
      <alignment horizontal="center" vertical="center"/>
    </xf>
    <xf numFmtId="0" fontId="8" fillId="0" borderId="0" xfId="34" applyFont="1" applyAlignment="1">
      <alignment horizontal="center" vertical="center"/>
    </xf>
    <xf numFmtId="168" fontId="8" fillId="0" borderId="26" xfId="35" applyFont="1" applyFill="1" applyBorder="1" applyAlignment="1">
      <alignment vertical="center"/>
    </xf>
    <xf numFmtId="168" fontId="8" fillId="0" borderId="0" xfId="35" applyFont="1" applyFill="1" applyBorder="1" applyAlignment="1">
      <alignment vertical="center"/>
    </xf>
    <xf numFmtId="168" fontId="8" fillId="0" borderId="0" xfId="35" applyFont="1" applyFill="1" applyAlignment="1">
      <alignment vertical="center"/>
    </xf>
    <xf numFmtId="0" fontId="67" fillId="8" borderId="26" xfId="0" applyFont="1" applyFill="1" applyBorder="1" applyAlignment="1">
      <alignment horizontal="center" vertical="top"/>
    </xf>
    <xf numFmtId="0" fontId="67" fillId="8" borderId="0" xfId="0" applyFont="1" applyFill="1" applyAlignment="1">
      <alignment horizontal="center" vertical="top"/>
    </xf>
    <xf numFmtId="0" fontId="67" fillId="8" borderId="26" xfId="0" applyFont="1" applyFill="1" applyBorder="1" applyAlignment="1">
      <alignment horizontal="justify" vertical="top"/>
    </xf>
    <xf numFmtId="168" fontId="67" fillId="8" borderId="26" xfId="1" applyFont="1" applyFill="1" applyBorder="1" applyAlignment="1">
      <alignment vertical="top"/>
    </xf>
    <xf numFmtId="177" fontId="67" fillId="8" borderId="26" xfId="1" applyNumberFormat="1" applyFont="1" applyFill="1" applyBorder="1" applyAlignment="1">
      <alignment horizontal="right" vertical="top"/>
    </xf>
    <xf numFmtId="177" fontId="67" fillId="8" borderId="26" xfId="1" applyNumberFormat="1" applyFont="1" applyFill="1" applyBorder="1" applyAlignment="1">
      <alignment horizontal="center" vertical="top"/>
    </xf>
    <xf numFmtId="168" fontId="67" fillId="8" borderId="26" xfId="1" applyFont="1" applyFill="1" applyBorder="1" applyAlignment="1">
      <alignment horizontal="justify" vertical="top" wrapText="1"/>
    </xf>
    <xf numFmtId="178" fontId="67" fillId="8" borderId="26" xfId="1" applyNumberFormat="1" applyFont="1" applyFill="1" applyBorder="1" applyAlignment="1">
      <alignment horizontal="right" vertical="top" wrapText="1"/>
    </xf>
    <xf numFmtId="1" fontId="67" fillId="8" borderId="0" xfId="0" applyNumberFormat="1" applyFont="1" applyFill="1" applyAlignment="1">
      <alignment horizontal="center" vertical="top"/>
    </xf>
    <xf numFmtId="168" fontId="67" fillId="8" borderId="0" xfId="1" applyFont="1" applyFill="1" applyAlignment="1">
      <alignment vertical="top"/>
    </xf>
    <xf numFmtId="0" fontId="12" fillId="8" borderId="0" xfId="0" applyFont="1" applyFill="1" applyAlignment="1">
      <alignment horizontal="center" vertical="center"/>
    </xf>
    <xf numFmtId="168" fontId="12" fillId="8" borderId="0" xfId="1" applyFont="1" applyFill="1" applyAlignment="1">
      <alignment vertical="center"/>
    </xf>
    <xf numFmtId="168" fontId="12" fillId="8" borderId="26" xfId="1" applyFont="1" applyFill="1" applyBorder="1" applyAlignment="1">
      <alignment vertical="center"/>
    </xf>
    <xf numFmtId="168" fontId="12" fillId="8" borderId="18" xfId="1" applyFont="1" applyFill="1" applyBorder="1" applyAlignment="1">
      <alignment vertical="center"/>
    </xf>
    <xf numFmtId="0" fontId="15" fillId="8" borderId="0" xfId="0" applyFont="1" applyFill="1" applyAlignment="1">
      <alignment horizontal="center" vertical="center"/>
    </xf>
    <xf numFmtId="0" fontId="7" fillId="8" borderId="0" xfId="0" applyFont="1" applyFill="1" applyAlignment="1">
      <alignment horizontal="center" vertical="center"/>
    </xf>
    <xf numFmtId="0" fontId="7" fillId="0" borderId="0" xfId="0" applyFont="1" applyAlignment="1">
      <alignment horizontal="center" vertical="center"/>
    </xf>
    <xf numFmtId="0" fontId="66" fillId="0" borderId="26" xfId="0" applyFont="1" applyBorder="1" applyAlignment="1">
      <alignment horizontal="justify" vertical="top" wrapText="1"/>
    </xf>
    <xf numFmtId="172" fontId="0" fillId="0" borderId="0" xfId="1" applyNumberFormat="1" applyFont="1"/>
    <xf numFmtId="172" fontId="67" fillId="8" borderId="26" xfId="1" applyNumberFormat="1" applyFont="1" applyFill="1" applyBorder="1" applyAlignment="1">
      <alignment vertical="top"/>
    </xf>
    <xf numFmtId="172" fontId="7" fillId="8" borderId="0" xfId="1" applyNumberFormat="1" applyFont="1" applyFill="1" applyAlignment="1">
      <alignment vertical="center"/>
    </xf>
    <xf numFmtId="172" fontId="7" fillId="8" borderId="18" xfId="1" applyNumberFormat="1" applyFont="1" applyFill="1" applyBorder="1" applyAlignment="1">
      <alignment vertical="center"/>
    </xf>
    <xf numFmtId="172" fontId="0" fillId="0" borderId="0" xfId="1" applyNumberFormat="1" applyFont="1" applyFill="1"/>
    <xf numFmtId="172" fontId="67" fillId="0" borderId="0" xfId="1" applyNumberFormat="1" applyFont="1" applyFill="1" applyAlignment="1">
      <alignment vertical="top"/>
    </xf>
    <xf numFmtId="172" fontId="67" fillId="0" borderId="26" xfId="1" applyNumberFormat="1" applyFont="1" applyFill="1" applyBorder="1" applyAlignment="1">
      <alignment vertical="top"/>
    </xf>
    <xf numFmtId="172" fontId="67" fillId="8" borderId="0" xfId="1" applyNumberFormat="1" applyFont="1" applyFill="1" applyAlignment="1">
      <alignment vertical="top"/>
    </xf>
    <xf numFmtId="0" fontId="6" fillId="0" borderId="0" xfId="0" applyFont="1" applyAlignment="1">
      <alignment horizontal="center" vertical="center"/>
    </xf>
    <xf numFmtId="0" fontId="6" fillId="13" borderId="0" xfId="0" applyFont="1" applyFill="1" applyAlignment="1">
      <alignment horizontal="center" vertical="center"/>
    </xf>
    <xf numFmtId="0" fontId="67" fillId="0" borderId="26" xfId="7" applyFont="1" applyBorder="1" applyAlignment="1">
      <alignment horizontal="justify" vertical="top"/>
    </xf>
    <xf numFmtId="4" fontId="67" fillId="0" borderId="0" xfId="32" applyFont="1" applyFill="1" applyAlignment="1">
      <alignment vertical="top"/>
    </xf>
    <xf numFmtId="4" fontId="67" fillId="0" borderId="26" xfId="32" applyFont="1" applyFill="1" applyBorder="1" applyAlignment="1">
      <alignment vertical="top"/>
    </xf>
    <xf numFmtId="0" fontId="6" fillId="0" borderId="0" xfId="7" applyFont="1" applyAlignment="1">
      <alignment horizontal="center" vertical="center"/>
    </xf>
    <xf numFmtId="0" fontId="66" fillId="0" borderId="26" xfId="7" applyFont="1" applyBorder="1" applyAlignment="1">
      <alignment horizontal="justify" vertical="top"/>
    </xf>
    <xf numFmtId="0" fontId="5" fillId="0" borderId="0" xfId="7" applyFont="1" applyAlignment="1">
      <alignment horizontal="center" vertical="center"/>
    </xf>
    <xf numFmtId="0" fontId="66" fillId="0" borderId="26" xfId="0" applyFont="1" applyBorder="1" applyAlignment="1">
      <alignment horizontal="center" vertical="top"/>
    </xf>
    <xf numFmtId="168" fontId="66" fillId="0" borderId="0" xfId="1" applyFont="1" applyFill="1" applyAlignment="1">
      <alignment vertical="top"/>
    </xf>
    <xf numFmtId="168" fontId="66" fillId="0" borderId="26" xfId="1" applyFont="1" applyFill="1" applyBorder="1" applyAlignment="1">
      <alignment vertical="top"/>
    </xf>
    <xf numFmtId="177" fontId="66" fillId="0" borderId="26" xfId="1" applyNumberFormat="1" applyFont="1" applyFill="1" applyBorder="1" applyAlignment="1">
      <alignment horizontal="right" vertical="top"/>
    </xf>
    <xf numFmtId="172" fontId="66" fillId="0" borderId="26" xfId="1" applyNumberFormat="1" applyFont="1" applyFill="1" applyBorder="1" applyAlignment="1">
      <alignment horizontal="center" vertical="top"/>
    </xf>
    <xf numFmtId="177" fontId="66" fillId="0" borderId="26" xfId="1" applyNumberFormat="1" applyFont="1" applyFill="1" applyBorder="1" applyAlignment="1">
      <alignment horizontal="center" vertical="top"/>
    </xf>
    <xf numFmtId="178" fontId="66" fillId="0" borderId="26" xfId="1" applyNumberFormat="1" applyFont="1" applyFill="1" applyBorder="1" applyAlignment="1">
      <alignment horizontal="right" vertical="top" wrapText="1"/>
    </xf>
    <xf numFmtId="172" fontId="52" fillId="0" borderId="0" xfId="11" applyNumberFormat="1" applyFont="1"/>
    <xf numFmtId="0" fontId="4" fillId="0" borderId="0" xfId="7" applyFont="1" applyAlignment="1">
      <alignment horizontal="center" vertical="center"/>
    </xf>
    <xf numFmtId="4" fontId="67" fillId="0" borderId="0" xfId="15" applyNumberFormat="1" applyFont="1" applyAlignment="1">
      <alignment vertical="center"/>
    </xf>
    <xf numFmtId="0" fontId="67" fillId="13" borderId="26" xfId="0" applyFont="1" applyFill="1" applyBorder="1" applyAlignment="1">
      <alignment horizontal="justify" vertical="top"/>
    </xf>
    <xf numFmtId="0" fontId="4" fillId="0" borderId="0" xfId="0" applyFont="1" applyAlignment="1">
      <alignment horizontal="center" vertical="center"/>
    </xf>
    <xf numFmtId="0" fontId="3" fillId="0" borderId="0" xfId="7" applyFont="1" applyAlignment="1">
      <alignment horizontal="center" vertical="center"/>
    </xf>
    <xf numFmtId="0" fontId="67" fillId="0" borderId="26" xfId="7" applyFont="1" applyBorder="1" applyAlignment="1">
      <alignment horizontal="center" vertical="top"/>
    </xf>
    <xf numFmtId="0" fontId="2" fillId="0" borderId="0" xfId="7" applyFont="1" applyAlignment="1">
      <alignment horizontal="center" vertical="center"/>
    </xf>
    <xf numFmtId="0" fontId="2" fillId="8" borderId="0" xfId="0" applyFont="1" applyFill="1" applyAlignment="1">
      <alignment horizontal="center" vertical="center"/>
    </xf>
    <xf numFmtId="172" fontId="67" fillId="8" borderId="26" xfId="32" applyNumberFormat="1" applyFont="1" applyFill="1" applyBorder="1" applyAlignment="1">
      <alignment vertical="top"/>
    </xf>
    <xf numFmtId="172" fontId="67" fillId="8" borderId="0" xfId="32" applyNumberFormat="1" applyFont="1" applyFill="1" applyAlignment="1">
      <alignment vertical="top"/>
    </xf>
    <xf numFmtId="177" fontId="67" fillId="0" borderId="26" xfId="1" applyNumberFormat="1" applyFont="1" applyFill="1" applyBorder="1" applyAlignment="1">
      <alignment horizontal="left" vertical="top"/>
    </xf>
    <xf numFmtId="177" fontId="66" fillId="0" borderId="26" xfId="1" applyNumberFormat="1" applyFont="1" applyFill="1" applyBorder="1" applyAlignment="1">
      <alignment horizontal="left" vertical="top"/>
    </xf>
    <xf numFmtId="185" fontId="30" fillId="0" borderId="0" xfId="3" applyNumberFormat="1" applyFont="1" applyFill="1" applyAlignment="1">
      <alignment vertical="top"/>
    </xf>
    <xf numFmtId="168" fontId="30" fillId="0" borderId="0" xfId="1" applyFont="1" applyFill="1" applyAlignment="1">
      <alignment vertical="top"/>
    </xf>
    <xf numFmtId="43" fontId="32" fillId="0" borderId="0" xfId="0" applyNumberFormat="1" applyFont="1" applyAlignment="1">
      <alignment vertical="top"/>
    </xf>
    <xf numFmtId="183" fontId="0" fillId="8" borderId="0" xfId="38" applyNumberFormat="1" applyFont="1" applyFill="1"/>
    <xf numFmtId="172" fontId="87" fillId="0" borderId="14" xfId="1" applyNumberFormat="1" applyFont="1" applyFill="1" applyBorder="1" applyAlignment="1">
      <alignment horizontal="right" vertical="top" wrapText="1"/>
    </xf>
    <xf numFmtId="0" fontId="32" fillId="0" borderId="0" xfId="1" applyNumberFormat="1" applyFont="1" applyFill="1" applyBorder="1" applyAlignment="1">
      <alignment horizontal="right" vertical="top" wrapText="1"/>
    </xf>
    <xf numFmtId="0" fontId="17" fillId="0" borderId="0" xfId="4" applyFont="1" applyAlignment="1">
      <alignment vertical="top"/>
    </xf>
    <xf numFmtId="172" fontId="30" fillId="0" borderId="0" xfId="1" applyNumberFormat="1" applyFont="1" applyFill="1" applyAlignment="1">
      <alignment vertical="top"/>
    </xf>
    <xf numFmtId="168" fontId="37" fillId="0" borderId="0" xfId="1" applyFont="1" applyFill="1" applyBorder="1" applyAlignment="1">
      <alignment horizontal="left" vertical="top" wrapText="1"/>
    </xf>
    <xf numFmtId="10" fontId="32" fillId="0" borderId="0" xfId="0" applyNumberFormat="1" applyFont="1" applyAlignment="1">
      <alignment horizontal="left" vertical="top"/>
    </xf>
    <xf numFmtId="0" fontId="17" fillId="0" borderId="0" xfId="0" applyFont="1" applyAlignment="1">
      <alignment vertical="top" wrapText="1"/>
    </xf>
    <xf numFmtId="0" fontId="17" fillId="0" borderId="14" xfId="0" applyFont="1" applyBorder="1" applyAlignment="1">
      <alignment vertical="top"/>
    </xf>
    <xf numFmtId="0" fontId="17" fillId="0" borderId="14" xfId="0" applyFont="1" applyBorder="1" applyAlignment="1">
      <alignment vertical="top" wrapText="1"/>
    </xf>
    <xf numFmtId="0" fontId="17" fillId="0" borderId="12" xfId="0" applyFont="1" applyBorder="1" applyAlignment="1">
      <alignment vertical="top"/>
    </xf>
    <xf numFmtId="49" fontId="87" fillId="0" borderId="0" xfId="4" applyNumberFormat="1" applyFont="1" applyAlignment="1">
      <alignment horizontal="right" vertical="top"/>
    </xf>
    <xf numFmtId="15" fontId="17" fillId="0" borderId="0" xfId="0" applyNumberFormat="1" applyFont="1" applyAlignment="1">
      <alignment vertical="top"/>
    </xf>
    <xf numFmtId="0" fontId="87" fillId="0" borderId="0" xfId="4" applyFont="1" applyAlignment="1">
      <alignment horizontal="center" wrapText="1"/>
    </xf>
    <xf numFmtId="49" fontId="0" fillId="0" borderId="18" xfId="1" applyNumberFormat="1" applyFont="1" applyBorder="1"/>
    <xf numFmtId="167" fontId="17" fillId="0" borderId="14" xfId="1" applyNumberFormat="1" applyFont="1" applyFill="1" applyBorder="1" applyAlignment="1">
      <alignment horizontal="right" vertical="top"/>
    </xf>
    <xf numFmtId="172" fontId="30" fillId="0" borderId="14" xfId="0" applyNumberFormat="1" applyFont="1" applyBorder="1"/>
    <xf numFmtId="172" fontId="17" fillId="0" borderId="0" xfId="1" applyNumberFormat="1" applyFont="1" applyBorder="1"/>
    <xf numFmtId="168" fontId="17" fillId="0" borderId="0" xfId="1" applyFont="1"/>
    <xf numFmtId="172" fontId="37" fillId="0" borderId="0" xfId="1" applyNumberFormat="1" applyFont="1" applyFill="1" applyAlignment="1">
      <alignment horizontal="left" vertical="top" wrapText="1"/>
    </xf>
    <xf numFmtId="1" fontId="37" fillId="0" borderId="0" xfId="1" applyNumberFormat="1" applyFont="1" applyFill="1" applyAlignment="1">
      <alignment horizontal="right" vertical="top" wrapText="1"/>
    </xf>
    <xf numFmtId="172" fontId="37" fillId="0" borderId="0" xfId="1" applyNumberFormat="1" applyFont="1" applyFill="1" applyAlignment="1">
      <alignment horizontal="right" vertical="top" wrapText="1"/>
    </xf>
    <xf numFmtId="0" fontId="37" fillId="0" borderId="0" xfId="0" applyFont="1" applyAlignment="1">
      <alignment horizontal="left"/>
    </xf>
    <xf numFmtId="0" fontId="87" fillId="7" borderId="0" xfId="0" applyFont="1" applyFill="1" applyAlignment="1">
      <alignment horizontal="center"/>
    </xf>
    <xf numFmtId="0" fontId="37" fillId="7" borderId="0" xfId="0" applyFont="1" applyFill="1" applyAlignment="1">
      <alignment horizontal="center"/>
    </xf>
    <xf numFmtId="9" fontId="37" fillId="7" borderId="0" xfId="0" applyNumberFormat="1" applyFont="1" applyFill="1"/>
    <xf numFmtId="172" fontId="53" fillId="0" borderId="0" xfId="1" applyNumberFormat="1" applyFont="1"/>
    <xf numFmtId="172" fontId="0" fillId="18" borderId="17" xfId="1" applyNumberFormat="1" applyFont="1" applyFill="1" applyBorder="1"/>
    <xf numFmtId="49" fontId="0" fillId="18" borderId="18" xfId="1" applyNumberFormat="1" applyFont="1" applyFill="1" applyBorder="1"/>
    <xf numFmtId="172" fontId="37" fillId="0" borderId="0" xfId="1" applyNumberFormat="1" applyFont="1" applyFill="1" applyBorder="1" applyAlignment="1" applyProtection="1">
      <alignment horizontal="right" vertical="top"/>
    </xf>
    <xf numFmtId="168" fontId="30" fillId="0" borderId="14" xfId="1" applyFont="1" applyFill="1" applyBorder="1" applyAlignment="1">
      <alignment horizontal="right" vertical="top"/>
    </xf>
    <xf numFmtId="172" fontId="32" fillId="8" borderId="0" xfId="1" applyNumberFormat="1" applyFont="1" applyFill="1" applyBorder="1" applyAlignment="1">
      <alignment horizontal="justify" vertical="top" wrapText="1"/>
    </xf>
    <xf numFmtId="184" fontId="32" fillId="0" borderId="0" xfId="0" applyNumberFormat="1" applyFont="1" applyAlignment="1">
      <alignment vertical="top"/>
    </xf>
    <xf numFmtId="186" fontId="32" fillId="0" borderId="0" xfId="1" applyNumberFormat="1" applyFont="1" applyFill="1" applyAlignment="1">
      <alignment vertical="top"/>
    </xf>
    <xf numFmtId="172" fontId="61" fillId="8" borderId="26" xfId="1" applyNumberFormat="1" applyFont="1" applyFill="1" applyBorder="1" applyAlignment="1"/>
    <xf numFmtId="0" fontId="67" fillId="0" borderId="26" xfId="15" applyFont="1" applyBorder="1" applyAlignment="1">
      <alignment horizontal="left" vertical="center"/>
    </xf>
    <xf numFmtId="0" fontId="66" fillId="0" borderId="26" xfId="15" applyFont="1" applyBorder="1" applyAlignment="1">
      <alignment vertical="center"/>
    </xf>
    <xf numFmtId="39" fontId="66" fillId="0" borderId="0" xfId="8" applyNumberFormat="1" applyFont="1" applyAlignment="1">
      <alignment vertical="center"/>
    </xf>
    <xf numFmtId="0" fontId="66" fillId="0" borderId="25" xfId="15" applyFont="1" applyBorder="1" applyAlignment="1">
      <alignment vertical="center"/>
    </xf>
    <xf numFmtId="172" fontId="66" fillId="8" borderId="29" xfId="1" applyNumberFormat="1" applyFont="1" applyFill="1" applyBorder="1" applyAlignment="1">
      <alignment vertical="center"/>
    </xf>
    <xf numFmtId="167" fontId="60" fillId="8" borderId="29" xfId="1" applyNumberFormat="1" applyFont="1" applyFill="1" applyBorder="1" applyAlignment="1" applyProtection="1"/>
    <xf numFmtId="172" fontId="66" fillId="8" borderId="10" xfId="1" applyNumberFormat="1" applyFont="1" applyFill="1" applyBorder="1" applyAlignment="1">
      <alignment vertical="center"/>
    </xf>
    <xf numFmtId="172" fontId="60" fillId="8" borderId="29" xfId="1" applyNumberFormat="1" applyFont="1" applyFill="1" applyBorder="1" applyAlignment="1" applyProtection="1"/>
    <xf numFmtId="1" fontId="53" fillId="28" borderId="26" xfId="8" applyNumberFormat="1" applyFont="1" applyFill="1" applyBorder="1" applyAlignment="1">
      <alignment horizontal="center" vertical="center"/>
    </xf>
    <xf numFmtId="0" fontId="53" fillId="28" borderId="26" xfId="8" applyFont="1" applyFill="1" applyBorder="1" applyAlignment="1">
      <alignment vertical="center" wrapText="1"/>
    </xf>
    <xf numFmtId="0" fontId="60" fillId="0" borderId="26" xfId="4" applyFont="1" applyBorder="1" applyAlignment="1">
      <alignment wrapText="1"/>
    </xf>
    <xf numFmtId="0" fontId="64" fillId="0" borderId="26" xfId="4" applyFont="1" applyBorder="1" applyAlignment="1">
      <alignment horizontal="left" wrapText="1"/>
    </xf>
    <xf numFmtId="0" fontId="60" fillId="0" borderId="26" xfId="4" quotePrefix="1" applyFont="1" applyBorder="1" applyAlignment="1">
      <alignment horizontal="left" wrapText="1"/>
    </xf>
    <xf numFmtId="0" fontId="61" fillId="0" borderId="26" xfId="4" applyFont="1" applyBorder="1" applyAlignment="1">
      <alignment horizontal="left" wrapText="1" indent="2"/>
    </xf>
    <xf numFmtId="0" fontId="60" fillId="0" borderId="26" xfId="4" quotePrefix="1" applyFont="1" applyBorder="1" applyAlignment="1">
      <alignment horizontal="left"/>
    </xf>
    <xf numFmtId="0" fontId="64" fillId="0" borderId="0" xfId="4" applyFont="1" applyAlignment="1">
      <alignment horizontal="left"/>
    </xf>
    <xf numFmtId="0" fontId="65" fillId="0" borderId="26" xfId="4" applyFont="1" applyBorder="1" applyAlignment="1">
      <alignment horizontal="center"/>
    </xf>
    <xf numFmtId="0" fontId="65" fillId="0" borderId="0" xfId="4" applyFont="1" applyAlignment="1">
      <alignment horizontal="center"/>
    </xf>
    <xf numFmtId="0" fontId="61" fillId="0" borderId="26" xfId="4" applyFont="1" applyBorder="1" applyAlignment="1">
      <alignment horizontal="left" indent="1"/>
    </xf>
    <xf numFmtId="0" fontId="65" fillId="0" borderId="26" xfId="4" applyFont="1" applyBorder="1" applyAlignment="1">
      <alignment horizontal="left" wrapText="1" indent="1"/>
    </xf>
    <xf numFmtId="172" fontId="52" fillId="17" borderId="29" xfId="1" applyNumberFormat="1" applyFont="1" applyFill="1" applyBorder="1" applyAlignment="1">
      <alignment vertical="center"/>
    </xf>
    <xf numFmtId="167" fontId="61" fillId="17" borderId="26" xfId="1" applyNumberFormat="1" applyFont="1" applyFill="1" applyBorder="1" applyAlignment="1"/>
    <xf numFmtId="172" fontId="52" fillId="17" borderId="10" xfId="1" applyNumberFormat="1" applyFont="1" applyFill="1" applyBorder="1" applyAlignment="1">
      <alignment vertical="center"/>
    </xf>
    <xf numFmtId="172" fontId="57" fillId="17" borderId="10" xfId="1" applyNumberFormat="1" applyFont="1" applyFill="1" applyBorder="1" applyAlignment="1">
      <alignment vertical="center"/>
    </xf>
    <xf numFmtId="167" fontId="60" fillId="17" borderId="29" xfId="1" applyNumberFormat="1" applyFont="1" applyFill="1" applyBorder="1" applyAlignment="1" applyProtection="1"/>
    <xf numFmtId="167" fontId="61" fillId="17" borderId="25" xfId="1" applyNumberFormat="1" applyFont="1" applyFill="1" applyBorder="1" applyAlignment="1"/>
    <xf numFmtId="172" fontId="53" fillId="17" borderId="0" xfId="1" applyNumberFormat="1" applyFont="1" applyFill="1"/>
    <xf numFmtId="167" fontId="61" fillId="17" borderId="29" xfId="1" applyNumberFormat="1" applyFont="1" applyFill="1" applyBorder="1" applyAlignment="1" applyProtection="1"/>
    <xf numFmtId="0" fontId="79" fillId="0" borderId="0" xfId="34" applyFont="1" applyAlignment="1">
      <alignment horizontal="center" vertical="center"/>
    </xf>
    <xf numFmtId="0" fontId="115" fillId="0" borderId="26" xfId="0" applyFont="1" applyBorder="1" applyAlignment="1">
      <alignment horizontal="justify" vertical="top"/>
    </xf>
    <xf numFmtId="168" fontId="79" fillId="0" borderId="26" xfId="35" applyFont="1" applyFill="1" applyBorder="1" applyAlignment="1">
      <alignment vertical="center"/>
    </xf>
    <xf numFmtId="0" fontId="116" fillId="0" borderId="26" xfId="0" applyFont="1" applyBorder="1" applyAlignment="1">
      <alignment horizontal="justify" vertical="top" wrapText="1"/>
    </xf>
    <xf numFmtId="168" fontId="79" fillId="0" borderId="0" xfId="1" applyFont="1" applyFill="1" applyAlignment="1">
      <alignment vertical="center"/>
    </xf>
    <xf numFmtId="168" fontId="79" fillId="0" borderId="26" xfId="1" applyFont="1" applyFill="1" applyBorder="1" applyAlignment="1">
      <alignment vertical="center"/>
    </xf>
    <xf numFmtId="4" fontId="0" fillId="0" borderId="0" xfId="0" applyNumberFormat="1"/>
    <xf numFmtId="0" fontId="1" fillId="0" borderId="0" xfId="0" applyFont="1" applyAlignment="1">
      <alignment horizontal="center" vertical="center"/>
    </xf>
    <xf numFmtId="183" fontId="0" fillId="0" borderId="10" xfId="1" applyNumberFormat="1" applyFont="1" applyBorder="1"/>
    <xf numFmtId="0" fontId="66" fillId="0" borderId="0" xfId="0" applyFont="1" applyAlignment="1">
      <alignment horizontal="justify" vertical="top" wrapText="1"/>
    </xf>
    <xf numFmtId="0" fontId="117" fillId="0" borderId="0" xfId="0" applyFont="1" applyAlignment="1">
      <alignment vertical="center" wrapText="1"/>
    </xf>
    <xf numFmtId="0" fontId="118" fillId="0" borderId="0" xfId="0" applyFont="1" applyAlignment="1">
      <alignment vertical="center" wrapText="1"/>
    </xf>
    <xf numFmtId="0" fontId="119" fillId="0" borderId="0" xfId="0" applyFont="1" applyAlignment="1">
      <alignment vertical="center" wrapText="1"/>
    </xf>
    <xf numFmtId="0" fontId="79" fillId="0" borderId="0" xfId="0" applyFont="1" applyAlignment="1">
      <alignment horizontal="center" vertical="center"/>
    </xf>
    <xf numFmtId="168" fontId="115" fillId="26" borderId="0" xfId="1" applyFont="1" applyFill="1" applyAlignment="1">
      <alignment vertical="top"/>
    </xf>
    <xf numFmtId="168" fontId="115" fillId="0" borderId="26" xfId="1" applyFont="1" applyFill="1" applyBorder="1" applyAlignment="1">
      <alignment vertical="top"/>
    </xf>
    <xf numFmtId="168" fontId="115" fillId="0" borderId="0" xfId="1" applyFont="1" applyFill="1" applyAlignment="1">
      <alignment vertical="top"/>
    </xf>
    <xf numFmtId="0" fontId="116" fillId="0" borderId="26" xfId="0" applyFont="1" applyBorder="1" applyAlignment="1">
      <alignment horizontal="justify" vertical="top"/>
    </xf>
    <xf numFmtId="0" fontId="79" fillId="0" borderId="0" xfId="7" applyFont="1" applyAlignment="1">
      <alignment horizontal="center" vertical="center"/>
    </xf>
    <xf numFmtId="0" fontId="115" fillId="0" borderId="26" xfId="7" applyFont="1" applyBorder="1" applyAlignment="1">
      <alignment horizontal="justify" vertical="top"/>
    </xf>
    <xf numFmtId="183" fontId="120" fillId="0" borderId="10" xfId="1" applyNumberFormat="1" applyFont="1" applyFill="1" applyBorder="1"/>
    <xf numFmtId="183" fontId="0" fillId="0" borderId="0" xfId="1" applyNumberFormat="1" applyFont="1"/>
    <xf numFmtId="172" fontId="54" fillId="0" borderId="0" xfId="1" applyNumberFormat="1" applyFont="1" applyFill="1" applyBorder="1"/>
    <xf numFmtId="0" fontId="116" fillId="0" borderId="0" xfId="0" applyFont="1" applyAlignment="1">
      <alignment horizontal="justify" vertical="top"/>
    </xf>
    <xf numFmtId="49" fontId="0" fillId="0" borderId="18" xfId="1" applyNumberFormat="1" applyFont="1" applyFill="1" applyBorder="1"/>
    <xf numFmtId="0" fontId="49" fillId="0" borderId="0" xfId="0" applyFont="1" applyAlignment="1">
      <alignment vertical="top" wrapText="1"/>
    </xf>
    <xf numFmtId="172" fontId="61" fillId="0" borderId="0" xfId="1" applyNumberFormat="1" applyFont="1"/>
    <xf numFmtId="167" fontId="17" fillId="0" borderId="0" xfId="1" applyNumberFormat="1" applyFont="1" applyFill="1" applyBorder="1" applyAlignment="1">
      <alignment horizontal="right" vertical="top"/>
    </xf>
    <xf numFmtId="168" fontId="32" fillId="0" borderId="0" xfId="1" applyFont="1" applyAlignment="1">
      <alignment vertical="top"/>
    </xf>
    <xf numFmtId="172" fontId="17" fillId="18" borderId="0" xfId="1" applyNumberFormat="1" applyFont="1" applyFill="1" applyBorder="1" applyAlignment="1">
      <alignment horizontal="right" vertical="top"/>
    </xf>
    <xf numFmtId="3" fontId="89" fillId="18" borderId="14" xfId="0" applyNumberFormat="1" applyFont="1" applyFill="1" applyBorder="1" applyAlignment="1">
      <alignment horizontal="center" vertical="top" wrapText="1"/>
    </xf>
    <xf numFmtId="3" fontId="89" fillId="18" borderId="0" xfId="0" applyNumberFormat="1" applyFont="1" applyFill="1" applyAlignment="1">
      <alignment horizontal="center" vertical="center" wrapText="1"/>
    </xf>
    <xf numFmtId="172" fontId="32" fillId="18" borderId="0" xfId="1" applyNumberFormat="1" applyFont="1" applyFill="1" applyBorder="1" applyAlignment="1">
      <alignment horizontal="right" vertical="top"/>
    </xf>
    <xf numFmtId="172" fontId="37" fillId="8" borderId="0" xfId="1" applyNumberFormat="1" applyFont="1" applyFill="1" applyBorder="1" applyAlignment="1">
      <alignment horizontal="right" vertical="top" wrapText="1"/>
    </xf>
    <xf numFmtId="172" fontId="17" fillId="0" borderId="0" xfId="1" applyNumberFormat="1" applyFont="1" applyAlignment="1">
      <alignment vertical="top"/>
    </xf>
    <xf numFmtId="172" fontId="17" fillId="18" borderId="0" xfId="0" applyNumberFormat="1" applyFont="1" applyFill="1" applyAlignment="1">
      <alignment horizontal="center" vertical="top"/>
    </xf>
    <xf numFmtId="49" fontId="32" fillId="8" borderId="0" xfId="1" applyNumberFormat="1" applyFont="1" applyFill="1" applyBorder="1" applyAlignment="1">
      <alignment horizontal="right" vertical="top"/>
    </xf>
    <xf numFmtId="172" fontId="89" fillId="8" borderId="11" xfId="1" applyNumberFormat="1" applyFont="1" applyFill="1" applyBorder="1" applyAlignment="1">
      <alignment vertical="top"/>
    </xf>
    <xf numFmtId="9" fontId="37" fillId="8" borderId="0" xfId="0" applyNumberFormat="1" applyFont="1" applyFill="1"/>
    <xf numFmtId="10" fontId="37" fillId="8" borderId="0" xfId="3" applyNumberFormat="1" applyFont="1" applyFill="1" applyBorder="1" applyAlignment="1">
      <alignment horizontal="left" vertical="top"/>
    </xf>
    <xf numFmtId="172" fontId="37" fillId="8" borderId="0" xfId="1" applyNumberFormat="1" applyFont="1" applyFill="1" applyBorder="1" applyAlignment="1">
      <alignment horizontal="left" vertical="top" wrapText="1"/>
    </xf>
    <xf numFmtId="0" fontId="89" fillId="8" borderId="0" xfId="0" quotePrefix="1" applyFont="1" applyFill="1" applyAlignment="1">
      <alignment horizontal="center" vertical="top"/>
    </xf>
    <xf numFmtId="172" fontId="37" fillId="8" borderId="0" xfId="1" applyNumberFormat="1" applyFont="1" applyFill="1" applyBorder="1" applyAlignment="1">
      <alignment horizontal="center" vertical="top"/>
    </xf>
    <xf numFmtId="10" fontId="32" fillId="8" borderId="0" xfId="3" applyNumberFormat="1" applyFont="1" applyFill="1" applyBorder="1" applyAlignment="1">
      <alignment horizontal="right" vertical="top"/>
    </xf>
    <xf numFmtId="172" fontId="37" fillId="8" borderId="14" xfId="1" applyNumberFormat="1" applyFont="1" applyFill="1" applyBorder="1" applyAlignment="1">
      <alignment horizontal="left" vertical="top" wrapText="1"/>
    </xf>
    <xf numFmtId="172" fontId="32" fillId="8" borderId="14" xfId="1" applyNumberFormat="1" applyFont="1" applyFill="1" applyBorder="1" applyAlignment="1">
      <alignment vertical="top"/>
    </xf>
    <xf numFmtId="172" fontId="32" fillId="8" borderId="0" xfId="1" applyNumberFormat="1" applyFont="1" applyFill="1" applyAlignment="1">
      <alignment vertical="top"/>
    </xf>
    <xf numFmtId="0" fontId="32" fillId="18" borderId="0" xfId="0" applyFont="1" applyFill="1" applyAlignment="1">
      <alignment vertical="top"/>
    </xf>
    <xf numFmtId="0" fontId="18" fillId="18" borderId="0" xfId="0" applyFont="1" applyFill="1" applyAlignment="1">
      <alignment vertical="top"/>
    </xf>
    <xf numFmtId="0" fontId="17" fillId="18" borderId="0" xfId="0" applyFont="1" applyFill="1" applyAlignment="1">
      <alignment vertical="top"/>
    </xf>
    <xf numFmtId="0" fontId="17" fillId="8" borderId="0" xfId="0" applyFont="1" applyFill="1" applyAlignment="1">
      <alignment vertical="top"/>
    </xf>
    <xf numFmtId="172" fontId="32" fillId="8" borderId="0" xfId="1" applyNumberFormat="1" applyFont="1" applyFill="1" applyBorder="1"/>
    <xf numFmtId="172" fontId="89" fillId="8" borderId="11" xfId="1" applyNumberFormat="1" applyFont="1" applyFill="1" applyBorder="1"/>
    <xf numFmtId="172" fontId="32" fillId="8" borderId="0" xfId="1" applyNumberFormat="1" applyFont="1" applyFill="1" applyBorder="1" applyAlignment="1">
      <alignment horizontal="right" vertical="top" wrapText="1"/>
    </xf>
    <xf numFmtId="3" fontId="32" fillId="0" borderId="0" xfId="0" applyNumberFormat="1" applyFont="1"/>
    <xf numFmtId="168" fontId="89" fillId="8" borderId="14" xfId="1" applyFont="1" applyFill="1" applyBorder="1" applyAlignment="1">
      <alignment horizontal="right"/>
    </xf>
    <xf numFmtId="168" fontId="32" fillId="8" borderId="0" xfId="1" applyFont="1" applyFill="1" applyBorder="1" applyAlignment="1">
      <alignment horizontal="right"/>
    </xf>
    <xf numFmtId="0" fontId="32" fillId="8" borderId="0" xfId="1" applyNumberFormat="1" applyFont="1" applyFill="1" applyBorder="1" applyAlignment="1">
      <alignment horizontal="right"/>
    </xf>
    <xf numFmtId="172" fontId="32" fillId="8" borderId="0" xfId="1" applyNumberFormat="1" applyFont="1" applyFill="1" applyBorder="1" applyAlignment="1">
      <alignment horizontal="right"/>
    </xf>
    <xf numFmtId="172" fontId="32" fillId="8" borderId="0" xfId="1" applyNumberFormat="1" applyFont="1" applyFill="1" applyBorder="1" applyAlignment="1"/>
    <xf numFmtId="1" fontId="89" fillId="8" borderId="11" xfId="1" applyNumberFormat="1" applyFont="1" applyFill="1" applyBorder="1" applyAlignment="1">
      <alignment horizontal="right"/>
    </xf>
    <xf numFmtId="1" fontId="89" fillId="8" borderId="11" xfId="1" applyNumberFormat="1" applyFont="1" applyFill="1" applyBorder="1" applyAlignment="1"/>
    <xf numFmtId="172" fontId="89" fillId="8" borderId="11" xfId="1" applyNumberFormat="1" applyFont="1" applyFill="1" applyBorder="1" applyAlignment="1">
      <alignment horizontal="right"/>
    </xf>
    <xf numFmtId="172" fontId="89" fillId="8" borderId="11" xfId="1" applyNumberFormat="1" applyFont="1" applyFill="1" applyBorder="1" applyAlignment="1"/>
    <xf numFmtId="172" fontId="21" fillId="8" borderId="0" xfId="1" applyNumberFormat="1" applyFont="1" applyFill="1" applyBorder="1" applyAlignment="1">
      <alignment horizontal="right" vertical="top"/>
    </xf>
    <xf numFmtId="175" fontId="89" fillId="8" borderId="14" xfId="0" applyNumberFormat="1" applyFont="1" applyFill="1" applyBorder="1" applyAlignment="1">
      <alignment horizontal="center" vertical="top" wrapText="1"/>
    </xf>
    <xf numFmtId="175" fontId="89" fillId="8" borderId="0" xfId="0" applyNumberFormat="1" applyFont="1" applyFill="1" applyAlignment="1">
      <alignment horizontal="center" vertical="top" wrapText="1"/>
    </xf>
    <xf numFmtId="183" fontId="0" fillId="0" borderId="0" xfId="38" applyNumberFormat="1" applyFont="1" applyFill="1"/>
    <xf numFmtId="168" fontId="0" fillId="0" borderId="0" xfId="1" applyFont="1" applyFill="1"/>
    <xf numFmtId="172" fontId="30" fillId="8" borderId="0" xfId="1" applyNumberFormat="1" applyFont="1" applyFill="1" applyBorder="1" applyAlignment="1">
      <alignment vertical="top"/>
    </xf>
    <xf numFmtId="0" fontId="67" fillId="0" borderId="0" xfId="7" applyFont="1" applyAlignment="1">
      <alignment horizontal="justify" vertical="top"/>
    </xf>
    <xf numFmtId="0" fontId="37" fillId="8" borderId="0" xfId="1" applyNumberFormat="1" applyFont="1" applyFill="1" applyBorder="1" applyAlignment="1">
      <alignment horizontal="right" vertical="top" wrapText="1"/>
    </xf>
    <xf numFmtId="172" fontId="17" fillId="29" borderId="0" xfId="1" applyNumberFormat="1" applyFont="1" applyFill="1" applyBorder="1" applyAlignment="1">
      <alignment horizontal="right" vertical="top"/>
    </xf>
    <xf numFmtId="0" fontId="30" fillId="29" borderId="0" xfId="4" applyFont="1" applyFill="1" applyAlignment="1">
      <alignment horizontal="center" vertical="top"/>
    </xf>
    <xf numFmtId="1" fontId="30" fillId="8" borderId="0" xfId="4" applyNumberFormat="1" applyFont="1" applyFill="1" applyAlignment="1">
      <alignment horizontal="center" vertical="top"/>
    </xf>
    <xf numFmtId="0" fontId="17" fillId="0" borderId="0" xfId="0" applyFont="1" applyAlignment="1">
      <alignment horizontal="justify" vertical="top" wrapText="1"/>
    </xf>
    <xf numFmtId="0" fontId="18" fillId="0" borderId="0" xfId="0" applyFont="1" applyAlignment="1">
      <alignment horizontal="justify" vertical="top" wrapText="1"/>
    </xf>
    <xf numFmtId="0" fontId="32" fillId="0" borderId="0" xfId="0" applyFont="1" applyAlignment="1">
      <alignment vertical="top"/>
    </xf>
    <xf numFmtId="0" fontId="32" fillId="0" borderId="14" xfId="0" applyFont="1" applyBorder="1" applyAlignment="1">
      <alignment vertical="top"/>
    </xf>
    <xf numFmtId="0" fontId="37" fillId="0" borderId="0" xfId="0" applyFont="1" applyAlignment="1">
      <alignment horizontal="justify" vertical="top" wrapText="1"/>
    </xf>
    <xf numFmtId="0" fontId="32" fillId="0" borderId="0" xfId="0" applyFont="1" applyAlignment="1">
      <alignment horizontal="justify" vertical="top" wrapText="1"/>
    </xf>
    <xf numFmtId="0" fontId="17" fillId="0" borderId="0" xfId="0" applyFont="1" applyAlignment="1">
      <alignment horizontal="left" vertical="top" wrapText="1"/>
    </xf>
    <xf numFmtId="0" fontId="32" fillId="0" borderId="0" xfId="0" applyFont="1" applyAlignment="1">
      <alignment horizontal="left" vertical="top" wrapText="1"/>
    </xf>
    <xf numFmtId="0" fontId="20" fillId="0" borderId="0" xfId="0" quotePrefix="1" applyFont="1" applyAlignment="1">
      <alignment horizontal="justify" vertical="top" wrapText="1"/>
    </xf>
    <xf numFmtId="168" fontId="87" fillId="0" borderId="0" xfId="0" quotePrefix="1" applyNumberFormat="1" applyFont="1" applyAlignment="1">
      <alignment horizontal="center" vertical="center"/>
    </xf>
    <xf numFmtId="171" fontId="89" fillId="0" borderId="0" xfId="0" applyNumberFormat="1" applyFont="1" applyAlignment="1">
      <alignment horizontal="center" vertical="top"/>
    </xf>
    <xf numFmtId="0" fontId="90" fillId="8" borderId="0" xfId="0" quotePrefix="1" applyFont="1" applyFill="1" applyAlignment="1">
      <alignment horizontal="justify" vertical="top" wrapText="1"/>
    </xf>
    <xf numFmtId="0" fontId="17" fillId="8" borderId="0" xfId="0" applyFont="1" applyFill="1" applyAlignment="1">
      <alignment horizontal="justify" vertical="top"/>
    </xf>
    <xf numFmtId="0" fontId="32" fillId="8" borderId="0" xfId="0" applyFont="1" applyFill="1" applyAlignment="1">
      <alignment horizontal="justify" vertical="top"/>
    </xf>
    <xf numFmtId="171" fontId="89" fillId="0" borderId="14" xfId="4" applyNumberFormat="1" applyFont="1" applyBorder="1" applyAlignment="1">
      <alignment horizontal="center" vertical="top"/>
    </xf>
    <xf numFmtId="0" fontId="89" fillId="0" borderId="0" xfId="0" applyFont="1" applyAlignment="1">
      <alignment horizontal="center" vertical="top"/>
    </xf>
    <xf numFmtId="0" fontId="17" fillId="0" borderId="0" xfId="0" applyFont="1" applyAlignment="1">
      <alignment horizontal="center" vertical="top" wrapText="1"/>
    </xf>
    <xf numFmtId="0" fontId="89" fillId="0" borderId="14" xfId="0" applyFont="1" applyBorder="1" applyAlignment="1">
      <alignment horizontal="center" vertical="top"/>
    </xf>
    <xf numFmtId="172" fontId="17" fillId="0" borderId="0" xfId="0" applyNumberFormat="1" applyFont="1" applyAlignment="1">
      <alignment horizontal="left" vertical="top" wrapText="1"/>
    </xf>
    <xf numFmtId="171" fontId="89" fillId="0" borderId="0" xfId="4" applyNumberFormat="1" applyFont="1" applyAlignment="1">
      <alignment horizontal="center" vertical="top"/>
    </xf>
    <xf numFmtId="0" fontId="89" fillId="0" borderId="0" xfId="4" applyFont="1" applyAlignment="1">
      <alignment horizontal="center" vertical="top"/>
    </xf>
    <xf numFmtId="0" fontId="17" fillId="0" borderId="0" xfId="4" quotePrefix="1" applyFont="1" applyAlignment="1">
      <alignment horizontal="left" vertical="top" wrapText="1"/>
    </xf>
    <xf numFmtId="0" fontId="32" fillId="0" borderId="0" xfId="4" quotePrefix="1" applyFont="1" applyAlignment="1">
      <alignment horizontal="left" vertical="top" wrapText="1"/>
    </xf>
    <xf numFmtId="0" fontId="37" fillId="0" borderId="0" xfId="0" applyFont="1" applyAlignment="1">
      <alignment horizontal="left" vertical="top" wrapText="1"/>
    </xf>
    <xf numFmtId="0" fontId="18" fillId="0" borderId="0" xfId="4" quotePrefix="1" applyFont="1" applyAlignment="1">
      <alignment horizontal="left" vertical="top" wrapText="1"/>
    </xf>
    <xf numFmtId="171" fontId="89" fillId="0" borderId="14" xfId="0" applyNumberFormat="1" applyFont="1" applyBorder="1" applyAlignment="1">
      <alignment horizontal="center" vertical="top"/>
    </xf>
    <xf numFmtId="0" fontId="17" fillId="0" borderId="0" xfId="0" applyFont="1" applyAlignment="1">
      <alignment horizontal="left" vertical="justify" wrapText="1"/>
    </xf>
    <xf numFmtId="0" fontId="37" fillId="0" borderId="0" xfId="4" quotePrefix="1" applyAlignment="1">
      <alignment horizontal="left" vertical="top" wrapText="1"/>
    </xf>
    <xf numFmtId="0" fontId="89" fillId="0" borderId="11" xfId="0" applyFont="1" applyBorder="1" applyAlignment="1">
      <alignment horizontal="center" vertical="top" wrapText="1"/>
    </xf>
    <xf numFmtId="0" fontId="34" fillId="3" borderId="5" xfId="0" applyFont="1" applyFill="1" applyBorder="1" applyAlignment="1">
      <alignment horizontal="left" vertical="center"/>
    </xf>
    <xf numFmtId="0" fontId="34" fillId="3" borderId="6" xfId="0" applyFont="1" applyFill="1" applyBorder="1" applyAlignment="1">
      <alignment horizontal="left" vertical="center"/>
    </xf>
    <xf numFmtId="0" fontId="34" fillId="3" borderId="7" xfId="0" applyFont="1" applyFill="1" applyBorder="1" applyAlignment="1">
      <alignment horizontal="left" vertical="center"/>
    </xf>
    <xf numFmtId="0" fontId="34" fillId="5" borderId="5" xfId="0" applyFont="1" applyFill="1" applyBorder="1" applyAlignment="1">
      <alignment horizontal="left" vertical="center"/>
    </xf>
    <xf numFmtId="0" fontId="34" fillId="5" borderId="6" xfId="0" applyFont="1" applyFill="1" applyBorder="1" applyAlignment="1">
      <alignment horizontal="left" vertical="center"/>
    </xf>
    <xf numFmtId="0" fontId="34" fillId="5" borderId="7" xfId="0" applyFont="1" applyFill="1" applyBorder="1" applyAlignment="1">
      <alignment horizontal="left" vertical="center"/>
    </xf>
    <xf numFmtId="0" fontId="34" fillId="6" borderId="5" xfId="0" applyFont="1" applyFill="1" applyBorder="1" applyAlignment="1">
      <alignment horizontal="left" vertical="center"/>
    </xf>
    <xf numFmtId="0" fontId="34" fillId="6" borderId="6" xfId="0" applyFont="1" applyFill="1" applyBorder="1" applyAlignment="1">
      <alignment horizontal="left" vertical="center"/>
    </xf>
    <xf numFmtId="0" fontId="34" fillId="6" borderId="7" xfId="0" applyFont="1" applyFill="1" applyBorder="1" applyAlignment="1">
      <alignment horizontal="left" vertical="center"/>
    </xf>
    <xf numFmtId="0" fontId="34" fillId="0" borderId="5" xfId="0" applyFont="1" applyBorder="1" applyAlignment="1">
      <alignment horizontal="left" vertical="center"/>
    </xf>
    <xf numFmtId="0" fontId="34" fillId="0" borderId="7" xfId="0" applyFont="1" applyBorder="1" applyAlignment="1">
      <alignment horizontal="left" vertical="center"/>
    </xf>
    <xf numFmtId="0" fontId="108" fillId="0" borderId="0" xfId="27" applyFont="1" applyAlignment="1">
      <alignment horizontal="left" vertical="center" wrapText="1"/>
    </xf>
    <xf numFmtId="0" fontId="89" fillId="0" borderId="0" xfId="0" applyFont="1" applyAlignment="1">
      <alignment horizontal="center"/>
    </xf>
    <xf numFmtId="0" fontId="37" fillId="0" borderId="0" xfId="22" applyFont="1" applyAlignment="1">
      <alignment horizontal="justify" vertical="top" wrapText="1"/>
    </xf>
    <xf numFmtId="0" fontId="37" fillId="0" borderId="14" xfId="22" applyFont="1" applyBorder="1" applyAlignment="1">
      <alignment horizontal="justify" vertical="top" wrapText="1"/>
    </xf>
    <xf numFmtId="0" fontId="61" fillId="0" borderId="0" xfId="4" applyFont="1" applyAlignment="1">
      <alignment horizontal="left" vertical="distributed" wrapText="1"/>
    </xf>
    <xf numFmtId="173" fontId="32" fillId="0" borderId="0" xfId="4" quotePrefix="1" applyNumberFormat="1" applyFont="1" applyAlignment="1">
      <alignment horizontal="right" vertical="top"/>
    </xf>
    <xf numFmtId="0" fontId="31" fillId="0" borderId="0" xfId="0" applyFont="1" applyAlignment="1">
      <alignment horizontal="justify" vertical="top"/>
    </xf>
    <xf numFmtId="0" fontId="37" fillId="0" borderId="0" xfId="0" quotePrefix="1" applyFont="1" applyAlignment="1">
      <alignment horizontal="left" vertical="top" wrapText="1"/>
    </xf>
    <xf numFmtId="0" fontId="31" fillId="0" borderId="0" xfId="0" quotePrefix="1" applyFont="1" applyAlignment="1">
      <alignment horizontal="justify" vertical="top" wrapText="1"/>
    </xf>
    <xf numFmtId="0" fontId="89" fillId="0" borderId="0" xfId="0" applyFont="1" applyAlignment="1">
      <alignment horizontal="left" vertical="top"/>
    </xf>
    <xf numFmtId="0" fontId="87" fillId="0" borderId="0" xfId="20" applyFont="1" applyAlignment="1">
      <alignment horizontal="left" vertical="top"/>
    </xf>
    <xf numFmtId="0" fontId="31" fillId="0" borderId="0" xfId="0" applyFont="1" applyAlignment="1">
      <alignment horizontal="left" vertical="top"/>
    </xf>
    <xf numFmtId="0" fontId="31" fillId="0" borderId="0" xfId="0" applyFont="1" applyAlignment="1">
      <alignment horizontal="justify" vertical="top" wrapText="1"/>
    </xf>
    <xf numFmtId="0" fontId="32" fillId="0" borderId="0" xfId="0" applyFont="1" applyAlignment="1">
      <alignment horizontal="justify" vertical="top"/>
    </xf>
    <xf numFmtId="0" fontId="32" fillId="0" borderId="0" xfId="0" quotePrefix="1" applyFont="1" applyAlignment="1">
      <alignment horizontal="justify" vertical="top"/>
    </xf>
    <xf numFmtId="0" fontId="87" fillId="0" borderId="0" xfId="20" quotePrefix="1" applyFont="1" applyAlignment="1">
      <alignment horizontal="justify" vertical="top"/>
    </xf>
    <xf numFmtId="0" fontId="17" fillId="0" borderId="0" xfId="0" quotePrefix="1" applyFont="1" applyAlignment="1">
      <alignment horizontal="justify" vertical="top"/>
    </xf>
    <xf numFmtId="0" fontId="89" fillId="0" borderId="0" xfId="0" quotePrefix="1" applyFont="1" applyAlignment="1">
      <alignment horizontal="justify" vertical="top"/>
    </xf>
    <xf numFmtId="0" fontId="89" fillId="0" borderId="0" xfId="0" applyFont="1" applyAlignment="1">
      <alignment horizontal="justify" vertical="top"/>
    </xf>
    <xf numFmtId="0" fontId="89" fillId="0" borderId="0" xfId="0" applyFont="1" applyAlignment="1">
      <alignment horizontal="justify" vertical="top" wrapText="1"/>
    </xf>
    <xf numFmtId="0" fontId="17" fillId="0" borderId="0" xfId="0" applyFont="1" applyAlignment="1">
      <alignment vertical="top" wrapText="1"/>
    </xf>
    <xf numFmtId="0" fontId="32" fillId="0" borderId="0" xfId="0" applyFont="1" applyAlignment="1">
      <alignment vertical="top" wrapText="1"/>
    </xf>
    <xf numFmtId="0" fontId="32" fillId="0" borderId="0" xfId="0" applyFont="1" applyAlignment="1">
      <alignment horizontal="left" vertical="top"/>
    </xf>
    <xf numFmtId="0" fontId="37" fillId="0" borderId="0" xfId="22" quotePrefix="1" applyFont="1" applyAlignment="1">
      <alignment horizontal="justify" vertical="top" wrapText="1"/>
    </xf>
    <xf numFmtId="0" fontId="87" fillId="0" borderId="0" xfId="22" quotePrefix="1" applyFont="1" applyAlignment="1">
      <alignment horizontal="justify" vertical="top" wrapText="1"/>
    </xf>
    <xf numFmtId="0" fontId="31" fillId="0" borderId="0" xfId="0" quotePrefix="1" applyFont="1" applyAlignment="1">
      <alignment horizontal="justify" vertical="top"/>
    </xf>
    <xf numFmtId="0" fontId="32" fillId="0" borderId="0" xfId="22" applyFont="1" applyAlignment="1">
      <alignment horizontal="justify" vertical="top" wrapText="1"/>
    </xf>
    <xf numFmtId="0" fontId="32" fillId="0" borderId="0" xfId="22" applyFont="1" applyAlignment="1">
      <alignment horizontal="justify" vertical="top"/>
    </xf>
    <xf numFmtId="0" fontId="37" fillId="0" borderId="0" xfId="20" applyFont="1" applyAlignment="1">
      <alignment horizontal="justify" vertical="top" wrapText="1"/>
    </xf>
    <xf numFmtId="0" fontId="37" fillId="0" borderId="0" xfId="20" applyFont="1" applyAlignment="1">
      <alignment horizontal="left" vertical="top"/>
    </xf>
    <xf numFmtId="0" fontId="32" fillId="0" borderId="0" xfId="22" quotePrefix="1" applyFont="1" applyAlignment="1">
      <alignment horizontal="justify" vertical="top" wrapText="1"/>
    </xf>
    <xf numFmtId="0" fontId="87" fillId="0" borderId="14" xfId="21" applyFont="1" applyBorder="1" applyAlignment="1">
      <alignment vertical="top"/>
    </xf>
    <xf numFmtId="0" fontId="32" fillId="0" borderId="0" xfId="0" quotePrefix="1" applyFont="1" applyAlignment="1">
      <alignment horizontal="justify" vertical="top" wrapText="1"/>
    </xf>
    <xf numFmtId="0" fontId="18" fillId="0" borderId="0" xfId="0" applyFont="1" applyAlignment="1">
      <alignment horizontal="justify" vertical="top"/>
    </xf>
    <xf numFmtId="0" fontId="20" fillId="0" borderId="0" xfId="0" applyFont="1" applyAlignment="1">
      <alignment horizontal="justify" vertical="top"/>
    </xf>
    <xf numFmtId="0" fontId="17" fillId="5" borderId="0" xfId="0" applyFont="1" applyFill="1" applyAlignment="1">
      <alignment horizontal="justify" vertical="top" wrapText="1"/>
    </xf>
    <xf numFmtId="0" fontId="32" fillId="5" borderId="0" xfId="0" applyFont="1" applyFill="1" applyAlignment="1">
      <alignment horizontal="justify" vertical="top"/>
    </xf>
    <xf numFmtId="0" fontId="20" fillId="0" borderId="0" xfId="0" quotePrefix="1" applyFont="1" applyAlignment="1">
      <alignment horizontal="justify" vertical="top"/>
    </xf>
    <xf numFmtId="0" fontId="37" fillId="0" borderId="0" xfId="22" applyFont="1" applyAlignment="1">
      <alignment horizontal="justify" vertical="top"/>
    </xf>
    <xf numFmtId="0" fontId="37" fillId="0" borderId="0" xfId="20" quotePrefix="1" applyFont="1" applyAlignment="1">
      <alignment horizontal="justify" vertical="top" wrapText="1"/>
    </xf>
    <xf numFmtId="0" fontId="89" fillId="0" borderId="0" xfId="0" applyFont="1" applyAlignment="1">
      <alignment vertical="top"/>
    </xf>
    <xf numFmtId="0" fontId="31" fillId="0" borderId="0" xfId="0" quotePrefix="1" applyFont="1" applyAlignment="1">
      <alignment vertical="top" wrapText="1"/>
    </xf>
    <xf numFmtId="0" fontId="19" fillId="0" borderId="0" xfId="0" applyFont="1" applyAlignment="1">
      <alignment horizontal="left" vertical="top" wrapText="1"/>
    </xf>
    <xf numFmtId="0" fontId="31" fillId="0" borderId="0" xfId="0" applyFont="1" applyAlignment="1">
      <alignment horizontal="left" vertical="top" wrapText="1"/>
    </xf>
    <xf numFmtId="0" fontId="37" fillId="0" borderId="0" xfId="20" applyFont="1" applyAlignment="1">
      <alignment horizontal="left" vertical="top" wrapText="1"/>
    </xf>
    <xf numFmtId="0" fontId="32" fillId="0" borderId="0" xfId="0" applyFont="1" applyAlignment="1">
      <alignment horizontal="right"/>
    </xf>
    <xf numFmtId="0" fontId="37" fillId="7" borderId="0" xfId="24" applyFill="1" applyAlignment="1">
      <alignment vertical="top" wrapText="1"/>
    </xf>
    <xf numFmtId="0" fontId="30" fillId="0" borderId="0" xfId="0" applyFont="1" applyAlignment="1">
      <alignment horizontal="left" vertical="top" wrapText="1"/>
    </xf>
    <xf numFmtId="0" fontId="32" fillId="0" borderId="0" xfId="0" applyFont="1" applyAlignment="1">
      <alignment horizontal="left"/>
    </xf>
    <xf numFmtId="0" fontId="17" fillId="0" borderId="0" xfId="26" applyFont="1" applyAlignment="1">
      <alignment horizontal="justify" vertical="top" wrapText="1"/>
    </xf>
    <xf numFmtId="0" fontId="89" fillId="0" borderId="0" xfId="26" applyFont="1" applyAlignment="1">
      <alignment horizontal="justify" vertical="top" wrapText="1"/>
    </xf>
    <xf numFmtId="0" fontId="17" fillId="0" borderId="0" xfId="39" applyFont="1" applyAlignment="1">
      <alignment horizontal="justify" vertical="top" wrapText="1"/>
    </xf>
    <xf numFmtId="0" fontId="87" fillId="0" borderId="0" xfId="39" applyFont="1" applyAlignment="1">
      <alignment horizontal="left" vertical="top" wrapText="1"/>
    </xf>
    <xf numFmtId="0" fontId="37" fillId="0" borderId="0" xfId="39" applyFont="1">
      <alignment vertical="top"/>
    </xf>
    <xf numFmtId="0" fontId="17" fillId="0" borderId="0" xfId="26" quotePrefix="1" applyFont="1" applyAlignment="1">
      <alignment horizontal="justify" vertical="top" wrapText="1"/>
    </xf>
    <xf numFmtId="0" fontId="37" fillId="0" borderId="0" xfId="26" applyFont="1" applyAlignment="1">
      <alignment horizontal="justify" vertical="top" wrapText="1"/>
    </xf>
    <xf numFmtId="0" fontId="37" fillId="0" borderId="0" xfId="0" applyFont="1" applyAlignment="1">
      <alignment horizontal="justify" vertical="top"/>
    </xf>
    <xf numFmtId="0" fontId="89" fillId="0" borderId="0" xfId="29" applyFont="1" applyAlignment="1">
      <alignment horizontal="justify" vertical="top"/>
    </xf>
    <xf numFmtId="0" fontId="89" fillId="0" borderId="0" xfId="26" applyFont="1" applyAlignment="1">
      <alignment horizontal="left" vertical="top" wrapText="1"/>
    </xf>
    <xf numFmtId="0" fontId="17" fillId="0" borderId="0" xfId="29" applyFont="1" applyAlignment="1">
      <alignment horizontal="justify" vertical="top" wrapText="1"/>
    </xf>
    <xf numFmtId="0" fontId="17" fillId="0" borderId="0" xfId="29" applyFont="1" applyAlignment="1">
      <alignment horizontal="justify" vertical="top"/>
    </xf>
    <xf numFmtId="0" fontId="32" fillId="0" borderId="12" xfId="0" applyFont="1" applyBorder="1" applyAlignment="1">
      <alignment horizontal="center" vertical="top"/>
    </xf>
    <xf numFmtId="0" fontId="32" fillId="0" borderId="14" xfId="0" applyFont="1" applyBorder="1" applyAlignment="1">
      <alignment horizontal="center" vertical="top"/>
    </xf>
    <xf numFmtId="0" fontId="89" fillId="0" borderId="12" xfId="0" applyFont="1" applyBorder="1" applyAlignment="1">
      <alignment horizontal="center" vertical="top"/>
    </xf>
    <xf numFmtId="0" fontId="32" fillId="0" borderId="0" xfId="0" applyFont="1" applyAlignment="1">
      <alignment horizontal="center" vertical="top"/>
    </xf>
    <xf numFmtId="0" fontId="37" fillId="0" borderId="0" xfId="4" applyAlignment="1">
      <alignment horizontal="left" vertical="top" wrapText="1"/>
    </xf>
    <xf numFmtId="0" fontId="87" fillId="0" borderId="0" xfId="0" applyFont="1" applyAlignment="1">
      <alignment horizontal="right" vertical="top" wrapText="1"/>
    </xf>
    <xf numFmtId="0" fontId="87" fillId="0" borderId="14" xfId="0" applyFont="1" applyBorder="1" applyAlignment="1">
      <alignment horizontal="right" vertical="top"/>
    </xf>
    <xf numFmtId="0" fontId="87" fillId="0" borderId="0" xfId="0" applyFont="1" applyAlignment="1">
      <alignment horizontal="center" vertical="top"/>
    </xf>
    <xf numFmtId="1" fontId="87" fillId="0" borderId="0" xfId="5" applyNumberFormat="1" applyFont="1" applyFill="1" applyBorder="1" applyAlignment="1">
      <alignment horizontal="center" vertical="center"/>
    </xf>
    <xf numFmtId="1" fontId="87" fillId="0" borderId="14" xfId="5" applyNumberFormat="1" applyFont="1" applyFill="1" applyBorder="1" applyAlignment="1">
      <alignment horizontal="center" vertical="center" wrapText="1"/>
    </xf>
    <xf numFmtId="0" fontId="17" fillId="0" borderId="0" xfId="4" quotePrefix="1" applyFont="1" applyAlignment="1">
      <alignment horizontal="left" vertical="top"/>
    </xf>
    <xf numFmtId="0" fontId="34" fillId="0" borderId="0" xfId="0" applyFont="1" applyAlignment="1">
      <alignment horizontal="center" vertical="top"/>
    </xf>
    <xf numFmtId="0" fontId="38" fillId="0" borderId="0" xfId="0" applyFont="1" applyAlignment="1">
      <alignment horizontal="justify" vertical="top" wrapText="1"/>
    </xf>
    <xf numFmtId="0" fontId="42" fillId="0" borderId="0" xfId="4" applyFont="1" applyAlignment="1">
      <alignment horizontal="left" vertical="top"/>
    </xf>
    <xf numFmtId="0" fontId="89" fillId="0" borderId="0" xfId="0" applyFont="1" applyAlignment="1">
      <alignment horizontal="center" vertical="top" wrapText="1"/>
    </xf>
    <xf numFmtId="4" fontId="87" fillId="0" borderId="0" xfId="4" applyNumberFormat="1" applyFont="1" applyAlignment="1">
      <alignment horizontal="center" vertical="center" wrapText="1"/>
    </xf>
    <xf numFmtId="0" fontId="87" fillId="0" borderId="0" xfId="4" applyFont="1" applyAlignment="1">
      <alignment horizontal="center" vertical="center" wrapText="1"/>
    </xf>
    <xf numFmtId="0" fontId="87" fillId="0" borderId="11" xfId="4" applyFont="1" applyBorder="1" applyAlignment="1">
      <alignment horizontal="right" vertical="center" wrapText="1"/>
    </xf>
    <xf numFmtId="183" fontId="87" fillId="0" borderId="0" xfId="38" applyNumberFormat="1" applyFont="1" applyFill="1" applyBorder="1" applyAlignment="1">
      <alignment horizontal="center" vertical="top"/>
    </xf>
    <xf numFmtId="183" fontId="87" fillId="0" borderId="14" xfId="38" applyNumberFormat="1" applyFont="1" applyFill="1" applyBorder="1" applyAlignment="1">
      <alignment horizontal="right" vertical="center" wrapText="1"/>
    </xf>
    <xf numFmtId="0" fontId="89" fillId="0" borderId="0" xfId="0" applyFont="1" applyAlignment="1">
      <alignment horizontal="left" vertical="center"/>
    </xf>
    <xf numFmtId="0" fontId="89" fillId="0" borderId="14" xfId="0" applyFont="1" applyBorder="1" applyAlignment="1">
      <alignment horizontal="left" vertical="center"/>
    </xf>
    <xf numFmtId="0" fontId="32" fillId="0" borderId="0" xfId="0" applyFont="1" applyAlignment="1">
      <alignment horizontal="right" vertical="top" wrapText="1"/>
    </xf>
    <xf numFmtId="0" fontId="20" fillId="0" borderId="0" xfId="0" applyFont="1" applyAlignment="1">
      <alignment horizontal="justify" vertical="justify" wrapText="1"/>
    </xf>
    <xf numFmtId="0" fontId="32" fillId="0" borderId="0" xfId="0" applyFont="1" applyAlignment="1">
      <alignment horizontal="justify" vertical="justify" wrapText="1"/>
    </xf>
    <xf numFmtId="0" fontId="32" fillId="0" borderId="17" xfId="0" applyFont="1" applyBorder="1" applyAlignment="1">
      <alignment horizontal="left" vertical="top" wrapText="1"/>
    </xf>
    <xf numFmtId="0" fontId="17" fillId="0" borderId="0" xfId="0" applyFont="1" applyAlignment="1">
      <alignment horizontal="justify" vertical="justify"/>
    </xf>
    <xf numFmtId="0" fontId="20" fillId="0" borderId="0" xfId="0" applyFont="1" applyAlignment="1">
      <alignment horizontal="justify" vertical="justify"/>
    </xf>
    <xf numFmtId="0" fontId="32" fillId="0" borderId="0" xfId="0" applyFont="1" applyAlignment="1">
      <alignment horizontal="justify" vertical="justify"/>
    </xf>
    <xf numFmtId="0" fontId="17" fillId="0" borderId="0" xfId="0" applyFont="1" applyAlignment="1">
      <alignment horizontal="justify" vertical="top"/>
    </xf>
    <xf numFmtId="1" fontId="37" fillId="0" borderId="0" xfId="5" applyNumberFormat="1" applyFont="1" applyFill="1" applyBorder="1" applyAlignment="1">
      <alignment horizontal="left" vertical="center" wrapText="1"/>
    </xf>
    <xf numFmtId="0" fontId="0" fillId="0" borderId="0" xfId="0" applyAlignment="1">
      <alignment horizontal="left" vertical="center" wrapText="1"/>
    </xf>
    <xf numFmtId="1" fontId="37" fillId="0" borderId="0" xfId="5" applyNumberFormat="1" applyFont="1" applyFill="1" applyBorder="1" applyAlignment="1">
      <alignment horizontal="left" vertical="top" wrapText="1"/>
    </xf>
    <xf numFmtId="0" fontId="37" fillId="0" borderId="0" xfId="7" applyFont="1" applyAlignment="1">
      <alignment horizontal="justify" vertical="top" wrapText="1"/>
    </xf>
    <xf numFmtId="0" fontId="94" fillId="0" borderId="0" xfId="0" applyFont="1" applyAlignment="1">
      <alignment horizontal="justify" vertical="top"/>
    </xf>
    <xf numFmtId="0" fontId="17" fillId="0" borderId="14" xfId="0" applyFont="1" applyBorder="1" applyAlignment="1">
      <alignment vertical="top" wrapText="1"/>
    </xf>
    <xf numFmtId="168" fontId="89" fillId="0" borderId="0" xfId="1" applyFont="1" applyFill="1" applyBorder="1" applyAlignment="1">
      <alignment horizontal="center" vertical="center"/>
    </xf>
    <xf numFmtId="168" fontId="89" fillId="0" borderId="14" xfId="1" applyFont="1" applyFill="1" applyBorder="1" applyAlignment="1">
      <alignment horizontal="center" vertical="center"/>
    </xf>
    <xf numFmtId="0" fontId="17" fillId="18" borderId="0" xfId="0" applyFont="1" applyFill="1" applyAlignment="1">
      <alignment horizontal="justify" vertical="top" wrapText="1"/>
    </xf>
    <xf numFmtId="0" fontId="32" fillId="18" borderId="0" xfId="0" applyFont="1" applyFill="1" applyAlignment="1">
      <alignment horizontal="justify" vertical="top" wrapText="1"/>
    </xf>
    <xf numFmtId="0" fontId="37" fillId="0" borderId="0" xfId="4" applyAlignment="1">
      <alignment horizontal="justify" vertical="center" wrapText="1"/>
    </xf>
    <xf numFmtId="182" fontId="89" fillId="0" borderId="14" xfId="0" applyNumberFormat="1" applyFont="1" applyBorder="1" applyAlignment="1">
      <alignment horizontal="center" vertical="top" wrapText="1"/>
    </xf>
    <xf numFmtId="0" fontId="21" fillId="0" borderId="12" xfId="0" applyFont="1" applyBorder="1" applyAlignment="1">
      <alignment horizontal="justify" vertical="top"/>
    </xf>
    <xf numFmtId="0" fontId="21" fillId="0" borderId="0" xfId="0" applyFont="1" applyAlignment="1">
      <alignment horizontal="justify" vertical="top" wrapText="1"/>
    </xf>
    <xf numFmtId="168" fontId="89" fillId="0" borderId="0" xfId="1" applyFont="1" applyFill="1" applyBorder="1" applyAlignment="1">
      <alignment horizontal="center" wrapText="1"/>
    </xf>
    <xf numFmtId="0" fontId="17" fillId="0" borderId="14" xfId="0" applyFont="1" applyBorder="1" applyAlignment="1">
      <alignment horizontal="left" vertical="top" wrapText="1"/>
    </xf>
    <xf numFmtId="0" fontId="20" fillId="0" borderId="0" xfId="0" applyFont="1" applyAlignment="1">
      <alignment horizontal="justify" vertical="top" wrapText="1"/>
    </xf>
    <xf numFmtId="0" fontId="37" fillId="0" borderId="0" xfId="4" applyAlignment="1">
      <alignment horizontal="left" vertical="center" wrapText="1"/>
    </xf>
    <xf numFmtId="0" fontId="89" fillId="0" borderId="0" xfId="0" applyFont="1" applyAlignment="1">
      <alignment horizontal="left" vertical="top" wrapText="1"/>
    </xf>
    <xf numFmtId="0" fontId="89" fillId="0" borderId="14" xfId="0" applyFont="1" applyBorder="1" applyAlignment="1">
      <alignment horizontal="left" vertical="top" wrapText="1"/>
    </xf>
    <xf numFmtId="0" fontId="89" fillId="0" borderId="14" xfId="0" applyFont="1" applyBorder="1" applyAlignment="1">
      <alignment horizontal="center"/>
    </xf>
    <xf numFmtId="0" fontId="89" fillId="0" borderId="0" xfId="0" applyFont="1" applyAlignment="1">
      <alignment horizontal="right" vertical="top" wrapText="1"/>
    </xf>
    <xf numFmtId="0" fontId="89" fillId="0" borderId="14" xfId="0" applyFont="1" applyBorder="1" applyAlignment="1">
      <alignment horizontal="right" vertical="top" wrapText="1"/>
    </xf>
    <xf numFmtId="168" fontId="89" fillId="0" borderId="14" xfId="1" applyFont="1" applyFill="1" applyBorder="1" applyAlignment="1">
      <alignment horizontal="center"/>
    </xf>
    <xf numFmtId="173" fontId="32" fillId="0" borderId="0" xfId="4" quotePrefix="1" applyNumberFormat="1" applyFont="1" applyAlignment="1">
      <alignment horizontal="left" vertical="top"/>
    </xf>
    <xf numFmtId="0" fontId="37" fillId="8" borderId="0" xfId="0" applyFont="1" applyFill="1" applyAlignment="1">
      <alignment horizontal="justify" vertical="top" wrapText="1"/>
    </xf>
    <xf numFmtId="171" fontId="89" fillId="0" borderId="12" xfId="4" applyNumberFormat="1" applyFont="1" applyBorder="1" applyAlignment="1">
      <alignment horizontal="center" vertical="top"/>
    </xf>
    <xf numFmtId="171" fontId="32" fillId="0" borderId="12" xfId="4" applyNumberFormat="1" applyFont="1" applyBorder="1" applyAlignment="1">
      <alignment horizontal="center" vertical="top"/>
    </xf>
    <xf numFmtId="171" fontId="32" fillId="0" borderId="16" xfId="4" applyNumberFormat="1" applyFont="1" applyBorder="1" applyAlignment="1">
      <alignment horizontal="center" vertical="top"/>
    </xf>
    <xf numFmtId="0" fontId="90" fillId="0" borderId="12" xfId="0" quotePrefix="1" applyFont="1" applyBorder="1" applyAlignment="1">
      <alignment horizontal="left" vertical="top"/>
    </xf>
    <xf numFmtId="168" fontId="89" fillId="0" borderId="14" xfId="1" applyFont="1" applyFill="1" applyBorder="1" applyAlignment="1">
      <alignment horizontal="center" wrapText="1"/>
    </xf>
    <xf numFmtId="0" fontId="87" fillId="0" borderId="0" xfId="4" applyFont="1" applyAlignment="1">
      <alignment horizontal="justify" vertical="center" wrapText="1"/>
    </xf>
    <xf numFmtId="0" fontId="87" fillId="0" borderId="0" xfId="4" applyFont="1" applyAlignment="1">
      <alignment horizontal="left" vertical="center" wrapText="1"/>
    </xf>
    <xf numFmtId="0" fontId="37" fillId="0" borderId="12" xfId="4" applyBorder="1" applyAlignment="1">
      <alignment horizontal="left" vertical="top" wrapText="1"/>
    </xf>
    <xf numFmtId="0" fontId="32" fillId="0" borderId="0" xfId="0" applyFont="1" applyAlignment="1">
      <alignment horizontal="center" vertical="top" wrapText="1"/>
    </xf>
    <xf numFmtId="0" fontId="32" fillId="0" borderId="14" xfId="0" applyFont="1" applyBorder="1" applyAlignment="1">
      <alignment horizontal="center" vertical="top" wrapText="1"/>
    </xf>
    <xf numFmtId="0" fontId="90" fillId="0" borderId="0" xfId="0" quotePrefix="1" applyFont="1" applyAlignment="1">
      <alignment horizontal="left" vertical="top"/>
    </xf>
    <xf numFmtId="0" fontId="32" fillId="0" borderId="14" xfId="0" applyFont="1" applyBorder="1" applyAlignment="1">
      <alignment vertical="top" wrapText="1"/>
    </xf>
    <xf numFmtId="0" fontId="87" fillId="0" borderId="14" xfId="0" applyFont="1" applyBorder="1" applyAlignment="1">
      <alignment horizontal="center" vertical="center" wrapText="1"/>
    </xf>
    <xf numFmtId="15" fontId="49" fillId="0" borderId="15" xfId="0" applyNumberFormat="1" applyFont="1" applyBorder="1" applyAlignment="1">
      <alignment horizontal="center"/>
    </xf>
    <xf numFmtId="15" fontId="49" fillId="0" borderId="16" xfId="0" applyNumberFormat="1" applyFont="1" applyBorder="1" applyAlignment="1">
      <alignment horizontal="center"/>
    </xf>
    <xf numFmtId="0" fontId="80" fillId="0" borderId="38" xfId="0" applyFont="1" applyBorder="1" applyAlignment="1">
      <alignment horizontal="center"/>
    </xf>
    <xf numFmtId="0" fontId="80" fillId="0" borderId="39" xfId="0" applyFont="1" applyBorder="1" applyAlignment="1">
      <alignment horizontal="center"/>
    </xf>
    <xf numFmtId="0" fontId="80" fillId="0" borderId="40" xfId="0" applyFont="1" applyBorder="1" applyAlignment="1">
      <alignment horizontal="center"/>
    </xf>
    <xf numFmtId="0" fontId="80" fillId="0" borderId="41" xfId="0" applyFont="1" applyBorder="1" applyAlignment="1">
      <alignment horizontal="center"/>
    </xf>
    <xf numFmtId="39" fontId="80" fillId="0" borderId="24" xfId="0" applyNumberFormat="1" applyFont="1" applyBorder="1" applyAlignment="1">
      <alignment horizontal="center" vertical="center"/>
    </xf>
    <xf numFmtId="39" fontId="80" fillId="0" borderId="44" xfId="0" applyNumberFormat="1" applyFont="1" applyBorder="1" applyAlignment="1">
      <alignment horizontal="center" vertical="center"/>
    </xf>
    <xf numFmtId="0" fontId="80" fillId="0" borderId="24" xfId="0" applyFont="1" applyBorder="1" applyAlignment="1">
      <alignment horizontal="center" vertical="center" wrapText="1"/>
    </xf>
    <xf numFmtId="0" fontId="80" fillId="0" borderId="44" xfId="0" applyFont="1" applyBorder="1" applyAlignment="1">
      <alignment horizontal="center" vertical="center" wrapText="1"/>
    </xf>
  </cellXfs>
  <cellStyles count="40">
    <cellStyle name="Comma" xfId="1" builtinId="3"/>
    <cellStyle name="Comma [0]" xfId="33" builtinId="6"/>
    <cellStyle name="Comma 13 8 2 2" xfId="36" xr:uid="{040FF1A5-7346-46DA-A95B-99F6DD59BFCA}"/>
    <cellStyle name="Comma 2" xfId="32" xr:uid="{55E5B0F8-8C6B-4C2F-8690-C53375FB5033}"/>
    <cellStyle name="Comma 3" xfId="16" xr:uid="{00000000-0005-0000-0000-000001000000}"/>
    <cellStyle name="Comma 4" xfId="35" xr:uid="{7D999731-EC47-429A-806E-A84980288A65}"/>
    <cellStyle name="Comma 5" xfId="38" xr:uid="{16059AA1-B59C-4F26-8771-5F7A351CE558}"/>
    <cellStyle name="Comma 9 3" xfId="23" xr:uid="{00000000-0005-0000-0000-000002000000}"/>
    <cellStyle name="Comma_Format for Indian GAAP Financials" xfId="5" xr:uid="{00000000-0005-0000-0000-000003000000}"/>
    <cellStyle name="Comma_Q104_Groupings_TB" xfId="17" xr:uid="{00000000-0005-0000-0000-000004000000}"/>
    <cellStyle name="Comma_SL_YE Mar-05 - Grouping" xfId="9" xr:uid="{00000000-0005-0000-0000-000005000000}"/>
    <cellStyle name="Currency" xfId="2" builtinId="4"/>
    <cellStyle name="Currency_SL_YE Mar-05 - Grouping" xfId="10" xr:uid="{00000000-0005-0000-0000-000007000000}"/>
    <cellStyle name="Nor}al" xfId="20" xr:uid="{00000000-0005-0000-0000-000008000000}"/>
    <cellStyle name="Normal" xfId="0" builtinId="0"/>
    <cellStyle name="Normal 2" xfId="7" xr:uid="{00000000-0005-0000-0000-00000A000000}"/>
    <cellStyle name="Normal 2 18" xfId="39" xr:uid="{8E3B76CB-942D-49DD-96F8-F72474DFCF38}"/>
    <cellStyle name="Normal 3" xfId="26" xr:uid="{00000000-0005-0000-0000-00000B000000}"/>
    <cellStyle name="Normal 3 2" xfId="27" xr:uid="{00000000-0005-0000-0000-00000C000000}"/>
    <cellStyle name="Normal 3 3" xfId="29" xr:uid="{00000000-0005-0000-0000-00000D000000}"/>
    <cellStyle name="Normal 4" xfId="34" xr:uid="{B2A49B8D-5572-4813-B9BC-A25EA86E12FC}"/>
    <cellStyle name="Normal 5" xfId="37" xr:uid="{77B5A501-329F-4038-8B94-9A4BA9D41547}"/>
    <cellStyle name="Normal 6 3 9 2" xfId="22" xr:uid="{00000000-0005-0000-0000-00000E000000}"/>
    <cellStyle name="Normal 6 3 9 2 2" xfId="28" xr:uid="{00000000-0005-0000-0000-00000F000000}"/>
    <cellStyle name="Normal 6 3 9 2 2 2" xfId="31" xr:uid="{A66D8ED6-470C-463E-B4CD-0D3491746572}"/>
    <cellStyle name="Normal 6 3 9 2 3" xfId="30" xr:uid="{D6FF4C76-D5F2-4873-8959-F589CC12E63D}"/>
    <cellStyle name="Normal 9 2" xfId="19" xr:uid="{00000000-0005-0000-0000-000010000000}"/>
    <cellStyle name="Normal_011A - Format for Indian GAAP Financials" xfId="25" xr:uid="{00000000-0005-0000-0000-000011000000}"/>
    <cellStyle name="Normal_BS0308 Final" xfId="21" xr:uid="{00000000-0005-0000-0000-000012000000}"/>
    <cellStyle name="Normal_Format for Indian GAAP Financials" xfId="4" xr:uid="{00000000-0005-0000-0000-000013000000}"/>
    <cellStyle name="Normal_MARCH2007_SL_STAT v15" xfId="6" xr:uid="{00000000-0005-0000-0000-000014000000}"/>
    <cellStyle name="Normal_MTV (IFRS) BS, PL &amp;  Notes 2005-06" xfId="24" xr:uid="{00000000-0005-0000-0000-000015000000}"/>
    <cellStyle name="Normal_Q104_Groupings_TB" xfId="11" xr:uid="{00000000-0005-0000-0000-000016000000}"/>
    <cellStyle name="Normal_Sheet1_MARCH2008_SL_STAT v9.6" xfId="14" xr:uid="{00000000-0005-0000-0000-000017000000}"/>
    <cellStyle name="Normal_SL_March_2009_COA_BSPL Ver1" xfId="13" xr:uid="{00000000-0005-0000-0000-000018000000}"/>
    <cellStyle name="Normal_SL_YE Mar-05 - Grouping" xfId="8" xr:uid="{00000000-0005-0000-0000-000019000000}"/>
    <cellStyle name="Normal_tbq103final" xfId="18" xr:uid="{00000000-0005-0000-0000-00001A000000}"/>
    <cellStyle name="Normal_USPL" xfId="15" xr:uid="{00000000-0005-0000-0000-00001B000000}"/>
    <cellStyle name="Percent" xfId="3" builtinId="5"/>
    <cellStyle name="PSChar" xfId="12" xr:uid="{00000000-0005-0000-0000-00001D000000}"/>
  </cellStyles>
  <dxfs count="80">
    <dxf>
      <fill>
        <patternFill>
          <bgColor theme="5" tint="0.39994506668294322"/>
        </patternFill>
      </fill>
    </dxf>
    <dxf>
      <fill>
        <patternFill>
          <bgColor theme="5" tint="0.39994506668294322"/>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ill>
        <patternFill>
          <bgColor theme="5" tint="0.39994506668294322"/>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theme="5" tint="0.39994506668294322"/>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theme="5" tint="0.39994506668294322"/>
        </patternFill>
      </fill>
    </dxf>
    <dxf>
      <fill>
        <patternFill>
          <bgColor theme="5" tint="0.39994506668294322"/>
        </patternFill>
      </fill>
    </dxf>
    <dxf>
      <fill>
        <patternFill>
          <bgColor rgb="FFFF99FF"/>
        </patternFill>
      </fill>
    </dxf>
    <dxf>
      <fill>
        <patternFill>
          <bgColor theme="5" tint="0.39994506668294322"/>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99FF"/>
        </patternFill>
      </fill>
    </dxf>
    <dxf>
      <fill>
        <patternFill>
          <bgColor rgb="FFF5B1DD"/>
        </patternFill>
      </fill>
    </dxf>
    <dxf>
      <fill>
        <patternFill>
          <bgColor theme="5" tint="0.39994506668294322"/>
        </patternFill>
      </fill>
    </dxf>
    <dxf>
      <fill>
        <patternFill>
          <bgColor rgb="FFFD7BFD"/>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theme="5" tint="0.39994506668294322"/>
        </patternFill>
      </fill>
    </dxf>
    <dxf>
      <fill>
        <patternFill>
          <bgColor theme="5" tint="0.39994506668294322"/>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fgColor indexed="10"/>
          <bgColor indexed="10"/>
        </patternFill>
      </fill>
    </dxf>
    <dxf>
      <fill>
        <patternFill>
          <bgColor rgb="FF0070C0"/>
        </patternFill>
      </fill>
    </dxf>
    <dxf>
      <fill>
        <patternFill>
          <bgColor theme="5" tint="-0.24994659260841701"/>
        </patternFill>
      </fill>
    </dxf>
    <dxf>
      <fill>
        <patternFill>
          <bgColor theme="5"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colors>
    <mruColors>
      <color rgb="FFFF99FF"/>
      <color rgb="FFF5B1DD"/>
      <color rgb="FFFD7B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7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externalLink" Target="externalLinks/externalLink21.xml"/><Relationship Id="rId84" Type="http://schemas.openxmlformats.org/officeDocument/2006/relationships/externalLink" Target="externalLinks/externalLink42.xml"/><Relationship Id="rId138" Type="http://schemas.openxmlformats.org/officeDocument/2006/relationships/externalLink" Target="externalLinks/externalLink96.xml"/><Relationship Id="rId107" Type="http://schemas.openxmlformats.org/officeDocument/2006/relationships/externalLink" Target="externalLinks/externalLink6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externalLink" Target="externalLinks/externalLink11.xml"/><Relationship Id="rId74" Type="http://schemas.openxmlformats.org/officeDocument/2006/relationships/externalLink" Target="externalLinks/externalLink32.xml"/><Relationship Id="rId128" Type="http://schemas.openxmlformats.org/officeDocument/2006/relationships/externalLink" Target="externalLinks/externalLink86.xml"/><Relationship Id="rId149" Type="http://schemas.openxmlformats.org/officeDocument/2006/relationships/styles" Target="styles.xml"/><Relationship Id="rId5" Type="http://schemas.openxmlformats.org/officeDocument/2006/relationships/worksheet" Target="worksheets/sheet5.xml"/><Relationship Id="rId95" Type="http://schemas.openxmlformats.org/officeDocument/2006/relationships/externalLink" Target="externalLinks/externalLink5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113" Type="http://schemas.openxmlformats.org/officeDocument/2006/relationships/externalLink" Target="externalLinks/externalLink71.xml"/><Relationship Id="rId118" Type="http://schemas.openxmlformats.org/officeDocument/2006/relationships/externalLink" Target="externalLinks/externalLink76.xml"/><Relationship Id="rId134" Type="http://schemas.openxmlformats.org/officeDocument/2006/relationships/externalLink" Target="externalLinks/externalLink92.xml"/><Relationship Id="rId139" Type="http://schemas.openxmlformats.org/officeDocument/2006/relationships/externalLink" Target="externalLinks/externalLink97.xml"/><Relationship Id="rId80" Type="http://schemas.openxmlformats.org/officeDocument/2006/relationships/externalLink" Target="externalLinks/externalLink38.xml"/><Relationship Id="rId85" Type="http://schemas.openxmlformats.org/officeDocument/2006/relationships/externalLink" Target="externalLinks/externalLink43.xml"/><Relationship Id="rId150" Type="http://schemas.openxmlformats.org/officeDocument/2006/relationships/sharedStrings" Target="sharedStrings.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17.xml"/><Relationship Id="rId103" Type="http://schemas.openxmlformats.org/officeDocument/2006/relationships/externalLink" Target="externalLinks/externalLink61.xml"/><Relationship Id="rId108" Type="http://schemas.openxmlformats.org/officeDocument/2006/relationships/externalLink" Target="externalLinks/externalLink66.xml"/><Relationship Id="rId124" Type="http://schemas.openxmlformats.org/officeDocument/2006/relationships/externalLink" Target="externalLinks/externalLink82.xml"/><Relationship Id="rId129" Type="http://schemas.openxmlformats.org/officeDocument/2006/relationships/externalLink" Target="externalLinks/externalLink87.xml"/><Relationship Id="rId54" Type="http://schemas.openxmlformats.org/officeDocument/2006/relationships/externalLink" Target="externalLinks/externalLink12.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91" Type="http://schemas.openxmlformats.org/officeDocument/2006/relationships/externalLink" Target="externalLinks/externalLink49.xml"/><Relationship Id="rId96" Type="http://schemas.openxmlformats.org/officeDocument/2006/relationships/externalLink" Target="externalLinks/externalLink54.xml"/><Relationship Id="rId140" Type="http://schemas.openxmlformats.org/officeDocument/2006/relationships/externalLink" Target="externalLinks/externalLink98.xml"/><Relationship Id="rId145" Type="http://schemas.openxmlformats.org/officeDocument/2006/relationships/externalLink" Target="externalLinks/externalLink10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externalLink" Target="externalLinks/externalLink7.xml"/><Relationship Id="rId114" Type="http://schemas.openxmlformats.org/officeDocument/2006/relationships/externalLink" Target="externalLinks/externalLink72.xml"/><Relationship Id="rId119" Type="http://schemas.openxmlformats.org/officeDocument/2006/relationships/externalLink" Target="externalLinks/externalLink77.xml"/><Relationship Id="rId44" Type="http://schemas.openxmlformats.org/officeDocument/2006/relationships/externalLink" Target="externalLinks/externalLink2.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81" Type="http://schemas.openxmlformats.org/officeDocument/2006/relationships/externalLink" Target="externalLinks/externalLink39.xml"/><Relationship Id="rId86" Type="http://schemas.openxmlformats.org/officeDocument/2006/relationships/externalLink" Target="externalLinks/externalLink44.xml"/><Relationship Id="rId130" Type="http://schemas.openxmlformats.org/officeDocument/2006/relationships/externalLink" Target="externalLinks/externalLink88.xml"/><Relationship Id="rId135" Type="http://schemas.openxmlformats.org/officeDocument/2006/relationships/externalLink" Target="externalLinks/externalLink93.xml"/><Relationship Id="rId151" Type="http://schemas.microsoft.com/office/2017/10/relationships/person" Target="persons/person.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67.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97" Type="http://schemas.openxmlformats.org/officeDocument/2006/relationships/externalLink" Target="externalLinks/externalLink55.xml"/><Relationship Id="rId104" Type="http://schemas.openxmlformats.org/officeDocument/2006/relationships/externalLink" Target="externalLinks/externalLink62.xml"/><Relationship Id="rId120" Type="http://schemas.openxmlformats.org/officeDocument/2006/relationships/externalLink" Target="externalLinks/externalLink78.xml"/><Relationship Id="rId125" Type="http://schemas.openxmlformats.org/officeDocument/2006/relationships/externalLink" Target="externalLinks/externalLink83.xml"/><Relationship Id="rId141" Type="http://schemas.openxmlformats.org/officeDocument/2006/relationships/externalLink" Target="externalLinks/externalLink99.xml"/><Relationship Id="rId146" Type="http://schemas.openxmlformats.org/officeDocument/2006/relationships/externalLink" Target="externalLinks/externalLink104.xml"/><Relationship Id="rId7" Type="http://schemas.openxmlformats.org/officeDocument/2006/relationships/worksheet" Target="worksheets/sheet7.xml"/><Relationship Id="rId71" Type="http://schemas.openxmlformats.org/officeDocument/2006/relationships/externalLink" Target="externalLinks/externalLink29.xml"/><Relationship Id="rId92" Type="http://schemas.openxmlformats.org/officeDocument/2006/relationships/externalLink" Target="externalLinks/externalLink5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 Id="rId87" Type="http://schemas.openxmlformats.org/officeDocument/2006/relationships/externalLink" Target="externalLinks/externalLink45.xml"/><Relationship Id="rId110" Type="http://schemas.openxmlformats.org/officeDocument/2006/relationships/externalLink" Target="externalLinks/externalLink68.xml"/><Relationship Id="rId115" Type="http://schemas.openxmlformats.org/officeDocument/2006/relationships/externalLink" Target="externalLinks/externalLink73.xml"/><Relationship Id="rId131" Type="http://schemas.openxmlformats.org/officeDocument/2006/relationships/externalLink" Target="externalLinks/externalLink89.xml"/><Relationship Id="rId136" Type="http://schemas.openxmlformats.org/officeDocument/2006/relationships/externalLink" Target="externalLinks/externalLink94.xml"/><Relationship Id="rId61" Type="http://schemas.openxmlformats.org/officeDocument/2006/relationships/externalLink" Target="externalLinks/externalLink19.xml"/><Relationship Id="rId82" Type="http://schemas.openxmlformats.org/officeDocument/2006/relationships/externalLink" Target="externalLinks/externalLink40.xml"/><Relationship Id="rId152"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14.xml"/><Relationship Id="rId77" Type="http://schemas.openxmlformats.org/officeDocument/2006/relationships/externalLink" Target="externalLinks/externalLink35.xml"/><Relationship Id="rId100" Type="http://schemas.openxmlformats.org/officeDocument/2006/relationships/externalLink" Target="externalLinks/externalLink58.xml"/><Relationship Id="rId105" Type="http://schemas.openxmlformats.org/officeDocument/2006/relationships/externalLink" Target="externalLinks/externalLink63.xml"/><Relationship Id="rId126" Type="http://schemas.openxmlformats.org/officeDocument/2006/relationships/externalLink" Target="externalLinks/externalLink84.xml"/><Relationship Id="rId147" Type="http://schemas.openxmlformats.org/officeDocument/2006/relationships/externalLink" Target="externalLinks/externalLink10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93" Type="http://schemas.openxmlformats.org/officeDocument/2006/relationships/externalLink" Target="externalLinks/externalLink51.xml"/><Relationship Id="rId98" Type="http://schemas.openxmlformats.org/officeDocument/2006/relationships/externalLink" Target="externalLinks/externalLink56.xml"/><Relationship Id="rId121" Type="http://schemas.openxmlformats.org/officeDocument/2006/relationships/externalLink" Target="externalLinks/externalLink79.xml"/><Relationship Id="rId142" Type="http://schemas.openxmlformats.org/officeDocument/2006/relationships/externalLink" Target="externalLinks/externalLink10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externalLink" Target="externalLinks/externalLink4.xml"/><Relationship Id="rId67" Type="http://schemas.openxmlformats.org/officeDocument/2006/relationships/externalLink" Target="externalLinks/externalLink25.xml"/><Relationship Id="rId116" Type="http://schemas.openxmlformats.org/officeDocument/2006/relationships/externalLink" Target="externalLinks/externalLink74.xml"/><Relationship Id="rId137" Type="http://schemas.openxmlformats.org/officeDocument/2006/relationships/externalLink" Target="externalLinks/externalLink9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20.xml"/><Relationship Id="rId83" Type="http://schemas.openxmlformats.org/officeDocument/2006/relationships/externalLink" Target="externalLinks/externalLink41.xml"/><Relationship Id="rId88" Type="http://schemas.openxmlformats.org/officeDocument/2006/relationships/externalLink" Target="externalLinks/externalLink46.xml"/><Relationship Id="rId111" Type="http://schemas.openxmlformats.org/officeDocument/2006/relationships/externalLink" Target="externalLinks/externalLink69.xml"/><Relationship Id="rId132" Type="http://schemas.openxmlformats.org/officeDocument/2006/relationships/externalLink" Target="externalLinks/externalLink9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5.xml"/><Relationship Id="rId106" Type="http://schemas.openxmlformats.org/officeDocument/2006/relationships/externalLink" Target="externalLinks/externalLink64.xml"/><Relationship Id="rId127" Type="http://schemas.openxmlformats.org/officeDocument/2006/relationships/externalLink" Target="externalLinks/externalLink8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externalLink" Target="externalLinks/externalLink10.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94" Type="http://schemas.openxmlformats.org/officeDocument/2006/relationships/externalLink" Target="externalLinks/externalLink52.xml"/><Relationship Id="rId99" Type="http://schemas.openxmlformats.org/officeDocument/2006/relationships/externalLink" Target="externalLinks/externalLink57.xml"/><Relationship Id="rId101" Type="http://schemas.openxmlformats.org/officeDocument/2006/relationships/externalLink" Target="externalLinks/externalLink59.xml"/><Relationship Id="rId122" Type="http://schemas.openxmlformats.org/officeDocument/2006/relationships/externalLink" Target="externalLinks/externalLink80.xml"/><Relationship Id="rId143" Type="http://schemas.openxmlformats.org/officeDocument/2006/relationships/externalLink" Target="externalLinks/externalLink101.xml"/><Relationship Id="rId148"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externalLink" Target="externalLinks/externalLink5.xml"/><Relationship Id="rId68" Type="http://schemas.openxmlformats.org/officeDocument/2006/relationships/externalLink" Target="externalLinks/externalLink26.xml"/><Relationship Id="rId89" Type="http://schemas.openxmlformats.org/officeDocument/2006/relationships/externalLink" Target="externalLinks/externalLink47.xml"/><Relationship Id="rId112" Type="http://schemas.openxmlformats.org/officeDocument/2006/relationships/externalLink" Target="externalLinks/externalLink70.xml"/><Relationship Id="rId133" Type="http://schemas.openxmlformats.org/officeDocument/2006/relationships/externalLink" Target="externalLinks/externalLink9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externalLink" Target="externalLinks/externalLink16.xml"/><Relationship Id="rId79" Type="http://schemas.openxmlformats.org/officeDocument/2006/relationships/externalLink" Target="externalLinks/externalLink37.xml"/><Relationship Id="rId102" Type="http://schemas.openxmlformats.org/officeDocument/2006/relationships/externalLink" Target="externalLinks/externalLink60.xml"/><Relationship Id="rId123" Type="http://schemas.openxmlformats.org/officeDocument/2006/relationships/externalLink" Target="externalLinks/externalLink81.xml"/><Relationship Id="rId144" Type="http://schemas.openxmlformats.org/officeDocument/2006/relationships/externalLink" Target="externalLinks/externalLink102.xml"/><Relationship Id="rId90" Type="http://schemas.openxmlformats.org/officeDocument/2006/relationships/externalLink" Target="externalLinks/externalLink48.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34</xdr:row>
      <xdr:rowOff>0</xdr:rowOff>
    </xdr:from>
    <xdr:to>
      <xdr:col>16</xdr:col>
      <xdr:colOff>104775</xdr:colOff>
      <xdr:row>34</xdr:row>
      <xdr:rowOff>0</xdr:rowOff>
    </xdr:to>
    <xdr:sp macro="" textlink="">
      <xdr:nvSpPr>
        <xdr:cNvPr id="2" name="Text Box 1">
          <a:extLst>
            <a:ext uri="{FF2B5EF4-FFF2-40B4-BE49-F238E27FC236}">
              <a16:creationId xmlns:a16="http://schemas.microsoft.com/office/drawing/2014/main" id="{00000000-0008-0000-0300-000002000000}"/>
            </a:ext>
          </a:extLst>
        </xdr:cNvPr>
        <xdr:cNvSpPr txBox="1">
          <a:spLocks noChangeArrowheads="1"/>
        </xdr:cNvSpPr>
      </xdr:nvSpPr>
      <xdr:spPr bwMode="auto">
        <a:xfrm>
          <a:off x="8801100" y="5534025"/>
          <a:ext cx="104775" cy="0"/>
        </a:xfrm>
        <a:prstGeom prst="rect">
          <a:avLst/>
        </a:prstGeom>
        <a:noFill/>
        <a:ln w="9525">
          <a:noFill/>
          <a:miter lim="800000"/>
          <a:headEnd/>
          <a:tailEnd/>
        </a:ln>
      </xdr:spPr>
    </xdr:sp>
    <xdr:clientData/>
  </xdr:twoCellAnchor>
  <xdr:twoCellAnchor editAs="oneCell">
    <xdr:from>
      <xdr:col>9</xdr:col>
      <xdr:colOff>0</xdr:colOff>
      <xdr:row>34</xdr:row>
      <xdr:rowOff>0</xdr:rowOff>
    </xdr:from>
    <xdr:to>
      <xdr:col>16</xdr:col>
      <xdr:colOff>104775</xdr:colOff>
      <xdr:row>34</xdr:row>
      <xdr:rowOff>0</xdr:rowOff>
    </xdr:to>
    <xdr:sp macro="" textlink="">
      <xdr:nvSpPr>
        <xdr:cNvPr id="3" name="Text Box 2">
          <a:extLst>
            <a:ext uri="{FF2B5EF4-FFF2-40B4-BE49-F238E27FC236}">
              <a16:creationId xmlns:a16="http://schemas.microsoft.com/office/drawing/2014/main" id="{00000000-0008-0000-0300-000003000000}"/>
            </a:ext>
          </a:extLst>
        </xdr:cNvPr>
        <xdr:cNvSpPr txBox="1">
          <a:spLocks noChangeArrowheads="1"/>
        </xdr:cNvSpPr>
      </xdr:nvSpPr>
      <xdr:spPr bwMode="auto">
        <a:xfrm>
          <a:off x="8801100" y="5534025"/>
          <a:ext cx="104775" cy="0"/>
        </a:xfrm>
        <a:prstGeom prst="rect">
          <a:avLst/>
        </a:prstGeom>
        <a:noFill/>
        <a:ln w="9525">
          <a:noFill/>
          <a:miter lim="800000"/>
          <a:headEnd/>
          <a:tailEnd/>
        </a:ln>
      </xdr:spPr>
    </xdr:sp>
    <xdr:clientData/>
  </xdr:twoCellAnchor>
  <xdr:twoCellAnchor editAs="oneCell">
    <xdr:from>
      <xdr:col>9</xdr:col>
      <xdr:colOff>0</xdr:colOff>
      <xdr:row>34</xdr:row>
      <xdr:rowOff>0</xdr:rowOff>
    </xdr:from>
    <xdr:to>
      <xdr:col>16</xdr:col>
      <xdr:colOff>104775</xdr:colOff>
      <xdr:row>34</xdr:row>
      <xdr:rowOff>0</xdr:rowOff>
    </xdr:to>
    <xdr:sp macro="" textlink="">
      <xdr:nvSpPr>
        <xdr:cNvPr id="4" name="Text Box 1">
          <a:extLst>
            <a:ext uri="{FF2B5EF4-FFF2-40B4-BE49-F238E27FC236}">
              <a16:creationId xmlns:a16="http://schemas.microsoft.com/office/drawing/2014/main" id="{00000000-0008-0000-0300-000004000000}"/>
            </a:ext>
          </a:extLst>
        </xdr:cNvPr>
        <xdr:cNvSpPr txBox="1">
          <a:spLocks noChangeArrowheads="1"/>
        </xdr:cNvSpPr>
      </xdr:nvSpPr>
      <xdr:spPr bwMode="auto">
        <a:xfrm>
          <a:off x="8801100" y="5534025"/>
          <a:ext cx="104775" cy="0"/>
        </a:xfrm>
        <a:prstGeom prst="rect">
          <a:avLst/>
        </a:prstGeom>
        <a:noFill/>
        <a:ln w="9525">
          <a:noFill/>
          <a:miter lim="800000"/>
          <a:headEnd/>
          <a:tailEnd/>
        </a:ln>
      </xdr:spPr>
    </xdr:sp>
    <xdr:clientData/>
  </xdr:twoCellAnchor>
  <xdr:twoCellAnchor editAs="oneCell">
    <xdr:from>
      <xdr:col>9</xdr:col>
      <xdr:colOff>0</xdr:colOff>
      <xdr:row>34</xdr:row>
      <xdr:rowOff>0</xdr:rowOff>
    </xdr:from>
    <xdr:to>
      <xdr:col>16</xdr:col>
      <xdr:colOff>104775</xdr:colOff>
      <xdr:row>34</xdr:row>
      <xdr:rowOff>0</xdr:rowOff>
    </xdr:to>
    <xdr:sp macro="" textlink="">
      <xdr:nvSpPr>
        <xdr:cNvPr id="5" name="Text Box 2">
          <a:extLst>
            <a:ext uri="{FF2B5EF4-FFF2-40B4-BE49-F238E27FC236}">
              <a16:creationId xmlns:a16="http://schemas.microsoft.com/office/drawing/2014/main" id="{00000000-0008-0000-0300-000005000000}"/>
            </a:ext>
          </a:extLst>
        </xdr:cNvPr>
        <xdr:cNvSpPr txBox="1">
          <a:spLocks noChangeArrowheads="1"/>
        </xdr:cNvSpPr>
      </xdr:nvSpPr>
      <xdr:spPr bwMode="auto">
        <a:xfrm>
          <a:off x="8801100" y="5534025"/>
          <a:ext cx="104775" cy="0"/>
        </a:xfrm>
        <a:prstGeom prst="rect">
          <a:avLst/>
        </a:prstGeom>
        <a:noFill/>
        <a:ln w="9525">
          <a:noFill/>
          <a:miter lim="800000"/>
          <a:headEnd/>
          <a:tailEnd/>
        </a:ln>
      </xdr:spPr>
    </xdr:sp>
    <xdr:clientData/>
  </xdr:twoCellAnchor>
  <xdr:twoCellAnchor editAs="oneCell">
    <xdr:from>
      <xdr:col>9</xdr:col>
      <xdr:colOff>0</xdr:colOff>
      <xdr:row>34</xdr:row>
      <xdr:rowOff>0</xdr:rowOff>
    </xdr:from>
    <xdr:to>
      <xdr:col>16</xdr:col>
      <xdr:colOff>104775</xdr:colOff>
      <xdr:row>34</xdr:row>
      <xdr:rowOff>0</xdr:rowOff>
    </xdr:to>
    <xdr:sp macro="" textlink="">
      <xdr:nvSpPr>
        <xdr:cNvPr id="6" name="Text Box 1">
          <a:extLst>
            <a:ext uri="{FF2B5EF4-FFF2-40B4-BE49-F238E27FC236}">
              <a16:creationId xmlns:a16="http://schemas.microsoft.com/office/drawing/2014/main" id="{00000000-0008-0000-0300-000006000000}"/>
            </a:ext>
          </a:extLst>
        </xdr:cNvPr>
        <xdr:cNvSpPr txBox="1">
          <a:spLocks noChangeArrowheads="1"/>
        </xdr:cNvSpPr>
      </xdr:nvSpPr>
      <xdr:spPr bwMode="auto">
        <a:xfrm>
          <a:off x="8801100" y="5534025"/>
          <a:ext cx="104775" cy="0"/>
        </a:xfrm>
        <a:prstGeom prst="rect">
          <a:avLst/>
        </a:prstGeom>
        <a:noFill/>
        <a:ln w="9525">
          <a:noFill/>
          <a:miter lim="800000"/>
          <a:headEnd/>
          <a:tailEnd/>
        </a:ln>
      </xdr:spPr>
    </xdr:sp>
    <xdr:clientData/>
  </xdr:twoCellAnchor>
  <xdr:twoCellAnchor editAs="oneCell">
    <xdr:from>
      <xdr:col>9</xdr:col>
      <xdr:colOff>0</xdr:colOff>
      <xdr:row>34</xdr:row>
      <xdr:rowOff>0</xdr:rowOff>
    </xdr:from>
    <xdr:to>
      <xdr:col>16</xdr:col>
      <xdr:colOff>104775</xdr:colOff>
      <xdr:row>34</xdr:row>
      <xdr:rowOff>0</xdr:rowOff>
    </xdr:to>
    <xdr:sp macro="" textlink="">
      <xdr:nvSpPr>
        <xdr:cNvPr id="7" name="Text Box 2">
          <a:extLst>
            <a:ext uri="{FF2B5EF4-FFF2-40B4-BE49-F238E27FC236}">
              <a16:creationId xmlns:a16="http://schemas.microsoft.com/office/drawing/2014/main" id="{00000000-0008-0000-0300-000007000000}"/>
            </a:ext>
          </a:extLst>
        </xdr:cNvPr>
        <xdr:cNvSpPr txBox="1">
          <a:spLocks noChangeArrowheads="1"/>
        </xdr:cNvSpPr>
      </xdr:nvSpPr>
      <xdr:spPr bwMode="auto">
        <a:xfrm>
          <a:off x="8801100" y="5534025"/>
          <a:ext cx="104775" cy="0"/>
        </a:xfrm>
        <a:prstGeom prst="rect">
          <a:avLst/>
        </a:prstGeom>
        <a:noFill/>
        <a:ln w="9525">
          <a:no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37</xdr:row>
      <xdr:rowOff>0</xdr:rowOff>
    </xdr:from>
    <xdr:to>
      <xdr:col>25</xdr:col>
      <xdr:colOff>104775</xdr:colOff>
      <xdr:row>38</xdr:row>
      <xdr:rowOff>32004</xdr:rowOff>
    </xdr:to>
    <xdr:sp macro="" textlink="">
      <xdr:nvSpPr>
        <xdr:cNvPr id="2" name="Text Box 1">
          <a:extLst>
            <a:ext uri="{FF2B5EF4-FFF2-40B4-BE49-F238E27FC236}">
              <a16:creationId xmlns:a16="http://schemas.microsoft.com/office/drawing/2014/main" id="{00000000-0008-0000-0400-000002000000}"/>
            </a:ext>
          </a:extLst>
        </xdr:cNvPr>
        <xdr:cNvSpPr txBox="1">
          <a:spLocks noChangeArrowheads="1"/>
        </xdr:cNvSpPr>
      </xdr:nvSpPr>
      <xdr:spPr bwMode="auto">
        <a:xfrm>
          <a:off x="8153400" y="6286500"/>
          <a:ext cx="104775" cy="32004"/>
        </a:xfrm>
        <a:prstGeom prst="rect">
          <a:avLst/>
        </a:prstGeom>
        <a:noFill/>
        <a:ln w="9525">
          <a:noFill/>
          <a:miter lim="800000"/>
          <a:headEnd/>
          <a:tailEnd/>
        </a:ln>
      </xdr:spPr>
    </xdr:sp>
    <xdr:clientData/>
  </xdr:twoCellAnchor>
  <xdr:twoCellAnchor editAs="oneCell">
    <xdr:from>
      <xdr:col>8</xdr:col>
      <xdr:colOff>0</xdr:colOff>
      <xdr:row>37</xdr:row>
      <xdr:rowOff>0</xdr:rowOff>
    </xdr:from>
    <xdr:to>
      <xdr:col>25</xdr:col>
      <xdr:colOff>104775</xdr:colOff>
      <xdr:row>38</xdr:row>
      <xdr:rowOff>32004</xdr:rowOff>
    </xdr:to>
    <xdr:sp macro="" textlink="">
      <xdr:nvSpPr>
        <xdr:cNvPr id="3" name="Text Box 2">
          <a:extLst>
            <a:ext uri="{FF2B5EF4-FFF2-40B4-BE49-F238E27FC236}">
              <a16:creationId xmlns:a16="http://schemas.microsoft.com/office/drawing/2014/main" id="{00000000-0008-0000-0400-000003000000}"/>
            </a:ext>
          </a:extLst>
        </xdr:cNvPr>
        <xdr:cNvSpPr txBox="1">
          <a:spLocks noChangeArrowheads="1"/>
        </xdr:cNvSpPr>
      </xdr:nvSpPr>
      <xdr:spPr bwMode="auto">
        <a:xfrm>
          <a:off x="8153400" y="6286500"/>
          <a:ext cx="104775" cy="32004"/>
        </a:xfrm>
        <a:prstGeom prst="rect">
          <a:avLst/>
        </a:prstGeom>
        <a:noFill/>
        <a:ln w="9525">
          <a:noFill/>
          <a:miter lim="800000"/>
          <a:headEnd/>
          <a:tailEnd/>
        </a:ln>
      </xdr:spPr>
    </xdr:sp>
    <xdr:clientData/>
  </xdr:twoCellAnchor>
  <xdr:twoCellAnchor editAs="oneCell">
    <xdr:from>
      <xdr:col>8</xdr:col>
      <xdr:colOff>0</xdr:colOff>
      <xdr:row>37</xdr:row>
      <xdr:rowOff>0</xdr:rowOff>
    </xdr:from>
    <xdr:to>
      <xdr:col>25</xdr:col>
      <xdr:colOff>104775</xdr:colOff>
      <xdr:row>38</xdr:row>
      <xdr:rowOff>32004</xdr:rowOff>
    </xdr:to>
    <xdr:sp macro="" textlink="">
      <xdr:nvSpPr>
        <xdr:cNvPr id="4" name="Text Box 1">
          <a:extLst>
            <a:ext uri="{FF2B5EF4-FFF2-40B4-BE49-F238E27FC236}">
              <a16:creationId xmlns:a16="http://schemas.microsoft.com/office/drawing/2014/main" id="{00000000-0008-0000-0400-000004000000}"/>
            </a:ext>
          </a:extLst>
        </xdr:cNvPr>
        <xdr:cNvSpPr txBox="1">
          <a:spLocks noChangeArrowheads="1"/>
        </xdr:cNvSpPr>
      </xdr:nvSpPr>
      <xdr:spPr bwMode="auto">
        <a:xfrm>
          <a:off x="8153400" y="6286500"/>
          <a:ext cx="104775" cy="32004"/>
        </a:xfrm>
        <a:prstGeom prst="rect">
          <a:avLst/>
        </a:prstGeom>
        <a:noFill/>
        <a:ln w="9525">
          <a:noFill/>
          <a:miter lim="800000"/>
          <a:headEnd/>
          <a:tailEnd/>
        </a:ln>
      </xdr:spPr>
    </xdr:sp>
    <xdr:clientData/>
  </xdr:twoCellAnchor>
  <xdr:twoCellAnchor editAs="oneCell">
    <xdr:from>
      <xdr:col>8</xdr:col>
      <xdr:colOff>0</xdr:colOff>
      <xdr:row>37</xdr:row>
      <xdr:rowOff>0</xdr:rowOff>
    </xdr:from>
    <xdr:to>
      <xdr:col>25</xdr:col>
      <xdr:colOff>104775</xdr:colOff>
      <xdr:row>38</xdr:row>
      <xdr:rowOff>32004</xdr:rowOff>
    </xdr:to>
    <xdr:sp macro="" textlink="">
      <xdr:nvSpPr>
        <xdr:cNvPr id="5" name="Text Box 2">
          <a:extLst>
            <a:ext uri="{FF2B5EF4-FFF2-40B4-BE49-F238E27FC236}">
              <a16:creationId xmlns:a16="http://schemas.microsoft.com/office/drawing/2014/main" id="{00000000-0008-0000-0400-000005000000}"/>
            </a:ext>
          </a:extLst>
        </xdr:cNvPr>
        <xdr:cNvSpPr txBox="1">
          <a:spLocks noChangeArrowheads="1"/>
        </xdr:cNvSpPr>
      </xdr:nvSpPr>
      <xdr:spPr bwMode="auto">
        <a:xfrm>
          <a:off x="8153400" y="6286500"/>
          <a:ext cx="104775" cy="32004"/>
        </a:xfrm>
        <a:prstGeom prst="rect">
          <a:avLst/>
        </a:prstGeom>
        <a:noFill/>
        <a:ln w="9525">
          <a:noFill/>
          <a:miter lim="800000"/>
          <a:headEnd/>
          <a:tailEnd/>
        </a:ln>
      </xdr:spPr>
    </xdr:sp>
    <xdr:clientData/>
  </xdr:twoCellAnchor>
  <xdr:twoCellAnchor editAs="oneCell">
    <xdr:from>
      <xdr:col>8</xdr:col>
      <xdr:colOff>0</xdr:colOff>
      <xdr:row>37</xdr:row>
      <xdr:rowOff>0</xdr:rowOff>
    </xdr:from>
    <xdr:to>
      <xdr:col>25</xdr:col>
      <xdr:colOff>104775</xdr:colOff>
      <xdr:row>38</xdr:row>
      <xdr:rowOff>32004</xdr:rowOff>
    </xdr:to>
    <xdr:sp macro="" textlink="">
      <xdr:nvSpPr>
        <xdr:cNvPr id="6" name="Text Box 1">
          <a:extLst>
            <a:ext uri="{FF2B5EF4-FFF2-40B4-BE49-F238E27FC236}">
              <a16:creationId xmlns:a16="http://schemas.microsoft.com/office/drawing/2014/main" id="{00000000-0008-0000-0400-000006000000}"/>
            </a:ext>
          </a:extLst>
        </xdr:cNvPr>
        <xdr:cNvSpPr txBox="1">
          <a:spLocks noChangeArrowheads="1"/>
        </xdr:cNvSpPr>
      </xdr:nvSpPr>
      <xdr:spPr bwMode="auto">
        <a:xfrm>
          <a:off x="8153400" y="6286500"/>
          <a:ext cx="104775" cy="32004"/>
        </a:xfrm>
        <a:prstGeom prst="rect">
          <a:avLst/>
        </a:prstGeom>
        <a:noFill/>
        <a:ln w="9525">
          <a:noFill/>
          <a:miter lim="800000"/>
          <a:headEnd/>
          <a:tailEnd/>
        </a:ln>
      </xdr:spPr>
    </xdr:sp>
    <xdr:clientData/>
  </xdr:twoCellAnchor>
  <xdr:twoCellAnchor editAs="oneCell">
    <xdr:from>
      <xdr:col>8</xdr:col>
      <xdr:colOff>0</xdr:colOff>
      <xdr:row>37</xdr:row>
      <xdr:rowOff>0</xdr:rowOff>
    </xdr:from>
    <xdr:to>
      <xdr:col>25</xdr:col>
      <xdr:colOff>104775</xdr:colOff>
      <xdr:row>38</xdr:row>
      <xdr:rowOff>32004</xdr:rowOff>
    </xdr:to>
    <xdr:sp macro="" textlink="">
      <xdr:nvSpPr>
        <xdr:cNvPr id="7" name="Text Box 2">
          <a:extLst>
            <a:ext uri="{FF2B5EF4-FFF2-40B4-BE49-F238E27FC236}">
              <a16:creationId xmlns:a16="http://schemas.microsoft.com/office/drawing/2014/main" id="{00000000-0008-0000-0400-000007000000}"/>
            </a:ext>
          </a:extLst>
        </xdr:cNvPr>
        <xdr:cNvSpPr txBox="1">
          <a:spLocks noChangeArrowheads="1"/>
        </xdr:cNvSpPr>
      </xdr:nvSpPr>
      <xdr:spPr bwMode="auto">
        <a:xfrm>
          <a:off x="8153400" y="6286500"/>
          <a:ext cx="104775" cy="32004"/>
        </a:xfrm>
        <a:prstGeom prst="rect">
          <a:avLst/>
        </a:prstGeom>
        <a:noFill/>
        <a:ln w="9525">
          <a:no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40</xdr:row>
      <xdr:rowOff>0</xdr:rowOff>
    </xdr:from>
    <xdr:to>
      <xdr:col>7</xdr:col>
      <xdr:colOff>104775</xdr:colOff>
      <xdr:row>41</xdr:row>
      <xdr:rowOff>0</xdr:rowOff>
    </xdr:to>
    <xdr:sp macro="" textlink="">
      <xdr:nvSpPr>
        <xdr:cNvPr id="2" name="Text Box 1">
          <a:extLst>
            <a:ext uri="{FF2B5EF4-FFF2-40B4-BE49-F238E27FC236}">
              <a16:creationId xmlns:a16="http://schemas.microsoft.com/office/drawing/2014/main" id="{00000000-0008-0000-1400-000002000000}"/>
            </a:ext>
          </a:extLst>
        </xdr:cNvPr>
        <xdr:cNvSpPr txBox="1">
          <a:spLocks noChangeArrowheads="1"/>
        </xdr:cNvSpPr>
      </xdr:nvSpPr>
      <xdr:spPr bwMode="auto">
        <a:xfrm>
          <a:off x="5629275" y="7343775"/>
          <a:ext cx="104775" cy="196850"/>
        </a:xfrm>
        <a:prstGeom prst="rect">
          <a:avLst/>
        </a:prstGeom>
        <a:noFill/>
        <a:ln w="9525">
          <a:noFill/>
          <a:miter lim="800000"/>
          <a:headEnd/>
          <a:tailEnd/>
        </a:ln>
      </xdr:spPr>
    </xdr:sp>
    <xdr:clientData/>
  </xdr:twoCellAnchor>
  <xdr:twoCellAnchor editAs="oneCell">
    <xdr:from>
      <xdr:col>7</xdr:col>
      <xdr:colOff>0</xdr:colOff>
      <xdr:row>40</xdr:row>
      <xdr:rowOff>0</xdr:rowOff>
    </xdr:from>
    <xdr:to>
      <xdr:col>7</xdr:col>
      <xdr:colOff>104775</xdr:colOff>
      <xdr:row>41</xdr:row>
      <xdr:rowOff>0</xdr:rowOff>
    </xdr:to>
    <xdr:sp macro="" textlink="">
      <xdr:nvSpPr>
        <xdr:cNvPr id="3" name="Text Box 2">
          <a:extLst>
            <a:ext uri="{FF2B5EF4-FFF2-40B4-BE49-F238E27FC236}">
              <a16:creationId xmlns:a16="http://schemas.microsoft.com/office/drawing/2014/main" id="{00000000-0008-0000-1400-000003000000}"/>
            </a:ext>
          </a:extLst>
        </xdr:cNvPr>
        <xdr:cNvSpPr txBox="1">
          <a:spLocks noChangeArrowheads="1"/>
        </xdr:cNvSpPr>
      </xdr:nvSpPr>
      <xdr:spPr bwMode="auto">
        <a:xfrm>
          <a:off x="5629275" y="7343775"/>
          <a:ext cx="104775" cy="196850"/>
        </a:xfrm>
        <a:prstGeom prst="rect">
          <a:avLst/>
        </a:prstGeom>
        <a:noFill/>
        <a:ln w="9525">
          <a:noFill/>
          <a:miter lim="800000"/>
          <a:headEnd/>
          <a:tailEnd/>
        </a:ln>
      </xdr:spPr>
    </xdr:sp>
    <xdr:clientData/>
  </xdr:twoCellAnchor>
  <xdr:twoCellAnchor editAs="oneCell">
    <xdr:from>
      <xdr:col>8</xdr:col>
      <xdr:colOff>0</xdr:colOff>
      <xdr:row>40</xdr:row>
      <xdr:rowOff>0</xdr:rowOff>
    </xdr:from>
    <xdr:to>
      <xdr:col>8</xdr:col>
      <xdr:colOff>104775</xdr:colOff>
      <xdr:row>41</xdr:row>
      <xdr:rowOff>0</xdr:rowOff>
    </xdr:to>
    <xdr:sp macro="" textlink="">
      <xdr:nvSpPr>
        <xdr:cNvPr id="4" name="Text Box 1">
          <a:extLst>
            <a:ext uri="{FF2B5EF4-FFF2-40B4-BE49-F238E27FC236}">
              <a16:creationId xmlns:a16="http://schemas.microsoft.com/office/drawing/2014/main" id="{00000000-0008-0000-1400-000004000000}"/>
            </a:ext>
          </a:extLst>
        </xdr:cNvPr>
        <xdr:cNvSpPr txBox="1">
          <a:spLocks noChangeArrowheads="1"/>
        </xdr:cNvSpPr>
      </xdr:nvSpPr>
      <xdr:spPr bwMode="auto">
        <a:xfrm>
          <a:off x="6305550" y="7343775"/>
          <a:ext cx="104775" cy="196850"/>
        </a:xfrm>
        <a:prstGeom prst="rect">
          <a:avLst/>
        </a:prstGeom>
        <a:noFill/>
        <a:ln w="9525">
          <a:noFill/>
          <a:miter lim="800000"/>
          <a:headEnd/>
          <a:tailEnd/>
        </a:ln>
      </xdr:spPr>
    </xdr:sp>
    <xdr:clientData/>
  </xdr:twoCellAnchor>
  <xdr:twoCellAnchor editAs="oneCell">
    <xdr:from>
      <xdr:col>8</xdr:col>
      <xdr:colOff>0</xdr:colOff>
      <xdr:row>40</xdr:row>
      <xdr:rowOff>0</xdr:rowOff>
    </xdr:from>
    <xdr:to>
      <xdr:col>8</xdr:col>
      <xdr:colOff>104775</xdr:colOff>
      <xdr:row>41</xdr:row>
      <xdr:rowOff>0</xdr:rowOff>
    </xdr:to>
    <xdr:sp macro="" textlink="">
      <xdr:nvSpPr>
        <xdr:cNvPr id="5" name="Text Box 2">
          <a:extLst>
            <a:ext uri="{FF2B5EF4-FFF2-40B4-BE49-F238E27FC236}">
              <a16:creationId xmlns:a16="http://schemas.microsoft.com/office/drawing/2014/main" id="{00000000-0008-0000-1400-000005000000}"/>
            </a:ext>
          </a:extLst>
        </xdr:cNvPr>
        <xdr:cNvSpPr txBox="1">
          <a:spLocks noChangeArrowheads="1"/>
        </xdr:cNvSpPr>
      </xdr:nvSpPr>
      <xdr:spPr bwMode="auto">
        <a:xfrm>
          <a:off x="6305550" y="7343775"/>
          <a:ext cx="104775" cy="196850"/>
        </a:xfrm>
        <a:prstGeom prst="rect">
          <a:avLst/>
        </a:prstGeom>
        <a:noFill/>
        <a:ln w="9525">
          <a:noFill/>
          <a:miter lim="800000"/>
          <a:headEnd/>
          <a:tailEnd/>
        </a:ln>
      </xdr:spPr>
    </xdr:sp>
    <xdr:clientData/>
  </xdr:twoCellAnchor>
  <xdr:twoCellAnchor editAs="oneCell">
    <xdr:from>
      <xdr:col>7</xdr:col>
      <xdr:colOff>0</xdr:colOff>
      <xdr:row>17</xdr:row>
      <xdr:rowOff>0</xdr:rowOff>
    </xdr:from>
    <xdr:to>
      <xdr:col>7</xdr:col>
      <xdr:colOff>104775</xdr:colOff>
      <xdr:row>18</xdr:row>
      <xdr:rowOff>0</xdr:rowOff>
    </xdr:to>
    <xdr:sp macro="" textlink="">
      <xdr:nvSpPr>
        <xdr:cNvPr id="6" name="Text Box 1">
          <a:extLst>
            <a:ext uri="{FF2B5EF4-FFF2-40B4-BE49-F238E27FC236}">
              <a16:creationId xmlns:a16="http://schemas.microsoft.com/office/drawing/2014/main" id="{00000000-0008-0000-1400-000006000000}"/>
            </a:ext>
          </a:extLst>
        </xdr:cNvPr>
        <xdr:cNvSpPr txBox="1">
          <a:spLocks noChangeArrowheads="1"/>
        </xdr:cNvSpPr>
      </xdr:nvSpPr>
      <xdr:spPr bwMode="auto">
        <a:xfrm>
          <a:off x="5629275" y="3181350"/>
          <a:ext cx="104775" cy="196850"/>
        </a:xfrm>
        <a:prstGeom prst="rect">
          <a:avLst/>
        </a:prstGeom>
        <a:noFill/>
        <a:ln w="9525">
          <a:noFill/>
          <a:miter lim="800000"/>
          <a:headEnd/>
          <a:tailEnd/>
        </a:ln>
      </xdr:spPr>
    </xdr:sp>
    <xdr:clientData/>
  </xdr:twoCellAnchor>
  <xdr:twoCellAnchor editAs="oneCell">
    <xdr:from>
      <xdr:col>7</xdr:col>
      <xdr:colOff>0</xdr:colOff>
      <xdr:row>17</xdr:row>
      <xdr:rowOff>0</xdr:rowOff>
    </xdr:from>
    <xdr:to>
      <xdr:col>7</xdr:col>
      <xdr:colOff>104775</xdr:colOff>
      <xdr:row>18</xdr:row>
      <xdr:rowOff>0</xdr:rowOff>
    </xdr:to>
    <xdr:sp macro="" textlink="">
      <xdr:nvSpPr>
        <xdr:cNvPr id="7" name="Text Box 2">
          <a:extLst>
            <a:ext uri="{FF2B5EF4-FFF2-40B4-BE49-F238E27FC236}">
              <a16:creationId xmlns:a16="http://schemas.microsoft.com/office/drawing/2014/main" id="{00000000-0008-0000-1400-000007000000}"/>
            </a:ext>
          </a:extLst>
        </xdr:cNvPr>
        <xdr:cNvSpPr txBox="1">
          <a:spLocks noChangeArrowheads="1"/>
        </xdr:cNvSpPr>
      </xdr:nvSpPr>
      <xdr:spPr bwMode="auto">
        <a:xfrm>
          <a:off x="5629275" y="3181350"/>
          <a:ext cx="104775" cy="196850"/>
        </a:xfrm>
        <a:prstGeom prst="rect">
          <a:avLst/>
        </a:prstGeom>
        <a:noFill/>
        <a:ln w="9525">
          <a:noFill/>
          <a:miter lim="800000"/>
          <a:headEnd/>
          <a:tailEnd/>
        </a:ln>
      </xdr:spPr>
    </xdr:sp>
    <xdr:clientData/>
  </xdr:twoCellAnchor>
  <xdr:twoCellAnchor editAs="oneCell">
    <xdr:from>
      <xdr:col>8</xdr:col>
      <xdr:colOff>0</xdr:colOff>
      <xdr:row>17</xdr:row>
      <xdr:rowOff>0</xdr:rowOff>
    </xdr:from>
    <xdr:to>
      <xdr:col>8</xdr:col>
      <xdr:colOff>104775</xdr:colOff>
      <xdr:row>18</xdr:row>
      <xdr:rowOff>0</xdr:rowOff>
    </xdr:to>
    <xdr:sp macro="" textlink="">
      <xdr:nvSpPr>
        <xdr:cNvPr id="8" name="Text Box 1">
          <a:extLst>
            <a:ext uri="{FF2B5EF4-FFF2-40B4-BE49-F238E27FC236}">
              <a16:creationId xmlns:a16="http://schemas.microsoft.com/office/drawing/2014/main" id="{00000000-0008-0000-1400-000008000000}"/>
            </a:ext>
          </a:extLst>
        </xdr:cNvPr>
        <xdr:cNvSpPr txBox="1">
          <a:spLocks noChangeArrowheads="1"/>
        </xdr:cNvSpPr>
      </xdr:nvSpPr>
      <xdr:spPr bwMode="auto">
        <a:xfrm>
          <a:off x="6305550" y="3181350"/>
          <a:ext cx="104775" cy="196850"/>
        </a:xfrm>
        <a:prstGeom prst="rect">
          <a:avLst/>
        </a:prstGeom>
        <a:noFill/>
        <a:ln w="9525">
          <a:noFill/>
          <a:miter lim="800000"/>
          <a:headEnd/>
          <a:tailEnd/>
        </a:ln>
      </xdr:spPr>
    </xdr:sp>
    <xdr:clientData/>
  </xdr:twoCellAnchor>
  <xdr:twoCellAnchor editAs="oneCell">
    <xdr:from>
      <xdr:col>8</xdr:col>
      <xdr:colOff>0</xdr:colOff>
      <xdr:row>17</xdr:row>
      <xdr:rowOff>0</xdr:rowOff>
    </xdr:from>
    <xdr:to>
      <xdr:col>8</xdr:col>
      <xdr:colOff>104775</xdr:colOff>
      <xdr:row>18</xdr:row>
      <xdr:rowOff>0</xdr:rowOff>
    </xdr:to>
    <xdr:sp macro="" textlink="">
      <xdr:nvSpPr>
        <xdr:cNvPr id="9" name="Text Box 2">
          <a:extLst>
            <a:ext uri="{FF2B5EF4-FFF2-40B4-BE49-F238E27FC236}">
              <a16:creationId xmlns:a16="http://schemas.microsoft.com/office/drawing/2014/main" id="{00000000-0008-0000-1400-000009000000}"/>
            </a:ext>
          </a:extLst>
        </xdr:cNvPr>
        <xdr:cNvSpPr txBox="1">
          <a:spLocks noChangeArrowheads="1"/>
        </xdr:cNvSpPr>
      </xdr:nvSpPr>
      <xdr:spPr bwMode="auto">
        <a:xfrm>
          <a:off x="6305550" y="3181350"/>
          <a:ext cx="104775" cy="196850"/>
        </a:xfrm>
        <a:prstGeom prst="rect">
          <a:avLst/>
        </a:prstGeom>
        <a:noFill/>
        <a:ln w="9525">
          <a:noFill/>
          <a:miter lim="800000"/>
          <a:headEnd/>
          <a:tailEnd/>
        </a:ln>
      </xdr:spPr>
    </xdr:sp>
    <xdr:clientData/>
  </xdr:twoCellAnchor>
  <xdr:twoCellAnchor editAs="oneCell">
    <xdr:from>
      <xdr:col>8</xdr:col>
      <xdr:colOff>0</xdr:colOff>
      <xdr:row>40</xdr:row>
      <xdr:rowOff>0</xdr:rowOff>
    </xdr:from>
    <xdr:to>
      <xdr:col>8</xdr:col>
      <xdr:colOff>104775</xdr:colOff>
      <xdr:row>41</xdr:row>
      <xdr:rowOff>0</xdr:rowOff>
    </xdr:to>
    <xdr:sp macro="" textlink="">
      <xdr:nvSpPr>
        <xdr:cNvPr id="10" name="Text Box 1">
          <a:extLst>
            <a:ext uri="{FF2B5EF4-FFF2-40B4-BE49-F238E27FC236}">
              <a16:creationId xmlns:a16="http://schemas.microsoft.com/office/drawing/2014/main" id="{00000000-0008-0000-1400-00000A000000}"/>
            </a:ext>
          </a:extLst>
        </xdr:cNvPr>
        <xdr:cNvSpPr txBox="1">
          <a:spLocks noChangeArrowheads="1"/>
        </xdr:cNvSpPr>
      </xdr:nvSpPr>
      <xdr:spPr bwMode="auto">
        <a:xfrm>
          <a:off x="6305550" y="7343775"/>
          <a:ext cx="104775" cy="196850"/>
        </a:xfrm>
        <a:prstGeom prst="rect">
          <a:avLst/>
        </a:prstGeom>
        <a:noFill/>
        <a:ln w="9525">
          <a:noFill/>
          <a:miter lim="800000"/>
          <a:headEnd/>
          <a:tailEnd/>
        </a:ln>
      </xdr:spPr>
    </xdr:sp>
    <xdr:clientData/>
  </xdr:twoCellAnchor>
  <xdr:twoCellAnchor editAs="oneCell">
    <xdr:from>
      <xdr:col>8</xdr:col>
      <xdr:colOff>0</xdr:colOff>
      <xdr:row>40</xdr:row>
      <xdr:rowOff>0</xdr:rowOff>
    </xdr:from>
    <xdr:to>
      <xdr:col>8</xdr:col>
      <xdr:colOff>104775</xdr:colOff>
      <xdr:row>41</xdr:row>
      <xdr:rowOff>0</xdr:rowOff>
    </xdr:to>
    <xdr:sp macro="" textlink="">
      <xdr:nvSpPr>
        <xdr:cNvPr id="11" name="Text Box 2">
          <a:extLst>
            <a:ext uri="{FF2B5EF4-FFF2-40B4-BE49-F238E27FC236}">
              <a16:creationId xmlns:a16="http://schemas.microsoft.com/office/drawing/2014/main" id="{00000000-0008-0000-1400-00000B000000}"/>
            </a:ext>
          </a:extLst>
        </xdr:cNvPr>
        <xdr:cNvSpPr txBox="1">
          <a:spLocks noChangeArrowheads="1"/>
        </xdr:cNvSpPr>
      </xdr:nvSpPr>
      <xdr:spPr bwMode="auto">
        <a:xfrm>
          <a:off x="6305550" y="7343775"/>
          <a:ext cx="104775" cy="196850"/>
        </a:xfrm>
        <a:prstGeom prst="rect">
          <a:avLst/>
        </a:prstGeom>
        <a:noFill/>
        <a:ln w="9525">
          <a:noFill/>
          <a:miter lim="800000"/>
          <a:headEnd/>
          <a:tailEnd/>
        </a:ln>
      </xdr:spPr>
    </xdr:sp>
    <xdr:clientData/>
  </xdr:twoCellAnchor>
  <xdr:twoCellAnchor editAs="oneCell">
    <xdr:from>
      <xdr:col>8</xdr:col>
      <xdr:colOff>0</xdr:colOff>
      <xdr:row>17</xdr:row>
      <xdr:rowOff>0</xdr:rowOff>
    </xdr:from>
    <xdr:to>
      <xdr:col>8</xdr:col>
      <xdr:colOff>104775</xdr:colOff>
      <xdr:row>18</xdr:row>
      <xdr:rowOff>0</xdr:rowOff>
    </xdr:to>
    <xdr:sp macro="" textlink="">
      <xdr:nvSpPr>
        <xdr:cNvPr id="12" name="Text Box 1">
          <a:extLst>
            <a:ext uri="{FF2B5EF4-FFF2-40B4-BE49-F238E27FC236}">
              <a16:creationId xmlns:a16="http://schemas.microsoft.com/office/drawing/2014/main" id="{00000000-0008-0000-1400-00000C000000}"/>
            </a:ext>
          </a:extLst>
        </xdr:cNvPr>
        <xdr:cNvSpPr txBox="1">
          <a:spLocks noChangeArrowheads="1"/>
        </xdr:cNvSpPr>
      </xdr:nvSpPr>
      <xdr:spPr bwMode="auto">
        <a:xfrm>
          <a:off x="6305550" y="3181350"/>
          <a:ext cx="104775" cy="196850"/>
        </a:xfrm>
        <a:prstGeom prst="rect">
          <a:avLst/>
        </a:prstGeom>
        <a:noFill/>
        <a:ln w="9525">
          <a:noFill/>
          <a:miter lim="800000"/>
          <a:headEnd/>
          <a:tailEnd/>
        </a:ln>
      </xdr:spPr>
    </xdr:sp>
    <xdr:clientData/>
  </xdr:twoCellAnchor>
  <xdr:twoCellAnchor editAs="oneCell">
    <xdr:from>
      <xdr:col>8</xdr:col>
      <xdr:colOff>0</xdr:colOff>
      <xdr:row>17</xdr:row>
      <xdr:rowOff>0</xdr:rowOff>
    </xdr:from>
    <xdr:to>
      <xdr:col>8</xdr:col>
      <xdr:colOff>104775</xdr:colOff>
      <xdr:row>18</xdr:row>
      <xdr:rowOff>0</xdr:rowOff>
    </xdr:to>
    <xdr:sp macro="" textlink="">
      <xdr:nvSpPr>
        <xdr:cNvPr id="13" name="Text Box 2">
          <a:extLst>
            <a:ext uri="{FF2B5EF4-FFF2-40B4-BE49-F238E27FC236}">
              <a16:creationId xmlns:a16="http://schemas.microsoft.com/office/drawing/2014/main" id="{00000000-0008-0000-1400-00000D000000}"/>
            </a:ext>
          </a:extLst>
        </xdr:cNvPr>
        <xdr:cNvSpPr txBox="1">
          <a:spLocks noChangeArrowheads="1"/>
        </xdr:cNvSpPr>
      </xdr:nvSpPr>
      <xdr:spPr bwMode="auto">
        <a:xfrm>
          <a:off x="6305550" y="3181350"/>
          <a:ext cx="104775" cy="196850"/>
        </a:xfrm>
        <a:prstGeom prst="rect">
          <a:avLst/>
        </a:prstGeom>
        <a:noFill/>
        <a:ln w="9525">
          <a:no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181</xdr:row>
      <xdr:rowOff>0</xdr:rowOff>
    </xdr:from>
    <xdr:to>
      <xdr:col>9</xdr:col>
      <xdr:colOff>104775</xdr:colOff>
      <xdr:row>182</xdr:row>
      <xdr:rowOff>6350</xdr:rowOff>
    </xdr:to>
    <xdr:sp macro="" textlink="">
      <xdr:nvSpPr>
        <xdr:cNvPr id="2" name="Text Box 1">
          <a:extLst>
            <a:ext uri="{FF2B5EF4-FFF2-40B4-BE49-F238E27FC236}">
              <a16:creationId xmlns:a16="http://schemas.microsoft.com/office/drawing/2014/main" id="{00000000-0008-0000-1100-000002000000}"/>
            </a:ext>
          </a:extLst>
        </xdr:cNvPr>
        <xdr:cNvSpPr txBox="1">
          <a:spLocks noChangeArrowheads="1"/>
        </xdr:cNvSpPr>
      </xdr:nvSpPr>
      <xdr:spPr bwMode="auto">
        <a:xfrm>
          <a:off x="7524750" y="33223200"/>
          <a:ext cx="104775" cy="206375"/>
        </a:xfrm>
        <a:prstGeom prst="rect">
          <a:avLst/>
        </a:prstGeom>
        <a:noFill/>
        <a:ln w="9525">
          <a:noFill/>
          <a:miter lim="800000"/>
          <a:headEnd/>
          <a:tailEnd/>
        </a:ln>
      </xdr:spPr>
    </xdr:sp>
    <xdr:clientData/>
  </xdr:twoCellAnchor>
  <xdr:twoCellAnchor editAs="oneCell">
    <xdr:from>
      <xdr:col>9</xdr:col>
      <xdr:colOff>0</xdr:colOff>
      <xdr:row>181</xdr:row>
      <xdr:rowOff>0</xdr:rowOff>
    </xdr:from>
    <xdr:to>
      <xdr:col>9</xdr:col>
      <xdr:colOff>104775</xdr:colOff>
      <xdr:row>182</xdr:row>
      <xdr:rowOff>6350</xdr:rowOff>
    </xdr:to>
    <xdr:sp macro="" textlink="">
      <xdr:nvSpPr>
        <xdr:cNvPr id="3" name="Text Box 2">
          <a:extLst>
            <a:ext uri="{FF2B5EF4-FFF2-40B4-BE49-F238E27FC236}">
              <a16:creationId xmlns:a16="http://schemas.microsoft.com/office/drawing/2014/main" id="{00000000-0008-0000-1100-000003000000}"/>
            </a:ext>
          </a:extLst>
        </xdr:cNvPr>
        <xdr:cNvSpPr txBox="1">
          <a:spLocks noChangeArrowheads="1"/>
        </xdr:cNvSpPr>
      </xdr:nvSpPr>
      <xdr:spPr bwMode="auto">
        <a:xfrm>
          <a:off x="7524750" y="33223200"/>
          <a:ext cx="104775" cy="206375"/>
        </a:xfrm>
        <a:prstGeom prst="rect">
          <a:avLst/>
        </a:prstGeom>
        <a:noFill/>
        <a:ln w="9525">
          <a:noFill/>
          <a:miter lim="800000"/>
          <a:headEnd/>
          <a:tailEnd/>
        </a:ln>
      </xdr:spPr>
    </xdr:sp>
    <xdr:clientData/>
  </xdr:twoCellAnchor>
  <xdr:twoCellAnchor editAs="oneCell">
    <xdr:from>
      <xdr:col>9</xdr:col>
      <xdr:colOff>0</xdr:colOff>
      <xdr:row>181</xdr:row>
      <xdr:rowOff>0</xdr:rowOff>
    </xdr:from>
    <xdr:to>
      <xdr:col>9</xdr:col>
      <xdr:colOff>104775</xdr:colOff>
      <xdr:row>182</xdr:row>
      <xdr:rowOff>6350</xdr:rowOff>
    </xdr:to>
    <xdr:sp macro="" textlink="">
      <xdr:nvSpPr>
        <xdr:cNvPr id="4" name="Text Box 1">
          <a:extLst>
            <a:ext uri="{FF2B5EF4-FFF2-40B4-BE49-F238E27FC236}">
              <a16:creationId xmlns:a16="http://schemas.microsoft.com/office/drawing/2014/main" id="{00000000-0008-0000-1100-000004000000}"/>
            </a:ext>
          </a:extLst>
        </xdr:cNvPr>
        <xdr:cNvSpPr txBox="1">
          <a:spLocks noChangeArrowheads="1"/>
        </xdr:cNvSpPr>
      </xdr:nvSpPr>
      <xdr:spPr bwMode="auto">
        <a:xfrm>
          <a:off x="7524750" y="33223200"/>
          <a:ext cx="104775" cy="206375"/>
        </a:xfrm>
        <a:prstGeom prst="rect">
          <a:avLst/>
        </a:prstGeom>
        <a:noFill/>
        <a:ln w="9525">
          <a:noFill/>
          <a:miter lim="800000"/>
          <a:headEnd/>
          <a:tailEnd/>
        </a:ln>
      </xdr:spPr>
    </xdr:sp>
    <xdr:clientData/>
  </xdr:twoCellAnchor>
  <xdr:twoCellAnchor editAs="oneCell">
    <xdr:from>
      <xdr:col>9</xdr:col>
      <xdr:colOff>0</xdr:colOff>
      <xdr:row>181</xdr:row>
      <xdr:rowOff>0</xdr:rowOff>
    </xdr:from>
    <xdr:to>
      <xdr:col>9</xdr:col>
      <xdr:colOff>104775</xdr:colOff>
      <xdr:row>182</xdr:row>
      <xdr:rowOff>6350</xdr:rowOff>
    </xdr:to>
    <xdr:sp macro="" textlink="">
      <xdr:nvSpPr>
        <xdr:cNvPr id="5" name="Text Box 2">
          <a:extLst>
            <a:ext uri="{FF2B5EF4-FFF2-40B4-BE49-F238E27FC236}">
              <a16:creationId xmlns:a16="http://schemas.microsoft.com/office/drawing/2014/main" id="{00000000-0008-0000-1100-000005000000}"/>
            </a:ext>
          </a:extLst>
        </xdr:cNvPr>
        <xdr:cNvSpPr txBox="1">
          <a:spLocks noChangeArrowheads="1"/>
        </xdr:cNvSpPr>
      </xdr:nvSpPr>
      <xdr:spPr bwMode="auto">
        <a:xfrm>
          <a:off x="7524750" y="33223200"/>
          <a:ext cx="104775" cy="206375"/>
        </a:xfrm>
        <a:prstGeom prst="rect">
          <a:avLst/>
        </a:prstGeom>
        <a:noFill/>
        <a:ln w="9525">
          <a:no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78</xdr:row>
      <xdr:rowOff>0</xdr:rowOff>
    </xdr:from>
    <xdr:to>
      <xdr:col>17</xdr:col>
      <xdr:colOff>104775</xdr:colOff>
      <xdr:row>78</xdr:row>
      <xdr:rowOff>27432</xdr:rowOff>
    </xdr:to>
    <xdr:sp macro="" textlink="">
      <xdr:nvSpPr>
        <xdr:cNvPr id="2" name="Text Box 1">
          <a:extLst>
            <a:ext uri="{FF2B5EF4-FFF2-40B4-BE49-F238E27FC236}">
              <a16:creationId xmlns:a16="http://schemas.microsoft.com/office/drawing/2014/main" id="{00000000-0008-0000-0500-000002000000}"/>
            </a:ext>
          </a:extLst>
        </xdr:cNvPr>
        <xdr:cNvSpPr txBox="1">
          <a:spLocks noChangeArrowheads="1"/>
        </xdr:cNvSpPr>
      </xdr:nvSpPr>
      <xdr:spPr bwMode="auto">
        <a:xfrm>
          <a:off x="8991600" y="10287000"/>
          <a:ext cx="104775" cy="27432"/>
        </a:xfrm>
        <a:prstGeom prst="rect">
          <a:avLst/>
        </a:prstGeom>
        <a:noFill/>
        <a:ln w="9525">
          <a:noFill/>
          <a:miter lim="800000"/>
          <a:headEnd/>
          <a:tailEnd/>
        </a:ln>
      </xdr:spPr>
    </xdr:sp>
    <xdr:clientData/>
  </xdr:twoCellAnchor>
  <xdr:twoCellAnchor editAs="oneCell">
    <xdr:from>
      <xdr:col>9</xdr:col>
      <xdr:colOff>0</xdr:colOff>
      <xdr:row>78</xdr:row>
      <xdr:rowOff>0</xdr:rowOff>
    </xdr:from>
    <xdr:to>
      <xdr:col>17</xdr:col>
      <xdr:colOff>104775</xdr:colOff>
      <xdr:row>78</xdr:row>
      <xdr:rowOff>27432</xdr:rowOff>
    </xdr:to>
    <xdr:sp macro="" textlink="">
      <xdr:nvSpPr>
        <xdr:cNvPr id="3" name="Text Box 2">
          <a:extLst>
            <a:ext uri="{FF2B5EF4-FFF2-40B4-BE49-F238E27FC236}">
              <a16:creationId xmlns:a16="http://schemas.microsoft.com/office/drawing/2014/main" id="{00000000-0008-0000-0500-000003000000}"/>
            </a:ext>
          </a:extLst>
        </xdr:cNvPr>
        <xdr:cNvSpPr txBox="1">
          <a:spLocks noChangeArrowheads="1"/>
        </xdr:cNvSpPr>
      </xdr:nvSpPr>
      <xdr:spPr bwMode="auto">
        <a:xfrm>
          <a:off x="8991600" y="10287000"/>
          <a:ext cx="104775" cy="27432"/>
        </a:xfrm>
        <a:prstGeom prst="rect">
          <a:avLst/>
        </a:prstGeom>
        <a:noFill/>
        <a:ln w="9525">
          <a:noFill/>
          <a:miter lim="800000"/>
          <a:headEnd/>
          <a:tailEnd/>
        </a:ln>
      </xdr:spPr>
    </xdr:sp>
    <xdr:clientData/>
  </xdr:twoCellAnchor>
  <xdr:twoCellAnchor editAs="oneCell">
    <xdr:from>
      <xdr:col>10</xdr:col>
      <xdr:colOff>0</xdr:colOff>
      <xdr:row>78</xdr:row>
      <xdr:rowOff>0</xdr:rowOff>
    </xdr:from>
    <xdr:to>
      <xdr:col>17</xdr:col>
      <xdr:colOff>104775</xdr:colOff>
      <xdr:row>78</xdr:row>
      <xdr:rowOff>27432</xdr:rowOff>
    </xdr:to>
    <xdr:sp macro="" textlink="">
      <xdr:nvSpPr>
        <xdr:cNvPr id="4" name="Text Box 1">
          <a:extLst>
            <a:ext uri="{FF2B5EF4-FFF2-40B4-BE49-F238E27FC236}">
              <a16:creationId xmlns:a16="http://schemas.microsoft.com/office/drawing/2014/main" id="{00000000-0008-0000-0500-000004000000}"/>
            </a:ext>
          </a:extLst>
        </xdr:cNvPr>
        <xdr:cNvSpPr txBox="1">
          <a:spLocks noChangeArrowheads="1"/>
        </xdr:cNvSpPr>
      </xdr:nvSpPr>
      <xdr:spPr bwMode="auto">
        <a:xfrm>
          <a:off x="9429750" y="10287000"/>
          <a:ext cx="104775" cy="27432"/>
        </a:xfrm>
        <a:prstGeom prst="rect">
          <a:avLst/>
        </a:prstGeom>
        <a:noFill/>
        <a:ln w="9525">
          <a:noFill/>
          <a:miter lim="800000"/>
          <a:headEnd/>
          <a:tailEnd/>
        </a:ln>
      </xdr:spPr>
    </xdr:sp>
    <xdr:clientData/>
  </xdr:twoCellAnchor>
  <xdr:twoCellAnchor editAs="oneCell">
    <xdr:from>
      <xdr:col>10</xdr:col>
      <xdr:colOff>0</xdr:colOff>
      <xdr:row>78</xdr:row>
      <xdr:rowOff>0</xdr:rowOff>
    </xdr:from>
    <xdr:to>
      <xdr:col>17</xdr:col>
      <xdr:colOff>104775</xdr:colOff>
      <xdr:row>78</xdr:row>
      <xdr:rowOff>27432</xdr:rowOff>
    </xdr:to>
    <xdr:sp macro="" textlink="">
      <xdr:nvSpPr>
        <xdr:cNvPr id="5" name="Text Box 2">
          <a:extLst>
            <a:ext uri="{FF2B5EF4-FFF2-40B4-BE49-F238E27FC236}">
              <a16:creationId xmlns:a16="http://schemas.microsoft.com/office/drawing/2014/main" id="{00000000-0008-0000-0500-000005000000}"/>
            </a:ext>
          </a:extLst>
        </xdr:cNvPr>
        <xdr:cNvSpPr txBox="1">
          <a:spLocks noChangeArrowheads="1"/>
        </xdr:cNvSpPr>
      </xdr:nvSpPr>
      <xdr:spPr bwMode="auto">
        <a:xfrm>
          <a:off x="9429750" y="10287000"/>
          <a:ext cx="104775" cy="27432"/>
        </a:xfrm>
        <a:prstGeom prst="rect">
          <a:avLst/>
        </a:prstGeom>
        <a:noFill/>
        <a:ln w="9525">
          <a:no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CC\c\CCC\Mar-04\Afcons%20Infrastructure\Head%20Office\Financials\BS%20final%2015-10-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Rohit%20Khare\Closure_TSPL\2018\March%202018%20IGAAP\Financials\Final%20Financials\Formatted%20Set\Signed%20Set\SSIPL_IGAAP%20Financials%20March%202018%20(Formatted)_11.07.2018.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ankaj\d\GIPL\Audit%20A.Y.%202007-08\06-09-07\defferedtaxgipl060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sskrlnas\desktop5$\Users\ajawahar\Desktop\Noorjahan\Accounts\Accounts\XCLSHIPDec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S1\OFFSHORE\USERS\NARESH\FIN\HALFYEAR\CON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sskrlnas\desktop5$\Users\ajawahar\Desktop\Sharmila\Accounts\HILLASS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inank\d\Finance\ProjAcc\Essar\BH\ESSAR\CR-SUPLY.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sskrlnas\desktop5$\Documents%20and%20Settings\cpatra\Desktop\Rajesh\account-closing-06-07\wbs-audit\COST%202006-07-zahid-audi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Gopalan\c\DK\DOC\FOI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sskrlnas\desktop5$\Documents%20and%20Settings\Praveen\Desktop\FINANCIALS%20-%20APR02-MAR0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sskrlnas\desktop5$\DOCUME~1\VVK\LOCALS~1\Temp\SEPT2KCONCR..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kjain\C\DOCUME~1\VVK\LOCALS~1\Temp\DOCUME~1\VVK\LOCALS~1\Temp\SEPT2KCONC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sskrlnas\desktop5$\WINDOWS\TEMP\Mar'01-REVISED.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nkjain\C\DOCUME~1\VVK\LOCALS~1\Temp\WIN95\TEMP\SEPT2KCONCR..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ARIKRISHNA\SumitMarch04\Data04\ADTL\Schedule%20VI%2020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Pinank\d\Finance\ProjAcc\Essar\BH\ESSAR\PO-BH.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atos365-my.sharepoint.com/Users/RK33475/AppData/Local/Microsoft/Windows/Temporary%20Internet%20Files/Content.Outlook/NLX0BD34/SSIPL%20-%20IGAAP%20Financials-March%202018%20(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Gopalan\c\RAJNEESH\FOIL\MEETMAY.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atos365-my.sharepoint.com/Documents%20and%20Settings/cpatra/Desktop/Rajesh/account-closing-06-07/wbs-audit/COST%202006-07-zahid-audi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sskrlnas\desktop5$\Documents%20and%20Settings\msarda\Desktop\IFRS%20Mar'1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inank\d\Finance\ProjAcc\Essar\Accounts%20Payable\Invoice%20Status%20-%20Payments%20ABB.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sskrlnas\desktop5$\DOCUME~1\RINA\LOCALS~1\Temp\Temporary%20Directory%201%20for%20DHS_13405.zip\PROBS0305.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Last%20Year%20QD.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0.0.96.15\Accounts\Gujarat%20Gas%20Consolidated\Consolidated%20TB%20Grouping%20Format\Consolidated%20Merged%20BS%202013-14.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GGL/GGL%20quarters/GGL%20Ind%20AS%20FS%20Template%20%2001%2006%202016-OBS%20format%20v3.xlsx" TargetMode="External"/><Relationship Id="rId1" Type="http://schemas.openxmlformats.org/officeDocument/2006/relationships/externalLinkPath" Target="/GGL/GGL%20quarters/GGL%20Ind%20AS%20FS%20Template%20%2001%2006%202016-OBS%20format%20v3.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sskrlnas\desktop5$\Mukesh\Tax%20Audit%20AY05-06\3cd_annex%20AY05-0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Pinank\d\Finance\ProjAcc\Essar\BH\ESSAR\Exposure\CR-SUPLY.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shah\jayesh\TEAMLINK\STAGING\AUTUM-FRM.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Pankaj\d\GIPL\Audit%20A.Y.%202007-08\06-09-07\asset12foritdep.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92.168.0.1\wordxl\CAMELLIA\Statutory%20Audits\Audit%202005-06\01%20%20Camellia%20Clothing%20Limited\B.%20%20Tax%20Audit%202005-06\PP_Master%20Templat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GUEST2\Desktop\Keystone\Statutory%20Audit\Statutory%20Audit%202004-05\Iiq\Audit%2003-04\Financials\Schedule%20VI%20-%2003-04.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sskrlnas\desktop5$\Books\Income%20Tax%20AY%2003-04\Final%20Files-linked\SIIL%203cd%20Consol%2003.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2.20.23\abex\Banking\Derivatives\AWL\AWL-Closing%20Activities\AWL%202014-15\Mar%202015\BRS-MAR%20201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J.shah\jayesh\FINANCE\123\SUBSRET\1999\NEWSUBRETURN\JS04059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10.0.96.15\My%20client\Project%20Starflex\Databook\Project%20A%20Oct%2022.xlsx"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01-Balance%20sheet-IGAAP_AdaniEnt1"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10.7.3.14\audit%2012-13\Clients\RSIL\Tax%20Audits\RSIL%20TA%202011-12\ITR-6\2012_ITR6_PR6.xlsm"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shokjagtiya\d\My%20Documents\FOREX\Dailiy%20forex%20report\Forex%20MIS%2002-07-0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J.shah\jayesh\FINANCE\123\THOMPSON\COMPANYP.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sskrlnas\desktop5$\Documents%20and%20Settings\rsindhav\Local%20Settings\Temporary%20Internet%20Files\OLK10F\Haz-cost-allocation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Rajkumar\books\Books\Books%2003-04\Dec%2003\SIIL-Books-Dec03.xls" TargetMode="External"/></Relationships>
</file>

<file path=xl/externalLinks/_rels/externalLink42.xml.rels><?xml version="1.0" encoding="UTF-8" standalone="yes"?>
<Relationships xmlns="http://schemas.openxmlformats.org/package/2006/relationships"><Relationship Id="rId1" Type="http://schemas.microsoft.com/office/2006/relationships/xlExternalLinkPath/xlStartup" Target="FIXED%20ASSETS/2001-02/SCHV.xls" TargetMode="External"/></Relationships>
</file>

<file path=xl/externalLinks/_rels/externalLink43.xml.rels><?xml version="1.0" encoding="UTF-8" standalone="yes"?>
<Relationships xmlns="http://schemas.openxmlformats.org/package/2006/relationships"><Relationship Id="rId1" Type="http://schemas.microsoft.com/office/2006/relationships/xlExternalLinkPath/xlStartup" Target="FIXED%20ASSETS/2002-03/asset02-03.xls" TargetMode="External"/></Relationships>
</file>

<file path=xl/externalLinks/_rels/externalLink44.xml.rels><?xml version="1.0" encoding="UTF-8" standalone="yes"?>
<Relationships xmlns="http://schemas.openxmlformats.org/package/2006/relationships"><Relationship Id="rId2" Type="http://schemas.microsoft.com/office/2019/04/relationships/externalLinkLongPath" Target="file:///\\esskrlnas\desktop5$\Documents%20and%20Settings\KDaultani\Local%20Settings\Temporary%20Internet%20Files\OLK1B\Documents%20and%20Settings\sjs\Local%20Settings\Temporary%20Internet%20Files\OLK95\loan\Monthly\March'02\Mar'01OD%20INT-REVISED.xls?890356CC" TargetMode="External"/><Relationship Id="rId1" Type="http://schemas.openxmlformats.org/officeDocument/2006/relationships/externalLinkPath" Target="file:///\\890356CC\Mar'01OD%20INT-REVISED.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sskrlnas\desktop5$\loan\Monthly\March'02\Mar'01OD%20INT-REVISED.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esskrlnas\desktop5$\Rina\samir\WINDOWS\TEMP\cash%20bud%20q4version2ps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pserv\niko\Finance\General\Fixed%20Assets\Fixed%20Asset%202001-02%20(New%20Folder)\Assets%2001-02%20(1st%20Run)%20Joint%20Venture\Niko%20Branch%2001-0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A:\finance\shabbir\BS\EPoL%20-%20F&amp;A%20Dept%20(D)\Sep04halfyear%20closing\BSSEP0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PANKAJ\pankajD\GIPL\Audit%20A.Y.%202007-08\giplfinancialx\defferedtaxgipl06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sskrlnas\mydocuments5$\kamalh\Documents\D%20Drive\IFRS\IFRS%20Financials\EGL%20Consol%20BS%20March%202013\Projects\EPL_7500\EPL_7500_Mar%2013.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esskrlnas\desktop5$\Users\Kiran\AppData\Local\Microsoft\Windows\Temporary%20Internet%20Files\Content.Outlook\1U8LT935\IFRS%20Dec'11%20Pack%20vipul.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sskrlnas\desktop5$\Documents%20and%20Settings\mukesh\Local%20Settings\Temporary%20Internet%20Files\OLK5\SEPT2KCONCR..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esskrlnas\desktop5$\datafolder\Old%20Machine%20backup\OLDHDD\loan\Monthly\MAR'04\WINDOWS\TEMP\cash%20bud%20q4version2ps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sskrlnas\desktop5$\datafolder\Old%20Machine%20backup\OLDHDD\loan\Monthly\MAR'04\DOCUME~1\VVK\LOCALS~1\Temp\SEPT2KCONCR..xls" TargetMode="External"/></Relationships>
</file>

<file path=xl/externalLinks/_rels/externalLink55.xml.rels><?xml version="1.0" encoding="UTF-8" standalone="yes"?>
<Relationships xmlns="http://schemas.openxmlformats.org/package/2006/relationships"><Relationship Id="rId1" Type="http://schemas.microsoft.com/office/2006/relationships/xlExternalLinkPath/xlPathMissing" Target="Worksheet%20in%20221055%20Sundry%20Debtors%20and%20Unbilled%20Revenue%20Combined%20Leadsheet"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esskrlnas\desktop5$\HGPL%20FIN%20(ESTL%20FORMAT)%20%20-%20MAR%202006%20-%20updated%2027TH%20%20JUNE%2006%20-%20CAPITALISED.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sskrlnas\desktop5$\Users\Common\AppData\Local\Microsoft\Windows\Temporary%20Internet%20Files\Content.Outlook\0F4OOOZW\EPL%20Flower%20IFRS%20June'11%20template.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esskrlnas\desktop5$\datafolder\Old%20Machine%20backup\OLDHDD\loan\Monthly\MAR'04\WIN95\TEMP\SEPT2KCONCR..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esskrlnas\desktop5$\deepak\Tax%20Audit%20AY02-03\3cd_annex_final.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Rajkumar\Raj-office\Sunilbohra\Sunil\IFRS%20Transition\Implementation\Consolidation\Output%20Reports\IFRS%20-Balance%20Sheet.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esskrlnas\desktop5$\CLIENTS\PRK\S&amp;MBS99.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esskrlnas\desktop5$\Documents%20and%20Settings\r%20ganpathi\Local%20Settings\Temp\wz4656\SIIL-Books-Mar%2007.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Pinank\d\Finance\ProjAcc\Essar\BH\ESSAR\Exposure\PO-BH.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nkjain\C\OLDHDD\loan\Monthly\Mar'03\SEPT2KCONC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tu-nt\MIS\Books\Books%2006-07\Aug%2006%20FV\IFRS\FV\PROV%20TO%20FINAL%20MTM%20Aug%2006.xls" TargetMode="External"/></Relationships>
</file>

<file path=xl/externalLinks/_rels/externalLink66.xml.rels><?xml version="1.0" encoding="UTF-8" standalone="yes"?>
<Relationships xmlns="http://schemas.openxmlformats.org/package/2006/relationships"><Relationship Id="rId1" Type="http://schemas.microsoft.com/office/2006/relationships/xlExternalLinkPath/xlPathMissing" Target="Worksheet%20in%208320%20Expenses%20Workbook" TargetMode="External"/></Relationships>
</file>

<file path=xl/externalLinks/_rels/externalLink67.xml.rels><?xml version="1.0" encoding="UTF-8" standalone="yes"?>
<Relationships xmlns="http://schemas.openxmlformats.org/package/2006/relationships"><Relationship Id="rId1" Type="http://schemas.microsoft.com/office/2006/relationships/xlExternalLinkPath/xlPathMissing" Target="Worksheet%20in%20(C)%205610%20Fixed%20Assets%20-%20Leadsheet" TargetMode="External"/></Relationships>
</file>

<file path=xl/externalLinks/_rels/externalLink68.xml.rels><?xml version="1.0" encoding="UTF-8" standalone="yes"?>
<Relationships xmlns="http://schemas.openxmlformats.org/package/2006/relationships"><Relationship Id="rId1" Type="http://schemas.microsoft.com/office/2006/relationships/xlExternalLinkPath/xlPathMissing" Target="Worksheet%20in%205420%20Inventory%20-%20Workbook"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A:\Documents%20and%20Settings\mhnh\My%20Documents\2001\Asia%20Pacific\Plan\5Y_v2.14.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10.0.96.15\Account%20&amp;%20Taxation\Accounts\Gujarat%20Gas%20Consolidated\GGL%202015-16\GGL%2015-6%20Q-3\Consolidated%20Merged%20BS%202015-16-%20Dec%2015%20-%20V2%20with%20BS%20regrouping.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esskrlnas\desktop5$\Rina\samir\WIN95\TEMP\WINDOWS\TEMP\SEPT2KCONC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esskrlnas\desktop5$\OLDHDD\loan\Monthly\Dec'02\SEPT2KCONC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nkjain\C\WIN95\TEMP\SEPT2KCONCR..xls" TargetMode="External"/></Relationships>
</file>

<file path=xl/externalLinks/_rels/externalLink74.xml.rels><?xml version="1.0" encoding="UTF-8" standalone="yes"?>
<Relationships xmlns="http://schemas.openxmlformats.org/package/2006/relationships"><Relationship Id="rId1" Type="http://schemas.microsoft.com/office/2006/relationships/xlExternalLinkPath/xlPathMissing" Target="Worksheet%20in%208440VA%20Operating%20Expenses%20Substantive%20Testing" TargetMode="External"/></Relationships>
</file>

<file path=xl/externalLinks/_rels/externalLink75.xml.rels><?xml version="1.0" encoding="UTF-8" standalone="yes"?>
<Relationships xmlns="http://schemas.openxmlformats.org/package/2006/relationships"><Relationship Id="rId1" Type="http://schemas.microsoft.com/office/2006/relationships/xlExternalLinkPath/xlPathMissing" Target="Worksheet%20in%20VA%20All%20Balances%20Combined%20Leadsheet%20Mar%2008"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Nilesh\nilesh_d\Raman\Bal.Sheet%20JV%202003-04%20Dt.22.04.05.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10.0.96.15\Accounts\Audit\Annual%20Accounts%202013-2014\Standalone%20Financial%2013-14%20GSPC%20Gas%20Mar-14%20Ver_4.xlsb"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esskrlnas\desktop5$\WINDOWS\TEMP\jun00\int062000-REVISED-summary.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esskrlnas\desktop5$\Documents%20and%20Settings\sohoni\Local%20Settings\Temporary%20Internet%20Files\OLK14\ECLITR0607.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Gopalan\c\SUSHIL\fin%20yr%200102\bank%20stock%20statement%200102\BANK%20STK%20SEP%20200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Poonam\c\My%20Documents\MIS%202004-05\PAP\MONTHLY%20FILES%20PHPL\MAR%2005\PAP%20MAR%2005%20BOOKS.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sskrlnas\desktop5$\IFRS\IFRS%20financials\EGL%20Cons%20BS%20Mar%202008\Notes\Related%20Party\RPT%20ESTL%20Mar%2008.xls" TargetMode="External"/></Relationships>
</file>

<file path=xl/externalLinks/_rels/externalLink83.xml.rels><?xml version="1.0" encoding="UTF-8" standalone="yes"?>
<Relationships xmlns="http://schemas.openxmlformats.org/package/2006/relationships"><Relationship Id="rId1" Type="http://schemas.microsoft.com/office/2006/relationships/xlExternalLinkPath/xlPathMissing" Target="Worksheet%20in%202240.02%20Notes%20Working%20(2005-06)"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F:\RINAF\RINA\BS\MAR06\cash%20flow\marchbalfinalcf25thJuly.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Pinank\d\Finance\ProjAcc\Essar\EROG\ESSAR\GENERAL\PO%20LOG%20Exposure.xls" TargetMode="External"/></Relationships>
</file>

<file path=xl/externalLinks/_rels/externalLink86.xml.rels><?xml version="1.0" encoding="UTF-8" standalone="yes"?>
<Relationships xmlns="http://schemas.openxmlformats.org/package/2006/relationships"><Relationship Id="rId1" Type="http://schemas.microsoft.com/office/2006/relationships/xlExternalLinkPath/xlPathMissing" Target="Worksheet%20in%20%20%20%20%20%20Substantive%20Analytical%20Review%20-%20Disaggregated%20Pop."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s://atos365-my.sharepoint.com/CCC/Miscellaneous/Stock%20Take%20310306/Stock%20Reports/K%20M%20Enterprise%20PBPL.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PathMissing" Target="Worksheet%20in%205520%20Loans%20&amp;%20Advances%20Substantive%20Testing"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N:\CCC%20Audit-05\AIL\Accounts\Liability\Creditors\6120%20Creditors%20Analysis%20workbook.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Rina\rina\WINDOWS\TEMP\dhsint1004\1611A%20INTEREST%20ACCRUED%20ON%20LOANS%20AS%20ON%2030%20SEP%202004.xls" TargetMode="External"/></Relationships>
</file>

<file path=xl/externalLinks/_rels/externalLink91.xml.rels><?xml version="1.0" encoding="UTF-8" standalone="yes"?>
<Relationships xmlns="http://schemas.openxmlformats.org/package/2006/relationships"><Relationship Id="rId1" Type="http://schemas.microsoft.com/office/2006/relationships/xlExternalLinkPath/xlPathMissing" Target="Worksheet%20in%205320%20Debtors%20Analysis%20workbook" TargetMode="External"/></Relationships>
</file>

<file path=xl/externalLinks/_rels/externalLink92.xml.rels><?xml version="1.0" encoding="UTF-8" standalone="yes"?>
<Relationships xmlns="http://schemas.openxmlformats.org/package/2006/relationships"><Relationship Id="rId1" Type="http://schemas.microsoft.com/office/2006/relationships/xlExternalLinkPath/xlPathMissing" Target="Worksheet%20in%201612.01%20REFINERY%202"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esskrlnas\desktop5$\2002-03%20AUDIT%20SCHE\FINANCIALS%20-%20APR02-MAR03INCL%20&amp;%20EXC.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10.0.96.15\Account%20&amp;%20Taxation\Account%20&amp;%20Taxation\My%20client\Project%20Starflex\Databook\Project%20A%20Oct%2022.xlsx"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atos365-my.sharepoint.com/personal/rohit_khare_atos_net/Documents/Server%20back%20up/Closure_TSPL/2021/Q4%202021/December%202021/S4%20Hana%20Opening%20Balance%20Upload%20SSIPL%20Dec%2021/Final%20File/E119%20PS%20to%20Nessie%20Reco.xlsx"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S:\Finance\sept01fin\BALN_SHEET_BALV1231.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Atz-p3-143\C\WINDOWS\TEMP\Payment-Schedule.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https://atos365-my.sharepoint.com/Users/chandanp/AppData/Local/Microsoft/Windows/Temporary%20Internet%20Files/Content.Outlook/0KPFC3KA/Closure_SIPL/2011/Q1%2011/Jan%2011%20accts/SIPL%20-%20Financial%20Statements%20-%20Jan-11.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https://atos365.sharepoint.com/SSPL/Accounts/2017/IGAAP/Financial/do%20not%20use/SSSSPL%20IND%20AS%20Financials%20for%20March%202016.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F:\Finance\syntel\BP2006\Submissions%20Received\Support%20Functions\Facilities\SGA%20Plan_2006_Template%20for%20Support-%20Facilities_5.11.05.xls" TargetMode="External"/></Relationships>
</file>

<file path=xl/externalLinks/_rels/externalLink101.xml.rels><?xml version="1.0" encoding="UTF-8" standalone="yes"?>
<Relationships xmlns="http://schemas.openxmlformats.org/package/2006/relationships"><Relationship Id="rId2" Type="http://schemas.openxmlformats.org/officeDocument/2006/relationships/externalLinkPath" Target="https://eviden-my.sharepoint.com/personal/vivekanand_pote_eviden_com/Documents/Desktop/March%2023_IGAAP%20Financials/SSIPL%20IGAAP%20Financials%20March%202023%20sent%20to%20GT%20auditors_18.09.2023%20v2.xlsb" TargetMode="External"/><Relationship Id="rId1" Type="http://schemas.openxmlformats.org/officeDocument/2006/relationships/externalLinkPath" Target="https://outlook.office.com/personal/vivekanand_pote_eviden_com/Documents/Desktop/March%2023_IGAAP%20Financials/SSIPL%20IGAAP%20Financials%20March%202023%20sent%20to%20GT%20auditors_18.09.2023%20v2.xlsb" TargetMode="External"/></Relationships>
</file>

<file path=xl/externalLinks/_rels/externalLink102.xml.rels><?xml version="1.0" encoding="UTF-8" standalone="yes"?>
<Relationships xmlns="http://schemas.openxmlformats.org/package/2006/relationships"><Relationship Id="rId3" Type="http://schemas.openxmlformats.org/officeDocument/2006/relationships/externalLinkPath" Target="https://eviden-my.sharepoint.com/personal/vivekanand_pote_eviden_com/Documents/Finance_VCP/03.%20March%2024/March%2024_IGAAP%20Closure/SSIPL%20March%2024%20IGAAP%20Closure/Impact%20of%20reversal%20entries%20of%20FY%2022-23_SSIPL.xlsx" TargetMode="External"/><Relationship Id="rId2" Type="http://schemas.microsoft.com/office/2019/04/relationships/externalLinkLongPath" Target="https://outlook.office.com/owa/wopi/files/8b0645c6-3be8-4687-99d8-b3e63c0cc410@eviden.com/AAMkADhiMDY0NWM2LTNiZTgtNDY4Ny05OWQ4LWIzZTYzYzBjYzQxMABGAAAAAABattYDdO-kTINKGpimj26PBwD2YoLo8QC1SI4bAn5qickPAAAAAAEJAAD2YoLo8QC1SI4bAn5qickPAACfWjJFAAABEgAQAM8T6XeD7QZDoNYwUu8.P4o=_fVetTrnM3AgBAQAAAAA=/WOPIServiceId_FP_EXCHANGE_ORGID/WOPIUserId_fb9f24cf-7c25-44db-a034-0f53cc7ee208/Impact%20of%20reversal%20entries%20of%20FY%2022-23_SSIPL.xlsx?283C7B47" TargetMode="External"/><Relationship Id="rId1" Type="http://schemas.openxmlformats.org/officeDocument/2006/relationships/externalLinkPath" Target="file:///\\283C7B47\Impact%20of%20reversal%20entries%20of%20FY%2022-23_SSIPL.xlsx" TargetMode="External"/></Relationships>
</file>

<file path=xl/externalLinks/_rels/externalLink103.xml.rels><?xml version="1.0" encoding="UTF-8" standalone="yes"?>
<Relationships xmlns="http://schemas.openxmlformats.org/package/2006/relationships"><Relationship Id="rId2" Type="http://schemas.openxmlformats.org/officeDocument/2006/relationships/externalLinkPath" Target="https://eviden-my.sharepoint.com/personal/vivekanand_pote_eviden_com/Documents/Finance_VCP/03.%20March%2024/March%2024_IGAAP%20Closure/SSIPL%20March%2024%20IGAAP%20Closure/Financials/SSIPL_TB_L2_FY%2023-24.xlsx" TargetMode="External"/><Relationship Id="rId1" Type="http://schemas.openxmlformats.org/officeDocument/2006/relationships/externalLinkPath" Target="https://outlook.office.com/personal/vivekanand_pote_eviden_com/Documents/Finance_VCP/03.%20March%2024/March%2024_IGAAP%20Closure/SSIPL%20March%2024%20IGAAP%20Closure/Financials/SSIPL_TB_L2_FY%2023-24.xlsx"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https://atos365-my.sharepoint.com/Users/a921296/Desktop/March%2023_IGAAP%20Financials/SSIPL%20IGAAP%20Financials%20March%202023%20sent%20to%20GT%20auditors_18.09.2023%20v2.xlsb" TargetMode="External"/></Relationships>
</file>

<file path=xl/externalLinks/_rels/externalLink105.xml.rels><?xml version="1.0" encoding="UTF-8" standalone="yes"?>
<Relationships xmlns="http://schemas.openxmlformats.org/package/2006/relationships"><Relationship Id="rId3" Type="http://schemas.openxmlformats.org/officeDocument/2006/relationships/externalLinkPath" Target="https://eviden-my.sharepoint.com/personal/vivekanand_pote_eviden_com/Documents/Finance_VCP/03.%20March%2024/March%2024_IGAAP%20Closure/SSIPL%20March%2024%20IGAAP%20Closure/L2_Closing%20Entries_March%2024_SSIPL/March%2024_IGAAP_Audit%20Entries_SSIPL.xlsx" TargetMode="External"/><Relationship Id="rId2" Type="http://schemas.microsoft.com/office/2019/04/relationships/externalLinkLongPath" Target="https://atos365-my.sharepoint.com/personal/vivekanand_pote_eviden_com/Documents/Finance_VCP/03.%20March%2024/March%2024_IGAAP%20Closure/SSIPL%20March%2024%20IGAAP%20Closure/L2_Closing%20Entries_March%2024_SSIPL/March%2024_IGAAP_Audit%20Entries_SSIPL.xlsx?354EF475" TargetMode="External"/><Relationship Id="rId1" Type="http://schemas.openxmlformats.org/officeDocument/2006/relationships/externalLinkPath" Target="file:///\\354EF475\March%2024_IGAAP_Audit%20Entries_SSIP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flow"/>
      <sheetName val="Sch 5"/>
      <sheetName val="TB"/>
      <sheetName val="EPS"/>
      <sheetName val="BS"/>
      <sheetName val="LINKS"/>
      <sheetName val="ADJ"/>
      <sheetName val="Sheet1"/>
      <sheetName val="c_flow"/>
      <sheetName val="Chart1"/>
      <sheetName val="chart3"/>
      <sheetName val="Chart2"/>
      <sheetName val="VTB-DEC10"/>
      <sheetName val="TB-DEC10"/>
      <sheetName val="Investments Schedule"/>
      <sheetName val="PLN.-inst wise-Mar 11"/>
      <sheetName val="BS final 15-10-04"/>
      <sheetName val="77S(O)"/>
      <sheetName val="Control"/>
      <sheetName val="Lists"/>
      <sheetName val="MasterSheet"/>
      <sheetName val="Assumptions"/>
      <sheetName val="Sch_5"/>
      <sheetName val="Investments_Schedule"/>
      <sheetName val="PLN_-inst_wise-Mar_11"/>
      <sheetName val="BS_final_15-10-04"/>
      <sheetName val="MasterList"/>
      <sheetName val="Sch_51"/>
      <sheetName val="Investments_Schedule1"/>
      <sheetName val="PLN_-inst_wise-Mar_111"/>
      <sheetName val="BS_final_15-10-041"/>
      <sheetName val="Sch_52"/>
      <sheetName val="Investments_Schedule2"/>
      <sheetName val="PLN_-inst_wise-Mar_112"/>
      <sheetName val="BS_final_15-10-042"/>
      <sheetName val="IGAAP BS &amp; PL"/>
      <sheetName val="BS+PL Drop downs"/>
      <sheetName val="Contb (Indas)"/>
      <sheetName val="Sales"/>
      <sheetName val="Contb (IGAAP)"/>
      <sheetName val="Sliding Scale"/>
      <sheetName val="LED "/>
      <sheetName val="BHA#1( page 1)"/>
      <sheetName val="schedules"/>
      <sheetName val="BKCSTOCKVAL"/>
      <sheetName val="MAHSTOCKVAL"/>
      <sheetName val="BVA"/>
      <sheetName val="daywork- Tham khao"/>
      <sheetName val="#REF"/>
      <sheetName val="JV Data Validation"/>
      <sheetName val="sdrs_mar"/>
      <sheetName val="Covonent"/>
      <sheetName val="Proforma"/>
      <sheetName val="BAAT DUMMY"/>
      <sheetName val="SETT INSTRUCTIONS"/>
      <sheetName val="Data"/>
      <sheetName val="Budd Lanner Split"/>
      <sheetName val="SAP DUMP"/>
      <sheetName val="SAP EMP"/>
      <sheetName val="Note 2 - 19"/>
      <sheetName val="ANNX 21"/>
      <sheetName val="Summary"/>
      <sheetName val="HBI_DRI"/>
      <sheetName val="Internal Data"/>
      <sheetName val="VIALS jan 17"/>
      <sheetName val="x-rate"/>
      <sheetName val="Rev Working"/>
      <sheetName val="State Code Definition"/>
      <sheetName val="Sheet2"/>
      <sheetName val="BS Sch III"/>
      <sheetName val="I"/>
      <sheetName val="P&amp;L notes"/>
      <sheetName val="Asset notes-1"/>
      <sheetName val="98-99"/>
      <sheetName val="FORM-16"/>
      <sheetName val="Local Currency-AP"/>
      <sheetName val="FINAL"/>
      <sheetName val="Break up of RMcost"/>
      <sheetName val="NSE CASH"/>
      <sheetName val="Brokerage"/>
      <sheetName val="BSE"/>
      <sheetName val="SCH.IV."/>
      <sheetName val="Reference"/>
      <sheetName val="TargIS"/>
      <sheetName val="TargBSCF"/>
      <sheetName val="Ref"/>
      <sheetName val="Sch_53"/>
      <sheetName val="Investments_Schedule3"/>
      <sheetName val="PLN_-inst_wise-Mar_113"/>
      <sheetName val="BS_final_15-10-043"/>
      <sheetName val="Sliding_Scale"/>
      <sheetName val="IGAAP_BS_&amp;_PL"/>
      <sheetName val="BS+PL_Drop_downs"/>
      <sheetName val="Contb_(Indas)"/>
      <sheetName val="Contb_(IGAAP)"/>
      <sheetName val="Analysis"/>
      <sheetName val="Instructions &amp; Index"/>
      <sheetName val="Grouping TB"/>
      <sheetName val="COMPLEXALL"/>
      <sheetName val="daywork-_Tham_khao"/>
      <sheetName val="MSMED Q3 2020-21"/>
      <sheetName val="VAR STORE_CONS"/>
      <sheetName val="statoil"/>
      <sheetName val="Accounts"/>
      <sheetName val="P"/>
      <sheetName val="Summ-Jan-Dec04-Revised"/>
      <sheetName val="Summ-Apr-Dec04_BLI"/>
      <sheetName val="PL2003"/>
      <sheetName val="JV_Data_Validation"/>
      <sheetName val="LED_"/>
      <sheetName val="BHA#1(_page_1)"/>
      <sheetName val="Computation 19"/>
      <sheetName val="Mandays Cost"/>
      <sheetName val="VIALS-CART WIP"/>
      <sheetName val="AMPS-WIP"/>
      <sheetName val="Internal_Data"/>
      <sheetName val="VIALS_jan_17"/>
      <sheetName val="Liabilities"/>
      <sheetName val="Details"/>
      <sheetName val="Financial Information"/>
      <sheetName val="Input"/>
      <sheetName val="EX-DIF98"/>
      <sheetName val="BAL2011"/>
      <sheetName val="zpctb-dta"/>
      <sheetName val="Pur"/>
      <sheetName val="GCOM"/>
      <sheetName val="MAT"/>
      <sheetName val="PE CHARGES"/>
      <sheetName val="SUMM-09-04"/>
      <sheetName val="Apr'12 &amp; May'12"/>
      <sheetName val="Note_2_-_19"/>
      <sheetName val="ANNX_21"/>
      <sheetName val="TB - CY"/>
      <sheetName val="Commodity"/>
      <sheetName val="Settings"/>
      <sheetName val="Drop Down"/>
      <sheetName val="Lead YTD vs YTD"/>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refreshError="1"/>
      <sheetData sheetId="112" refreshError="1"/>
      <sheetData sheetId="113" refreshError="1"/>
      <sheetData sheetId="114" refreshError="1"/>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refreshError="1"/>
      <sheetData sheetId="133" refreshError="1"/>
      <sheetData sheetId="134" refreshError="1"/>
      <sheetData sheetId="135" refreshError="1"/>
      <sheetData sheetId="13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 AS Impact TB FY 15-16"/>
      <sheetName val="Master"/>
      <sheetName val="Control Check"/>
      <sheetName val="Statement of Equity"/>
      <sheetName val="BS"/>
      <sheetName val="PL"/>
      <sheetName val="Statement of Equity (2)"/>
      <sheetName val="CF"/>
      <sheetName val="Significant Accounting Poli New"/>
      <sheetName val="Significant Accounting Policies"/>
      <sheetName val="Note 4 - 5"/>
      <sheetName val="Note 6-13"/>
      <sheetName val="Note 8 - Current Investment"/>
      <sheetName val="Note 14 - 22"/>
      <sheetName val="Note 23-33"/>
      <sheetName val="Note 34 Segment Reporting"/>
      <sheetName val="Notes 35-42"/>
      <sheetName val="BS Gr"/>
      <sheetName val="Sch - BS"/>
      <sheetName val="Entries' 17-18"/>
      <sheetName val="PL Gr"/>
      <sheetName val="Sch - PL"/>
      <sheetName val="IND AS BS "/>
      <sheetName val="IND AS PL"/>
      <sheetName val="Sheet1"/>
      <sheetName val="Ind AS Impact TB 01-Apr-15"/>
      <sheetName val="OCI"/>
      <sheetName val="CF Working"/>
      <sheetName val="Sch - FA"/>
      <sheetName val="FA Working 17-18"/>
      <sheetName val="FA Working_16-17"/>
      <sheetName val="RPT - Summary"/>
      <sheetName val="Excess of 10%"/>
      <sheetName val="RPT - Detail"/>
      <sheetName val="New Codes List FY 16"/>
      <sheetName val="TB for financial"/>
      <sheetName val="TB Download"/>
      <sheetName val="TB Comparision USGAAP and IGAAP"/>
      <sheetName val="Foreign Bank Accounts"/>
      <sheetName val="Profit Rico"/>
      <sheetName val="Entries' 15-16"/>
      <sheetName val="IND AS entries 17-18"/>
      <sheetName val="IND AS_TB17-1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607"/>
      <sheetName val="defexp"/>
      <sheetName val="Final Dep CL"/>
      <sheetName val="depcl"/>
      <sheetName val="depit"/>
      <sheetName val="0506"/>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mp;A"/>
      <sheetName val="dir&amp;aud"/>
      <sheetName val="secre"/>
      <sheetName val="Accounts"/>
      <sheetName val="equit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SR"/>
      <sheetName val="BALANCE_SHEET"/>
      <sheetName val="fcl"/>
      <sheetName val="BALANCE_SHEET1"/>
      <sheetName val="BALANCE_SHEET2"/>
      <sheetName val="BALANCE_SHEET3"/>
      <sheetName val="77S(O)"/>
      <sheetName val="CONBS"/>
      <sheetName val="expired"/>
      <sheetName val="DURGES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mp;A"/>
      <sheetName val="dir&amp;aud"/>
      <sheetName val="Accounts"/>
      <sheetName val="equity"/>
    </sheetNames>
    <sheetDataSet>
      <sheetData sheetId="0" refreshError="1"/>
      <sheetData sheetId="1" refreshError="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 - not for distribution"/>
      <sheetName val="cr-board"/>
      <sheetName val="a-3"/>
      <sheetName val="a-3 internal"/>
      <sheetName val="a-4"/>
      <sheetName val="a-5"/>
      <sheetName val="a-7"/>
      <sheetName val="graph PA"/>
      <sheetName val="gk 01-00"/>
      <sheetName val="gk 01-00 jwk"/>
      <sheetName val="gk 12-99"/>
      <sheetName val="gk 11-99"/>
      <sheetName val="gk 10-99"/>
      <sheetName val="gk 09-99 "/>
      <sheetName val="gk 08-99"/>
      <sheetName val="ptc"/>
      <sheetName val="gk-contr 05-00"/>
      <sheetName val="gk-contr 01-00"/>
      <sheetName val="gk-contr 12-99"/>
      <sheetName val="gk-contr 10-99"/>
      <sheetName val="x-rate"/>
      <sheetName val="bh-jdeg"/>
      <sheetName val="CR-SUPLY"/>
      <sheetName val="gk-contract 01-00"/>
      <sheetName val="gk-contract 12-99"/>
      <sheetName val="gk-contract 10-99"/>
      <sheetName val="cr-board special"/>
      <sheetName val="a-3 special"/>
      <sheetName val="a3-int. special"/>
      <sheetName val="a4-special"/>
      <sheetName val="a-5 special"/>
      <sheetName val="fee+int"/>
      <sheetName val="gk 09-99"/>
      <sheetName val="77S(O)"/>
      <sheetName val="cr_-_not_for_distribution"/>
      <sheetName val="a-3_internal"/>
      <sheetName val="graph_PA"/>
      <sheetName val="gk_01-00"/>
      <sheetName val="gk_01-00_jwk"/>
      <sheetName val="gk_12-99"/>
      <sheetName val="gk_11-99"/>
      <sheetName val="gk_10-99"/>
      <sheetName val="gk_09-99_"/>
      <sheetName val="gk_08-99"/>
      <sheetName val="gk-contr_05-00"/>
      <sheetName val="gk-contr_01-00"/>
      <sheetName val="gk-contr_12-99"/>
      <sheetName val="gk-contr_10-99"/>
      <sheetName val="gk-contract_01-00"/>
      <sheetName val="gk-contract_12-99"/>
      <sheetName val="gk-contract_10-99"/>
      <sheetName val="cr-board_special"/>
      <sheetName val="a-3_special"/>
      <sheetName val="a3-int__special"/>
      <sheetName val="a-5_special"/>
      <sheetName val="gk_09-99"/>
      <sheetName val="cr_-_not_for_distribution1"/>
      <sheetName val="a-3_internal1"/>
      <sheetName val="graph_PA1"/>
      <sheetName val="gk_01-001"/>
      <sheetName val="gk_01-00_jwk1"/>
      <sheetName val="gk_12-991"/>
      <sheetName val="gk_11-991"/>
      <sheetName val="gk_10-991"/>
      <sheetName val="gk_09-99_1"/>
      <sheetName val="gk_08-991"/>
      <sheetName val="gk-contr_05-001"/>
      <sheetName val="gk-contr_01-001"/>
      <sheetName val="gk-contr_12-991"/>
      <sheetName val="gk-contr_10-991"/>
      <sheetName val="gk-contract_01-001"/>
      <sheetName val="gk-contract_12-991"/>
      <sheetName val="gk-contract_10-991"/>
      <sheetName val="cr-board_special1"/>
      <sheetName val="a-3_special1"/>
      <sheetName val="a3-int__special1"/>
      <sheetName val="a-5_special1"/>
      <sheetName val="gk_09-991"/>
      <sheetName val="cr_-_not_for_distribution2"/>
      <sheetName val="a-3_internal2"/>
      <sheetName val="graph_PA2"/>
      <sheetName val="gk_01-002"/>
      <sheetName val="gk_01-00_jwk2"/>
      <sheetName val="gk_12-992"/>
      <sheetName val="gk_11-992"/>
      <sheetName val="gk_10-992"/>
      <sheetName val="gk_09-99_2"/>
      <sheetName val="gk_08-992"/>
      <sheetName val="gk-contr_05-002"/>
      <sheetName val="gk-contr_01-002"/>
      <sheetName val="gk-contr_12-992"/>
      <sheetName val="gk-contr_10-992"/>
      <sheetName val="gk-contract_01-002"/>
      <sheetName val="gk-contract_12-992"/>
      <sheetName val="gk-contract_10-992"/>
      <sheetName val="cr-board_special2"/>
      <sheetName val="a-3_special2"/>
      <sheetName val="a3-int__special2"/>
      <sheetName val="a-5_special2"/>
      <sheetName val="gk_09-992"/>
      <sheetName val="cr_-_not_for_distribution3"/>
      <sheetName val="a-3_internal3"/>
      <sheetName val="graph_PA3"/>
      <sheetName val="gk_01-003"/>
      <sheetName val="gk_01-00_jwk3"/>
      <sheetName val="gk_12-993"/>
      <sheetName val="gk_11-993"/>
      <sheetName val="gk_10-993"/>
      <sheetName val="gk_09-99_3"/>
      <sheetName val="gk_08-993"/>
      <sheetName val="gk-contr_05-003"/>
      <sheetName val="gk-contr_01-003"/>
      <sheetName val="gk-contr_12-993"/>
      <sheetName val="gk-contr_10-993"/>
      <sheetName val="gk-contract_01-003"/>
      <sheetName val="gk-contract_12-993"/>
      <sheetName val="gk-contract_10-993"/>
      <sheetName val="cr-board_special3"/>
      <sheetName val="a-3_special3"/>
      <sheetName val="a3-int__special3"/>
      <sheetName val="a-5_special3"/>
      <sheetName val="gk_09-993"/>
      <sheetName val="PGW-ACCOUNTS"/>
      <sheetName val="1612.01AN(7) - Niep Tds Summary"/>
      <sheetName val="BS"/>
      <sheetName val="1612_01AN(7)_-_Niep_Tds_Summary"/>
      <sheetName val="ASSAY-new"/>
      <sheetName val="1612_01AN(7)_-_Niep_Tds_Summar1"/>
      <sheetName val="1612_01AN(7)_-_Niep_Tds_Summar2"/>
      <sheetName val="a_4"/>
      <sheetName val="p&amp;l"/>
      <sheetName val="Scenarios"/>
      <sheetName val="x_rate"/>
      <sheetName val="Rev Working"/>
      <sheetName val="Sheet2"/>
      <sheetName val="1612_01AN(7)_-_Niep_Tds_Summar3"/>
      <sheetName val="Interest 30-11-01 not PA 7%"/>
      <sheetName val="Cons"/>
      <sheetName val="diffbetphy&amp;stock"/>
      <sheetName val="12"/>
      <sheetName val="15"/>
      <sheetName val="cr_-_not_for_distribution4"/>
      <sheetName val="a-3_internal4"/>
      <sheetName val="graph_PA4"/>
      <sheetName val="gk_01-004"/>
      <sheetName val="gk_01-00_jwk4"/>
      <sheetName val="gk_12-994"/>
      <sheetName val="gk_11-994"/>
      <sheetName val="gk_10-994"/>
      <sheetName val="gk_09-99_4"/>
      <sheetName val="gk_08-994"/>
      <sheetName val="gk-contr_05-004"/>
      <sheetName val="gk-contr_01-004"/>
      <sheetName val="gk-contr_12-994"/>
      <sheetName val="gk-contr_10-994"/>
      <sheetName val="gk-contract_01-004"/>
      <sheetName val="gk-contract_12-994"/>
      <sheetName val="gk-contract_10-994"/>
      <sheetName val="cr-board_special4"/>
      <sheetName val="a-3_special4"/>
      <sheetName val="a3-int__special4"/>
      <sheetName val="a-5_special4"/>
      <sheetName val="gk_09-994"/>
      <sheetName val="1612_01AN(7)_-_Niep_Tds_Summar4"/>
      <sheetName val="Rev_Working"/>
      <sheetName val="Interest_30-11-01_not_PA_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bstract"/>
      <sheetName val="original"/>
      <sheetName val="ABSTRACT-rs.crore"/>
      <sheetName val="Sheet1 (2)"/>
    </sheetNames>
    <sheetDataSet>
      <sheetData sheetId="0" refreshError="1"/>
      <sheetData sheetId="1" refreshError="1"/>
      <sheetData sheetId="2" refreshError="1"/>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IL"/>
      <sheetName val="BALANCE SHEET"/>
      <sheetName val="Data"/>
      <sheetName val="EXPENSES"/>
      <sheetName val="Fixed Assets-Last year"/>
      <sheetName val="BS Schdl- 1 &amp; 2"/>
      <sheetName val="CORRECTIONS"/>
      <sheetName val="Query"/>
      <sheetName val="Clause 4"/>
      <sheetName val="Clause-11"/>
      <sheetName val="CLAUSE 18 TOP SHEET"/>
      <sheetName val="CLAUSE 18 ADDN"/>
      <sheetName val="CLAUSE 18 DEL"/>
      <sheetName val="Clause-20(b)PF"/>
      <sheetName val="ESI"/>
      <sheetName val="17(a)"/>
      <sheetName val="Clause-17(d)"/>
      <sheetName val="Clause-16(b)PF Consolidated"/>
      <sheetName val="Clause-16(b)PF Cons"/>
      <sheetName val="Clause-20(b)ESI"/>
      <sheetName val="Clause-16(b) MLWF"/>
      <sheetName val="Clause-16(b)ESI Consolidated"/>
      <sheetName val="Clause-16(b)ESI Cons"/>
      <sheetName val="Clause-20(b)LWF"/>
      <sheetName val="Clause-21(a)(vi)"/>
      <sheetName val="C-17(h)"/>
      <sheetName val="Clause-21(b)"/>
      <sheetName val="Clause-23"/>
      <sheetName val="Clause-18b-Done"/>
      <sheetName val="Clause-25"/>
      <sheetName val="VAT"/>
      <sheetName val="C-27(b)(i)"/>
      <sheetName val="C-27(b)ii"/>
      <sheetName val="Clause-26(i)(a)"/>
      <sheetName val="Clause 26(i)(b)"/>
      <sheetName val="Clause-27(b)"/>
      <sheetName val="Clause-31(a)"/>
      <sheetName val="Clause-31(b)"/>
      <sheetName val="Clause-32"/>
      <sheetName val="Clause-33"/>
      <sheetName val="Sheet1"/>
      <sheetName val="Sheet3"/>
      <sheetName val="Clause 34(a)"/>
      <sheetName val="Clause 34(b)"/>
      <sheetName val="Clause 34(c)"/>
      <sheetName val="Clause-32-OLD"/>
      <sheetName val="Clause-35(b)"/>
      <sheetName val="Clause-40"/>
      <sheetName val="Clause-41"/>
      <sheetName val="ASR"/>
      <sheetName val="310300 on 310307 (040607)"/>
      <sheetName val="ASSUMPTIONS (GRS)"/>
      <sheetName val="BALANCE_SHEET"/>
      <sheetName val="CTC-Jun"/>
      <sheetName val="BALANCE_SHEET1"/>
      <sheetName val="Clause_4"/>
      <sheetName val="CLAUSE_18_TOP_SHEET"/>
      <sheetName val="CLAUSE_18_ADDN"/>
      <sheetName val="CLAUSE_18_DEL"/>
      <sheetName val="Clause-16(b)PF_Consolidated"/>
      <sheetName val="Clause-16(b)PF_Cons"/>
      <sheetName val="Clause-16(b)_MLWF"/>
      <sheetName val="Clause-16(b)ESI_Consolidated"/>
      <sheetName val="Clause-16(b)ESI_Cons"/>
      <sheetName val="Clause_26(i)(b)"/>
      <sheetName val="Clause_34(a)"/>
      <sheetName val="Clause_34(b)"/>
      <sheetName val="Clause_34(c)"/>
      <sheetName val="BS_RSLACS"/>
      <sheetName val="Custom Duty May 05"/>
      <sheetName val="schedules"/>
      <sheetName val="GLPT 0&amp;M  DEPT-PROJET-COMPTE"/>
      <sheetName val="GLPT ADMIN  DEPT-PROJET-COMPT"/>
      <sheetName val="GLHIF DEPT-PROJET-COMPTE"/>
      <sheetName val="GLPT REV  DEPT-PROJET-COMPT"/>
      <sheetName val="schedule"/>
      <sheetName val="P&amp;LG"/>
      <sheetName val="sheeet7"/>
      <sheetName val="Equipment"/>
      <sheetName val="Intaccrual"/>
      <sheetName val="SBU"/>
      <sheetName val="Data Summary"/>
      <sheetName val="Sheet2"/>
      <sheetName val="Classification"/>
      <sheetName val="TRIAL BALANCE"/>
      <sheetName val="x-rate"/>
      <sheetName val="SIL"/>
      <sheetName val="Accts 00"/>
      <sheetName val="Financials"/>
      <sheetName val="Accounts"/>
      <sheetName val="bank-int"/>
      <sheetName val="BS Sch III"/>
      <sheetName val="I"/>
      <sheetName val="P&amp;L notes"/>
      <sheetName val="Asset notes-1"/>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ated Parties"/>
      <sheetName val="P&amp;L"/>
      <sheetName val="BS"/>
      <sheetName val="VARIANCE ANALYSIS "/>
      <sheetName val="Sch 1-4"/>
      <sheetName val="Sch-5"/>
      <sheetName val="Sch-6-11"/>
      <sheetName val="Sch 12 &amp;13"/>
      <sheetName val="P&amp;L Sch 14-16"/>
      <sheetName val="P&amp;L Sch 17-19"/>
      <sheetName val="Data Entry"/>
      <sheetName val="TRIAL BALANCE (2)"/>
      <sheetName val="TRIAL BALANCE"/>
      <sheetName val="TB Download"/>
      <sheetName val="TBdownload-2002"/>
      <sheetName val="CC wise Download"/>
      <sheetName val="SIF P&amp;L BS"/>
      <sheetName val="SIF P&amp;L"/>
      <sheetName val="SIF Workings"/>
      <sheetName val="SIF Results Back up"/>
      <sheetName val="PROVISIONS"/>
      <sheetName val="Pl-Incl"/>
      <sheetName val="pl-Excl"/>
      <sheetName val="sch-IV"/>
      <sheetName val="Trial Balance - MARCH 20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III, IV"/>
      <sheetName val="HBI,HRC&amp;CORP SUMM"/>
      <sheetName val="corp"/>
      <sheetName val="HBI NCD"/>
      <sheetName val="HBI RTL"/>
      <sheetName val="HBI WC"/>
      <sheetName val="HRC - NCD, RTL, WCDL"/>
      <sheetName val="ncd14%"/>
      <sheetName val="HBI &amp; HRC - FCL"/>
      <sheetName val="HBI &amp; HRC - FCL (2)"/>
      <sheetName val="HBI WC (2)"/>
      <sheetName val="EPC Contrcat Summary"/>
      <sheetName val="GL Apr-Dec10"/>
      <sheetName val="SCH 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III, IV"/>
      <sheetName val="HBI,HRC&amp;CORP SUMM"/>
      <sheetName val="corp"/>
      <sheetName val="HBI NCD"/>
      <sheetName val="HBI RTL"/>
      <sheetName val="HBI WC"/>
      <sheetName val="HRC - NCD, RTL, WCDL"/>
      <sheetName val="ncd14%"/>
      <sheetName val="HBI &amp; HRC - FCL"/>
      <sheetName val="HBI &amp; HRC - FCL (2)"/>
      <sheetName val="HBI WC (2)"/>
      <sheetName val="Main Bs Cr"/>
      <sheetName val="Adv-Ven-Rev"/>
      <sheetName val="Hicks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diff.int.summary"/>
      <sheetName val="diff"/>
      <sheetName val="comp"/>
      <sheetName val="deb TDS"/>
      <sheetName val="deb"/>
      <sheetName val="rtl"/>
      <sheetName val="fcl"/>
      <sheetName val="rtl tds"/>
      <sheetName val="guar comm"/>
      <sheetName val="commitment "/>
      <sheetName val="intcmcdet"/>
      <sheetName val="cmc adv"/>
      <sheetName val="rftl hbi"/>
      <sheetName val="hbi ncd"/>
      <sheetName val="F&amp;S charges -2k-01"/>
      <sheetName val="310300 on 310307 (040607)"/>
      <sheetName val="MUS Calculations- Figure 541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III, IV"/>
      <sheetName val="HBI,HRC&amp;CORP SUMM"/>
      <sheetName val="corp"/>
      <sheetName val="HBI NCD"/>
      <sheetName val="HBI RTL"/>
      <sheetName val="HBI WC"/>
      <sheetName val="HRC - NCD, RTL, WCDL"/>
      <sheetName val="ncd14%"/>
      <sheetName val="HBI &amp; HRC - FCL"/>
      <sheetName val="HBI &amp; HRC - FCL (2)"/>
      <sheetName val="HBI WC (2)"/>
      <sheetName val="fcl"/>
      <sheetName val="TRIAL BALANCE"/>
      <sheetName val="FOIL"/>
      <sheetName val="Share price"/>
      <sheetName val="BROKERREC"/>
      <sheetName val="COMB"/>
      <sheetName val="DIVERSIFICATION"/>
      <sheetName val="FTSE"/>
      <sheetName val="FUNDING"/>
      <sheetName val="MUS Calculations- Figure 541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Schedules BS"/>
      <sheetName val="Sch-6"/>
      <sheetName val="Schedules PL"/>
      <sheetName val="TB04"/>
      <sheetName val="TB03"/>
      <sheetName val="PartIV"/>
      <sheetName val="Sec 212"/>
      <sheetName val="TaxComputn"/>
      <sheetName val="ITDprn"/>
      <sheetName val="AR"/>
      <sheetName val="HBI NCD"/>
      <sheetName val="310280 on 310307 (070607)"/>
      <sheetName val="CRITERIA1"/>
      <sheetName val="Non-Recurring Items Detail"/>
      <sheetName val="Gross Margin by Practice"/>
      <sheetName val="OpServicesDetail"/>
      <sheetName val="TRIAL BALANCE"/>
      <sheetName val="Lookups"/>
      <sheetName val="Mode d emploie et exemple"/>
      <sheetName val="Masters"/>
      <sheetName val="gen ledger data"/>
      <sheetName val="Dep"/>
      <sheetName val="fixasset99"/>
      <sheetName val="INT-234"/>
      <sheetName val="Schedules_BS"/>
      <sheetName val="Schedules_PL"/>
      <sheetName val="Sec_212"/>
      <sheetName val="TRIAL_BALANCE"/>
      <sheetName val="Non-Recurring_Items_Detail"/>
      <sheetName val="Gross_Margin_by_Practice"/>
      <sheetName val="Mode_d_emploie_et_exemple"/>
      <sheetName val="gen_ledger_data"/>
      <sheetName val="SNAP SHOT"/>
      <sheetName val="Schedule VI 2004"/>
      <sheetName val="Working"/>
      <sheetName val="vgr"/>
      <sheetName val="Schedules_BS1"/>
      <sheetName val="Schedules_PL1"/>
      <sheetName val="Sec_2121"/>
      <sheetName val="HBI_NCD1"/>
      <sheetName val="310280_on_310307_(070607)1"/>
      <sheetName val="HBI_NCD"/>
      <sheetName val="310280_on_310307_(070607)"/>
      <sheetName val=""/>
      <sheetName val="UBRD"/>
      <sheetName val="UPCA"/>
      <sheetName val="UBRS"/>
      <sheetName val="KPM Data Tables"/>
      <sheetName val="DLC sites"/>
      <sheetName val="SDH COST"/>
      <sheetName val="Other assumptions"/>
      <sheetName val="RSU lookups"/>
      <sheetName val="RSU sites"/>
      <sheetName val="Balance sheet"/>
      <sheetName val="profit &amp; loss account"/>
      <sheetName val="TTDZ22"/>
      <sheetName val="ANNX - I ( a )"/>
      <sheetName val="14040"/>
      <sheetName val="PL Grouping"/>
      <sheetName val="TB_FY13"/>
      <sheetName val="FINALTB FY11"/>
      <sheetName val="Inv Wkg"/>
      <sheetName val="WGE P&amp;E"/>
      <sheetName val="CY-OS-90-1"/>
      <sheetName val="TRIAL_BALANCE1"/>
      <sheetName val="Non-Recurring_Items_Detail1"/>
      <sheetName val="Gross_Margin_by_Practice1"/>
      <sheetName val="Mode_d_emploie_et_exemple1"/>
      <sheetName val="gen_ledger_data1"/>
      <sheetName val="威娜"/>
      <sheetName val="Codes"/>
      <sheetName val="Sheet1"/>
      <sheetName val="H"/>
      <sheetName val="5"/>
      <sheetName val="Reg for Existing Assets"/>
      <sheetName val="Accounts"/>
      <sheetName val="5 Star Hotel"/>
      <sheetName val="NPV"/>
      <sheetName val="SPT vs PHI"/>
      <sheetName val="LEGAL GUJ"/>
      <sheetName val="PROV."/>
      <sheetName val="TB"/>
      <sheetName val="1-2-1"/>
      <sheetName val="Assumptions"/>
      <sheetName val="Summary_Local"/>
      <sheetName val="FINAL"/>
      <sheetName val="Account"/>
      <sheetName val="B"/>
      <sheetName val="Profile"/>
      <sheetName val="Input"/>
      <sheetName val="Formats"/>
      <sheetName val="CapEx"/>
      <sheetName val="Capital"/>
      <sheetName val="Debt"/>
      <sheetName val="Sheet2"/>
      <sheetName val="Citrix"/>
      <sheetName val="fcl"/>
      <sheetName val="Schedules_BS2"/>
      <sheetName val="Schedules_PL2"/>
      <sheetName val="Sec_2122"/>
      <sheetName val="TRIAL_BALANCE2"/>
      <sheetName val="Non-Recurring_Items_Detail2"/>
      <sheetName val="Gross_Margin_by_Practice2"/>
      <sheetName val="Mode_d_emploie_et_exemple2"/>
      <sheetName val="SNAP_SHOT"/>
      <sheetName val="gen_ledger_data2"/>
      <sheetName val="PL_Grouping"/>
      <sheetName val="FINALTB_FY11"/>
      <sheetName val="Inv_Wkg"/>
      <sheetName val="HBI_NCD2"/>
      <sheetName val="310280_on_310307_(070607)2"/>
      <sheetName val="Schedule_VI_2004"/>
      <sheetName val="ANNX_-_I_(_a_)"/>
      <sheetName val="WGE_P&amp;E"/>
      <sheetName val="KPM_Data_Tables"/>
      <sheetName val="PointNo.5"/>
      <sheetName val="EXPENSES"/>
      <sheetName val="0005"/>
      <sheetName val="workfeb"/>
      <sheetName val="CF"/>
      <sheetName val="S.3.6_GL Dump"/>
      <sheetName val="ISBS12M"/>
      <sheetName val="DRE_POV"/>
      <sheetName val="Mar-06"/>
      <sheetName val="Instruction Sheet"/>
      <sheetName val="MISC"/>
      <sheetName val="Base time"/>
      <sheetName val="sydney"/>
      <sheetName val="DLC_sites"/>
      <sheetName val="SDH_COST"/>
      <sheetName val="Other_assumptions"/>
      <sheetName val="RSU_lookups"/>
      <sheetName val="RSU_sites"/>
      <sheetName val="Balance_sheet"/>
      <sheetName val="profit_&amp;_loss_account"/>
      <sheetName val="Reg_for_Existing_Assets"/>
      <sheetName val="5_Star_Hotel"/>
      <sheetName val="SPT_vs_PHI"/>
      <sheetName val="LEGAL_GUJ"/>
      <sheetName val="Base_time"/>
      <sheetName val="Formulas"/>
      <sheetName val="List"/>
      <sheetName val="BLK2"/>
      <sheetName val="BLK3"/>
      <sheetName val="E &amp; R"/>
      <sheetName val="radar"/>
      <sheetName val="UG"/>
      <sheetName val="vb 9&amp;10"/>
      <sheetName val="Emp Reward"/>
      <sheetName val="Sélection devise"/>
      <sheetName val="ACK-NEW"/>
      <sheetName val="27b"/>
      <sheetName val="145Anew"/>
      <sheetName val="x-rate"/>
      <sheetName val="INCOME"/>
      <sheetName val="Internet"/>
      <sheetName val="Schedules_BS3"/>
      <sheetName val="Schedules_PL3"/>
      <sheetName val="Sec_2123"/>
      <sheetName val="Non-Recurring_Items_Detail3"/>
      <sheetName val="Gross_Margin_by_Practice3"/>
      <sheetName val="Mode_d_emploie_et_exemple3"/>
      <sheetName val="TRIAL_BALANCE3"/>
      <sheetName val="gen_ledger_data3"/>
      <sheetName val="Schedule_VI_20041"/>
      <sheetName val="ANNX_-_I_(_a_)1"/>
      <sheetName val="SNAP_SHOT1"/>
      <sheetName val="PL_Grouping1"/>
      <sheetName val="FINALTB_FY111"/>
      <sheetName val="Inv_Wkg1"/>
      <sheetName val="Schedules_BS4"/>
      <sheetName val="Schedules_PL4"/>
      <sheetName val="Sec_2124"/>
      <sheetName val="Non-Recurring_Items_Detail4"/>
      <sheetName val="Gross_Margin_by_Practice4"/>
      <sheetName val="Mode_d_emploie_et_exemple4"/>
      <sheetName val="TRIAL_BALANCE4"/>
      <sheetName val="gen_ledger_data4"/>
      <sheetName val="Schedule_VI_20042"/>
      <sheetName val="ANNX_-_I_(_a_)2"/>
      <sheetName val="SNAP_SHOT2"/>
      <sheetName val="PL_Grouping2"/>
      <sheetName val="FINALTB_FY112"/>
      <sheetName val="Inv_Wkg2"/>
      <sheetName val="Schedules_BS5"/>
      <sheetName val="Schedules_PL5"/>
      <sheetName val="Sec_2125"/>
      <sheetName val="Non-Recurring_Items_Detail5"/>
      <sheetName val="Gross_Margin_by_Practice5"/>
      <sheetName val="Mode_d_emploie_et_exemple5"/>
      <sheetName val="TRIAL_BALANCE5"/>
      <sheetName val="gen_ledger_data5"/>
      <sheetName val="Schedule_VI_20043"/>
      <sheetName val="ANNX_-_I_(_a_)3"/>
      <sheetName val="SNAP_SHOT3"/>
      <sheetName val="PL_Grouping3"/>
      <sheetName val="FINALTB_FY113"/>
      <sheetName val="Inv_Wkg3"/>
      <sheetName val="HBI_NCD3"/>
      <sheetName val="310280_on_310307_(070607)3"/>
      <sheetName val="DLC_sites1"/>
      <sheetName val="SDH_COST1"/>
      <sheetName val="Other_assumptions1"/>
      <sheetName val="RSU_lookups1"/>
      <sheetName val="RSU_sites1"/>
      <sheetName val="Balance_sheet1"/>
      <sheetName val="profit_&amp;_loss_account1"/>
      <sheetName val="WGE_P&amp;E1"/>
      <sheetName val="HBI_NCD4"/>
      <sheetName val="310280_on_310307_(070607)4"/>
      <sheetName val="DLC_sites2"/>
      <sheetName val="SDH_COST2"/>
      <sheetName val="Other_assumptions2"/>
      <sheetName val="RSU_lookups2"/>
      <sheetName val="RSU_sites2"/>
      <sheetName val="Balance_sheet2"/>
      <sheetName val="profit_&amp;_loss_account2"/>
      <sheetName val="WGE_P&amp;E2"/>
      <sheetName val="Schedules_BS11"/>
      <sheetName val="Schedules_PL11"/>
      <sheetName val="Sec_21211"/>
      <sheetName val="Mode_d_emploie_et_exemple11"/>
      <sheetName val="Non-Recurring_Items_Detail11"/>
      <sheetName val="Gross_Margin_by_Practice11"/>
      <sheetName val="gen_ledger_data11"/>
      <sheetName val="TRIAL_BALANCE11"/>
      <sheetName val="HBI_NCD10"/>
      <sheetName val="Schedule_VI_20049"/>
      <sheetName val="ANNX_-_I_(_a_)9"/>
      <sheetName val="SNAP_SHOT9"/>
      <sheetName val="PL_Grouping9"/>
      <sheetName val="FINALTB_FY119"/>
      <sheetName val="Inv_Wkg9"/>
      <sheetName val="310280_on_310307_(070607)10"/>
      <sheetName val="DLC_sites8"/>
      <sheetName val="SDH_COST8"/>
      <sheetName val="Other_assumptions8"/>
      <sheetName val="RSU_lookups8"/>
      <sheetName val="RSU_sites8"/>
      <sheetName val="Balance_sheet8"/>
      <sheetName val="profit_&amp;_loss_account8"/>
      <sheetName val="WGE_P&amp;E8"/>
      <sheetName val="Schedules_BS9"/>
      <sheetName val="Schedules_PL9"/>
      <sheetName val="Sec_2129"/>
      <sheetName val="Non-Recurring_Items_Detail9"/>
      <sheetName val="Gross_Margin_by_Practice9"/>
      <sheetName val="Mode_d_emploie_et_exemple9"/>
      <sheetName val="TRIAL_BALANCE9"/>
      <sheetName val="gen_ledger_data9"/>
      <sheetName val="SNAP_SHOT7"/>
      <sheetName val="HBI_NCD8"/>
      <sheetName val="Schedule_VI_20047"/>
      <sheetName val="PL_Grouping7"/>
      <sheetName val="FINALTB_FY117"/>
      <sheetName val="Inv_Wkg7"/>
      <sheetName val="ANNX_-_I_(_a_)7"/>
      <sheetName val="310280_on_310307_(070607)8"/>
      <sheetName val="DLC_sites6"/>
      <sheetName val="SDH_COST6"/>
      <sheetName val="Other_assumptions6"/>
      <sheetName val="RSU_lookups6"/>
      <sheetName val="RSU_sites6"/>
      <sheetName val="Balance_sheet6"/>
      <sheetName val="profit_&amp;_loss_account6"/>
      <sheetName val="WGE_P&amp;E6"/>
      <sheetName val="Schedules_BS6"/>
      <sheetName val="Schedules_PL6"/>
      <sheetName val="Sec_2126"/>
      <sheetName val="Non-Recurring_Items_Detail6"/>
      <sheetName val="Gross_Margin_by_Practice6"/>
      <sheetName val="Mode_d_emploie_et_exemple6"/>
      <sheetName val="TRIAL_BALANCE6"/>
      <sheetName val="gen_ledger_data6"/>
      <sheetName val="SNAP_SHOT4"/>
      <sheetName val="HBI_NCD5"/>
      <sheetName val="Schedule_VI_20044"/>
      <sheetName val="PL_Grouping4"/>
      <sheetName val="FINALTB_FY114"/>
      <sheetName val="Inv_Wkg4"/>
      <sheetName val="ANNX_-_I_(_a_)4"/>
      <sheetName val="310280_on_310307_(070607)5"/>
      <sheetName val="DLC_sites3"/>
      <sheetName val="SDH_COST3"/>
      <sheetName val="Other_assumptions3"/>
      <sheetName val="RSU_lookups3"/>
      <sheetName val="RSU_sites3"/>
      <sheetName val="Balance_sheet3"/>
      <sheetName val="profit_&amp;_loss_account3"/>
      <sheetName val="WGE_P&amp;E3"/>
      <sheetName val="Schedules_BS7"/>
      <sheetName val="Schedules_PL7"/>
      <sheetName val="Sec_2127"/>
      <sheetName val="Non-Recurring_Items_Detail7"/>
      <sheetName val="Gross_Margin_by_Practice7"/>
      <sheetName val="Mode_d_emploie_et_exemple7"/>
      <sheetName val="TRIAL_BALANCE7"/>
      <sheetName val="gen_ledger_data7"/>
      <sheetName val="SNAP_SHOT5"/>
      <sheetName val="HBI_NCD6"/>
      <sheetName val="Schedule_VI_20045"/>
      <sheetName val="PL_Grouping5"/>
      <sheetName val="FINALTB_FY115"/>
      <sheetName val="Inv_Wkg5"/>
      <sheetName val="ANNX_-_I_(_a_)5"/>
      <sheetName val="310280_on_310307_(070607)6"/>
      <sheetName val="DLC_sites4"/>
      <sheetName val="SDH_COST4"/>
      <sheetName val="Other_assumptions4"/>
      <sheetName val="RSU_lookups4"/>
      <sheetName val="RSU_sites4"/>
      <sheetName val="Balance_sheet4"/>
      <sheetName val="profit_&amp;_loss_account4"/>
      <sheetName val="WGE_P&amp;E4"/>
      <sheetName val="Schedules_BS8"/>
      <sheetName val="Schedules_PL8"/>
      <sheetName val="Sec_2128"/>
      <sheetName val="Non-Recurring_Items_Detail8"/>
      <sheetName val="Gross_Margin_by_Practice8"/>
      <sheetName val="Mode_d_emploie_et_exemple8"/>
      <sheetName val="TRIAL_BALANCE8"/>
      <sheetName val="gen_ledger_data8"/>
      <sheetName val="SNAP_SHOT6"/>
      <sheetName val="HBI_NCD7"/>
      <sheetName val="Schedule_VI_20046"/>
      <sheetName val="PL_Grouping6"/>
      <sheetName val="FINALTB_FY116"/>
      <sheetName val="Inv_Wkg6"/>
      <sheetName val="ANNX_-_I_(_a_)6"/>
      <sheetName val="310280_on_310307_(070607)7"/>
      <sheetName val="DLC_sites5"/>
      <sheetName val="SDH_COST5"/>
      <sheetName val="Other_assumptions5"/>
      <sheetName val="RSU_lookups5"/>
      <sheetName val="RSU_sites5"/>
      <sheetName val="Balance_sheet5"/>
      <sheetName val="profit_&amp;_loss_account5"/>
      <sheetName val="WGE_P&amp;E5"/>
      <sheetName val="Schedules_BS10"/>
      <sheetName val="Schedules_PL10"/>
      <sheetName val="Sec_21210"/>
      <sheetName val="Non-Recurring_Items_Detail10"/>
      <sheetName val="Gross_Margin_by_Practice10"/>
      <sheetName val="Mode_d_emploie_et_exemple10"/>
      <sheetName val="TRIAL_BALANCE10"/>
      <sheetName val="gen_ledger_data10"/>
      <sheetName val="SNAP_SHOT8"/>
      <sheetName val="HBI_NCD9"/>
      <sheetName val="Schedule_VI_20048"/>
      <sheetName val="PL_Grouping8"/>
      <sheetName val="FINALTB_FY118"/>
      <sheetName val="Inv_Wkg8"/>
      <sheetName val="ANNX_-_I_(_a_)8"/>
      <sheetName val="310280_on_310307_(070607)9"/>
      <sheetName val="DLC_sites7"/>
      <sheetName val="SDH_COST7"/>
      <sheetName val="Other_assumptions7"/>
      <sheetName val="RSU_lookups7"/>
      <sheetName val="RSU_sites7"/>
      <sheetName val="Balance_sheet7"/>
      <sheetName val="profit_&amp;_loss_account7"/>
      <sheetName val="WGE_P&amp;E7"/>
      <sheetName val="Schedules_BS12"/>
      <sheetName val="Schedules_PL12"/>
      <sheetName val="Sec_21212"/>
      <sheetName val="Non-Recurring_Items_Detail12"/>
      <sheetName val="Gross_Margin_by_Practice12"/>
      <sheetName val="Mode_d_emploie_et_exemple12"/>
      <sheetName val="TRIAL_BALANCE12"/>
      <sheetName val="gen_ledger_data12"/>
      <sheetName val="SNAP_SHOT10"/>
      <sheetName val="HBI_NCD11"/>
      <sheetName val="Schedule_VI_200410"/>
      <sheetName val="PL_Grouping10"/>
      <sheetName val="FINALTB_FY1110"/>
      <sheetName val="Inv_Wkg10"/>
      <sheetName val="ANNX_-_I_(_a_)10"/>
      <sheetName val="310280_on_310307_(070607)11"/>
      <sheetName val="DLC_sites9"/>
      <sheetName val="SDH_COST9"/>
      <sheetName val="Other_assumptions9"/>
      <sheetName val="RSU_lookups9"/>
      <sheetName val="RSU_sites9"/>
      <sheetName val="Balance_sheet9"/>
      <sheetName val="profit_&amp;_loss_account9"/>
      <sheetName val="WGE_P&amp;E9"/>
      <sheetName val="Schedules_BS14"/>
      <sheetName val="Schedules_PL14"/>
      <sheetName val="Sec_21214"/>
      <sheetName val="Non-Recurring_Items_Detail14"/>
      <sheetName val="Gross_Margin_by_Practice14"/>
      <sheetName val="Mode_d_emploie_et_exemple14"/>
      <sheetName val="TRIAL_BALANCE14"/>
      <sheetName val="gen_ledger_data14"/>
      <sheetName val="SNAP_SHOT12"/>
      <sheetName val="HBI_NCD13"/>
      <sheetName val="Schedule_VI_200412"/>
      <sheetName val="PL_Grouping12"/>
      <sheetName val="FINALTB_FY1112"/>
      <sheetName val="Inv_Wkg12"/>
      <sheetName val="ANNX_-_I_(_a_)12"/>
      <sheetName val="310280_on_310307_(070607)13"/>
      <sheetName val="DLC_sites11"/>
      <sheetName val="SDH_COST11"/>
      <sheetName val="Other_assumptions11"/>
      <sheetName val="RSU_lookups11"/>
      <sheetName val="RSU_sites11"/>
      <sheetName val="Balance_sheet11"/>
      <sheetName val="profit_&amp;_loss_account11"/>
      <sheetName val="WGE_P&amp;E11"/>
      <sheetName val="Schedules_BS13"/>
      <sheetName val="Schedules_PL13"/>
      <sheetName val="Sec_21213"/>
      <sheetName val="Non-Recurring_Items_Detail13"/>
      <sheetName val="Gross_Margin_by_Practice13"/>
      <sheetName val="Mode_d_emploie_et_exemple13"/>
      <sheetName val="TRIAL_BALANCE13"/>
      <sheetName val="gen_ledger_data13"/>
      <sheetName val="SNAP_SHOT11"/>
      <sheetName val="HBI_NCD12"/>
      <sheetName val="Schedule_VI_200411"/>
      <sheetName val="PL_Grouping11"/>
      <sheetName val="FINALTB_FY1111"/>
      <sheetName val="Inv_Wkg11"/>
      <sheetName val="ANNX_-_I_(_a_)11"/>
      <sheetName val="310280_on_310307_(070607)12"/>
      <sheetName val="DLC_sites10"/>
      <sheetName val="SDH_COST10"/>
      <sheetName val="Other_assumptions10"/>
      <sheetName val="RSU_lookups10"/>
      <sheetName val="RSU_sites10"/>
      <sheetName val="Balance_sheet10"/>
      <sheetName val="profit_&amp;_loss_account10"/>
      <sheetName val="WGE_P&amp;E10"/>
      <sheetName val="Schedules_BS15"/>
      <sheetName val="Schedules_PL15"/>
      <sheetName val="Sec_21215"/>
      <sheetName val="Non-Recurring_Items_Detail15"/>
      <sheetName val="Gross_Margin_by_Practice15"/>
      <sheetName val="Mode_d_emploie_et_exemple15"/>
      <sheetName val="TRIAL_BALANCE15"/>
      <sheetName val="gen_ledger_data15"/>
      <sheetName val="SNAP_SHOT13"/>
      <sheetName val="HBI_NCD14"/>
      <sheetName val="Schedule_VI_200413"/>
      <sheetName val="PL_Grouping13"/>
      <sheetName val="FINALTB_FY1113"/>
      <sheetName val="Inv_Wkg13"/>
      <sheetName val="ANNX_-_I_(_a_)13"/>
      <sheetName val="310280_on_310307_(070607)14"/>
      <sheetName val="DLC_sites12"/>
      <sheetName val="SDH_COST12"/>
      <sheetName val="Other_assumptions12"/>
      <sheetName val="RSU_lookups12"/>
      <sheetName val="RSU_sites12"/>
      <sheetName val="Balance_sheet12"/>
      <sheetName val="profit_&amp;_loss_account12"/>
      <sheetName val="WGE_P&amp;E12"/>
      <sheetName val="Nov-04"/>
      <sheetName val="Rev"/>
      <sheetName val="Ref"/>
      <sheetName val="KPM_Data_Tables1"/>
      <sheetName val="Mines"/>
      <sheetName val="MIS premises"/>
      <sheetName val="Vendors"/>
      <sheetName val="2.1. Claimed Not Ack as debts"/>
      <sheetName val="2.2. Unitech Contingent"/>
      <sheetName val="2.4. Service Tax Contingent"/>
      <sheetName val="6. Auditor Payment"/>
      <sheetName val="7. Pauling Joint Venture"/>
      <sheetName val="8. Non Provision"/>
      <sheetName val="5. MR"/>
      <sheetName val="31. EPS"/>
      <sheetName val="13. Finance Lease"/>
      <sheetName val="18. Earnings"/>
      <sheetName val="FA TB 28-2-2006"/>
      <sheetName val="Power&amp;Fuel"/>
      <sheetName val="Gemstar"/>
      <sheetName val="MAIN"/>
      <sheetName val="X ray data"/>
      <sheetName val="Sheet BAL'N SHEET"/>
      <sheetName val="o’£Òˆê——i–ˆ“úŠm”F‚Ì‚±‚Æj"/>
      <sheetName val="LOM_MOD"/>
      <sheetName val="Fixed Assets-Last year"/>
      <sheetName val="Quantity"/>
      <sheetName val="prod.inventory"/>
      <sheetName val="MIS"/>
      <sheetName val="stores &amp; spares"/>
      <sheetName val="INFO"/>
      <sheetName val="FOIL"/>
      <sheetName val="1.Borrowings"/>
      <sheetName val="FORM16A"/>
      <sheetName val="Overheads"/>
      <sheetName val="Bal_Gr"/>
      <sheetName val="AccMaster"/>
      <sheetName val="PUP"/>
      <sheetName val="BLANK"/>
      <sheetName val="ParaMeter"/>
      <sheetName val="S 14_22"/>
      <sheetName val="S 7-13"/>
      <sheetName val="S 1_5"/>
      <sheetName val="P &amp;L"/>
      <sheetName val="HO"/>
      <sheetName val="KGP"/>
      <sheetName val="PPD"/>
      <sheetName val="Sub-Grouping"/>
      <sheetName val="Grouping Details"/>
      <sheetName val="Grouping"/>
      <sheetName val="CWIP-FA"/>
      <sheetName val="CWIP-IA"/>
      <sheetName val="Drop Down Lists"/>
      <sheetName val="Schedules_BS16"/>
      <sheetName val="Schedules_PL16"/>
      <sheetName val="Sec_21216"/>
      <sheetName val="Mode_d_emploie_et_exemple16"/>
      <sheetName val="Non-Recurring_Items_Detail16"/>
      <sheetName val="Gross_Margin_by_Practice16"/>
      <sheetName val="gen_ledger_data16"/>
      <sheetName val="TRIAL_BALANCE16"/>
      <sheetName val="HBI_NCD15"/>
      <sheetName val="Schedule_VI_200414"/>
      <sheetName val="ANNX_-_I_(_a_)14"/>
      <sheetName val="SNAP_SHOT14"/>
      <sheetName val="PL_Grouping14"/>
      <sheetName val="FINALTB_FY1114"/>
      <sheetName val="Inv_Wkg14"/>
      <sheetName val="310280_on_310307_(070607)15"/>
      <sheetName val="DLC_sites13"/>
      <sheetName val="SDH_COST13"/>
      <sheetName val="Other_assumptions13"/>
      <sheetName val="RSU_lookups13"/>
      <sheetName val="RSU_sites13"/>
      <sheetName val="Balance_sheet13"/>
      <sheetName val="profit_&amp;_loss_account13"/>
      <sheetName val="WGE_P&amp;E13"/>
      <sheetName val="Schedules_BS17"/>
      <sheetName val="Schedules_PL17"/>
      <sheetName val="Sec_21217"/>
      <sheetName val="Mode_d_emploie_et_exemple17"/>
      <sheetName val="Non-Recurring_Items_Detail17"/>
      <sheetName val="Gross_Margin_by_Practice17"/>
      <sheetName val="gen_ledger_data17"/>
      <sheetName val="TRIAL_BALANCE17"/>
      <sheetName val="HBI_NCD16"/>
      <sheetName val="Schedule_VI_200415"/>
      <sheetName val="ANNX_-_I_(_a_)15"/>
      <sheetName val="SNAP_SHOT15"/>
      <sheetName val="PL_Grouping15"/>
      <sheetName val="FINALTB_FY1115"/>
      <sheetName val="Inv_Wkg15"/>
      <sheetName val="310280_on_310307_(070607)16"/>
      <sheetName val="DLC_sites14"/>
      <sheetName val="SDH_COST14"/>
      <sheetName val="Other_assumptions14"/>
      <sheetName val="RSU_lookups14"/>
      <sheetName val="RSU_sites14"/>
      <sheetName val="Balance_sheet14"/>
      <sheetName val="profit_&amp;_loss_account14"/>
      <sheetName val="WGE_P&amp;E14"/>
      <sheetName val="vb_9&amp;10"/>
      <sheetName val="KPM_Data_Tables2"/>
      <sheetName val="PROV_"/>
      <sheetName val="Schedules_BS19"/>
      <sheetName val="Schedules_PL19"/>
      <sheetName val="Sec_21219"/>
      <sheetName val="Mode_d_emploie_et_exemple19"/>
      <sheetName val="Non-Recurring_Items_Detail19"/>
      <sheetName val="Gross_Margin_by_Practice19"/>
      <sheetName val="gen_ledger_data19"/>
      <sheetName val="TRIAL_BALANCE19"/>
      <sheetName val="HBI_NCD18"/>
      <sheetName val="Schedule_VI_200417"/>
      <sheetName val="ANNX_-_I_(_a_)17"/>
      <sheetName val="SNAP_SHOT17"/>
      <sheetName val="PL_Grouping17"/>
      <sheetName val="FINALTB_FY1117"/>
      <sheetName val="Inv_Wkg17"/>
      <sheetName val="310280_on_310307_(070607)18"/>
      <sheetName val="DLC_sites16"/>
      <sheetName val="SDH_COST16"/>
      <sheetName val="Other_assumptions16"/>
      <sheetName val="RSU_lookups16"/>
      <sheetName val="RSU_sites16"/>
      <sheetName val="Balance_sheet16"/>
      <sheetName val="profit_&amp;_loss_account16"/>
      <sheetName val="WGE_P&amp;E16"/>
      <sheetName val="vb_9&amp;102"/>
      <sheetName val="KPM_Data_Tables4"/>
      <sheetName val="SPT_vs_PHI2"/>
      <sheetName val="PROV_2"/>
      <sheetName val="5_Star_Hotel2"/>
      <sheetName val="LEGAL_GUJ2"/>
      <sheetName val="Schedules_BS18"/>
      <sheetName val="Schedules_PL18"/>
      <sheetName val="Sec_21218"/>
      <sheetName val="Mode_d_emploie_et_exemple18"/>
      <sheetName val="Non-Recurring_Items_Detail18"/>
      <sheetName val="Gross_Margin_by_Practice18"/>
      <sheetName val="gen_ledger_data18"/>
      <sheetName val="TRIAL_BALANCE18"/>
      <sheetName val="HBI_NCD17"/>
      <sheetName val="Schedule_VI_200416"/>
      <sheetName val="ANNX_-_I_(_a_)16"/>
      <sheetName val="SNAP_SHOT16"/>
      <sheetName val="PL_Grouping16"/>
      <sheetName val="FINALTB_FY1116"/>
      <sheetName val="Inv_Wkg16"/>
      <sheetName val="310280_on_310307_(070607)17"/>
      <sheetName val="DLC_sites15"/>
      <sheetName val="SDH_COST15"/>
      <sheetName val="Other_assumptions15"/>
      <sheetName val="RSU_lookups15"/>
      <sheetName val="RSU_sites15"/>
      <sheetName val="Balance_sheet15"/>
      <sheetName val="profit_&amp;_loss_account15"/>
      <sheetName val="WGE_P&amp;E15"/>
      <sheetName val="vb_9&amp;101"/>
      <sheetName val="KPM_Data_Tables3"/>
      <sheetName val="SPT_vs_PHI1"/>
      <sheetName val="PROV_1"/>
      <sheetName val="5_Star_Hotel1"/>
      <sheetName val="LEGAL_GUJ1"/>
      <sheetName val="Schedules_BS20"/>
      <sheetName val="Schedules_PL20"/>
      <sheetName val="Sec_21220"/>
      <sheetName val="Mode_d_emploie_et_exemple20"/>
      <sheetName val="Non-Recurring_Items_Detail20"/>
      <sheetName val="Gross_Margin_by_Practice20"/>
      <sheetName val="gen_ledger_data20"/>
      <sheetName val="TRIAL_BALANCE20"/>
      <sheetName val="HBI_NCD19"/>
      <sheetName val="Schedule_VI_200418"/>
      <sheetName val="ANNX_-_I_(_a_)18"/>
      <sheetName val="SNAP_SHOT18"/>
      <sheetName val="PL_Grouping18"/>
      <sheetName val="FINALTB_FY1118"/>
      <sheetName val="Inv_Wkg18"/>
      <sheetName val="310280_on_310307_(070607)19"/>
      <sheetName val="DLC_sites17"/>
      <sheetName val="SDH_COST17"/>
      <sheetName val="Other_assumptions17"/>
      <sheetName val="RSU_lookups17"/>
      <sheetName val="RSU_sites17"/>
      <sheetName val="Balance_sheet17"/>
      <sheetName val="profit_&amp;_loss_account17"/>
      <sheetName val="WGE_P&amp;E17"/>
      <sheetName val="vb_9&amp;103"/>
      <sheetName val="KPM_Data_Tables5"/>
      <sheetName val="SPT_vs_PHI3"/>
      <sheetName val="PROV_3"/>
      <sheetName val="5_Star_Hotel3"/>
      <sheetName val="LEGAL_GUJ3"/>
      <sheetName val="Schedules_BS21"/>
      <sheetName val="Schedules_PL21"/>
      <sheetName val="Sec_21221"/>
      <sheetName val="Mode_d_emploie_et_exemple21"/>
      <sheetName val="Non-Recurring_Items_Detail21"/>
      <sheetName val="Gross_Margin_by_Practice21"/>
      <sheetName val="gen_ledger_data21"/>
      <sheetName val="TRIAL_BALANCE21"/>
      <sheetName val="HBI_NCD20"/>
      <sheetName val="Schedule_VI_200419"/>
      <sheetName val="ANNX_-_I_(_a_)19"/>
      <sheetName val="SNAP_SHOT19"/>
      <sheetName val="PL_Grouping19"/>
      <sheetName val="FINALTB_FY1119"/>
      <sheetName val="Inv_Wkg19"/>
      <sheetName val="310280_on_310307_(070607)20"/>
      <sheetName val="DLC_sites18"/>
      <sheetName val="SDH_COST18"/>
      <sheetName val="Other_assumptions18"/>
      <sheetName val="RSU_lookups18"/>
      <sheetName val="RSU_sites18"/>
      <sheetName val="Balance_sheet18"/>
      <sheetName val="profit_&amp;_loss_account18"/>
      <sheetName val="WGE_P&amp;E18"/>
      <sheetName val="vb_9&amp;104"/>
      <sheetName val="KPM_Data_Tables6"/>
      <sheetName val="SPT_vs_PHI4"/>
      <sheetName val="PROV_4"/>
      <sheetName val="5_Star_Hotel4"/>
      <sheetName val="LEGAL_GUJ4"/>
      <sheetName val="Schedules_BS22"/>
      <sheetName val="Schedules_PL22"/>
      <sheetName val="Sec_21222"/>
      <sheetName val="Mode_d_emploie_et_exemple22"/>
      <sheetName val="Non-Recurring_Items_Detail22"/>
      <sheetName val="Gross_Margin_by_Practice22"/>
      <sheetName val="gen_ledger_data22"/>
      <sheetName val="TRIAL_BALANCE22"/>
      <sheetName val="HBI_NCD21"/>
      <sheetName val="Schedule_VI_200420"/>
      <sheetName val="ANNX_-_I_(_a_)20"/>
      <sheetName val="SNAP_SHOT20"/>
      <sheetName val="PL_Grouping20"/>
      <sheetName val="FINALTB_FY1120"/>
      <sheetName val="Inv_Wkg20"/>
      <sheetName val="310280_on_310307_(070607)21"/>
      <sheetName val="DLC_sites19"/>
      <sheetName val="SDH_COST19"/>
      <sheetName val="Other_assumptions19"/>
      <sheetName val="RSU_lookups19"/>
      <sheetName val="RSU_sites19"/>
      <sheetName val="Balance_sheet19"/>
      <sheetName val="profit_&amp;_loss_account19"/>
      <sheetName val="WGE_P&amp;E19"/>
      <sheetName val="vb_9&amp;105"/>
      <sheetName val="KPM_Data_Tables7"/>
      <sheetName val="SPT_vs_PHI5"/>
      <sheetName val="PROV_5"/>
      <sheetName val="5_Star_Hotel5"/>
      <sheetName val="LEGAL_GUJ5"/>
      <sheetName val="Schedules_BS23"/>
      <sheetName val="Schedules_PL23"/>
      <sheetName val="Sec_21223"/>
      <sheetName val="Mode_d_emploie_et_exemple23"/>
      <sheetName val="Non-Recurring_Items_Detail23"/>
      <sheetName val="Gross_Margin_by_Practice23"/>
      <sheetName val="gen_ledger_data23"/>
      <sheetName val="TRIAL_BALANCE23"/>
      <sheetName val="HBI_NCD22"/>
      <sheetName val="Schedule_VI_200421"/>
      <sheetName val="ANNX_-_I_(_a_)21"/>
      <sheetName val="SNAP_SHOT21"/>
      <sheetName val="PL_Grouping21"/>
      <sheetName val="FINALTB_FY1121"/>
      <sheetName val="Inv_Wkg21"/>
      <sheetName val="310280_on_310307_(070607)22"/>
      <sheetName val="DLC_sites20"/>
      <sheetName val="SDH_COST20"/>
      <sheetName val="Other_assumptions20"/>
      <sheetName val="RSU_lookups20"/>
      <sheetName val="RSU_sites20"/>
      <sheetName val="Balance_sheet20"/>
      <sheetName val="profit_&amp;_loss_account20"/>
      <sheetName val="WGE_P&amp;E20"/>
      <sheetName val="vb_9&amp;106"/>
      <sheetName val="KPM_Data_Tables8"/>
      <sheetName val="SPT_vs_PHI6"/>
      <sheetName val="PROV_6"/>
      <sheetName val="5_Star_Hotel6"/>
      <sheetName val="LEGAL_GUJ6"/>
      <sheetName val="Schedules_BS28"/>
      <sheetName val="Schedules_PL28"/>
      <sheetName val="Sec_21228"/>
      <sheetName val="Mode_d_emploie_et_exemple28"/>
      <sheetName val="Non-Recurring_Items_Detail28"/>
      <sheetName val="Gross_Margin_by_Practice28"/>
      <sheetName val="gen_ledger_data28"/>
      <sheetName val="TRIAL_BALANCE28"/>
      <sheetName val="HBI_NCD27"/>
      <sheetName val="Schedule_VI_200426"/>
      <sheetName val="ANNX_-_I_(_a_)26"/>
      <sheetName val="SNAP_SHOT26"/>
      <sheetName val="PL_Grouping26"/>
      <sheetName val="FINALTB_FY1126"/>
      <sheetName val="Inv_Wkg26"/>
      <sheetName val="310280_on_310307_(070607)27"/>
      <sheetName val="DLC_sites25"/>
      <sheetName val="SDH_COST25"/>
      <sheetName val="Other_assumptions25"/>
      <sheetName val="RSU_lookups25"/>
      <sheetName val="RSU_sites25"/>
      <sheetName val="Balance_sheet25"/>
      <sheetName val="profit_&amp;_loss_account25"/>
      <sheetName val="WGE_P&amp;E25"/>
      <sheetName val="vb_9&amp;1011"/>
      <sheetName val="KPM_Data_Tables13"/>
      <sheetName val="SPT_vs_PHI11"/>
      <sheetName val="PROV_11"/>
      <sheetName val="5_Star_Hotel11"/>
      <sheetName val="LEGAL_GUJ11"/>
      <sheetName val="Schedules_BS26"/>
      <sheetName val="Schedules_PL26"/>
      <sheetName val="Sec_21226"/>
      <sheetName val="Mode_d_emploie_et_exemple26"/>
      <sheetName val="Non-Recurring_Items_Detail26"/>
      <sheetName val="Gross_Margin_by_Practice26"/>
      <sheetName val="gen_ledger_data26"/>
      <sheetName val="TRIAL_BALANCE26"/>
      <sheetName val="HBI_NCD25"/>
      <sheetName val="Schedule_VI_200424"/>
      <sheetName val="ANNX_-_I_(_a_)24"/>
      <sheetName val="SNAP_SHOT24"/>
      <sheetName val="PL_Grouping24"/>
      <sheetName val="FINALTB_FY1124"/>
      <sheetName val="Inv_Wkg24"/>
      <sheetName val="310280_on_310307_(070607)25"/>
      <sheetName val="DLC_sites23"/>
      <sheetName val="SDH_COST23"/>
      <sheetName val="Other_assumptions23"/>
      <sheetName val="RSU_lookups23"/>
      <sheetName val="RSU_sites23"/>
      <sheetName val="Balance_sheet23"/>
      <sheetName val="profit_&amp;_loss_account23"/>
      <sheetName val="WGE_P&amp;E23"/>
      <sheetName val="vb_9&amp;109"/>
      <sheetName val="KPM_Data_Tables11"/>
      <sheetName val="SPT_vs_PHI9"/>
      <sheetName val="PROV_9"/>
      <sheetName val="5_Star_Hotel9"/>
      <sheetName val="LEGAL_GUJ9"/>
      <sheetName val="Schedules_BS25"/>
      <sheetName val="Schedules_PL25"/>
      <sheetName val="Sec_21225"/>
      <sheetName val="Mode_d_emploie_et_exemple25"/>
      <sheetName val="Non-Recurring_Items_Detail25"/>
      <sheetName val="Gross_Margin_by_Practice25"/>
      <sheetName val="gen_ledger_data25"/>
      <sheetName val="TRIAL_BALANCE25"/>
      <sheetName val="HBI_NCD24"/>
      <sheetName val="Schedule_VI_200423"/>
      <sheetName val="ANNX_-_I_(_a_)23"/>
      <sheetName val="SNAP_SHOT23"/>
      <sheetName val="PL_Grouping23"/>
      <sheetName val="FINALTB_FY1123"/>
      <sheetName val="Inv_Wkg23"/>
      <sheetName val="310280_on_310307_(070607)24"/>
      <sheetName val="DLC_sites22"/>
      <sheetName val="SDH_COST22"/>
      <sheetName val="Other_assumptions22"/>
      <sheetName val="RSU_lookups22"/>
      <sheetName val="RSU_sites22"/>
      <sheetName val="Balance_sheet22"/>
      <sheetName val="profit_&amp;_loss_account22"/>
      <sheetName val="WGE_P&amp;E22"/>
      <sheetName val="vb_9&amp;108"/>
      <sheetName val="KPM_Data_Tables10"/>
      <sheetName val="SPT_vs_PHI8"/>
      <sheetName val="PROV_8"/>
      <sheetName val="5_Star_Hotel8"/>
      <sheetName val="LEGAL_GUJ8"/>
      <sheetName val="Schedules_BS24"/>
      <sheetName val="Schedules_PL24"/>
      <sheetName val="Sec_21224"/>
      <sheetName val="Mode_d_emploie_et_exemple24"/>
      <sheetName val="Non-Recurring_Items_Detail24"/>
      <sheetName val="Gross_Margin_by_Practice24"/>
      <sheetName val="gen_ledger_data24"/>
      <sheetName val="TRIAL_BALANCE24"/>
      <sheetName val="HBI_NCD23"/>
      <sheetName val="Schedule_VI_200422"/>
      <sheetName val="ANNX_-_I_(_a_)22"/>
      <sheetName val="SNAP_SHOT22"/>
      <sheetName val="PL_Grouping22"/>
      <sheetName val="FINALTB_FY1122"/>
      <sheetName val="Inv_Wkg22"/>
      <sheetName val="310280_on_310307_(070607)23"/>
      <sheetName val="DLC_sites21"/>
      <sheetName val="SDH_COST21"/>
      <sheetName val="Other_assumptions21"/>
      <sheetName val="RSU_lookups21"/>
      <sheetName val="RSU_sites21"/>
      <sheetName val="Balance_sheet21"/>
      <sheetName val="profit_&amp;_loss_account21"/>
      <sheetName val="WGE_P&amp;E21"/>
      <sheetName val="vb_9&amp;107"/>
      <sheetName val="KPM_Data_Tables9"/>
      <sheetName val="SPT_vs_PHI7"/>
      <sheetName val="PROV_7"/>
      <sheetName val="5_Star_Hotel7"/>
      <sheetName val="LEGAL_GUJ7"/>
      <sheetName val="Schedules_BS27"/>
      <sheetName val="Schedules_PL27"/>
      <sheetName val="Sec_21227"/>
      <sheetName val="Mode_d_emploie_et_exemple27"/>
      <sheetName val="Non-Recurring_Items_Detail27"/>
      <sheetName val="Gross_Margin_by_Practice27"/>
      <sheetName val="gen_ledger_data27"/>
      <sheetName val="TRIAL_BALANCE27"/>
      <sheetName val="HBI_NCD26"/>
      <sheetName val="Schedule_VI_200425"/>
      <sheetName val="ANNX_-_I_(_a_)25"/>
      <sheetName val="SNAP_SHOT25"/>
      <sheetName val="PL_Grouping25"/>
      <sheetName val="FINALTB_FY1125"/>
      <sheetName val="Inv_Wkg25"/>
      <sheetName val="310280_on_310307_(070607)26"/>
      <sheetName val="DLC_sites24"/>
      <sheetName val="SDH_COST24"/>
      <sheetName val="Other_assumptions24"/>
      <sheetName val="RSU_lookups24"/>
      <sheetName val="RSU_sites24"/>
      <sheetName val="Balance_sheet24"/>
      <sheetName val="profit_&amp;_loss_account24"/>
      <sheetName val="WGE_P&amp;E24"/>
      <sheetName val="vb_9&amp;1010"/>
      <sheetName val="KPM_Data_Tables12"/>
      <sheetName val="SPT_vs_PHI10"/>
      <sheetName val="PROV_10"/>
      <sheetName val="5_Star_Hotel10"/>
      <sheetName val="LEGAL_GUJ10"/>
      <sheetName val="Reg_for_Existing_Assets1"/>
      <sheetName val="Base_time1"/>
      <sheetName val="E_&amp;_R"/>
      <sheetName val="Reg_for_Existing_Assets2"/>
      <sheetName val="Base_time2"/>
      <sheetName val="E_&amp;_R1"/>
      <sheetName val="BSPL"/>
      <sheetName val="MODEL"/>
      <sheetName val="BUDGET"/>
      <sheetName val="Admin"/>
      <sheetName val="BD"/>
      <sheetName val="BVN"/>
      <sheetName val="Chairman"/>
      <sheetName val="Common"/>
      <sheetName val="Connectivity"/>
      <sheetName val="Corp Communications"/>
      <sheetName val="Corp -relations Hyd"/>
      <sheetName val="Delhi office"/>
      <sheetName val="EDP- Aparna Crest"/>
      <sheetName val="F&amp;A"/>
      <sheetName val="GBS"/>
      <sheetName val="HADA monitoring"/>
      <sheetName val="HR-Final updated 2006 03 08"/>
      <sheetName val="MD"/>
      <sheetName val="O&amp;M"/>
      <sheetName val="PMT "/>
      <sheetName val="Project finance"/>
      <sheetName val="Raxa"/>
      <sheetName val="Secretarial"/>
      <sheetName val="Security- Aparna Crest"/>
      <sheetName val="BOQ LT"/>
      <sheetName val="#REF"/>
      <sheetName val="tbc"/>
      <sheetName val="GlobalSAndIByPole"/>
      <sheetName val="QTY"/>
      <sheetName val="Note 3 to 4"/>
      <sheetName val="Ls_XLB_WorkbookFile"/>
      <sheetName val="Note 5 to 10"/>
      <sheetName val="Note 12 to 15"/>
      <sheetName val="Note 11"/>
      <sheetName val="Sheet4"/>
      <sheetName val="Sheet7"/>
      <sheetName val="AP Revaluation"/>
      <sheetName val="Note 16-20"/>
      <sheetName val="GL Trial"/>
      <sheetName val="Adjustment Entries"/>
      <sheetName val="Tax computation"/>
      <sheetName val="Audit Entries15-16"/>
      <sheetName val="Tax Com 15-16"/>
      <sheetName val="IT Dep"/>
      <sheetName val="Tax Walk"/>
      <sheetName val="Deferred Tax"/>
      <sheetName val="Disallowance"/>
      <sheetName val="TB14-15"/>
      <sheetName val="Audit Entries14-15"/>
      <sheetName val="Analysis"/>
      <sheetName val="A91_97"/>
      <sheetName val="RPT 71-VOLUME DATA-PCI "/>
      <sheetName val="RPT 72-VOLUME DATA-Industry"/>
      <sheetName val="#REF!"/>
      <sheetName val="FURNITURE &amp; FIXTURE"/>
      <sheetName val="DET0900"/>
      <sheetName val="PointNo_51"/>
      <sheetName val="S_3_6_GL_Dump1"/>
      <sheetName val="PointNo_5"/>
      <sheetName val="S_3_6_GL_Dump"/>
      <sheetName val="PointNo_52"/>
      <sheetName val="S_3_6_GL_Dump2"/>
      <sheetName val="PointNo_53"/>
      <sheetName val="S_3_6_GL_Dump3"/>
      <sheetName val="Reg_for_Existing_Assets3"/>
      <sheetName val="PointNo_54"/>
      <sheetName val="S_3_6_GL_Dump4"/>
      <sheetName val="Reg_for_Existing_Assets4"/>
      <sheetName val="PointNo_55"/>
      <sheetName val="S_3_6_GL_Dump5"/>
      <sheetName val="Reg_for_Existing_Assets5"/>
      <sheetName val="Sheet_BAL'N_SHEET"/>
      <sheetName val="Instruction_Sheet3"/>
      <sheetName val="1_Borrowings3"/>
      <sheetName val="S_14_223"/>
      <sheetName val="S_7-133"/>
      <sheetName val="S_1_53"/>
      <sheetName val="P_&amp;L3"/>
      <sheetName val="Grouping_Details3"/>
      <sheetName val="Instruction_Sheet"/>
      <sheetName val="1_Borrowings"/>
      <sheetName val="S_14_22"/>
      <sheetName val="S_7-13"/>
      <sheetName val="S_1_5"/>
      <sheetName val="P_&amp;L"/>
      <sheetName val="Grouping_Details"/>
      <sheetName val="Instruction_Sheet1"/>
      <sheetName val="1_Borrowings1"/>
      <sheetName val="S_14_221"/>
      <sheetName val="S_7-131"/>
      <sheetName val="S_1_51"/>
      <sheetName val="P_&amp;L1"/>
      <sheetName val="Grouping_Details1"/>
      <sheetName val="Instruction_Sheet2"/>
      <sheetName val="1_Borrowings2"/>
      <sheetName val="S_14_222"/>
      <sheetName val="S_7-132"/>
      <sheetName val="S_1_52"/>
      <sheetName val="P_&amp;L2"/>
      <sheetName val="Grouping_Details2"/>
      <sheetName val="Instruction_Sheet4"/>
      <sheetName val="1_Borrowings4"/>
      <sheetName val="S_14_224"/>
      <sheetName val="S_7-134"/>
      <sheetName val="S_1_54"/>
      <sheetName val="P_&amp;L4"/>
      <sheetName val="Grouping_Details4"/>
      <sheetName val="Instruction_Sheet5"/>
      <sheetName val="1_Borrowings5"/>
      <sheetName val="S_14_225"/>
      <sheetName val="S_7-135"/>
      <sheetName val="S_1_55"/>
      <sheetName val="P_&amp;L5"/>
      <sheetName val="Grouping_Details5"/>
      <sheetName val="PointNo_56"/>
      <sheetName val="S_3_6_GL_Dump6"/>
      <sheetName val="Reg_for_Existing_Assets6"/>
      <sheetName val="Instruction_Sheet6"/>
      <sheetName val="1_Borrowings6"/>
      <sheetName val="S_14_226"/>
      <sheetName val="S_7-136"/>
      <sheetName val="S_1_56"/>
      <sheetName val="P_&amp;L6"/>
      <sheetName val="Grouping_Details6"/>
      <sheetName val="PointNo_57"/>
      <sheetName val="S_3_6_GL_Dump7"/>
      <sheetName val="Reg_for_Existing_Assets7"/>
      <sheetName val="Instruction_Sheet7"/>
      <sheetName val="1_Borrowings7"/>
      <sheetName val="S_14_227"/>
      <sheetName val="S_7-137"/>
      <sheetName val="S_1_57"/>
      <sheetName val="P_&amp;L7"/>
      <sheetName val="Grouping_Details7"/>
      <sheetName val="PointNo_58"/>
      <sheetName val="S_3_6_GL_Dump8"/>
      <sheetName val="Reg_for_Existing_Assets8"/>
      <sheetName val="KPM_Data_Tables17"/>
      <sheetName val="SPT_vs_PHI15"/>
      <sheetName val="LEGAL_GUJ15"/>
      <sheetName val="PROV_15"/>
      <sheetName val="vb_9&amp;1012"/>
      <sheetName val="PointNo_512"/>
      <sheetName val="S_3_6_GL_Dump12"/>
      <sheetName val="Reg_for_Existing_Assets12"/>
      <sheetName val="Instruction_Sheet11"/>
      <sheetName val="1_Borrowings11"/>
      <sheetName val="S_14_2211"/>
      <sheetName val="S_7-1311"/>
      <sheetName val="S_1_511"/>
      <sheetName val="P_&amp;L11"/>
      <sheetName val="Grouping_Details11"/>
      <sheetName val="KPM_Data_Tables16"/>
      <sheetName val="SPT_vs_PHI14"/>
      <sheetName val="LEGAL_GUJ14"/>
      <sheetName val="PROV_14"/>
      <sheetName val="PointNo_511"/>
      <sheetName val="S_3_6_GL_Dump11"/>
      <sheetName val="Reg_for_Existing_Assets11"/>
      <sheetName val="Instruction_Sheet10"/>
      <sheetName val="1_Borrowings10"/>
      <sheetName val="S_14_2210"/>
      <sheetName val="S_7-1310"/>
      <sheetName val="S_1_510"/>
      <sheetName val="P_&amp;L10"/>
      <sheetName val="Grouping_Details10"/>
      <sheetName val="KPM_Data_Tables14"/>
      <sheetName val="SPT_vs_PHI12"/>
      <sheetName val="LEGAL_GUJ12"/>
      <sheetName val="PROV_12"/>
      <sheetName val="PointNo_59"/>
      <sheetName val="S_3_6_GL_Dump9"/>
      <sheetName val="Reg_for_Existing_Assets9"/>
      <sheetName val="Instruction_Sheet8"/>
      <sheetName val="1_Borrowings8"/>
      <sheetName val="S_14_228"/>
      <sheetName val="S_7-138"/>
      <sheetName val="S_1_58"/>
      <sheetName val="P_&amp;L8"/>
      <sheetName val="Grouping_Details8"/>
      <sheetName val="KPM_Data_Tables15"/>
      <sheetName val="SPT_vs_PHI13"/>
      <sheetName val="LEGAL_GUJ13"/>
      <sheetName val="PROV_13"/>
      <sheetName val="PointNo_510"/>
      <sheetName val="S_3_6_GL_Dump10"/>
      <sheetName val="Reg_for_Existing_Assets10"/>
      <sheetName val="Instruction_Sheet9"/>
      <sheetName val="1_Borrowings9"/>
      <sheetName val="S_14_229"/>
      <sheetName val="S_7-139"/>
      <sheetName val="S_1_59"/>
      <sheetName val="P_&amp;L9"/>
      <sheetName val="Grouping_Details9"/>
      <sheetName val="KPM_Data_Tables18"/>
      <sheetName val="SPT_vs_PHI16"/>
      <sheetName val="LEGAL_GUJ16"/>
      <sheetName val="PROV_16"/>
      <sheetName val="vb_9&amp;1013"/>
      <sheetName val="PointNo_513"/>
      <sheetName val="S_3_6_GL_Dump13"/>
      <sheetName val="Reg_for_Existing_Assets13"/>
      <sheetName val="Instruction_Sheet12"/>
      <sheetName val="1_Borrowings12"/>
      <sheetName val="S_14_2212"/>
      <sheetName val="S_7-1312"/>
      <sheetName val="S_1_512"/>
      <sheetName val="P_&amp;L12"/>
      <sheetName val="Grouping_Details12"/>
      <sheetName val="KPM_Data_Tables19"/>
      <sheetName val="SPT_vs_PHI17"/>
      <sheetName val="LEGAL_GUJ17"/>
      <sheetName val="PROV_17"/>
      <sheetName val="vb_9&amp;1014"/>
      <sheetName val="PointNo_514"/>
      <sheetName val="S_3_6_GL_Dump14"/>
      <sheetName val="Reg_for_Existing_Assets14"/>
      <sheetName val="Instruction_Sheet13"/>
      <sheetName val="1_Borrowings13"/>
      <sheetName val="S_14_2213"/>
      <sheetName val="S_7-1313"/>
      <sheetName val="S_1_513"/>
      <sheetName val="P_&amp;L13"/>
      <sheetName val="Grouping_Details13"/>
      <sheetName val="KPM_Data_Tables21"/>
      <sheetName val="SPT_vs_PHI19"/>
      <sheetName val="LEGAL_GUJ19"/>
      <sheetName val="PROV_19"/>
      <sheetName val="vb_9&amp;1016"/>
      <sheetName val="PointNo_516"/>
      <sheetName val="S_3_6_GL_Dump16"/>
      <sheetName val="Reg_for_Existing_Assets16"/>
      <sheetName val="Instruction_Sheet15"/>
      <sheetName val="1_Borrowings15"/>
      <sheetName val="S_14_2215"/>
      <sheetName val="S_7-1315"/>
      <sheetName val="S_1_515"/>
      <sheetName val="P_&amp;L15"/>
      <sheetName val="Grouping_Details15"/>
      <sheetName val="KPM_Data_Tables20"/>
      <sheetName val="SPT_vs_PHI18"/>
      <sheetName val="LEGAL_GUJ18"/>
      <sheetName val="PROV_18"/>
      <sheetName val="vb_9&amp;1015"/>
      <sheetName val="PointNo_515"/>
      <sheetName val="S_3_6_GL_Dump15"/>
      <sheetName val="Reg_for_Existing_Assets15"/>
      <sheetName val="Instruction_Sheet14"/>
      <sheetName val="1_Borrowings14"/>
      <sheetName val="S_14_2214"/>
      <sheetName val="S_7-1314"/>
      <sheetName val="S_1_514"/>
      <sheetName val="P_&amp;L14"/>
      <sheetName val="Grouping_Details14"/>
      <sheetName val="KPM_Data_Tables22"/>
      <sheetName val="SPT_vs_PHI20"/>
      <sheetName val="LEGAL_GUJ20"/>
      <sheetName val="PROV_20"/>
      <sheetName val="vb_9&amp;1017"/>
      <sheetName val="PointNo_517"/>
      <sheetName val="S_3_6_GL_Dump17"/>
      <sheetName val="Reg_for_Existing_Assets17"/>
      <sheetName val="Instruction_Sheet16"/>
      <sheetName val="1_Borrowings16"/>
      <sheetName val="S_14_2216"/>
      <sheetName val="S_7-1316"/>
      <sheetName val="S_1_516"/>
      <sheetName val="P_&amp;L16"/>
      <sheetName val="Grouping_Details16"/>
      <sheetName val="Base_time3"/>
      <sheetName val="E_&amp;_R2"/>
      <sheetName val="KPM_Data_Tables23"/>
      <sheetName val="SPT_vs_PHI21"/>
      <sheetName val="LEGAL_GUJ21"/>
      <sheetName val="PROV_21"/>
      <sheetName val="vb_9&amp;1018"/>
      <sheetName val="PointNo_518"/>
      <sheetName val="S_3_6_GL_Dump18"/>
      <sheetName val="Reg_for_Existing_Assets18"/>
      <sheetName val="Instruction_Sheet17"/>
      <sheetName val="1_Borrowings17"/>
      <sheetName val="S_14_2217"/>
      <sheetName val="S_7-1317"/>
      <sheetName val="S_1_517"/>
      <sheetName val="P_&amp;L17"/>
      <sheetName val="Grouping_Details17"/>
      <sheetName val="Base_time4"/>
      <sheetName val="E_&amp;_R3"/>
      <sheetName val="Schedules_BS29"/>
      <sheetName val="Schedules_PL29"/>
      <sheetName val="Sec_21229"/>
      <sheetName val="TRIAL_BALANCE29"/>
      <sheetName val="Non-Recurring_Items_Detail29"/>
      <sheetName val="Gross_Margin_by_Practice29"/>
      <sheetName val="Mode_d_emploie_et_exemple29"/>
      <sheetName val="SNAP_SHOT27"/>
      <sheetName val="gen_ledger_data29"/>
      <sheetName val="PL_Grouping27"/>
      <sheetName val="FINALTB_FY1127"/>
      <sheetName val="Inv_Wkg27"/>
      <sheetName val="HBI_NCD29"/>
      <sheetName val="310280_on_310307_(070607)29"/>
      <sheetName val="Schedule_VI_200427"/>
      <sheetName val="ANNX_-_I_(_a_)27"/>
      <sheetName val="WGE_P&amp;E27"/>
      <sheetName val="KPM_Data_Tables27"/>
      <sheetName val="SPT_vs_PHI25"/>
      <sheetName val="LEGAL_GUJ25"/>
      <sheetName val="PROV_25"/>
      <sheetName val="vb_9&amp;1022"/>
      <sheetName val="PointNo_522"/>
      <sheetName val="S_3_6_GL_Dump22"/>
      <sheetName val="Reg_for_Existing_Assets22"/>
      <sheetName val="Instruction_Sheet21"/>
      <sheetName val="1_Borrowings21"/>
      <sheetName val="S_14_2221"/>
      <sheetName val="S_7-1321"/>
      <sheetName val="S_1_521"/>
      <sheetName val="P_&amp;L21"/>
      <sheetName val="Grouping_Details21"/>
      <sheetName val="Base_time8"/>
      <sheetName val="E_&amp;_R7"/>
      <sheetName val="KPM_Data_Tables25"/>
      <sheetName val="SPT_vs_PHI23"/>
      <sheetName val="LEGAL_GUJ23"/>
      <sheetName val="PROV_23"/>
      <sheetName val="vb_9&amp;1020"/>
      <sheetName val="PointNo_520"/>
      <sheetName val="S_3_6_GL_Dump20"/>
      <sheetName val="Reg_for_Existing_Assets20"/>
      <sheetName val="Instruction_Sheet19"/>
      <sheetName val="1_Borrowings19"/>
      <sheetName val="S_14_2219"/>
      <sheetName val="S_7-1319"/>
      <sheetName val="S_1_519"/>
      <sheetName val="P_&amp;L19"/>
      <sheetName val="Grouping_Details19"/>
      <sheetName val="Base_time6"/>
      <sheetName val="E_&amp;_R5"/>
      <sheetName val="KPM_Data_Tables24"/>
      <sheetName val="SPT_vs_PHI22"/>
      <sheetName val="LEGAL_GUJ22"/>
      <sheetName val="PROV_22"/>
      <sheetName val="vb_9&amp;1019"/>
      <sheetName val="PointNo_519"/>
      <sheetName val="S_3_6_GL_Dump19"/>
      <sheetName val="Reg_for_Existing_Assets19"/>
      <sheetName val="Instruction_Sheet18"/>
      <sheetName val="1_Borrowings18"/>
      <sheetName val="S_14_2218"/>
      <sheetName val="S_7-1318"/>
      <sheetName val="S_1_518"/>
      <sheetName val="P_&amp;L18"/>
      <sheetName val="Grouping_Details18"/>
      <sheetName val="Base_time5"/>
      <sheetName val="E_&amp;_R4"/>
      <sheetName val="HBI_NCD28"/>
      <sheetName val="310280_on_310307_(070607)28"/>
      <sheetName val="WGE_P&amp;E26"/>
      <sheetName val="KPM_Data_Tables26"/>
      <sheetName val="SPT_vs_PHI24"/>
      <sheetName val="LEGAL_GUJ24"/>
      <sheetName val="PROV_24"/>
      <sheetName val="vb_9&amp;1021"/>
      <sheetName val="PointNo_521"/>
      <sheetName val="S_3_6_GL_Dump21"/>
      <sheetName val="Reg_for_Existing_Assets21"/>
      <sheetName val="Instruction_Sheet20"/>
      <sheetName val="1_Borrowings20"/>
      <sheetName val="S_14_2220"/>
      <sheetName val="S_7-1320"/>
      <sheetName val="S_1_520"/>
      <sheetName val="P_&amp;L20"/>
      <sheetName val="Grouping_Details20"/>
      <sheetName val="Base_time7"/>
      <sheetName val="E_&amp;_R6"/>
      <sheetName val="Schedules_BS30"/>
      <sheetName val="Schedules_PL30"/>
      <sheetName val="Sec_21230"/>
      <sheetName val="TRIAL_BALANCE30"/>
      <sheetName val="Non-Recurring_Items_Detail30"/>
      <sheetName val="Gross_Margin_by_Practice30"/>
      <sheetName val="Mode_d_emploie_et_exemple30"/>
      <sheetName val="SNAP_SHOT28"/>
      <sheetName val="gen_ledger_data30"/>
      <sheetName val="PL_Grouping28"/>
      <sheetName val="FINALTB_FY1128"/>
      <sheetName val="Inv_Wkg28"/>
      <sheetName val="HBI_NCD30"/>
      <sheetName val="310280_on_310307_(070607)30"/>
      <sheetName val="Schedule_VI_200428"/>
      <sheetName val="ANNX_-_I_(_a_)28"/>
      <sheetName val="WGE_P&amp;E28"/>
      <sheetName val="KPM_Data_Tables28"/>
      <sheetName val="DLC_sites26"/>
      <sheetName val="SDH_COST26"/>
      <sheetName val="Other_assumptions26"/>
      <sheetName val="RSU_lookups26"/>
      <sheetName val="RSU_sites26"/>
      <sheetName val="Balance_sheet26"/>
      <sheetName val="profit_&amp;_loss_account26"/>
      <sheetName val="SPT_vs_PHI26"/>
      <sheetName val="LEGAL_GUJ26"/>
      <sheetName val="PROV_26"/>
      <sheetName val="vb_9&amp;1023"/>
      <sheetName val="PointNo_523"/>
      <sheetName val="S_3_6_GL_Dump23"/>
      <sheetName val="Reg_for_Existing_Assets23"/>
      <sheetName val="Instruction_Sheet22"/>
      <sheetName val="1_Borrowings22"/>
      <sheetName val="S_14_2222"/>
      <sheetName val="S_7-1322"/>
      <sheetName val="S_1_522"/>
      <sheetName val="P_&amp;L22"/>
      <sheetName val="Grouping_Details22"/>
      <sheetName val="Base_time9"/>
      <sheetName val="E_&amp;_R8"/>
      <sheetName val="Schedules_BS32"/>
      <sheetName val="Schedules_PL32"/>
      <sheetName val="Sec_21232"/>
      <sheetName val="TRIAL_BALANCE32"/>
      <sheetName val="Non-Recurring_Items_Detail32"/>
      <sheetName val="Gross_Margin_by_Practice32"/>
      <sheetName val="Mode_d_emploie_et_exemple32"/>
      <sheetName val="SNAP_SHOT30"/>
      <sheetName val="gen_ledger_data32"/>
      <sheetName val="PL_Grouping30"/>
      <sheetName val="FINALTB_FY1130"/>
      <sheetName val="Inv_Wkg30"/>
      <sheetName val="HBI_NCD32"/>
      <sheetName val="310280_on_310307_(070607)32"/>
      <sheetName val="Schedule_VI_200430"/>
      <sheetName val="ANNX_-_I_(_a_)30"/>
      <sheetName val="WGE_P&amp;E30"/>
      <sheetName val="KPM_Data_Tables30"/>
      <sheetName val="DLC_sites28"/>
      <sheetName val="SDH_COST28"/>
      <sheetName val="Other_assumptions28"/>
      <sheetName val="RSU_lookups28"/>
      <sheetName val="RSU_sites28"/>
      <sheetName val="Balance_sheet28"/>
      <sheetName val="profit_&amp;_loss_account28"/>
      <sheetName val="SPT_vs_PHI28"/>
      <sheetName val="LEGAL_GUJ28"/>
      <sheetName val="PROV_28"/>
      <sheetName val="vb_9&amp;1025"/>
      <sheetName val="PointNo_525"/>
      <sheetName val="S_3_6_GL_Dump25"/>
      <sheetName val="Reg_for_Existing_Assets25"/>
      <sheetName val="Instruction_Sheet24"/>
      <sheetName val="1_Borrowings24"/>
      <sheetName val="S_14_2224"/>
      <sheetName val="S_7-1324"/>
      <sheetName val="S_1_524"/>
      <sheetName val="P_&amp;L24"/>
      <sheetName val="Grouping_Details24"/>
      <sheetName val="Base_time11"/>
      <sheetName val="E_&amp;_R10"/>
      <sheetName val="Schedules_BS31"/>
      <sheetName val="Schedules_PL31"/>
      <sheetName val="Sec_21231"/>
      <sheetName val="TRIAL_BALANCE31"/>
      <sheetName val="Non-Recurring_Items_Detail31"/>
      <sheetName val="Gross_Margin_by_Practice31"/>
      <sheetName val="Mode_d_emploie_et_exemple31"/>
      <sheetName val="SNAP_SHOT29"/>
      <sheetName val="gen_ledger_data31"/>
      <sheetName val="PL_Grouping29"/>
      <sheetName val="FINALTB_FY1129"/>
      <sheetName val="Inv_Wkg29"/>
      <sheetName val="HBI_NCD31"/>
      <sheetName val="310280_on_310307_(070607)31"/>
      <sheetName val="Schedule_VI_200429"/>
      <sheetName val="ANNX_-_I_(_a_)29"/>
      <sheetName val="WGE_P&amp;E29"/>
      <sheetName val="KPM_Data_Tables29"/>
      <sheetName val="DLC_sites27"/>
      <sheetName val="SDH_COST27"/>
      <sheetName val="Other_assumptions27"/>
      <sheetName val="RSU_lookups27"/>
      <sheetName val="RSU_sites27"/>
      <sheetName val="Balance_sheet27"/>
      <sheetName val="profit_&amp;_loss_account27"/>
      <sheetName val="SPT_vs_PHI27"/>
      <sheetName val="LEGAL_GUJ27"/>
      <sheetName val="PROV_27"/>
      <sheetName val="vb_9&amp;1024"/>
      <sheetName val="PointNo_524"/>
      <sheetName val="S_3_6_GL_Dump24"/>
      <sheetName val="Reg_for_Existing_Assets24"/>
      <sheetName val="Instruction_Sheet23"/>
      <sheetName val="1_Borrowings23"/>
      <sheetName val="S_14_2223"/>
      <sheetName val="S_7-1323"/>
      <sheetName val="S_1_523"/>
      <sheetName val="P_&amp;L23"/>
      <sheetName val="Grouping_Details23"/>
      <sheetName val="Base_time10"/>
      <sheetName val="E_&amp;_R9"/>
      <sheetName val="Schedules_BS33"/>
      <sheetName val="Schedules_PL33"/>
      <sheetName val="Sec_21233"/>
      <sheetName val="TRIAL_BALANCE33"/>
      <sheetName val="Non-Recurring_Items_Detail33"/>
      <sheetName val="Gross_Margin_by_Practice33"/>
      <sheetName val="Mode_d_emploie_et_exemple33"/>
      <sheetName val="SNAP_SHOT31"/>
      <sheetName val="gen_ledger_data33"/>
      <sheetName val="PL_Grouping31"/>
      <sheetName val="FINALTB_FY1131"/>
      <sheetName val="Inv_Wkg31"/>
      <sheetName val="HBI_NCD33"/>
      <sheetName val="310280_on_310307_(070607)33"/>
      <sheetName val="Schedule_VI_200431"/>
      <sheetName val="ANNX_-_I_(_a_)31"/>
      <sheetName val="WGE_P&amp;E31"/>
      <sheetName val="KPM_Data_Tables31"/>
      <sheetName val="DLC_sites29"/>
      <sheetName val="SDH_COST29"/>
      <sheetName val="Other_assumptions29"/>
      <sheetName val="RSU_lookups29"/>
      <sheetName val="RSU_sites29"/>
      <sheetName val="Balance_sheet29"/>
      <sheetName val="profit_&amp;_loss_account29"/>
      <sheetName val="SPT_vs_PHI29"/>
      <sheetName val="LEGAL_GUJ29"/>
      <sheetName val="PROV_29"/>
      <sheetName val="vb_9&amp;1026"/>
      <sheetName val="PointNo_526"/>
      <sheetName val="S_3_6_GL_Dump26"/>
      <sheetName val="Reg_for_Existing_Assets26"/>
      <sheetName val="Instruction_Sheet25"/>
      <sheetName val="1_Borrowings25"/>
      <sheetName val="S_14_2225"/>
      <sheetName val="S_7-1325"/>
      <sheetName val="S_1_525"/>
      <sheetName val="P_&amp;L25"/>
      <sheetName val="Grouping_Details25"/>
      <sheetName val="5_Star_Hotel12"/>
      <sheetName val="Base_time12"/>
      <sheetName val="E_&amp;_R11"/>
      <sheetName val="Schedules_BS34"/>
      <sheetName val="Schedules_PL34"/>
      <sheetName val="Sec_21234"/>
      <sheetName val="TRIAL_BALANCE34"/>
      <sheetName val="Non-Recurring_Items_Detail34"/>
      <sheetName val="Gross_Margin_by_Practice34"/>
      <sheetName val="Mode_d_emploie_et_exemple34"/>
      <sheetName val="SNAP_SHOT32"/>
      <sheetName val="gen_ledger_data34"/>
      <sheetName val="PL_Grouping32"/>
      <sheetName val="FINALTB_FY1132"/>
      <sheetName val="Inv_Wkg32"/>
      <sheetName val="HBI_NCD34"/>
      <sheetName val="310280_on_310307_(070607)34"/>
      <sheetName val="Schedule_VI_200432"/>
      <sheetName val="ANNX_-_I_(_a_)32"/>
      <sheetName val="WGE_P&amp;E32"/>
      <sheetName val="KPM_Data_Tables32"/>
      <sheetName val="DLC_sites30"/>
      <sheetName val="SDH_COST30"/>
      <sheetName val="Other_assumptions30"/>
      <sheetName val="RSU_lookups30"/>
      <sheetName val="RSU_sites30"/>
      <sheetName val="Balance_sheet30"/>
      <sheetName val="profit_&amp;_loss_account30"/>
      <sheetName val="SPT_vs_PHI30"/>
      <sheetName val="LEGAL_GUJ30"/>
      <sheetName val="PROV_30"/>
      <sheetName val="vb_9&amp;1027"/>
      <sheetName val="PointNo_527"/>
      <sheetName val="S_3_6_GL_Dump27"/>
      <sheetName val="Reg_for_Existing_Assets27"/>
      <sheetName val="Instruction_Sheet26"/>
      <sheetName val="1_Borrowings26"/>
      <sheetName val="S_14_2226"/>
      <sheetName val="S_7-1326"/>
      <sheetName val="S_1_526"/>
      <sheetName val="P_&amp;L26"/>
      <sheetName val="Grouping_Details26"/>
      <sheetName val="5_Star_Hotel13"/>
      <sheetName val="Base_time13"/>
      <sheetName val="E_&amp;_R12"/>
      <sheetName val="Schedules_BS36"/>
      <sheetName val="Schedules_PL36"/>
      <sheetName val="Sec_21236"/>
      <sheetName val="TRIAL_BALANCE36"/>
      <sheetName val="Non-Recurring_Items_Detail36"/>
      <sheetName val="Gross_Margin_by_Practice36"/>
      <sheetName val="Mode_d_emploie_et_exemple36"/>
      <sheetName val="SNAP_SHOT34"/>
      <sheetName val="gen_ledger_data36"/>
      <sheetName val="PL_Grouping34"/>
      <sheetName val="FINALTB_FY1134"/>
      <sheetName val="Inv_Wkg34"/>
      <sheetName val="HBI_NCD36"/>
      <sheetName val="310280_on_310307_(070607)36"/>
      <sheetName val="Schedule_VI_200434"/>
      <sheetName val="ANNX_-_I_(_a_)34"/>
      <sheetName val="WGE_P&amp;E34"/>
      <sheetName val="KPM_Data_Tables34"/>
      <sheetName val="DLC_sites32"/>
      <sheetName val="SDH_COST32"/>
      <sheetName val="Other_assumptions32"/>
      <sheetName val="RSU_lookups32"/>
      <sheetName val="RSU_sites32"/>
      <sheetName val="Balance_sheet32"/>
      <sheetName val="profit_&amp;_loss_account32"/>
      <sheetName val="SPT_vs_PHI32"/>
      <sheetName val="LEGAL_GUJ32"/>
      <sheetName val="PROV_32"/>
      <sheetName val="vb_9&amp;1029"/>
      <sheetName val="PointNo_529"/>
      <sheetName val="S_3_6_GL_Dump29"/>
      <sheetName val="Reg_for_Existing_Assets29"/>
      <sheetName val="Instruction_Sheet28"/>
      <sheetName val="1_Borrowings28"/>
      <sheetName val="S_14_2228"/>
      <sheetName val="S_7-1328"/>
      <sheetName val="S_1_528"/>
      <sheetName val="P_&amp;L28"/>
      <sheetName val="Grouping_Details28"/>
      <sheetName val="5_Star_Hotel15"/>
      <sheetName val="Base_time15"/>
      <sheetName val="E_&amp;_R14"/>
      <sheetName val="Schedules_BS35"/>
      <sheetName val="Schedules_PL35"/>
      <sheetName val="Sec_21235"/>
      <sheetName val="TRIAL_BALANCE35"/>
      <sheetName val="Non-Recurring_Items_Detail35"/>
      <sheetName val="Gross_Margin_by_Practice35"/>
      <sheetName val="Mode_d_emploie_et_exemple35"/>
      <sheetName val="SNAP_SHOT33"/>
      <sheetName val="gen_ledger_data35"/>
      <sheetName val="PL_Grouping33"/>
      <sheetName val="FINALTB_FY1133"/>
      <sheetName val="Inv_Wkg33"/>
      <sheetName val="HBI_NCD35"/>
      <sheetName val="310280_on_310307_(070607)35"/>
      <sheetName val="Schedule_VI_200433"/>
      <sheetName val="ANNX_-_I_(_a_)33"/>
      <sheetName val="WGE_P&amp;E33"/>
      <sheetName val="KPM_Data_Tables33"/>
      <sheetName val="DLC_sites31"/>
      <sheetName val="SDH_COST31"/>
      <sheetName val="Other_assumptions31"/>
      <sheetName val="RSU_lookups31"/>
      <sheetName val="RSU_sites31"/>
      <sheetName val="Balance_sheet31"/>
      <sheetName val="profit_&amp;_loss_account31"/>
      <sheetName val="SPT_vs_PHI31"/>
      <sheetName val="LEGAL_GUJ31"/>
      <sheetName val="PROV_31"/>
      <sheetName val="vb_9&amp;1028"/>
      <sheetName val="PointNo_528"/>
      <sheetName val="S_3_6_GL_Dump28"/>
      <sheetName val="Reg_for_Existing_Assets28"/>
      <sheetName val="Instruction_Sheet27"/>
      <sheetName val="1_Borrowings27"/>
      <sheetName val="S_14_2227"/>
      <sheetName val="S_7-1327"/>
      <sheetName val="S_1_527"/>
      <sheetName val="P_&amp;L27"/>
      <sheetName val="Grouping_Details27"/>
      <sheetName val="5_Star_Hotel14"/>
      <sheetName val="Base_time14"/>
      <sheetName val="E_&amp;_R13"/>
      <sheetName val="Schedules_BS38"/>
      <sheetName val="Schedules_PL38"/>
      <sheetName val="Sec_21238"/>
      <sheetName val="TRIAL_BALANCE38"/>
      <sheetName val="Non-Recurring_Items_Detail38"/>
      <sheetName val="Gross_Margin_by_Practice38"/>
      <sheetName val="Mode_d_emploie_et_exemple38"/>
      <sheetName val="SNAP_SHOT36"/>
      <sheetName val="gen_ledger_data38"/>
      <sheetName val="PL_Grouping36"/>
      <sheetName val="FINALTB_FY1136"/>
      <sheetName val="Inv_Wkg36"/>
      <sheetName val="HBI_NCD38"/>
      <sheetName val="310280_on_310307_(070607)38"/>
      <sheetName val="Schedule_VI_200436"/>
      <sheetName val="ANNX_-_I_(_a_)36"/>
      <sheetName val="WGE_P&amp;E36"/>
      <sheetName val="KPM_Data_Tables36"/>
      <sheetName val="DLC_sites34"/>
      <sheetName val="SDH_COST34"/>
      <sheetName val="Other_assumptions34"/>
      <sheetName val="RSU_lookups34"/>
      <sheetName val="RSU_sites34"/>
      <sheetName val="Balance_sheet34"/>
      <sheetName val="profit_&amp;_loss_account34"/>
      <sheetName val="SPT_vs_PHI34"/>
      <sheetName val="LEGAL_GUJ34"/>
      <sheetName val="PROV_34"/>
      <sheetName val="vb_9&amp;1031"/>
      <sheetName val="PointNo_531"/>
      <sheetName val="S_3_6_GL_Dump31"/>
      <sheetName val="Reg_for_Existing_Assets31"/>
      <sheetName val="Instruction_Sheet30"/>
      <sheetName val="1_Borrowings30"/>
      <sheetName val="S_14_2230"/>
      <sheetName val="S_7-1330"/>
      <sheetName val="S_1_530"/>
      <sheetName val="P_&amp;L30"/>
      <sheetName val="Grouping_Details30"/>
      <sheetName val="5_Star_Hotel17"/>
      <sheetName val="Base_time17"/>
      <sheetName val="E_&amp;_R16"/>
      <sheetName val="Schedules_BS37"/>
      <sheetName val="Schedules_PL37"/>
      <sheetName val="Sec_21237"/>
      <sheetName val="TRIAL_BALANCE37"/>
      <sheetName val="Non-Recurring_Items_Detail37"/>
      <sheetName val="Gross_Margin_by_Practice37"/>
      <sheetName val="Mode_d_emploie_et_exemple37"/>
      <sheetName val="SNAP_SHOT35"/>
      <sheetName val="gen_ledger_data37"/>
      <sheetName val="PL_Grouping35"/>
      <sheetName val="FINALTB_FY1135"/>
      <sheetName val="Inv_Wkg35"/>
      <sheetName val="HBI_NCD37"/>
      <sheetName val="310280_on_310307_(070607)37"/>
      <sheetName val="Schedule_VI_200435"/>
      <sheetName val="ANNX_-_I_(_a_)35"/>
      <sheetName val="WGE_P&amp;E35"/>
      <sheetName val="KPM_Data_Tables35"/>
      <sheetName val="DLC_sites33"/>
      <sheetName val="SDH_COST33"/>
      <sheetName val="Other_assumptions33"/>
      <sheetName val="RSU_lookups33"/>
      <sheetName val="RSU_sites33"/>
      <sheetName val="Balance_sheet33"/>
      <sheetName val="profit_&amp;_loss_account33"/>
      <sheetName val="SPT_vs_PHI33"/>
      <sheetName val="LEGAL_GUJ33"/>
      <sheetName val="PROV_33"/>
      <sheetName val="vb_9&amp;1030"/>
      <sheetName val="PointNo_530"/>
      <sheetName val="S_3_6_GL_Dump30"/>
      <sheetName val="Reg_for_Existing_Assets30"/>
      <sheetName val="Instruction_Sheet29"/>
      <sheetName val="1_Borrowings29"/>
      <sheetName val="S_14_2229"/>
      <sheetName val="S_7-1329"/>
      <sheetName val="S_1_529"/>
      <sheetName val="P_&amp;L29"/>
      <sheetName val="Grouping_Details29"/>
      <sheetName val="5_Star_Hotel16"/>
      <sheetName val="Base_time16"/>
      <sheetName val="E_&amp;_R15"/>
      <sheetName val="Schedules_BS39"/>
      <sheetName val="Schedules_PL39"/>
      <sheetName val="Sec_21239"/>
      <sheetName val="TRIAL_BALANCE39"/>
      <sheetName val="Non-Recurring_Items_Detail39"/>
      <sheetName val="Gross_Margin_by_Practice39"/>
      <sheetName val="Mode_d_emploie_et_exemple39"/>
      <sheetName val="SNAP_SHOT37"/>
      <sheetName val="gen_ledger_data39"/>
      <sheetName val="PL_Grouping37"/>
      <sheetName val="FINALTB_FY1137"/>
      <sheetName val="Inv_Wkg37"/>
      <sheetName val="HBI_NCD39"/>
      <sheetName val="310280_on_310307_(070607)39"/>
      <sheetName val="Schedule_VI_200437"/>
      <sheetName val="ANNX_-_I_(_a_)37"/>
      <sheetName val="WGE_P&amp;E37"/>
      <sheetName val="KPM_Data_Tables37"/>
      <sheetName val="DLC_sites35"/>
      <sheetName val="SDH_COST35"/>
      <sheetName val="Other_assumptions35"/>
      <sheetName val="RSU_lookups35"/>
      <sheetName val="RSU_sites35"/>
      <sheetName val="Balance_sheet35"/>
      <sheetName val="profit_&amp;_loss_account35"/>
      <sheetName val="SPT_vs_PHI35"/>
      <sheetName val="LEGAL_GUJ35"/>
      <sheetName val="PROV_35"/>
      <sheetName val="vb_9&amp;1032"/>
      <sheetName val="PointNo_532"/>
      <sheetName val="S_3_6_GL_Dump32"/>
      <sheetName val="Reg_for_Existing_Assets32"/>
      <sheetName val="Instruction_Sheet31"/>
      <sheetName val="1_Borrowings31"/>
      <sheetName val="S_14_2231"/>
      <sheetName val="S_7-1331"/>
      <sheetName val="S_1_531"/>
      <sheetName val="P_&amp;L31"/>
      <sheetName val="Grouping_Details31"/>
      <sheetName val="5_Star_Hotel18"/>
      <sheetName val="Base_time18"/>
      <sheetName val="E_&amp;_R17"/>
      <sheetName val="Schedules_BS40"/>
      <sheetName val="Schedules_PL40"/>
      <sheetName val="Sec_21240"/>
      <sheetName val="TRIAL_BALANCE40"/>
      <sheetName val="Non-Recurring_Items_Detail40"/>
      <sheetName val="Gross_Margin_by_Practice40"/>
      <sheetName val="Mode_d_emploie_et_exemple40"/>
      <sheetName val="SNAP_SHOT38"/>
      <sheetName val="gen_ledger_data40"/>
      <sheetName val="PL_Grouping38"/>
      <sheetName val="FINALTB_FY1138"/>
      <sheetName val="Inv_Wkg38"/>
      <sheetName val="HBI_NCD40"/>
      <sheetName val="310280_on_310307_(070607)40"/>
      <sheetName val="Schedule_VI_200438"/>
      <sheetName val="ANNX_-_I_(_a_)38"/>
      <sheetName val="WGE_P&amp;E38"/>
      <sheetName val="KPM_Data_Tables38"/>
      <sheetName val="DLC_sites36"/>
      <sheetName val="SDH_COST36"/>
      <sheetName val="Other_assumptions36"/>
      <sheetName val="RSU_lookups36"/>
      <sheetName val="RSU_sites36"/>
      <sheetName val="Balance_sheet36"/>
      <sheetName val="profit_&amp;_loss_account36"/>
      <sheetName val="SPT_vs_PHI36"/>
      <sheetName val="LEGAL_GUJ36"/>
      <sheetName val="PROV_36"/>
      <sheetName val="vb_9&amp;1033"/>
      <sheetName val="PointNo_533"/>
      <sheetName val="S_3_6_GL_Dump33"/>
      <sheetName val="Reg_for_Existing_Assets33"/>
      <sheetName val="Instruction_Sheet32"/>
      <sheetName val="1_Borrowings32"/>
      <sheetName val="S_14_2232"/>
      <sheetName val="S_7-1332"/>
      <sheetName val="S_1_532"/>
      <sheetName val="P_&amp;L32"/>
      <sheetName val="Grouping_Details32"/>
      <sheetName val="5_Star_Hotel19"/>
      <sheetName val="Base_time19"/>
      <sheetName val="E_&amp;_R18"/>
      <sheetName val="Schedules_BS41"/>
      <sheetName val="Schedules_PL41"/>
      <sheetName val="Sec_21241"/>
      <sheetName val="TRIAL_BALANCE41"/>
      <sheetName val="Non-Recurring_Items_Detail41"/>
      <sheetName val="Gross_Margin_by_Practice41"/>
      <sheetName val="Mode_d_emploie_et_exemple41"/>
      <sheetName val="SNAP_SHOT39"/>
      <sheetName val="gen_ledger_data41"/>
      <sheetName val="PL_Grouping39"/>
      <sheetName val="FINALTB_FY1139"/>
      <sheetName val="Inv_Wkg39"/>
      <sheetName val="HBI_NCD41"/>
      <sheetName val="310280_on_310307_(070607)41"/>
      <sheetName val="Schedule_VI_200439"/>
      <sheetName val="ANNX_-_I_(_a_)39"/>
      <sheetName val="WGE_P&amp;E39"/>
      <sheetName val="KPM_Data_Tables39"/>
      <sheetName val="DLC_sites37"/>
      <sheetName val="SDH_COST37"/>
      <sheetName val="Other_assumptions37"/>
      <sheetName val="RSU_lookups37"/>
      <sheetName val="RSU_sites37"/>
      <sheetName val="Balance_sheet37"/>
      <sheetName val="profit_&amp;_loss_account37"/>
      <sheetName val="SPT_vs_PHI37"/>
      <sheetName val="LEGAL_GUJ37"/>
      <sheetName val="PROV_37"/>
      <sheetName val="vb_9&amp;1034"/>
      <sheetName val="PointNo_534"/>
      <sheetName val="S_3_6_GL_Dump34"/>
      <sheetName val="Reg_for_Existing_Assets34"/>
      <sheetName val="Instruction_Sheet33"/>
      <sheetName val="1_Borrowings33"/>
      <sheetName val="S_14_2233"/>
      <sheetName val="S_7-1333"/>
      <sheetName val="S_1_533"/>
      <sheetName val="P_&amp;L33"/>
      <sheetName val="Grouping_Details33"/>
      <sheetName val="5_Star_Hotel20"/>
      <sheetName val="Base_time20"/>
      <sheetName val="E_&amp;_R19"/>
      <sheetName val="Schedules_BS43"/>
      <sheetName val="Schedules_PL43"/>
      <sheetName val="Sec_21243"/>
      <sheetName val="TRIAL_BALANCE43"/>
      <sheetName val="Non-Recurring_Items_Detail43"/>
      <sheetName val="Gross_Margin_by_Practice43"/>
      <sheetName val="Mode_d_emploie_et_exemple43"/>
      <sheetName val="SNAP_SHOT41"/>
      <sheetName val="gen_ledger_data43"/>
      <sheetName val="PL_Grouping41"/>
      <sheetName val="FINALTB_FY1141"/>
      <sheetName val="Inv_Wkg41"/>
      <sheetName val="HBI_NCD43"/>
      <sheetName val="310280_on_310307_(070607)43"/>
      <sheetName val="Schedule_VI_200441"/>
      <sheetName val="ANNX_-_I_(_a_)41"/>
      <sheetName val="WGE_P&amp;E41"/>
      <sheetName val="KPM_Data_Tables41"/>
      <sheetName val="DLC_sites39"/>
      <sheetName val="SDH_COST39"/>
      <sheetName val="Other_assumptions39"/>
      <sheetName val="RSU_lookups39"/>
      <sheetName val="RSU_sites39"/>
      <sheetName val="Balance_sheet39"/>
      <sheetName val="profit_&amp;_loss_account39"/>
      <sheetName val="SPT_vs_PHI39"/>
      <sheetName val="LEGAL_GUJ39"/>
      <sheetName val="PROV_39"/>
      <sheetName val="vb_9&amp;1036"/>
      <sheetName val="PointNo_536"/>
      <sheetName val="S_3_6_GL_Dump36"/>
      <sheetName val="Reg_for_Existing_Assets36"/>
      <sheetName val="Instruction_Sheet35"/>
      <sheetName val="1_Borrowings35"/>
      <sheetName val="S_14_2235"/>
      <sheetName val="S_7-1335"/>
      <sheetName val="S_1_535"/>
      <sheetName val="P_&amp;L35"/>
      <sheetName val="Grouping_Details35"/>
      <sheetName val="5_Star_Hotel22"/>
      <sheetName val="Base_time22"/>
      <sheetName val="E_&amp;_R21"/>
      <sheetName val="Schedules_BS42"/>
      <sheetName val="Schedules_PL42"/>
      <sheetName val="Sec_21242"/>
      <sheetName val="TRIAL_BALANCE42"/>
      <sheetName val="Non-Recurring_Items_Detail42"/>
      <sheetName val="Gross_Margin_by_Practice42"/>
      <sheetName val="Mode_d_emploie_et_exemple42"/>
      <sheetName val="SNAP_SHOT40"/>
      <sheetName val="gen_ledger_data42"/>
      <sheetName val="PL_Grouping40"/>
      <sheetName val="FINALTB_FY1140"/>
      <sheetName val="Inv_Wkg40"/>
      <sheetName val="HBI_NCD42"/>
      <sheetName val="310280_on_310307_(070607)42"/>
      <sheetName val="Schedule_VI_200440"/>
      <sheetName val="ANNX_-_I_(_a_)40"/>
      <sheetName val="WGE_P&amp;E40"/>
      <sheetName val="KPM_Data_Tables40"/>
      <sheetName val="DLC_sites38"/>
      <sheetName val="SDH_COST38"/>
      <sheetName val="Other_assumptions38"/>
      <sheetName val="RSU_lookups38"/>
      <sheetName val="RSU_sites38"/>
      <sheetName val="Balance_sheet38"/>
      <sheetName val="profit_&amp;_loss_account38"/>
      <sheetName val="SPT_vs_PHI38"/>
      <sheetName val="LEGAL_GUJ38"/>
      <sheetName val="PROV_38"/>
      <sheetName val="vb_9&amp;1035"/>
      <sheetName val="PointNo_535"/>
      <sheetName val="S_3_6_GL_Dump35"/>
      <sheetName val="Reg_for_Existing_Assets35"/>
      <sheetName val="Instruction_Sheet34"/>
      <sheetName val="1_Borrowings34"/>
      <sheetName val="S_14_2234"/>
      <sheetName val="S_7-1334"/>
      <sheetName val="S_1_534"/>
      <sheetName val="P_&amp;L34"/>
      <sheetName val="Grouping_Details34"/>
      <sheetName val="5_Star_Hotel21"/>
      <sheetName val="Base_time21"/>
      <sheetName val="E_&amp;_R20"/>
      <sheetName val="Schedules_BS44"/>
      <sheetName val="Schedules_PL44"/>
      <sheetName val="Sec_21244"/>
      <sheetName val="TRIAL_BALANCE44"/>
      <sheetName val="Non-Recurring_Items_Detail44"/>
      <sheetName val="Gross_Margin_by_Practice44"/>
      <sheetName val="Mode_d_emploie_et_exemple44"/>
      <sheetName val="SNAP_SHOT42"/>
      <sheetName val="gen_ledger_data44"/>
      <sheetName val="PL_Grouping42"/>
      <sheetName val="FINALTB_FY1142"/>
      <sheetName val="Inv_Wkg42"/>
      <sheetName val="HBI_NCD44"/>
      <sheetName val="310280_on_310307_(070607)44"/>
      <sheetName val="Schedule_VI_200442"/>
      <sheetName val="ANNX_-_I_(_a_)42"/>
      <sheetName val="WGE_P&amp;E42"/>
      <sheetName val="KPM_Data_Tables42"/>
      <sheetName val="DLC_sites40"/>
      <sheetName val="SDH_COST40"/>
      <sheetName val="Other_assumptions40"/>
      <sheetName val="RSU_lookups40"/>
      <sheetName val="RSU_sites40"/>
      <sheetName val="Balance_sheet40"/>
      <sheetName val="profit_&amp;_loss_account40"/>
      <sheetName val="SPT_vs_PHI40"/>
      <sheetName val="LEGAL_GUJ40"/>
      <sheetName val="PROV_40"/>
      <sheetName val="vb_9&amp;1037"/>
      <sheetName val="PointNo_537"/>
      <sheetName val="S_3_6_GL_Dump37"/>
      <sheetName val="Reg_for_Existing_Assets37"/>
      <sheetName val="Instruction_Sheet36"/>
      <sheetName val="1_Borrowings36"/>
      <sheetName val="S_14_2236"/>
      <sheetName val="S_7-1336"/>
      <sheetName val="S_1_536"/>
      <sheetName val="P_&amp;L36"/>
      <sheetName val="Grouping_Details36"/>
      <sheetName val="5_Star_Hotel23"/>
      <sheetName val="Base_time23"/>
      <sheetName val="E_&amp;_R22"/>
      <sheetName val="HYDERABAD J907"/>
      <sheetName val="Recon"/>
      <sheetName val="CBD_VW"/>
      <sheetName val="CWIP-detl-AUC"/>
      <sheetName val="data"/>
      <sheetName val="Data Summary"/>
      <sheetName val="sheet12"/>
      <sheetName val="Liabilities"/>
      <sheetName val="Details"/>
      <sheetName val="Revenue-Invoicewise"/>
      <sheetName val="Financial Information"/>
      <sheetName val="PPE &amp; IA - CY"/>
      <sheetName val="Inv - Revenue registry for PoC"/>
      <sheetName val="Clause 9"/>
      <sheetName val="Master Sheet - ODC 2002-03"/>
      <sheetName val="Balance Sheet Grouping"/>
      <sheetName val="a-4"/>
      <sheetName val="Live Share Price"/>
      <sheetName val="BSG_Ind AS"/>
      <sheetName val="2.Fixed Assets Schedule"/>
      <sheetName val="Nature of Asset"/>
      <sheetName val="INV"/>
      <sheetName val="Suggested Answers"/>
      <sheetName val="Index"/>
      <sheetName val="Summ"/>
      <sheetName val="MOHALI - I"/>
      <sheetName val="MOHALI - II"/>
      <sheetName val="TOANSA"/>
      <sheetName val="DEWAS"/>
      <sheetName val="PAONTA"/>
      <sheetName val="prod_inventory"/>
    </sheetNames>
    <sheetDataSet>
      <sheetData sheetId="0" refreshError="1">
        <row r="1">
          <cell r="A1" t="str">
            <v>Aurigene Discovery Technologies Limited</v>
          </cell>
          <cell r="C1">
            <v>38077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1">
          <cell r="A1" t="str">
            <v>Aurigene Discovery Technologies Limited</v>
          </cell>
        </row>
      </sheetData>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ow r="1">
          <cell r="A1" t="str">
            <v>Aurigene Discovery Technologies Limited</v>
          </cell>
        </row>
      </sheetData>
      <sheetData sheetId="100">
        <row r="1">
          <cell r="A1" t="str">
            <v>Aurigene Discovery Technologies Limited</v>
          </cell>
        </row>
      </sheetData>
      <sheetData sheetId="101">
        <row r="1">
          <cell r="A1" t="str">
            <v>Aurigene Discovery Technologies Limited</v>
          </cell>
        </row>
      </sheetData>
      <sheetData sheetId="102">
        <row r="1">
          <cell r="A1" t="str">
            <v>Aurigene Discovery Technologies Limited</v>
          </cell>
        </row>
      </sheetData>
      <sheetData sheetId="103">
        <row r="1">
          <cell r="A1" t="str">
            <v>Aurigene Discovery Technologies Limited</v>
          </cell>
        </row>
      </sheetData>
      <sheetData sheetId="104">
        <row r="1">
          <cell r="A1" t="str">
            <v>Aurigene Discovery Technologies Limited</v>
          </cell>
        </row>
      </sheetData>
      <sheetData sheetId="105">
        <row r="1">
          <cell r="A1" t="str">
            <v>Aurigene Discovery Technologies Limited</v>
          </cell>
        </row>
      </sheetData>
      <sheetData sheetId="106">
        <row r="1">
          <cell r="A1" t="str">
            <v>Aurigene Discovery Technologies Limited</v>
          </cell>
        </row>
      </sheetData>
      <sheetData sheetId="107">
        <row r="1">
          <cell r="A1" t="str">
            <v>Aurigene Discovery Technologies Limited</v>
          </cell>
        </row>
      </sheetData>
      <sheetData sheetId="108">
        <row r="1">
          <cell r="A1" t="str">
            <v>Aurigene Discovery Technologies Limited</v>
          </cell>
        </row>
      </sheetData>
      <sheetData sheetId="109">
        <row r="1">
          <cell r="A1" t="str">
            <v>Aurigene Discovery Technologies Limited</v>
          </cell>
        </row>
      </sheetData>
      <sheetData sheetId="110">
        <row r="1">
          <cell r="A1" t="str">
            <v>Aurigene Discovery Technologies Limited</v>
          </cell>
        </row>
      </sheetData>
      <sheetData sheetId="111">
        <row r="1">
          <cell r="A1" t="str">
            <v>Aurigene Discovery Technologies Limited</v>
          </cell>
        </row>
      </sheetData>
      <sheetData sheetId="112">
        <row r="1">
          <cell r="A1" t="str">
            <v>Aurigene Discovery Technologies Limited</v>
          </cell>
        </row>
      </sheetData>
      <sheetData sheetId="113">
        <row r="1">
          <cell r="A1" t="str">
            <v>Aurigene Discovery Technologies Limited</v>
          </cell>
        </row>
      </sheetData>
      <sheetData sheetId="114">
        <row r="1">
          <cell r="A1" t="str">
            <v>Aurigene Discovery Technologies Limited</v>
          </cell>
        </row>
      </sheetData>
      <sheetData sheetId="115">
        <row r="1">
          <cell r="A1" t="str">
            <v>Aurigene Discovery Technologies Limited</v>
          </cell>
        </row>
      </sheetData>
      <sheetData sheetId="116">
        <row r="1">
          <cell r="A1" t="str">
            <v>Aurigene Discovery Technologies Limited</v>
          </cell>
        </row>
      </sheetData>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ow r="1">
          <cell r="A1" t="str">
            <v>Aurigene Discovery Technologies Limited</v>
          </cell>
        </row>
      </sheetData>
      <sheetData sheetId="131">
        <row r="1">
          <cell r="A1" t="str">
            <v>Aurigene Discovery Technologies Limited</v>
          </cell>
        </row>
      </sheetData>
      <sheetData sheetId="132">
        <row r="1">
          <cell r="A1" t="str">
            <v>Aurigene Discovery Technologies Limited</v>
          </cell>
        </row>
      </sheetData>
      <sheetData sheetId="133">
        <row r="1">
          <cell r="A1" t="str">
            <v>Aurigene Discovery Technologies Limited</v>
          </cell>
        </row>
      </sheetData>
      <sheetData sheetId="134">
        <row r="1">
          <cell r="A1" t="str">
            <v>Aurigene Discovery Technologies Limited</v>
          </cell>
        </row>
      </sheetData>
      <sheetData sheetId="135">
        <row r="1">
          <cell r="A1" t="str">
            <v>Aurigene Discovery Technologies Limited</v>
          </cell>
        </row>
      </sheetData>
      <sheetData sheetId="136">
        <row r="1">
          <cell r="A1" t="str">
            <v>Aurigene Discovery Technologies Limited</v>
          </cell>
        </row>
      </sheetData>
      <sheetData sheetId="137">
        <row r="1">
          <cell r="A1" t="str">
            <v>Aurigene Discovery Technologies Limited</v>
          </cell>
        </row>
      </sheetData>
      <sheetData sheetId="138"/>
      <sheetData sheetId="139"/>
      <sheetData sheetId="140">
        <row r="1">
          <cell r="A1" t="str">
            <v>Aurigene Discovery Technologies Limited</v>
          </cell>
        </row>
      </sheetData>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ow r="1">
          <cell r="A1" t="str">
            <v>Aurigene Discovery Technologies Limited</v>
          </cell>
        </row>
      </sheetData>
      <sheetData sheetId="159">
        <row r="1">
          <cell r="A1" t="str">
            <v>Aurigene Discovery Technologies Limited</v>
          </cell>
        </row>
      </sheetData>
      <sheetData sheetId="160">
        <row r="1">
          <cell r="A1" t="str">
            <v>Aurigene Discovery Technologies Limited</v>
          </cell>
        </row>
      </sheetData>
      <sheetData sheetId="161">
        <row r="1">
          <cell r="A1" t="str">
            <v>Aurigene Discovery Technologies Limited</v>
          </cell>
        </row>
      </sheetData>
      <sheetData sheetId="162">
        <row r="1">
          <cell r="A1" t="str">
            <v>Aurigene Discovery Technologies Limited</v>
          </cell>
        </row>
      </sheetData>
      <sheetData sheetId="163">
        <row r="1">
          <cell r="A1" t="str">
            <v>Aurigene Discovery Technologies Limited</v>
          </cell>
        </row>
      </sheetData>
      <sheetData sheetId="164">
        <row r="1">
          <cell r="A1" t="str">
            <v>Aurigene Discovery Technologies Limited</v>
          </cell>
        </row>
      </sheetData>
      <sheetData sheetId="165">
        <row r="1">
          <cell r="A1" t="str">
            <v>Aurigene Discovery Technologies Limited</v>
          </cell>
        </row>
      </sheetData>
      <sheetData sheetId="166">
        <row r="1">
          <cell r="A1" t="str">
            <v>Aurigene Discovery Technologies Limited</v>
          </cell>
        </row>
      </sheetData>
      <sheetData sheetId="167">
        <row r="1">
          <cell r="A1" t="str">
            <v>Aurigene Discovery Technologies Limited</v>
          </cell>
        </row>
      </sheetData>
      <sheetData sheetId="168">
        <row r="1">
          <cell r="A1" t="str">
            <v>Aurigene Discovery Technologies Limited</v>
          </cell>
        </row>
      </sheetData>
      <sheetData sheetId="169">
        <row r="1">
          <cell r="A1" t="str">
            <v>Aurigene Discovery Technologies Limited</v>
          </cell>
        </row>
      </sheetData>
      <sheetData sheetId="170">
        <row r="1">
          <cell r="A1" t="str">
            <v>Aurigene Discovery Technologies Limited</v>
          </cell>
        </row>
      </sheetData>
      <sheetData sheetId="171">
        <row r="1">
          <cell r="A1" t="str">
            <v>Aurigene Discovery Technologies Limited</v>
          </cell>
        </row>
      </sheetData>
      <sheetData sheetId="172">
        <row r="1">
          <cell r="A1" t="str">
            <v>Aurigene Discovery Technologies Limited</v>
          </cell>
        </row>
      </sheetData>
      <sheetData sheetId="173">
        <row r="1">
          <cell r="A1" t="str">
            <v>Aurigene Discovery Technologies Limited</v>
          </cell>
        </row>
      </sheetData>
      <sheetData sheetId="174"/>
      <sheetData sheetId="175">
        <row r="1">
          <cell r="A1" t="str">
            <v>Aurigene Discovery Technologies Limited</v>
          </cell>
        </row>
      </sheetData>
      <sheetData sheetId="176"/>
      <sheetData sheetId="177"/>
      <sheetData sheetId="178"/>
      <sheetData sheetId="179"/>
      <sheetData sheetId="180"/>
      <sheetData sheetId="181"/>
      <sheetData sheetId="182"/>
      <sheetData sheetId="183"/>
      <sheetData sheetId="184"/>
      <sheetData sheetId="185"/>
      <sheetData sheetId="186">
        <row r="1">
          <cell r="A1" t="str">
            <v>Aurigene Discovery Technologies Limited</v>
          </cell>
        </row>
      </sheetData>
      <sheetData sheetId="187">
        <row r="1">
          <cell r="A1" t="str">
            <v>Aurigene Discovery Technologies Limited</v>
          </cell>
        </row>
      </sheetData>
      <sheetData sheetId="188">
        <row r="1">
          <cell r="A1" t="str">
            <v>Aurigene Discovery Technologies Limited</v>
          </cell>
        </row>
      </sheetData>
      <sheetData sheetId="189">
        <row r="1">
          <cell r="A1" t="str">
            <v>Aurigene Discovery Technologies Limited</v>
          </cell>
        </row>
      </sheetData>
      <sheetData sheetId="190">
        <row r="1">
          <cell r="A1" t="str">
            <v>Aurigene Discovery Technologies Limited</v>
          </cell>
        </row>
      </sheetData>
      <sheetData sheetId="191">
        <row r="1">
          <cell r="A1" t="str">
            <v>Aurigene Discovery Technologies Limited</v>
          </cell>
        </row>
      </sheetData>
      <sheetData sheetId="192"/>
      <sheetData sheetId="193"/>
      <sheetData sheetId="194"/>
      <sheetData sheetId="195"/>
      <sheetData sheetId="196">
        <row r="1">
          <cell r="A1" t="str">
            <v>Aurigene Discovery Technologies Limited</v>
          </cell>
        </row>
      </sheetData>
      <sheetData sheetId="197"/>
      <sheetData sheetId="198"/>
      <sheetData sheetId="199">
        <row r="1">
          <cell r="A1" t="str">
            <v>Aurigene Discovery Technologies Limited</v>
          </cell>
        </row>
      </sheetData>
      <sheetData sheetId="200">
        <row r="1">
          <cell r="A1" t="str">
            <v>Aurigene Discovery Technologies Limited</v>
          </cell>
        </row>
      </sheetData>
      <sheetData sheetId="201">
        <row r="1">
          <cell r="A1" t="str">
            <v>Aurigene Discovery Technologies Limited</v>
          </cell>
        </row>
      </sheetData>
      <sheetData sheetId="202">
        <row r="1">
          <cell r="A1" t="str">
            <v>Aurigene Discovery Technologies Limited</v>
          </cell>
        </row>
      </sheetData>
      <sheetData sheetId="203"/>
      <sheetData sheetId="204"/>
      <sheetData sheetId="205"/>
      <sheetData sheetId="206">
        <row r="1">
          <cell r="A1" t="str">
            <v>Aurigene Discovery Technologies Limited</v>
          </cell>
        </row>
      </sheetData>
      <sheetData sheetId="207">
        <row r="1">
          <cell r="A1" t="str">
            <v>Aurigene Discovery Technologies Limited</v>
          </cell>
        </row>
      </sheetData>
      <sheetData sheetId="208"/>
      <sheetData sheetId="209"/>
      <sheetData sheetId="210"/>
      <sheetData sheetId="211"/>
      <sheetData sheetId="212"/>
      <sheetData sheetId="213"/>
      <sheetData sheetId="214"/>
      <sheetData sheetId="215">
        <row r="1">
          <cell r="A1" t="str">
            <v>Aurigene Discovery Technologies Limited</v>
          </cell>
        </row>
      </sheetData>
      <sheetData sheetId="216">
        <row r="1">
          <cell r="A1" t="str">
            <v>Aurigene Discovery Technologies Limited</v>
          </cell>
        </row>
      </sheetData>
      <sheetData sheetId="217">
        <row r="1">
          <cell r="A1" t="str">
            <v>Aurigene Discovery Technologies Limited</v>
          </cell>
        </row>
      </sheetData>
      <sheetData sheetId="218">
        <row r="1">
          <cell r="A1" t="str">
            <v>Aurigene Discovery Technologies Limited</v>
          </cell>
        </row>
      </sheetData>
      <sheetData sheetId="219"/>
      <sheetData sheetId="220">
        <row r="1">
          <cell r="A1" t="str">
            <v>Aurigene Discovery Technologies Limited</v>
          </cell>
        </row>
      </sheetData>
      <sheetData sheetId="221">
        <row r="1">
          <cell r="A1" t="str">
            <v>Aurigene Discovery Technologies Limited</v>
          </cell>
        </row>
      </sheetData>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ow r="1">
          <cell r="A1" t="str">
            <v>Aurigene Discovery Technologies Limited</v>
          </cell>
        </row>
      </sheetData>
      <sheetData sheetId="245">
        <row r="1">
          <cell r="A1" t="str">
            <v>Aurigene Discovery Technologies Limited</v>
          </cell>
        </row>
      </sheetData>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ow r="1">
          <cell r="A1" t="str">
            <v>Aurigene Discovery Technologies Limited</v>
          </cell>
        </row>
      </sheetData>
      <sheetData sheetId="262">
        <row r="1">
          <cell r="A1" t="str">
            <v>Aurigene Discovery Technologies Limited</v>
          </cell>
        </row>
      </sheetData>
      <sheetData sheetId="263">
        <row r="1">
          <cell r="A1" t="str">
            <v>Aurigene Discovery Technologies Limited</v>
          </cell>
        </row>
      </sheetData>
      <sheetData sheetId="264">
        <row r="1">
          <cell r="A1" t="str">
            <v>Aurigene Discovery Technologies Limited</v>
          </cell>
        </row>
      </sheetData>
      <sheetData sheetId="265"/>
      <sheetData sheetId="266"/>
      <sheetData sheetId="267"/>
      <sheetData sheetId="268">
        <row r="1">
          <cell r="A1" t="str">
            <v>Aurigene Discovery Technologies Limited</v>
          </cell>
        </row>
      </sheetData>
      <sheetData sheetId="269">
        <row r="1">
          <cell r="A1" t="str">
            <v>Aurigene Discovery Technologies Limited</v>
          </cell>
        </row>
      </sheetData>
      <sheetData sheetId="270">
        <row r="1">
          <cell r="A1" t="str">
            <v>Aurigene Discovery Technologies Limited</v>
          </cell>
        </row>
      </sheetData>
      <sheetData sheetId="271"/>
      <sheetData sheetId="272"/>
      <sheetData sheetId="273"/>
      <sheetData sheetId="274">
        <row r="1">
          <cell r="A1" t="str">
            <v>Aurigene Discovery Technologies Limited</v>
          </cell>
        </row>
      </sheetData>
      <sheetData sheetId="275">
        <row r="1">
          <cell r="A1" t="str">
            <v>Aurigene Discovery Technologies Limited</v>
          </cell>
        </row>
      </sheetData>
      <sheetData sheetId="276">
        <row r="1">
          <cell r="A1" t="str">
            <v>Aurigene Discovery Technologies Limited</v>
          </cell>
        </row>
      </sheetData>
      <sheetData sheetId="277"/>
      <sheetData sheetId="278"/>
      <sheetData sheetId="279">
        <row r="1">
          <cell r="A1" t="str">
            <v>Aurigene Discovery Technologies Limited</v>
          </cell>
        </row>
      </sheetData>
      <sheetData sheetId="280">
        <row r="1">
          <cell r="A1" t="str">
            <v>Aurigene Discovery Technologies Limited</v>
          </cell>
        </row>
      </sheetData>
      <sheetData sheetId="281"/>
      <sheetData sheetId="282"/>
      <sheetData sheetId="283"/>
      <sheetData sheetId="284"/>
      <sheetData sheetId="285"/>
      <sheetData sheetId="286">
        <row r="1">
          <cell r="A1" t="str">
            <v>Aurigene Discovery Technologies Limited</v>
          </cell>
        </row>
      </sheetData>
      <sheetData sheetId="287">
        <row r="1">
          <cell r="A1" t="str">
            <v>Aurigene Discovery Technologies Limited</v>
          </cell>
        </row>
      </sheetData>
      <sheetData sheetId="288"/>
      <sheetData sheetId="289"/>
      <sheetData sheetId="290"/>
      <sheetData sheetId="291"/>
      <sheetData sheetId="292">
        <row r="1">
          <cell r="A1" t="str">
            <v>Aurigene Discovery Technologies Limited</v>
          </cell>
        </row>
      </sheetData>
      <sheetData sheetId="293">
        <row r="1">
          <cell r="A1" t="str">
            <v>Aurigene Discovery Technologies Limited</v>
          </cell>
        </row>
      </sheetData>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row r="1">
          <cell r="A1" t="str">
            <v>Aurigene Discovery Technologies Limited</v>
          </cell>
        </row>
      </sheetData>
      <sheetData sheetId="311">
        <row r="1">
          <cell r="A1" t="str">
            <v>Aurigene Discovery Technologies Limited</v>
          </cell>
        </row>
      </sheetData>
      <sheetData sheetId="312"/>
      <sheetData sheetId="313"/>
      <sheetData sheetId="314"/>
      <sheetData sheetId="315"/>
      <sheetData sheetId="316">
        <row r="1">
          <cell r="A1" t="str">
            <v>Aurigene Discovery Technologies Limited</v>
          </cell>
        </row>
      </sheetData>
      <sheetData sheetId="317">
        <row r="1">
          <cell r="A1" t="str">
            <v>Aurigene Discovery Technologies Limited</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ow r="1">
          <cell r="A1" t="str">
            <v>Aurigene Discovery Technologies Limited</v>
          </cell>
        </row>
      </sheetData>
      <sheetData sheetId="336">
        <row r="1">
          <cell r="A1" t="str">
            <v>Aurigene Discovery Technologies Limited</v>
          </cell>
        </row>
      </sheetData>
      <sheetData sheetId="337"/>
      <sheetData sheetId="338"/>
      <sheetData sheetId="339"/>
      <sheetData sheetId="340">
        <row r="1">
          <cell r="A1" t="str">
            <v>Aurigene Discovery Technologies Limited</v>
          </cell>
        </row>
      </sheetData>
      <sheetData sheetId="341">
        <row r="1">
          <cell r="A1" t="str">
            <v>Aurigene Discovery Technologies Limited</v>
          </cell>
        </row>
      </sheetData>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ow r="1">
          <cell r="A1" t="str">
            <v>Aurigene Discovery Technologies Limited</v>
          </cell>
        </row>
      </sheetData>
      <sheetData sheetId="360">
        <row r="1">
          <cell r="A1" t="str">
            <v>Aurigene Discovery Technologies Limited</v>
          </cell>
        </row>
      </sheetData>
      <sheetData sheetId="361"/>
      <sheetData sheetId="362"/>
      <sheetData sheetId="363"/>
      <sheetData sheetId="364">
        <row r="1">
          <cell r="A1" t="str">
            <v>Aurigene Discovery Technologies Limited</v>
          </cell>
        </row>
      </sheetData>
      <sheetData sheetId="365">
        <row r="1">
          <cell r="A1" t="str">
            <v>Aurigene Discovery Technologies Limited</v>
          </cell>
        </row>
      </sheetData>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Aurigene Discovery Technologies Limited</v>
          </cell>
        </row>
      </sheetData>
      <sheetData sheetId="389">
        <row r="1">
          <cell r="A1" t="str">
            <v>Aurigene Discovery Technologies Limited</v>
          </cell>
        </row>
      </sheetData>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row r="1">
          <cell r="A1" t="str">
            <v>Aurigene Discovery Technologies Limited</v>
          </cell>
        </row>
      </sheetData>
      <sheetData sheetId="413">
        <row r="1">
          <cell r="A1" t="str">
            <v>Aurigene Discovery Technologies Limited</v>
          </cell>
        </row>
      </sheetData>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row r="1">
          <cell r="A1" t="str">
            <v>Aurigene Discovery Technologies Limited</v>
          </cell>
        </row>
      </sheetData>
      <sheetData sheetId="437">
        <row r="1">
          <cell r="A1" t="str">
            <v>Aurigene Discovery Technologies Limited</v>
          </cell>
        </row>
      </sheetData>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efreshError="1"/>
      <sheetData sheetId="461" refreshError="1"/>
      <sheetData sheetId="462" refreshError="1"/>
      <sheetData sheetId="463">
        <row r="1">
          <cell r="A1" t="str">
            <v>Aurigene Discovery Technologies Limited</v>
          </cell>
        </row>
      </sheetData>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ow r="1">
          <cell r="A1" t="str">
            <v>Aurigene Discovery Technologies Limited</v>
          </cell>
        </row>
      </sheetData>
      <sheetData sheetId="514">
        <row r="1">
          <cell r="A1" t="str">
            <v>Aurigene Discovery Technologies Limited</v>
          </cell>
        </row>
      </sheetData>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ow r="1">
          <cell r="A1" t="str">
            <v>Aurigene Discovery Technologies Limited</v>
          </cell>
        </row>
      </sheetData>
      <sheetData sheetId="538">
        <row r="1">
          <cell r="A1" t="str">
            <v>Aurigene Discovery Technologies Limited</v>
          </cell>
        </row>
      </sheetData>
      <sheetData sheetId="539"/>
      <sheetData sheetId="540"/>
      <sheetData sheetId="541"/>
      <sheetData sheetId="542"/>
      <sheetData sheetId="543"/>
      <sheetData sheetId="544"/>
      <sheetData sheetId="545"/>
      <sheetData sheetId="546">
        <row r="1">
          <cell r="A1" t="str">
            <v>Aurigene Discovery Technologies Limited</v>
          </cell>
        </row>
      </sheetData>
      <sheetData sheetId="547"/>
      <sheetData sheetId="548"/>
      <sheetData sheetId="549"/>
      <sheetData sheetId="550"/>
      <sheetData sheetId="551"/>
      <sheetData sheetId="552"/>
      <sheetData sheetId="553"/>
      <sheetData sheetId="554">
        <row r="1">
          <cell r="A1" t="str">
            <v>Aurigene Discovery Technologies Limited</v>
          </cell>
        </row>
      </sheetData>
      <sheetData sheetId="555"/>
      <sheetData sheetId="556"/>
      <sheetData sheetId="557"/>
      <sheetData sheetId="558"/>
      <sheetData sheetId="559">
        <row r="1">
          <cell r="A1" t="str">
            <v>Aurigene Discovery Technologies Limited</v>
          </cell>
        </row>
      </sheetData>
      <sheetData sheetId="560">
        <row r="1">
          <cell r="A1" t="str">
            <v>Aurigene Discovery Technologies Limited</v>
          </cell>
        </row>
      </sheetData>
      <sheetData sheetId="561">
        <row r="1">
          <cell r="A1" t="str">
            <v>Aurigene Discovery Technologies Limited</v>
          </cell>
        </row>
      </sheetData>
      <sheetData sheetId="562"/>
      <sheetData sheetId="563"/>
      <sheetData sheetId="564">
        <row r="1">
          <cell r="A1" t="str">
            <v>Aurigene Discovery Technologies Limited</v>
          </cell>
        </row>
      </sheetData>
      <sheetData sheetId="565">
        <row r="1">
          <cell r="A1" t="str">
            <v>Aurigene Discovery Technologies Limited</v>
          </cell>
        </row>
      </sheetData>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ow r="1">
          <cell r="A1" t="str">
            <v>Aurigene Discovery Technologies Limited</v>
          </cell>
        </row>
      </sheetData>
      <sheetData sheetId="587">
        <row r="1">
          <cell r="A1" t="str">
            <v>Aurigene Discovery Technologies Limited</v>
          </cell>
        </row>
      </sheetData>
      <sheetData sheetId="588"/>
      <sheetData sheetId="589"/>
      <sheetData sheetId="590"/>
      <sheetData sheetId="591"/>
      <sheetData sheetId="592"/>
      <sheetData sheetId="593"/>
      <sheetData sheetId="594">
        <row r="1">
          <cell r="A1" t="str">
            <v>Aurigene Discovery Technologies Limited</v>
          </cell>
        </row>
      </sheetData>
      <sheetData sheetId="595">
        <row r="1">
          <cell r="A1" t="str">
            <v>Aurigene Discovery Technologies Limited</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row r="1">
          <cell r="A1" t="str">
            <v>Aurigene Discovery Technologies Limited</v>
          </cell>
        </row>
      </sheetData>
      <sheetData sheetId="617">
        <row r="1">
          <cell r="A1" t="str">
            <v>Aurigene Discovery Technologies Limited</v>
          </cell>
        </row>
      </sheetData>
      <sheetData sheetId="618"/>
      <sheetData sheetId="619">
        <row r="1">
          <cell r="A1" t="str">
            <v>Aurigene Discovery Technologies Limited</v>
          </cell>
        </row>
      </sheetData>
      <sheetData sheetId="620"/>
      <sheetData sheetId="621"/>
      <sheetData sheetId="622"/>
      <sheetData sheetId="623"/>
      <sheetData sheetId="624">
        <row r="1">
          <cell r="A1" t="str">
            <v>Aurigene Discovery Technologies Limited</v>
          </cell>
        </row>
      </sheetData>
      <sheetData sheetId="625">
        <row r="1">
          <cell r="A1" t="str">
            <v>Aurigene Discovery Technologies Limited</v>
          </cell>
        </row>
      </sheetData>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row r="1">
          <cell r="A1" t="str">
            <v>Aurigene Discovery Technologies Limited</v>
          </cell>
        </row>
      </sheetData>
      <sheetData sheetId="647">
        <row r="1">
          <cell r="A1" t="str">
            <v>Aurigene Discovery Technologies Limited</v>
          </cell>
        </row>
      </sheetData>
      <sheetData sheetId="648"/>
      <sheetData sheetId="649"/>
      <sheetData sheetId="650"/>
      <sheetData sheetId="651"/>
      <sheetData sheetId="652"/>
      <sheetData sheetId="653"/>
      <sheetData sheetId="654">
        <row r="1">
          <cell r="A1" t="str">
            <v>Aurigene Discovery Technologies Limited</v>
          </cell>
        </row>
      </sheetData>
      <sheetData sheetId="655">
        <row r="1">
          <cell r="A1" t="str">
            <v>Aurigene Discovery Technologies Limited</v>
          </cell>
        </row>
      </sheetData>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row r="1">
          <cell r="A1" t="str">
            <v>Aurigene Discovery Technologies Limited</v>
          </cell>
        </row>
      </sheetData>
      <sheetData sheetId="677">
        <row r="1">
          <cell r="A1" t="str">
            <v>Aurigene Discovery Technologies Limited</v>
          </cell>
        </row>
      </sheetData>
      <sheetData sheetId="678"/>
      <sheetData sheetId="679"/>
      <sheetData sheetId="680"/>
      <sheetData sheetId="681"/>
      <sheetData sheetId="682"/>
      <sheetData sheetId="683"/>
      <sheetData sheetId="684">
        <row r="1">
          <cell r="A1" t="str">
            <v>Aurigene Discovery Technologies Limited</v>
          </cell>
        </row>
      </sheetData>
      <sheetData sheetId="685">
        <row r="1">
          <cell r="A1" t="str">
            <v>Aurigene Discovery Technologies Limited</v>
          </cell>
        </row>
      </sheetData>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row r="1">
          <cell r="A1" t="str">
            <v>Aurigene Discovery Technologies Limited</v>
          </cell>
        </row>
      </sheetData>
      <sheetData sheetId="707">
        <row r="1">
          <cell r="A1" t="str">
            <v>Aurigene Discovery Technologies Limited</v>
          </cell>
        </row>
      </sheetData>
      <sheetData sheetId="708"/>
      <sheetData sheetId="709"/>
      <sheetData sheetId="710"/>
      <sheetData sheetId="711"/>
      <sheetData sheetId="712"/>
      <sheetData sheetId="713"/>
      <sheetData sheetId="714">
        <row r="1">
          <cell r="A1" t="str">
            <v>Aurigene Discovery Technologies Limited</v>
          </cell>
        </row>
      </sheetData>
      <sheetData sheetId="715">
        <row r="1">
          <cell r="A1" t="str">
            <v>Aurigene Discovery Technologies Limited</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row r="1">
          <cell r="A1" t="str">
            <v>Aurigene Discovery Technologies Limited</v>
          </cell>
        </row>
      </sheetData>
      <sheetData sheetId="737">
        <row r="1">
          <cell r="A1" t="str">
            <v>Aurigene Discovery Technologies Limited</v>
          </cell>
        </row>
      </sheetData>
      <sheetData sheetId="738"/>
      <sheetData sheetId="739"/>
      <sheetData sheetId="740"/>
      <sheetData sheetId="741"/>
      <sheetData sheetId="742"/>
      <sheetData sheetId="743"/>
      <sheetData sheetId="744">
        <row r="1">
          <cell r="A1" t="str">
            <v>Aurigene Discovery Technologies Limited</v>
          </cell>
        </row>
      </sheetData>
      <sheetData sheetId="745">
        <row r="1">
          <cell r="A1" t="str">
            <v>Aurigene Discovery Technologies Limited</v>
          </cell>
        </row>
      </sheetData>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row r="1">
          <cell r="A1" t="str">
            <v>Aurigene Discovery Technologies Limited</v>
          </cell>
        </row>
      </sheetData>
      <sheetData sheetId="767">
        <row r="1">
          <cell r="A1" t="str">
            <v>Aurigene Discovery Technologies Limited</v>
          </cell>
        </row>
      </sheetData>
      <sheetData sheetId="768"/>
      <sheetData sheetId="769"/>
      <sheetData sheetId="770"/>
      <sheetData sheetId="771"/>
      <sheetData sheetId="772"/>
      <sheetData sheetId="773"/>
      <sheetData sheetId="774">
        <row r="1">
          <cell r="A1" t="str">
            <v>Aurigene Discovery Technologies Limited</v>
          </cell>
        </row>
      </sheetData>
      <sheetData sheetId="775">
        <row r="1">
          <cell r="A1" t="str">
            <v>Aurigene Discovery Technologies Limited</v>
          </cell>
        </row>
      </sheetData>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row r="1">
          <cell r="A1" t="str">
            <v>Aurigene Discovery Technologies Limited</v>
          </cell>
        </row>
      </sheetData>
      <sheetData sheetId="797">
        <row r="1">
          <cell r="A1" t="str">
            <v>Aurigene Discovery Technologies Limited</v>
          </cell>
        </row>
      </sheetData>
      <sheetData sheetId="798"/>
      <sheetData sheetId="799"/>
      <sheetData sheetId="800"/>
      <sheetData sheetId="801"/>
      <sheetData sheetId="802"/>
      <sheetData sheetId="803"/>
      <sheetData sheetId="804">
        <row r="1">
          <cell r="A1" t="str">
            <v>Aurigene Discovery Technologies Limited</v>
          </cell>
        </row>
      </sheetData>
      <sheetData sheetId="805">
        <row r="1">
          <cell r="A1" t="str">
            <v>Aurigene Discovery Technologies Limited</v>
          </cell>
        </row>
      </sheetData>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row r="1">
          <cell r="A1" t="str">
            <v>Aurigene Discovery Technologies Limited</v>
          </cell>
        </row>
      </sheetData>
      <sheetData sheetId="827">
        <row r="1">
          <cell r="A1" t="str">
            <v>Aurigene Discovery Technologies Limited</v>
          </cell>
        </row>
      </sheetData>
      <sheetData sheetId="828"/>
      <sheetData sheetId="829"/>
      <sheetData sheetId="830"/>
      <sheetData sheetId="831"/>
      <sheetData sheetId="832"/>
      <sheetData sheetId="833"/>
      <sheetData sheetId="834">
        <row r="1">
          <cell r="A1" t="str">
            <v>Aurigene Discovery Technologies Limited</v>
          </cell>
        </row>
      </sheetData>
      <sheetData sheetId="835">
        <row r="1">
          <cell r="A1" t="str">
            <v>Aurigene Discovery Technologies Limited</v>
          </cell>
        </row>
      </sheetData>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row r="1">
          <cell r="A1" t="str">
            <v>Aurigene Discovery Technologies Limited</v>
          </cell>
        </row>
      </sheetData>
      <sheetData sheetId="857">
        <row r="1">
          <cell r="A1" t="str">
            <v>Aurigene Discovery Technologies Limited</v>
          </cell>
        </row>
      </sheetData>
      <sheetData sheetId="858"/>
      <sheetData sheetId="859"/>
      <sheetData sheetId="860"/>
      <sheetData sheetId="861"/>
      <sheetData sheetId="862"/>
      <sheetData sheetId="863"/>
      <sheetData sheetId="864">
        <row r="1">
          <cell r="A1" t="str">
            <v>Aurigene Discovery Technologies Limited</v>
          </cell>
        </row>
      </sheetData>
      <sheetData sheetId="865">
        <row r="1">
          <cell r="A1" t="str">
            <v>Aurigene Discovery Technologies Limited</v>
          </cell>
        </row>
      </sheetData>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sheetData sheetId="895"/>
      <sheetData sheetId="896"/>
      <sheetData sheetId="897"/>
      <sheetData sheetId="898"/>
      <sheetData sheetId="899"/>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sheetData sheetId="951" refreshError="1"/>
      <sheetData sheetId="952" refreshError="1"/>
      <sheetData sheetId="953" refreshError="1"/>
      <sheetData sheetId="954" refreshError="1"/>
      <sheetData sheetId="955" refreshError="1"/>
      <sheetData sheetId="956">
        <row r="1">
          <cell r="A1" t="str">
            <v>Aurigene Discovery Technologies Limited</v>
          </cell>
        </row>
      </sheetData>
      <sheetData sheetId="957">
        <row r="1">
          <cell r="A1" t="str">
            <v>Aurigene Discovery Technologies Limited</v>
          </cell>
        </row>
      </sheetData>
      <sheetData sheetId="958">
        <row r="1">
          <cell r="A1" t="str">
            <v>Aurigene Discovery Technologies Limited</v>
          </cell>
        </row>
      </sheetData>
      <sheetData sheetId="959"/>
      <sheetData sheetId="960">
        <row r="1">
          <cell r="A1" t="str">
            <v>Aurigene Discovery Technologies Limited</v>
          </cell>
        </row>
      </sheetData>
      <sheetData sheetId="961">
        <row r="1">
          <cell r="A1" t="str">
            <v>Aurigene Discovery Technologies Limited</v>
          </cell>
        </row>
      </sheetData>
      <sheetData sheetId="962">
        <row r="1">
          <cell r="A1" t="str">
            <v>Aurigene Discovery Technologies Limited</v>
          </cell>
        </row>
      </sheetData>
      <sheetData sheetId="963">
        <row r="1">
          <cell r="A1" t="str">
            <v>Aurigene Discovery Technologies Limited</v>
          </cell>
        </row>
      </sheetData>
      <sheetData sheetId="964"/>
      <sheetData sheetId="965">
        <row r="1">
          <cell r="A1" t="str">
            <v>Aurigene Discovery Technologies Limited</v>
          </cell>
        </row>
      </sheetData>
      <sheetData sheetId="966">
        <row r="1">
          <cell r="A1" t="str">
            <v>Aurigene Discovery Technologies Limited</v>
          </cell>
        </row>
      </sheetData>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row r="1">
          <cell r="A1" t="str">
            <v>Aurigene Discovery Technologies Limited</v>
          </cell>
        </row>
      </sheetData>
      <sheetData sheetId="1189">
        <row r="1">
          <cell r="A1" t="str">
            <v>Aurigene Discovery Technologies Limited</v>
          </cell>
        </row>
      </sheetData>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ow r="1">
          <cell r="A1" t="str">
            <v>Aurigene Discovery Technologies Limited</v>
          </cell>
        </row>
      </sheetData>
      <sheetData sheetId="1277">
        <row r="1">
          <cell r="A1" t="str">
            <v>Aurigene Discovery Technologies Limited</v>
          </cell>
        </row>
      </sheetData>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ow r="1">
          <cell r="A1" t="str">
            <v>Aurigene Discovery Technologies Limited</v>
          </cell>
        </row>
      </sheetData>
      <sheetData sheetId="1318">
        <row r="1">
          <cell r="A1" t="str">
            <v>Aurigene Discovery Technologies Limited</v>
          </cell>
        </row>
      </sheetData>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row r="1">
          <cell r="A1" t="str">
            <v>Aurigene Discovery Technologies Limited</v>
          </cell>
        </row>
      </sheetData>
      <sheetData sheetId="1359">
        <row r="1">
          <cell r="A1" t="str">
            <v>Aurigene Discovery Technologies Limited</v>
          </cell>
        </row>
      </sheetData>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row r="1">
          <cell r="A1" t="str">
            <v>Aurigene Discovery Technologies Limited</v>
          </cell>
        </row>
      </sheetData>
      <sheetData sheetId="1400">
        <row r="1">
          <cell r="A1" t="str">
            <v>Aurigene Discovery Technologies Limited</v>
          </cell>
        </row>
      </sheetData>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row r="1">
          <cell r="A1" t="str">
            <v>Aurigene Discovery Technologies Limited</v>
          </cell>
        </row>
      </sheetData>
      <sheetData sheetId="1442">
        <row r="1">
          <cell r="A1" t="str">
            <v>Aurigene Discovery Technologies Limited</v>
          </cell>
        </row>
      </sheetData>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row r="1">
          <cell r="A1" t="str">
            <v>Aurigene Discovery Technologies Limited</v>
          </cell>
        </row>
      </sheetData>
      <sheetData sheetId="1484">
        <row r="1">
          <cell r="A1" t="str">
            <v>Aurigene Discovery Technologies Limited</v>
          </cell>
        </row>
      </sheetData>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row r="1">
          <cell r="A1" t="str">
            <v>Aurigene Discovery Technologies Limited</v>
          </cell>
        </row>
      </sheetData>
      <sheetData sheetId="1526">
        <row r="1">
          <cell r="A1" t="str">
            <v>Aurigene Discovery Technologies Limited</v>
          </cell>
        </row>
      </sheetData>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row r="1">
          <cell r="A1" t="str">
            <v>Aurigene Discovery Technologies Limited</v>
          </cell>
        </row>
      </sheetData>
      <sheetData sheetId="1568">
        <row r="1">
          <cell r="A1" t="str">
            <v>Aurigene Discovery Technologies Limited</v>
          </cell>
        </row>
      </sheetData>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row r="1">
          <cell r="A1" t="str">
            <v>Aurigene Discovery Technologies Limited</v>
          </cell>
        </row>
      </sheetData>
      <sheetData sheetId="1610">
        <row r="1">
          <cell r="A1" t="str">
            <v>Aurigene Discovery Technologies Limited</v>
          </cell>
        </row>
      </sheetData>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row r="1">
          <cell r="A1" t="str">
            <v>Aurigene Discovery Technologies Limited</v>
          </cell>
        </row>
      </sheetData>
      <sheetData sheetId="1652">
        <row r="1">
          <cell r="A1" t="str">
            <v>Aurigene Discovery Technologies Limited</v>
          </cell>
        </row>
      </sheetData>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row r="1">
          <cell r="A1" t="str">
            <v>Aurigene Discovery Technologies Limited</v>
          </cell>
        </row>
      </sheetData>
      <sheetData sheetId="1694">
        <row r="1">
          <cell r="A1" t="str">
            <v>Aurigene Discovery Technologies Limited</v>
          </cell>
        </row>
      </sheetData>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row r="1">
          <cell r="A1" t="str">
            <v>Aurigene Discovery Technologies Limited</v>
          </cell>
        </row>
      </sheetData>
      <sheetData sheetId="1736">
        <row r="1">
          <cell r="A1" t="str">
            <v>Aurigene Discovery Technologies Limited</v>
          </cell>
        </row>
      </sheetData>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row r="1">
          <cell r="A1" t="str">
            <v>Aurigene Discovery Technologies Limited</v>
          </cell>
        </row>
      </sheetData>
      <sheetData sheetId="1778">
        <row r="1">
          <cell r="A1" t="str">
            <v>Aurigene Discovery Technologies Limited</v>
          </cell>
        </row>
      </sheetData>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row r="1">
          <cell r="A1" t="str">
            <v>Aurigene Discovery Technologies Limited</v>
          </cell>
        </row>
      </sheetData>
      <sheetData sheetId="1820">
        <row r="1">
          <cell r="A1" t="str">
            <v>Aurigene Discovery Technologies Limited</v>
          </cell>
        </row>
      </sheetData>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row r="1">
          <cell r="A1" t="str">
            <v>Aurigene Discovery Technologies Limited</v>
          </cell>
        </row>
      </sheetData>
      <sheetData sheetId="1862">
        <row r="1">
          <cell r="A1" t="str">
            <v>Aurigene Discovery Technologies Limited</v>
          </cell>
        </row>
      </sheetData>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sheetData sheetId="1927"/>
      <sheetData sheetId="1928"/>
      <sheetData sheetId="1929"/>
      <sheetData sheetId="1930"/>
      <sheetData sheetId="1931"/>
      <sheetData sheetId="1932"/>
      <sheetData sheetId="193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ur-1"/>
      <sheetName val="insur-2 (closed)"/>
      <sheetName val="diff on tic &amp; po"/>
      <sheetName val="pa-mtly"/>
      <sheetName val="po log ssb"/>
      <sheetName val="po log ssb incl cc"/>
      <sheetName val="recon"/>
      <sheetName val="data-g"/>
      <sheetName val="graph"/>
      <sheetName val="x-rate"/>
      <sheetName val="Est. Outflows"/>
      <sheetName val="Settlements"/>
      <sheetName val="insur-2"/>
      <sheetName val="retention"/>
      <sheetName val="PO-BH"/>
      <sheetName val="77S(O)"/>
      <sheetName val="310480 as on 311207"/>
      <sheetName val="insur-2_(closed)"/>
      <sheetName val="diff_on_tic_&amp;_po"/>
      <sheetName val="po_log_ssb"/>
      <sheetName val="po_log_ssb_incl_cc"/>
      <sheetName val="Est__Outflows"/>
      <sheetName val="insur-2_(closed)1"/>
      <sheetName val="diff_on_tic_&amp;_po1"/>
      <sheetName val="po_log_ssb1"/>
      <sheetName val="po_log_ssb_incl_cc1"/>
      <sheetName val="Est__Outflows1"/>
      <sheetName val="insur-2_(closed)2"/>
      <sheetName val="diff_on_tic_&amp;_po2"/>
      <sheetName val="po_log_ssb2"/>
      <sheetName val="po_log_ssb_incl_cc2"/>
      <sheetName val="Est__Outflows2"/>
      <sheetName val="insur-2_(closed)3"/>
      <sheetName val="diff_on_tic_&amp;_po3"/>
      <sheetName val="po_log_ssb3"/>
      <sheetName val="po_log_ssb_incl_cc3"/>
      <sheetName val="Est__Outflows3"/>
      <sheetName val="310480_as_on_311207"/>
      <sheetName val="GRIR REF DEC 07"/>
      <sheetName val="ON HOLD - PA &amp; 2.7"/>
      <sheetName val="Sheet2"/>
      <sheetName val="Input"/>
      <sheetName val="sum"/>
      <sheetName val="Sheet3 (2)"/>
      <sheetName val="a-4"/>
      <sheetName val="ON_HOLD_-_PA_&amp;_2_7"/>
      <sheetName val="FUEL_&amp;_LOSS"/>
      <sheetName val="ON_HOLD_-_PA_&amp;_2_71"/>
      <sheetName val="ON_HOLD_-_PA_&amp;_2_72"/>
      <sheetName val="Links"/>
      <sheetName val="ON_HOLD_-_PA_&amp;_2_73"/>
      <sheetName val="Sheet3_(2)"/>
      <sheetName val="1612.01AN(7) - Niep Tds Summary"/>
      <sheetName val="FOIL"/>
      <sheetName val="insur-2_(closed)4"/>
      <sheetName val="diff_on_tic_&amp;_po4"/>
      <sheetName val="po_log_ssb4"/>
      <sheetName val="po_log_ssb_incl_cc4"/>
      <sheetName val="Est__Outflows4"/>
      <sheetName val="310480_as_on_3112071"/>
      <sheetName val="ON_HOLD_-_PA_&amp;_2_74"/>
      <sheetName val="Sheet3_(2)1"/>
      <sheetName val="1612_01AN(7)_-_Niep_Tds_Summary"/>
      <sheetName val="GRIR_REF_DEC_0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 AS Impact TB FY 15-16"/>
      <sheetName val="Master"/>
      <sheetName val="Control Check"/>
      <sheetName val="Statement of Equity"/>
      <sheetName val="BS"/>
      <sheetName val="PL"/>
      <sheetName val="Statement of Equity (2)"/>
      <sheetName val="CF"/>
      <sheetName val="Significant Accounting Policies"/>
      <sheetName val="Note 3 - 4"/>
      <sheetName val="Note 5-11"/>
      <sheetName val="Note 7 - Current Investment"/>
      <sheetName val="Note 12 - 19"/>
      <sheetName val="Note 20-29"/>
      <sheetName val="Note 30 Segment Reporting"/>
      <sheetName val="Notes 31-38"/>
      <sheetName val="BS Gr"/>
      <sheetName val="Sch - BS"/>
      <sheetName val="Entries' 17-18"/>
      <sheetName val="PL Gr"/>
      <sheetName val="Sch - PL"/>
      <sheetName val="IND AS BS "/>
      <sheetName val="IND AS PL"/>
      <sheetName val="Sheet1"/>
      <sheetName val="Ind AS Impact TB 01-Apr-15"/>
      <sheetName val="OCI"/>
      <sheetName val="CF Working"/>
      <sheetName val="Sch - FA"/>
      <sheetName val="FA Working 17-18"/>
      <sheetName val="FA Working_16-17"/>
      <sheetName val="RPT - Summary"/>
      <sheetName val="Excess of 10%"/>
      <sheetName val="RPT - Detail"/>
      <sheetName val="New Codes List FY 16"/>
      <sheetName val="TB for financial"/>
      <sheetName val="TB Download"/>
      <sheetName val="TB Comparision USGAAP and IGAAP"/>
      <sheetName val="Foreign Bank Accounts"/>
      <sheetName val="Profit Rico"/>
      <sheetName val="Entries' 15-16"/>
      <sheetName val="IND AS entries 17-18"/>
      <sheetName val="IND AS_TB17-1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Y"/>
      <sheetName val="fcl"/>
      <sheetName val="expired"/>
      <sheetName val="Results"/>
      <sheetName val="DURGESH"/>
      <sheetName val="DRS"/>
      <sheetName val="Data"/>
      <sheetName val="sum"/>
      <sheetName val="Entry"/>
      <sheetName val="Open"/>
      <sheetName val="Reco"/>
      <sheetName val="FD Intt. Ledger"/>
      <sheetName val="FD Trxns"/>
      <sheetName val="Time Dep Ledger"/>
      <sheetName val="Sheet1"/>
      <sheetName val="Sheet2"/>
      <sheetName val="FD_Intt__Ledger"/>
      <sheetName val="FD_Trxns"/>
      <sheetName val="Time_Dep_Ledger"/>
      <sheetName val="#REF"/>
      <sheetName val="INCOME "/>
      <sheetName val="schedules"/>
      <sheetName val="IFE"/>
      <sheetName val="anx18"/>
      <sheetName val="Assumption"/>
      <sheetName val="BS_RSLACS"/>
      <sheetName val="30.06.11"/>
      <sheetName val="Operating Statistics"/>
      <sheetName val="HGL-MEMO"/>
      <sheetName val="PE CHARGES"/>
      <sheetName val="DB"/>
      <sheetName val="define"/>
      <sheetName val="Fee Rate Summary"/>
      <sheetName val="Debtor"/>
      <sheetName val="Headings"/>
      <sheetName val="営業収益"/>
      <sheetName val="TRIAL BALANCE"/>
      <sheetName val="x-rate"/>
      <sheetName val="Break up of RMcost"/>
      <sheetName val="BALANCE SHEET"/>
      <sheetName val="Investments"/>
      <sheetName val="Sheet7"/>
      <sheetName val="Balance Sheet_US$"/>
      <sheetName val="profit share"/>
      <sheetName val="R1040"/>
      <sheetName val="OLD"/>
      <sheetName val="Groupings 1"/>
      <sheetName val="SOR"/>
      <sheetName val="Tabel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bstract"/>
      <sheetName val="original"/>
      <sheetName val="ABSTRACT-rs.crore"/>
      <sheetName val="Sheet1 (2)"/>
    </sheetNames>
    <sheetDataSet>
      <sheetData sheetId="0" refreshError="1"/>
      <sheetData sheetId="1" refreshError="1"/>
      <sheetData sheetId="2" refreshError="1"/>
      <sheetData sheetId="3" refreshError="1"/>
      <sheetData sheetId="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1A. Checklist"/>
      <sheetName val="1B. Control Sheet"/>
      <sheetName val="2. Top sheet"/>
      <sheetName val="3.Grouping - Profit &amp; Loss(mio)"/>
      <sheetName val="4.Grouping - Balance Sheet(mio)"/>
      <sheetName val="5. Journal entries."/>
      <sheetName val="6.Cash Flow"/>
      <sheetName val="7. Reco"/>
      <sheetName val="8. Break up of other income"/>
      <sheetName val="9. Cash flow info"/>
      <sheetName val="10. Geographical Sales"/>
      <sheetName val="11. Tax Details"/>
      <sheetName val="12. Tangible assets"/>
      <sheetName val="13. Intangible assets "/>
      <sheetName val="14. Investments"/>
      <sheetName val="15. Inventory"/>
      <sheetName val="16. Borrowings"/>
      <sheetName val="17. Risk Management"/>
      <sheetName val="18. Fair value of FA and FL"/>
      <sheetName val="19. Currency wise of FA and FL"/>
      <sheetName val="20. Provisions"/>
      <sheetName val="21. Leases"/>
      <sheetName val="22.Profit on sale of investment"/>
      <sheetName val="23. Employee Benefits"/>
      <sheetName val="24. RPT"/>
      <sheetName val="25. Forex"/>
      <sheetName val="26. Trade Receivables"/>
      <sheetName val="27. Qty Infor"/>
      <sheetName val="28. ROM"/>
      <sheetName val="29. Sales info"/>
      <sheetName val="30. Professional Fees"/>
      <sheetName val="31. Contingent and commitments"/>
      <sheetName val="32. Adjuted EBIDTA"/>
      <sheetName val="33. IAS 11 disclos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file -LGN Payments"/>
      <sheetName val="Interest NI-balance"/>
      <sheetName val="Invoice Status"/>
      <sheetName val="Cash out overview"/>
      <sheetName val="x-rate"/>
      <sheetName val="LGN Payments per CY"/>
      <sheetName val="LGN Payments 03-03"/>
      <sheetName val="LGN Payments 06-03"/>
      <sheetName val="LGN Payments 09-03"/>
      <sheetName val="LGN Payments 31-12-02"/>
      <sheetName val="LGN Payments 25-08-02"/>
      <sheetName val="LGN Payments 21-04-02"/>
      <sheetName val="Payments 28-02-02"/>
      <sheetName val="Payments 31-12-01"/>
      <sheetName val="Payments 30-10-01"/>
      <sheetName val="Payments 31-03-01"/>
      <sheetName val="Payments 28-02-01"/>
      <sheetName val="Payments 31-12-00"/>
      <sheetName val="Payments per fiscal year"/>
      <sheetName val="Interest 30-11-01 not PA 7%"/>
      <sheetName val="Interest 30-11-01 not PA LIBOR"/>
      <sheetName val="Interest 31-07-01"/>
      <sheetName val="Interest 31-03-01"/>
      <sheetName val=" Interest 31-12-00 7%"/>
      <sheetName val="LGN Payments"/>
      <sheetName val="Payments by ABB LGN"/>
      <sheetName val=" Interest 7%"/>
      <sheetName val="Interest 31-03"/>
      <sheetName val="Interest 31-07"/>
      <sheetName val="Payments 30-10"/>
      <sheetName val="Payments 31-03"/>
      <sheetName val="Payments 28-02"/>
      <sheetName val="Payments 31-12"/>
      <sheetName val=" Interest on Payments LGN"/>
      <sheetName val="Sheet1"/>
      <sheetName val="LGN Payments 12-03"/>
      <sheetName val="LGN Payments 09-03 (2)"/>
      <sheetName val="LGN Payments per CY (2)"/>
      <sheetName val="310480 as on 311207"/>
      <sheetName val="main_file_-LGN_Payments"/>
      <sheetName val="Interest_NI-balance"/>
      <sheetName val="Invoice_Status"/>
      <sheetName val="Cash_out_overview"/>
      <sheetName val="LGN_Payments_per_CY"/>
      <sheetName val="LGN_Payments_03-03"/>
      <sheetName val="LGN_Payments_06-03"/>
      <sheetName val="LGN_Payments_09-03"/>
      <sheetName val="LGN_Payments_31-12-02"/>
      <sheetName val="LGN_Payments_25-08-02"/>
      <sheetName val="LGN_Payments_21-04-02"/>
      <sheetName val="Payments_28-02-02"/>
      <sheetName val="Payments_31-12-01"/>
      <sheetName val="Payments_30-10-01"/>
      <sheetName val="Payments_31-03-01"/>
      <sheetName val="Payments_28-02-01"/>
      <sheetName val="Payments_31-12-00"/>
      <sheetName val="Payments_per_fiscal_year"/>
      <sheetName val="Interest_30-11-01_not_PA_7%"/>
      <sheetName val="Interest_30-11-01_not_PA_LIBOR"/>
      <sheetName val="Interest_31-07-01"/>
      <sheetName val="Interest_31-03-01"/>
      <sheetName val="_Interest_31-12-00_7%"/>
      <sheetName val="LGN_Payments"/>
      <sheetName val="Payments_by_ABB_LGN"/>
      <sheetName val="_Interest_7%"/>
      <sheetName val="Interest_31-03"/>
      <sheetName val="Interest_31-07"/>
      <sheetName val="Payments_30-10"/>
      <sheetName val="Payments_31-03"/>
      <sheetName val="Payments_28-02"/>
      <sheetName val="Payments_31-12"/>
      <sheetName val="_Interest_on_Payments_LGN"/>
      <sheetName val="LGN_Payments_12-03"/>
      <sheetName val="LGN_Payments_09-03_(2)"/>
      <sheetName val="LGN_Payments_per_CY_(2)"/>
      <sheetName val="main_file_-LGN_Payments1"/>
      <sheetName val="Interest_NI-balance1"/>
      <sheetName val="Invoice_Status1"/>
      <sheetName val="Cash_out_overview1"/>
      <sheetName val="LGN_Payments_per_CY1"/>
      <sheetName val="LGN_Payments_03-031"/>
      <sheetName val="LGN_Payments_06-031"/>
      <sheetName val="LGN_Payments_09-031"/>
      <sheetName val="LGN_Payments_31-12-021"/>
      <sheetName val="LGN_Payments_25-08-021"/>
      <sheetName val="LGN_Payments_21-04-021"/>
      <sheetName val="Payments_28-02-021"/>
      <sheetName val="Payments_31-12-011"/>
      <sheetName val="Payments_30-10-011"/>
      <sheetName val="Payments_31-03-011"/>
      <sheetName val="Payments_28-02-011"/>
      <sheetName val="Payments_31-12-001"/>
      <sheetName val="Payments_per_fiscal_year1"/>
      <sheetName val="Interest_30-11-01_not_PA_7%1"/>
      <sheetName val="Interest_30-11-01_not_PA_LIBOR1"/>
      <sheetName val="Interest_31-07-011"/>
      <sheetName val="Interest_31-03-011"/>
      <sheetName val="_Interest_31-12-00_7%1"/>
      <sheetName val="LGN_Payments1"/>
      <sheetName val="Payments_by_ABB_LGN1"/>
      <sheetName val="_Interest_7%1"/>
      <sheetName val="Interest_31-031"/>
      <sheetName val="Interest_31-071"/>
      <sheetName val="Payments_30-101"/>
      <sheetName val="Payments_31-031"/>
      <sheetName val="Payments_28-021"/>
      <sheetName val="Payments_31-121"/>
      <sheetName val="_Interest_on_Payments_LGN1"/>
      <sheetName val="LGN_Payments_12-031"/>
      <sheetName val="LGN_Payments_09-03_(2)1"/>
      <sheetName val="LGN_Payments_per_CY_(2)1"/>
      <sheetName val="main_file_-LGN_Payments2"/>
      <sheetName val="Interest_NI-balance2"/>
      <sheetName val="Invoice_Status2"/>
      <sheetName val="Cash_out_overview2"/>
      <sheetName val="LGN_Payments_per_CY2"/>
      <sheetName val="LGN_Payments_03-032"/>
      <sheetName val="LGN_Payments_06-032"/>
      <sheetName val="LGN_Payments_09-032"/>
      <sheetName val="LGN_Payments_31-12-022"/>
      <sheetName val="LGN_Payments_25-08-022"/>
      <sheetName val="LGN_Payments_21-04-022"/>
      <sheetName val="Payments_28-02-022"/>
      <sheetName val="Payments_31-12-012"/>
      <sheetName val="Payments_30-10-012"/>
      <sheetName val="Payments_31-03-012"/>
      <sheetName val="Payments_28-02-012"/>
      <sheetName val="Payments_31-12-002"/>
      <sheetName val="Payments_per_fiscal_year2"/>
      <sheetName val="Interest_30-11-01_not_PA_7%2"/>
      <sheetName val="Interest_30-11-01_not_PA_LIBOR2"/>
      <sheetName val="Interest_31-07-012"/>
      <sheetName val="Interest_31-03-012"/>
      <sheetName val="_Interest_31-12-00_7%2"/>
      <sheetName val="LGN_Payments2"/>
      <sheetName val="Payments_by_ABB_LGN2"/>
      <sheetName val="_Interest_7%2"/>
      <sheetName val="Interest_31-032"/>
      <sheetName val="Interest_31-072"/>
      <sheetName val="Payments_30-102"/>
      <sheetName val="Payments_31-032"/>
      <sheetName val="Payments_28-022"/>
      <sheetName val="Payments_31-122"/>
      <sheetName val="_Interest_on_Payments_LGN2"/>
      <sheetName val="LGN_Payments_12-032"/>
      <sheetName val="LGN_Payments_09-03_(2)2"/>
      <sheetName val="LGN_Payments_per_CY_(2)2"/>
      <sheetName val="main_file_-LGN_Payments3"/>
      <sheetName val="Interest_NI-balance3"/>
      <sheetName val="Invoice_Status3"/>
      <sheetName val="Cash_out_overview3"/>
      <sheetName val="LGN_Payments_per_CY3"/>
      <sheetName val="LGN_Payments_03-033"/>
      <sheetName val="LGN_Payments_06-033"/>
      <sheetName val="LGN_Payments_09-033"/>
      <sheetName val="LGN_Payments_31-12-023"/>
      <sheetName val="LGN_Payments_25-08-023"/>
      <sheetName val="LGN_Payments_21-04-023"/>
      <sheetName val="Payments_28-02-023"/>
      <sheetName val="Payments_31-12-013"/>
      <sheetName val="Payments_30-10-013"/>
      <sheetName val="Payments_31-03-013"/>
      <sheetName val="Payments_28-02-013"/>
      <sheetName val="Payments_31-12-003"/>
      <sheetName val="Payments_per_fiscal_year3"/>
      <sheetName val="Interest_30-11-01_not_PA_7%3"/>
      <sheetName val="Interest_30-11-01_not_PA_LIBOR3"/>
      <sheetName val="Interest_31-07-013"/>
      <sheetName val="Interest_31-03-013"/>
      <sheetName val="_Interest_31-12-00_7%3"/>
      <sheetName val="LGN_Payments3"/>
      <sheetName val="Payments_by_ABB_LGN3"/>
      <sheetName val="_Interest_7%3"/>
      <sheetName val="Interest_31-033"/>
      <sheetName val="Interest_31-073"/>
      <sheetName val="Payments_30-103"/>
      <sheetName val="Payments_31-033"/>
      <sheetName val="Payments_28-023"/>
      <sheetName val="Payments_31-123"/>
      <sheetName val="_Interest_on_Payments_LGN3"/>
      <sheetName val="LGN_Payments_12-033"/>
      <sheetName val="LGN_Payments_09-03_(2)3"/>
      <sheetName val="LGN_Payments_per_CY_(2)3"/>
      <sheetName val="310480_as_on_311207"/>
      <sheetName val="eol updtd ledger 1002"/>
      <sheetName val="BS"/>
      <sheetName val="x_rate"/>
      <sheetName val="Interest 30_11_01 not PA 7_"/>
      <sheetName val="Amortization Table"/>
      <sheetName val="UGPIPING"/>
      <sheetName val="Scenarios"/>
      <sheetName val="Ass"/>
      <sheetName val="Fin Statements"/>
      <sheetName val="Operational"/>
      <sheetName val="Esc"/>
      <sheetName val="Construction"/>
      <sheetName val="Term Loans"/>
      <sheetName val="Depn"/>
      <sheetName val="Financing"/>
      <sheetName val="Summary"/>
      <sheetName val="合成単価作成・-BLDG"/>
      <sheetName val="main_file_-LGN_Payments4"/>
      <sheetName val="Interest_NI-balance4"/>
      <sheetName val="Invoice_Status4"/>
      <sheetName val="Cash_out_overview4"/>
      <sheetName val="LGN_Payments_per_CY4"/>
      <sheetName val="LGN_Payments_03-034"/>
      <sheetName val="LGN_Payments_06-034"/>
      <sheetName val="LGN_Payments_09-034"/>
      <sheetName val="LGN_Payments_31-12-024"/>
      <sheetName val="LGN_Payments_25-08-024"/>
      <sheetName val="LGN_Payments_21-04-024"/>
      <sheetName val="Payments_28-02-024"/>
      <sheetName val="Payments_31-12-014"/>
      <sheetName val="Payments_30-10-014"/>
      <sheetName val="Payments_31-03-014"/>
      <sheetName val="Payments_28-02-014"/>
      <sheetName val="Payments_31-12-004"/>
      <sheetName val="Payments_per_fiscal_year4"/>
      <sheetName val="Interest_30-11-01_not_PA_7%4"/>
      <sheetName val="Interest_30-11-01_not_PA_LIBOR4"/>
      <sheetName val="Interest_31-07-014"/>
      <sheetName val="Interest_31-03-014"/>
      <sheetName val="_Interest_31-12-00_7%4"/>
      <sheetName val="LGN_Payments4"/>
      <sheetName val="Payments_by_ABB_LGN4"/>
      <sheetName val="_Interest_7%4"/>
      <sheetName val="Interest_31-034"/>
      <sheetName val="Interest_31-074"/>
      <sheetName val="Payments_30-104"/>
      <sheetName val="Payments_31-034"/>
      <sheetName val="Payments_28-024"/>
      <sheetName val="Payments_31-124"/>
      <sheetName val="_Interest_on_Payments_LGN4"/>
      <sheetName val="LGN_Payments_12-034"/>
      <sheetName val="LGN_Payments_09-03_(2)4"/>
      <sheetName val="LGN_Payments_per_CY_(2)4"/>
      <sheetName val="310480_as_on_3112071"/>
      <sheetName val="eol_updtd_ledger_1002"/>
      <sheetName val="Interest_30_11_01_not_PA_7_"/>
      <sheetName val="Amortization_Table"/>
      <sheetName val="Fin_Statements"/>
      <sheetName val="Term_Loa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612.01A - Balance-Sheet"/>
      <sheetName val="1612.01B - TRFDIVS"/>
      <sheetName val="1612.01C - LOAN_SUM"/>
      <sheetName val="1612.01D - TERMLOANS "/>
      <sheetName val="1612.01E - UN_SECU.LOANS"/>
      <sheetName val="1612.01F - fixassets"/>
      <sheetName val="1612.01G - CWIP-SUMM"/>
      <sheetName val="1612.01H - CWIP"/>
      <sheetName val="1612.01I - EDC"/>
      <sheetName val="1612.01J - INVEST"/>
      <sheetName val="1612.01K - cur. assets"/>
      <sheetName val="1612.01L - loans_adv"/>
      <sheetName val="1612.01M - cur lia &amp; prov"/>
      <sheetName val="1612.01N - MISC.EXP"/>
      <sheetName val="1612.01O - land_dvp"/>
      <sheetName val="1612.01P - tech_fee"/>
      <sheetName val="DHS 1612.01P(1) PROCESS"/>
      <sheetName val="DHS 1612.01P(2) - PMC-F"/>
      <sheetName val="DHS 1612.01P(3) - PMC-I"/>
      <sheetName val="1612.01Q - pyt_emp"/>
      <sheetName val="1612.01R - travel"/>
      <sheetName val="1612.01S - commn."/>
      <sheetName val="1612.01T - printing"/>
      <sheetName val="1612.01U - pro_fee"/>
      <sheetName val="1612.01V - rent"/>
      <sheetName val="1612.01W - rate_tax"/>
      <sheetName val="1612.01X - repair"/>
      <sheetName val="1612.01Y - advt"/>
      <sheetName val="1612.01Z - veh_hire"/>
      <sheetName val="1612.01AA - fin_cha"/>
      <sheetName val="SCHEDULE"/>
      <sheetName val="1612.01AB - insurance"/>
      <sheetName val="1612.01AC - sundry_exp"/>
      <sheetName val="1612.01AD - depreciation"/>
      <sheetName val="1612.01AE - audit_fee"/>
      <sheetName val="1612.01AF - INT&amp;MISC INC"/>
      <sheetName val="1612.01AG - staff_loan_adv"/>
      <sheetName val="1612.01AH - deposit&amp;grcomp"/>
      <sheetName val="Sheet2"/>
      <sheetName val="TRIAL-BALANCE"/>
      <sheetName val="1612.01AJ -MANUAL ENTRY"/>
      <sheetName val="Master Sheet (2)"/>
      <sheetName val="Summary"/>
      <sheetName val="MARTJVSORT"/>
      <sheetName val="WELFARE"/>
      <sheetName val="EDC - RECLASSIFIED"/>
      <sheetName val="1612.01AI -Main (CONTINGENCY) "/>
      <sheetName val="TBNOV41"/>
      <sheetName val="TBHEMANT"/>
      <sheetName val="FNLTB11"/>
      <sheetName val="Dec03Tb_Oct04TB"/>
      <sheetName val="tb1104Dt07Dec"/>
      <sheetName val="FEin CWIP"/>
      <sheetName val="1612.01AK -  DEBINT11"/>
      <sheetName val="1612.01 AK(1) - top"/>
      <sheetName val="1612.01AL - INT AM&amp;NIEP"/>
      <sheetName val="1612.01AM - TOP11"/>
      <sheetName val="1612.01AN - CONTINTABB"/>
      <sheetName val="1612.01AN(1) lgvintt "/>
      <sheetName val="1612.01AN(2) lcm-intt "/>
      <sheetName val="1612.01AN(3) lcl-int"/>
      <sheetName val="1612.01AN(4) Amex "/>
      <sheetName val="1612.01AN(5) -  amb amro"/>
      <sheetName val="1612.01AN(6) - NIEP"/>
      <sheetName val="1612.01AN(7) - Niep Tds Summary"/>
      <sheetName val="1612.01AN(8) - NIEP TDS DETAIL"/>
      <sheetName val="1612.01AO - SHAWGRP"/>
      <sheetName val="1612.01AP - frn bill"/>
      <sheetName val="security clause"/>
      <sheetName val="SECURITY"/>
      <sheetName val="summ_reclassification"/>
      <sheetName val="edc 6"/>
      <sheetName val="CWIp (comparison)"/>
      <sheetName val="EDC 9 MONTHS"/>
      <sheetName val="edc 9"/>
      <sheetName val="DETAILED SCHEDULE LIST"/>
      <sheetName val="1612_01A_-_Balance-Sheet"/>
      <sheetName val="1612_01B_-_TRFDIVS"/>
      <sheetName val="1612_01C_-_LOAN_SUM"/>
      <sheetName val="1612_01D_-_TERMLOANS_"/>
      <sheetName val="1612_01E_-_UN_SECU_LOANS"/>
      <sheetName val="1612_01F_-_fixassets"/>
      <sheetName val="1612_01G_-_CWIP-SUMM"/>
      <sheetName val="1612_01H_-_CWIP"/>
      <sheetName val="1612_01I_-_EDC"/>
      <sheetName val="1612_01J_-_INVEST"/>
      <sheetName val="1612_01K_-_cur__assets"/>
      <sheetName val="1612_01L_-_loans_adv"/>
      <sheetName val="1612_01M_-_cur_lia_&amp;_prov"/>
      <sheetName val="1612_01N_-_MISC_EXP"/>
      <sheetName val="1612_01O_-_land_dvp"/>
      <sheetName val="1612_01P_-_tech_fee"/>
      <sheetName val="DHS_1612_01P(1)_PROCESS"/>
      <sheetName val="DHS_1612_01P(2)_-_PMC-F"/>
      <sheetName val="DHS_1612_01P(3)_-_PMC-I"/>
      <sheetName val="1612_01Q_-_pyt_emp"/>
      <sheetName val="1612_01R_-_travel"/>
      <sheetName val="1612_01S_-_commn_"/>
      <sheetName val="1612_01T_-_printing"/>
      <sheetName val="1612_01U_-_pro_fee"/>
      <sheetName val="1612_01V_-_rent"/>
      <sheetName val="1612_01W_-_rate_tax"/>
      <sheetName val="1612_01X_-_repair"/>
      <sheetName val="1612_01Y_-_advt"/>
      <sheetName val="1612_01Z_-_veh_hire"/>
      <sheetName val="1612_01AA_-_fin_cha"/>
      <sheetName val="1612_01AB_-_insurance"/>
      <sheetName val="1612_01AC_-_sundry_exp"/>
      <sheetName val="1612_01AD_-_depreciation"/>
      <sheetName val="1612_01AE_-_audit_fee"/>
      <sheetName val="1612_01AF_-_INT&amp;MISC_INC"/>
      <sheetName val="1612_01AG_-_staff_loan_adv"/>
      <sheetName val="1612_01AH_-_deposit&amp;grcomp"/>
      <sheetName val="1612_01AJ_-MANUAL_ENTRY"/>
      <sheetName val="Master_Sheet_(2)"/>
      <sheetName val="EDC_-_RECLASSIFIED"/>
      <sheetName val="1612_01AI_-Main_(CONTINGENCY)_"/>
      <sheetName val="FEin_CWIP"/>
      <sheetName val="1612_01AK_-__DEBINT11"/>
      <sheetName val="1612_01_AK(1)_-_top"/>
      <sheetName val="1612_01AL_-_INT_AM&amp;NIEP"/>
      <sheetName val="1612_01AM_-_TOP11"/>
      <sheetName val="1612_01AN_-_CONTINTABB"/>
      <sheetName val="1612_01AN(1)_lgvintt_"/>
      <sheetName val="1612_01AN(2)_lcm-intt_"/>
      <sheetName val="1612_01AN(3)_lcl-int"/>
      <sheetName val="1612_01AN(4)_Amex_"/>
      <sheetName val="1612_01AN(5)_-__amb_amro"/>
      <sheetName val="1612_01AN(6)_-_NIEP"/>
      <sheetName val="1612_01AN(7)_-_Niep_Tds_Summary"/>
      <sheetName val="1612_01AN(8)_-_NIEP_TDS_DETAIL"/>
      <sheetName val="1612_01AO_-_SHAWGRP"/>
      <sheetName val="1612_01AP_-_frn_bill"/>
      <sheetName val="security_clause"/>
      <sheetName val="edc_6"/>
      <sheetName val="CWIp_(comparison)"/>
      <sheetName val="EDC_9_MONTHS"/>
      <sheetName val="edc_9"/>
      <sheetName val="DETAILED_SCHEDULE_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Wise Dec"/>
      <sheetName val="Plant Wise Nov"/>
      <sheetName val="Plant Wise oct"/>
      <sheetName val="Plant Wise sep"/>
      <sheetName val="Plant Wise aug"/>
      <sheetName val="Plant Wise jul"/>
      <sheetName val="CCR chpd"/>
      <sheetName val="CCR"/>
      <sheetName val="CCR pip"/>
      <sheetName val="ACP"/>
      <sheetName val="Refinery"/>
      <sheetName val="Prod &amp; sales"/>
      <sheetName val="Last Year QD"/>
      <sheetName val="#REF"/>
      <sheetName val="REFNCOMPARE"/>
      <sheetName val="Details"/>
      <sheetName val="Variables"/>
      <sheetName val="Schedules PL"/>
      <sheetName val="Schedules BS"/>
      <sheetName val="BS"/>
      <sheetName val="Interest 30-11-01 not PA 7%"/>
      <sheetName val="x-rate"/>
      <sheetName val="TRIAL BALANCE"/>
      <sheetName val="PROC "/>
      <sheetName val="Share Perform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 Workign"/>
      <sheetName val="Instruction Sheet"/>
      <sheetName val="cash flow tb"/>
      <sheetName val="Pivot of TB"/>
      <sheetName val="TB CY"/>
      <sheetName val="Sheet12"/>
      <sheetName val="Sheet2"/>
      <sheetName val="Sheet3"/>
      <sheetName val="TB Sheet"/>
      <sheetName val="1. Bal Sheet"/>
      <sheetName val="2. Prof &amp;L"/>
      <sheetName val="AP"/>
      <sheetName val="Equity (2)"/>
      <sheetName val="5.BS Notes"/>
      <sheetName val="3.CF (New) (2)"/>
      <sheetName val="6.PL Notes"/>
      <sheetName val="12 FA Sch"/>
      <sheetName val="12.1 CWIP"/>
      <sheetName val="13.1"/>
      <sheetName val="Note 16"/>
      <sheetName val="NOTE 34 QTY"/>
      <sheetName val="Other notes 35 to 40"/>
      <sheetName val="Note 41 EB"/>
      <sheetName val="42 ESOP"/>
      <sheetName val="43 Related Parties"/>
      <sheetName val="Other notes 44 to 47"/>
      <sheetName val="Merger note"/>
      <sheetName val="4.1 LTBorrowings"/>
      <sheetName val="4.2 MTBorrowings"/>
      <sheetName val="Investment cancellation"/>
      <sheetName val="JV"/>
      <sheetName val="Sheet1"/>
      <sheetName val="3.CF (New)"/>
      <sheetName val="FA 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3"/>
      <sheetName val="Q1 SEBI"/>
      <sheetName val="BS - Ind AS"/>
      <sheetName val="BS Notes"/>
      <sheetName val="PL - Ind AS"/>
      <sheetName val="PL Notes"/>
      <sheetName val="Journal Entries"/>
      <sheetName val="TB"/>
      <sheetName val="Old tb"/>
      <sheetName val="int Accrued but not due"/>
      <sheetName val="Reserve Reco"/>
      <sheetName val="Sheet2"/>
      <sheetName val="EIR NCD"/>
      <sheetName val="DT components"/>
      <sheetName val="Reserve changes"/>
      <sheetName val="Proposed dividend"/>
      <sheetName val="Commission"/>
      <sheetName val="Loan processing fees"/>
      <sheetName val="Recovery Amount Working"/>
      <sheetName val="OVYS"/>
      <sheetName val="Sheet1 (2)"/>
      <sheetName val="Free Hold land- For Audit"/>
      <sheetName val="Security deposits-GSPC Gas"/>
      <sheetName val="DT calculations(new)"/>
      <sheetName val="DT calculations"/>
      <sheetName val="ICC"/>
      <sheetName val="Sheet5"/>
      <sheetName val="Indexation cal"/>
      <sheetName val="Mapping"/>
      <sheetName val="DT- Investment"/>
      <sheetName val="TB Sheet"/>
      <sheetName val="Ind AS Mapping (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use 9"/>
      <sheetName val="CLause 12"/>
      <sheetName val="CLause 14"/>
      <sheetName val="CLause 14(i)"/>
      <sheetName val="CLause 17(h)"/>
      <sheetName val="CLause 18"/>
      <sheetName val="Clause 21"/>
      <sheetName val="Clause 26"/>
      <sheetName val="CLause 27"/>
      <sheetName val="CLause 28"/>
      <sheetName val="Clause 3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 - not for distribution"/>
      <sheetName val="cr-board"/>
      <sheetName val="a-3"/>
      <sheetName val="a-3 internal"/>
      <sheetName val="a-4"/>
      <sheetName val="a-5"/>
      <sheetName val="a-7"/>
      <sheetName val="graph PA"/>
      <sheetName val="gk 01-00"/>
      <sheetName val="gk 01-00 jwk"/>
      <sheetName val="gk 12-99"/>
      <sheetName val="gk 11-99"/>
      <sheetName val="gk 10-99"/>
      <sheetName val="gk 09-99 "/>
      <sheetName val="gk 08-99"/>
      <sheetName val="ptc"/>
      <sheetName val="gk-contr 05-00"/>
      <sheetName val="gk-contr 01-00"/>
      <sheetName val="gk-contr 12-99"/>
      <sheetName val="gk-contr 10-99"/>
      <sheetName val="x-rate"/>
      <sheetName val="bh-jdeg"/>
      <sheetName val="gk-contract 01-00"/>
      <sheetName val="gk-contract 12-99"/>
      <sheetName val="gk-contract 10-99"/>
      <sheetName val="cr-board special"/>
      <sheetName val="a-3 special"/>
      <sheetName val="a3-int. special"/>
      <sheetName val="a4-special"/>
      <sheetName val="a-5 special"/>
      <sheetName val="fee+int"/>
      <sheetName val="PGW-ACCOUNTS"/>
      <sheetName val="1612.01AN(7) - Niep Tds Summary"/>
      <sheetName val="BS"/>
      <sheetName val="cr_-_not_for_distribution"/>
      <sheetName val="a-3_internal"/>
      <sheetName val="graph_PA"/>
      <sheetName val="gk_01-00"/>
      <sheetName val="gk_01-00_jwk"/>
      <sheetName val="gk_12-99"/>
      <sheetName val="gk_11-99"/>
      <sheetName val="gk_10-99"/>
      <sheetName val="gk_09-99_"/>
      <sheetName val="gk_08-99"/>
      <sheetName val="gk-contr_05-00"/>
      <sheetName val="gk-contr_01-00"/>
      <sheetName val="gk-contr_12-99"/>
      <sheetName val="gk-contr_10-99"/>
      <sheetName val="gk-contract_01-00"/>
      <sheetName val="gk-contract_12-99"/>
      <sheetName val="gk-contract_10-99"/>
      <sheetName val="cr-board_special"/>
      <sheetName val="a-3_special"/>
      <sheetName val="a3-int__special"/>
      <sheetName val="a-5_special"/>
      <sheetName val="1612_01AN(7)_-_Niep_Tds_Summary"/>
      <sheetName val="ASSAY-new"/>
      <sheetName val="cr_-_not_for_distribution1"/>
      <sheetName val="a-3_internal1"/>
      <sheetName val="graph_PA1"/>
      <sheetName val="gk_01-001"/>
      <sheetName val="gk_01-00_jwk1"/>
      <sheetName val="gk_12-991"/>
      <sheetName val="gk_11-991"/>
      <sheetName val="gk_10-991"/>
      <sheetName val="gk_09-99_1"/>
      <sheetName val="gk_08-991"/>
      <sheetName val="gk-contr_05-001"/>
      <sheetName val="gk-contr_01-001"/>
      <sheetName val="gk-contr_12-991"/>
      <sheetName val="gk-contr_10-991"/>
      <sheetName val="gk-contract_01-001"/>
      <sheetName val="gk-contract_12-991"/>
      <sheetName val="gk-contract_10-991"/>
      <sheetName val="cr-board_special1"/>
      <sheetName val="a-3_special1"/>
      <sheetName val="a3-int__special1"/>
      <sheetName val="a-5_special1"/>
      <sheetName val="1612_01AN(7)_-_Niep_Tds_Summar1"/>
      <sheetName val="cr_-_not_for_distribution2"/>
      <sheetName val="a-3_internal2"/>
      <sheetName val="graph_PA2"/>
      <sheetName val="gk_01-002"/>
      <sheetName val="gk_01-00_jwk2"/>
      <sheetName val="gk_12-992"/>
      <sheetName val="gk_11-992"/>
      <sheetName val="gk_10-992"/>
      <sheetName val="gk_09-99_2"/>
      <sheetName val="gk_08-992"/>
      <sheetName val="gk-contr_05-002"/>
      <sheetName val="gk-contr_01-002"/>
      <sheetName val="gk-contr_12-992"/>
      <sheetName val="gk-contr_10-992"/>
      <sheetName val="gk-contract_01-002"/>
      <sheetName val="gk-contract_12-992"/>
      <sheetName val="gk-contract_10-992"/>
      <sheetName val="cr-board_special2"/>
      <sheetName val="a-3_special2"/>
      <sheetName val="a3-int__special2"/>
      <sheetName val="a-5_special2"/>
      <sheetName val="1612_01AN(7)_-_Niep_Tds_Summar2"/>
      <sheetName val="cr_-_not_for_distribution3"/>
      <sheetName val="a-3_internal3"/>
      <sheetName val="graph_PA3"/>
      <sheetName val="gk_01-003"/>
      <sheetName val="gk_01-00_jwk3"/>
      <sheetName val="gk_12-993"/>
      <sheetName val="gk_11-993"/>
      <sheetName val="gk_10-993"/>
      <sheetName val="gk_09-99_3"/>
      <sheetName val="gk_08-993"/>
      <sheetName val="gk-contr_05-003"/>
      <sheetName val="gk-contr_01-003"/>
      <sheetName val="gk-contr_12-993"/>
      <sheetName val="gk-contr_10-993"/>
      <sheetName val="gk-contract_01-003"/>
      <sheetName val="gk-contract_12-993"/>
      <sheetName val="gk-contract_10-993"/>
      <sheetName val="cr-board_special3"/>
      <sheetName val="a-3_special3"/>
      <sheetName val="a3-int__special3"/>
      <sheetName val="a-5_special3"/>
      <sheetName val="1612_01AN(7)_-_Niep_Tds_Summar3"/>
      <sheetName val="Interest 30-11-01 not PA 7%"/>
      <sheetName val="sum"/>
      <sheetName val="Clause 9"/>
      <sheetName val="cr_-_not_for_distribution4"/>
      <sheetName val="a-3_internal4"/>
      <sheetName val="graph_PA4"/>
      <sheetName val="gk_01-004"/>
      <sheetName val="gk_01-00_jwk4"/>
      <sheetName val="gk_12-994"/>
      <sheetName val="gk_11-994"/>
      <sheetName val="gk_10-994"/>
      <sheetName val="gk_09-99_4"/>
      <sheetName val="gk_08-994"/>
      <sheetName val="gk-contr_05-004"/>
      <sheetName val="gk-contr_01-004"/>
      <sheetName val="gk-contr_12-994"/>
      <sheetName val="gk-contr_10-994"/>
      <sheetName val="gk-contract_01-004"/>
      <sheetName val="gk-contract_12-994"/>
      <sheetName val="gk-contract_10-994"/>
      <sheetName val="cr-board_special4"/>
      <sheetName val="a-3_special4"/>
      <sheetName val="a3-int__special4"/>
      <sheetName val="a-5_special4"/>
      <sheetName val="1612_01AN(7)_-_Niep_Tds_Summar4"/>
      <sheetName val="Interest_30-11-01_not_PA_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P&amp;L"/>
      <sheetName val="Projects"/>
      <sheetName val="Regional Office Costs"/>
      <sheetName val="Cash"/>
      <sheetName val="Balance Sheet"/>
      <sheetName val="Investment Schedule"/>
      <sheetName val="KP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Sheet1 (2)"/>
      <sheetName val="Sheet4"/>
      <sheetName val="Sheet2"/>
      <sheetName val="depreciation"/>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Page"/>
      <sheetName val="DR"/>
      <sheetName val="DR-Anx"/>
      <sheetName val="AR"/>
      <sheetName val="CARO"/>
      <sheetName val="CAROApp"/>
      <sheetName val="BS"/>
      <sheetName val="PL"/>
      <sheetName val="FundFlow"/>
      <sheetName val="Instructions"/>
      <sheetName val="BSSch"/>
      <sheetName val="FASch"/>
      <sheetName val="PLSch"/>
      <sheetName val="Notes"/>
      <sheetName val="PartIV"/>
      <sheetName val="GR-BS"/>
      <sheetName val="GR-PL"/>
      <sheetName val="AS22"/>
      <sheetName val="115JB"/>
      <sheetName val="115JB-Anx"/>
      <sheetName val="3CA"/>
      <sheetName val="3CA-Anx"/>
      <sheetName val="3CD"/>
      <sheetName val="145A-Exclusive"/>
      <sheetName val="145-Incusive"/>
      <sheetName val="3CD-145A-Anx"/>
      <sheetName val="3CD-Dep-Anx"/>
      <sheetName val="3CD-40A(3)-Anx"/>
      <sheetName val="3CD-40A(2)(b)-Anx"/>
      <sheetName val="3CD-269SS-T-Anx"/>
      <sheetName val="3CD-CFLoss-Anx"/>
      <sheetName val="3CD-Ratios-Anx "/>
      <sheetName val="Names"/>
      <sheetName val="IT"/>
      <sheetName val="Masters"/>
      <sheetName val="Details"/>
      <sheetName val="REFNCOMPARE"/>
      <sheetName val="Ref"/>
      <sheetName val="Operating and Capital Scenarios"/>
      <sheetName val="deferred taxes"/>
      <sheetName val="AV"/>
      <sheetName val="Storage"/>
      <sheetName val="RelR"/>
      <sheetName val="Allahabad Bank"/>
      <sheetName val="Bank of Baroda"/>
      <sheetName val="BOI"/>
      <sheetName val="Canara"/>
      <sheetName val="Indian"/>
      <sheetName val="IDBI"/>
      <sheetName val="IOB"/>
      <sheetName val="PNB"/>
      <sheetName val="Punjab &amp; Sind"/>
      <sheetName val="SBHyderabad"/>
      <sheetName val="SBI"/>
      <sheetName val="SBMysore"/>
      <sheetName val="SBPatiala"/>
      <sheetName val="SBSaurashtra"/>
      <sheetName val="Union Bank"/>
      <sheetName val="3CD-Ratios-Anx_"/>
      <sheetName val="Operating_and_Capital_Scenarios"/>
      <sheetName val="deferred_taxes"/>
      <sheetName val="3CD-Ratios-Anx_1"/>
      <sheetName val="Operating_and_Capital_Scenario1"/>
      <sheetName val="deferred_taxes1"/>
      <sheetName val="Admin"/>
      <sheetName val="Sheet2"/>
      <sheetName val="CRUDE UPDATE"/>
      <sheetName val="Input"/>
      <sheetName val="Valuation"/>
      <sheetName val="IRR"/>
      <sheetName val="Assumptions"/>
      <sheetName val="Q4FY02"/>
      <sheetName val="b"/>
      <sheetName val="EXCH"/>
      <sheetName val="Sheet1"/>
      <sheetName val="old_serial no."/>
      <sheetName val="tot_ass_9697"/>
      <sheetName val="«"/>
      <sheetName val="»"/>
      <sheetName val="Assets"/>
      <sheetName val="Cash Flow"/>
      <sheetName val="Profit&amp;Loss"/>
      <sheetName val="Debt"/>
      <sheetName val="Data"/>
      <sheetName val="Codes"/>
      <sheetName val="Schedules PL"/>
      <sheetName val="Schedules BS"/>
      <sheetName val="SAL'07"/>
      <sheetName val="Sélection devise"/>
      <sheetName val="NSE"/>
      <sheetName val="sch-pl"/>
      <sheetName val="VIKAR"/>
      <sheetName val="TB"/>
      <sheetName val="sch"/>
      <sheetName val="Rates"/>
      <sheetName val="Cash and Bank - Schedule 7"/>
      <sheetName val="Title"/>
      <sheetName val="PP_Master Template"/>
      <sheetName val="B S-31-3-2006"/>
      <sheetName val="Groups"/>
      <sheetName val="Asset Consolidated"/>
      <sheetName val="Database"/>
      <sheetName val="F&amp;B"/>
      <sheetName val="#REF"/>
      <sheetName val="Maint"/>
      <sheetName val="Kitchen"/>
      <sheetName val="Housek"/>
      <sheetName val="GuestProfile"/>
      <sheetName val="CG_OS"/>
      <sheetName val="CMA_Calculations"/>
      <sheetName val="os gl ac"/>
      <sheetName val="Ratio"/>
      <sheetName val="P&amp;L"/>
      <sheetName val="Master Sheet"/>
      <sheetName val="Approved MTD Proj #'s"/>
      <sheetName val="Links"/>
      <sheetName val="Basement Budget"/>
      <sheetName val="WORKRES"/>
      <sheetName val="Invoice"/>
      <sheetName val="Position Class"/>
      <sheetName val="party name"/>
      <sheetName val="Details BS"/>
      <sheetName val="AFFI内訳"/>
      <sheetName val="MODEL"/>
      <sheetName val="Individual Business"/>
      <sheetName val="diffbetphy&amp;stock"/>
      <sheetName val="LE-FTE-Nos"/>
      <sheetName val="FA TB 28-2-2006"/>
      <sheetName val="Elect."/>
      <sheetName val="15"/>
      <sheetName val="NN"/>
      <sheetName val="API"/>
      <sheetName val="NCE"/>
      <sheetName val="EU"/>
      <sheetName val="Latam"/>
      <sheetName val="ROW"/>
      <sheetName val="Inputs"/>
      <sheetName val="TB Mar 09"/>
      <sheetName val="Pages1-4"/>
      <sheetName val="PARA NUEVO PGC"/>
      <sheetName val="SCH B.S"/>
      <sheetName val="IT_FBT_DDTP"/>
      <sheetName val="Schedule"/>
      <sheetName val="TBAL9697 -group wise  sdpl"/>
      <sheetName val="sub sh bs"/>
      <sheetName val="rough"/>
      <sheetName val="Sheet3"/>
      <sheetName val="CRITERIA1"/>
      <sheetName val="Validation"/>
      <sheetName val="Control"/>
      <sheetName val="P&amp;L Account"/>
      <sheetName val="ANNEXURE-P&amp;L"/>
      <sheetName val="switch"/>
      <sheetName val="Civil Boq"/>
      <sheetName val="Status"/>
      <sheetName val="Other Liabilities"/>
      <sheetName val="Exchange"/>
      <sheetName val="EXPENSES"/>
      <sheetName val="PL grp"/>
      <sheetName val="kpmg format"/>
      <sheetName val="new_main_20K"/>
      <sheetName val="Axis Bank Cheques"/>
      <sheetName val="TRIAL BALANCE"/>
      <sheetName val="Development"/>
      <sheetName val="final sheet "/>
      <sheetName val="All Components Report"/>
      <sheetName val="NOIDA"/>
      <sheetName val="Consolidated"/>
      <sheetName val="collns"/>
      <sheetName val="OCT"/>
      <sheetName val="Inc.St.-Link"/>
      <sheetName val="3CD-Ratios-Anx_2"/>
      <sheetName val="Operating_and_Capital_Scenario2"/>
      <sheetName val="deferred_taxes2"/>
      <sheetName val="Allahabad_Bank"/>
      <sheetName val="Bank_of_Baroda"/>
      <sheetName val="Punjab_&amp;_Sind"/>
      <sheetName val="Union_Bank"/>
      <sheetName val="old_serial_no_"/>
      <sheetName val="TB_Mar_0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3">
          <cell r="C3" t="str">
            <v>Portalplayer (India) Private Limited</v>
          </cell>
        </row>
        <row r="4">
          <cell r="C4" t="str">
            <v>Plot No:249, Prashasan Nagar,
Road No:72, Jubilee Hills,
Hyderabad-500 034.</v>
          </cell>
        </row>
        <row r="7">
          <cell r="C7" t="str">
            <v>Private Limited Company</v>
          </cell>
        </row>
        <row r="16">
          <cell r="C16" t="str">
            <v>Partner</v>
          </cell>
        </row>
        <row r="19">
          <cell r="C19" t="str">
            <v>Deloitte Haskins &amp; Sells</v>
          </cell>
        </row>
        <row r="20">
          <cell r="C20" t="str">
            <v>P.R. Ramesh</v>
          </cell>
        </row>
        <row r="23">
          <cell r="C23" t="str">
            <v>M.No: 70928</v>
          </cell>
        </row>
        <row r="24">
          <cell r="C24" t="str">
            <v>Chartered Accountants,
7th Floor, Amrutha Estates,
Lingapur House,
Himayathnagar,
Hyderabad-500 029.</v>
          </cell>
        </row>
        <row r="28">
          <cell r="C28" t="str">
            <v>31-03-2006</v>
          </cell>
        </row>
        <row r="34">
          <cell r="C34" t="str">
            <v>2006-07</v>
          </cell>
        </row>
        <row r="40">
          <cell r="C40" t="str">
            <v>August 5, 2006</v>
          </cell>
        </row>
        <row r="43">
          <cell r="C43" t="str">
            <v>Hyderabad</v>
          </cell>
        </row>
        <row r="45">
          <cell r="C45" t="str">
            <v>Software Development</v>
          </cell>
        </row>
        <row r="46">
          <cell r="C46" t="str">
            <v>Mercantile</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BS"/>
      <sheetName val="PL"/>
      <sheetName val="BS-SCH"/>
      <sheetName val="CO-DEPN"/>
      <sheetName val="PL-SCH"/>
      <sheetName val="BS-GRP"/>
      <sheetName val="PL-GRP"/>
      <sheetName val="ABST"/>
      <sheetName val="COMP"/>
      <sheetName val="115JB"/>
      <sheetName val="115JB CERT"/>
      <sheetName val="IT-DEPN"/>
      <sheetName val="DEF TAX"/>
      <sheetName val="GRATUITY"/>
      <sheetName val="TDS "/>
      <sheetName val="3MLKQ"/>
      <sheetName val="Scenarios and sensitivities"/>
      <sheetName val="TRIAL BALANCE"/>
      <sheetName val="Masters"/>
      <sheetName val="Schedule"/>
      <sheetName val="Ann -1"/>
      <sheetName val="BS-203"/>
      <sheetName val="97-98"/>
      <sheetName val="Consolidation"/>
      <sheetName val="Schedules PL"/>
      <sheetName val="Schedules BS"/>
      <sheetName val="1. Lead"/>
      <sheetName val="#REF"/>
      <sheetName val="SNSITVE"/>
      <sheetName val="Variables"/>
      <sheetName val="Cost of Services"/>
      <sheetName val="Income Statement"/>
      <sheetName val="Shareholders' Equity"/>
      <sheetName val="Grant Ranges"/>
      <sheetName val="11-13-2001"/>
      <sheetName val="periodtbl"/>
      <sheetName val="fin_stmts 5Yr Model Format"/>
      <sheetName val="Equity Movement (Shares)"/>
      <sheetName val="Rates"/>
      <sheetName val="Sheet1"/>
      <sheetName val="old_serial no."/>
      <sheetName val="tot_ass_9697"/>
      <sheetName val="2266957"/>
      <sheetName val="Index"/>
      <sheetName val="CO-DEPW"/>
      <sheetName val="IT-DEPW"/>
      <sheetName val="INT-234"/>
      <sheetName val="TDS"/>
      <sheetName val="Provisions"/>
      <sheetName val="FOREX"/>
      <sheetName val="list of directo"/>
      <sheetName val="Summary"/>
      <sheetName val="외화금융(97-03)"/>
      <sheetName val="Rec'd Statements"/>
      <sheetName val="new_main_20K"/>
      <sheetName val="Final"/>
      <sheetName val="Summary-Price_New"/>
      <sheetName val="Sheet3"/>
      <sheetName val="AN-2K"/>
      <sheetName val="Switch V16"/>
      <sheetName val="Total Haryana POs AMC Sheet 3%"/>
      <sheetName val="delhi 03-04AMC @ 3%"/>
      <sheetName val="itemsdetails"/>
      <sheetName val="SPS DETAIL"/>
      <sheetName val="EBT"/>
      <sheetName val="Challan"/>
      <sheetName val="Schedules"/>
      <sheetName val="NSV N KGs"/>
      <sheetName val="Payroll BL"/>
      <sheetName val="coa_ramco_168"/>
      <sheetName val="Cap"/>
      <sheetName val="EVA Calculations"/>
      <sheetName val="115JB_CERT"/>
      <sheetName val="DEF_TAX"/>
      <sheetName val="TDS_"/>
      <sheetName val="Payroll_BL"/>
      <sheetName val="Switch_V16"/>
      <sheetName val="1__Lead"/>
      <sheetName val="Cost_of_Services"/>
      <sheetName val="Income_Statement"/>
      <sheetName val="Shareholders'_Equity"/>
      <sheetName val="Grant_Ranges"/>
      <sheetName val="fin_stmts_5Yr_Model_Format"/>
      <sheetName val="Equity_Movement_(Shares)"/>
      <sheetName val="old_serial_no_"/>
      <sheetName val="EVA_Calculations"/>
      <sheetName val="TRIAL_BALANCE"/>
      <sheetName val="Ann_-1"/>
      <sheetName val="Schedules_PL"/>
      <sheetName val="Schedules_BS"/>
      <sheetName val="list_of_directo"/>
      <sheetName val="Revenue_Contribution"/>
      <sheetName val="Balance_sheet"/>
      <sheetName val="Balance sheet"/>
      <sheetName val="Investments"/>
      <sheetName val="TaxComputn"/>
      <sheetName val="BS-P&amp;L"/>
      <sheetName val="Gratutity - Ask &amp; delete"/>
      <sheetName val="CATEGORY"/>
      <sheetName val="TYPE"/>
      <sheetName val="Schedule VI - 03-04"/>
      <sheetName val="Front"/>
      <sheetName val="Balance Sheet - Final"/>
      <sheetName val="Source Ref."/>
      <sheetName val="p&amp;m"/>
      <sheetName val="Breadown"/>
      <sheetName val="ANNX - I ( a )"/>
      <sheetName val="Assumptions"/>
      <sheetName val="Unidentified Contracts-NLX"/>
      <sheetName val="2002_03 Prem Projection"/>
      <sheetName val="PRECAST lightconc-II"/>
      <sheetName val="Non-Recurring Items Detail"/>
      <sheetName val="Gross Margin by Practice"/>
      <sheetName val="OpServicesDetail"/>
      <sheetName val="Exchange Rate"/>
      <sheetName val="entitlements"/>
      <sheetName val="Payroll_Statement"/>
      <sheetName val="b_master"/>
      <sheetName val="Sch"/>
      <sheetName val="Gratutity_-_Ask_&amp;_delete"/>
      <sheetName val="Invoice"/>
      <sheetName val="CRITERIA1"/>
      <sheetName val="11(d)"/>
      <sheetName val="RF Vol"/>
      <sheetName val="ASP"/>
      <sheetName val="Input"/>
      <sheetName val="Debt"/>
      <sheetName val="Actual Input"/>
      <sheetName val="PECVD"/>
      <sheetName val="Bus Mgmt"/>
      <sheetName val="commit"/>
      <sheetName val="Disruptive "/>
      <sheetName val="ELK"/>
      <sheetName val="ECURE"/>
      <sheetName val="HDP"/>
      <sheetName val="HQ"/>
      <sheetName val="LowK"/>
      <sheetName val="Module"/>
      <sheetName val="Ops"/>
      <sheetName val="Support"/>
      <sheetName val="TPS"/>
      <sheetName val="pactbformat"/>
      <sheetName val="pacific forms"/>
      <sheetName val="HypMGMT-NaturalAcct"/>
      <sheetName val="Sub-Cont Rev"/>
      <sheetName val="Input schedule"/>
      <sheetName val="Consol wkg"/>
      <sheetName val="Resource Details"/>
      <sheetName val="Overview"/>
      <sheetName val="EXPENSES"/>
      <sheetName val="Variance"/>
      <sheetName val="Master List"/>
      <sheetName val="Category wise Summary"/>
      <sheetName val="main"/>
      <sheetName val="Grouping TB"/>
      <sheetName val="LISTAS"/>
      <sheetName val="RESUMEN"/>
      <sheetName val="Noida"/>
      <sheetName val="14"/>
      <sheetName val="BS Sch"/>
      <sheetName val="Directors"/>
      <sheetName val="115JB_CERT1"/>
      <sheetName val="DEF_TAX1"/>
      <sheetName val="TDS_1"/>
      <sheetName val="1__Lead1"/>
      <sheetName val="Cost_of_Services1"/>
      <sheetName val="Income_Statement1"/>
      <sheetName val="Shareholders'_Equity1"/>
      <sheetName val="Grant_Ranges1"/>
      <sheetName val="fin_stmts_5Yr_Model_Format1"/>
      <sheetName val="Equity_Movement_(Shares)1"/>
      <sheetName val="old_serial_no_1"/>
      <sheetName val="TRIAL_BALANCE1"/>
      <sheetName val="Schedules_PL1"/>
      <sheetName val="Schedules_BS1"/>
      <sheetName val="Ann_-11"/>
      <sheetName val="list_of_directo1"/>
      <sheetName val="Balance_Sheet_-_Final"/>
      <sheetName val="Schedule_VI_-_03-04"/>
      <sheetName val="Total_Haryana_POs_AMC_Sheet_3%"/>
      <sheetName val="delhi_03-04AMC_@_3%"/>
      <sheetName val="SPS_DETAIL"/>
      <sheetName val="Gratutity_-_Ask_&amp;_delete1"/>
      <sheetName val="NSV_N_KGs"/>
      <sheetName val="Source_Ref_"/>
      <sheetName val="Scenarios_and_sensitivities"/>
      <sheetName val="ANNX_-_I_(_a_)"/>
      <sheetName val="Rec'd_Statements"/>
      <sheetName val="RF_Vol"/>
      <sheetName val="Master_List"/>
      <sheetName val="Category_wise_Summary"/>
      <sheetName val="FF-6"/>
      <sheetName val="3BPA00132-5-3 W plan HVPNL"/>
      <sheetName val="Modality Summary"/>
      <sheetName val="Data"/>
      <sheetName val="マスタ"/>
      <sheetName val="Names"/>
      <sheetName val="ct"/>
      <sheetName val="Code"/>
      <sheetName val="NBP Gp wise - blr 15"/>
      <sheetName val="Assm"/>
      <sheetName val="CF"/>
      <sheetName val="gen ledger data"/>
      <sheetName val="??????"/>
      <sheetName val="Export"/>
      <sheetName val="scj99"/>
      <sheetName val="bspld99"/>
      <sheetName val="invtdec99_5-2_00"/>
      <sheetName val="115JB_CERT2"/>
      <sheetName val="DEF_TAX2"/>
      <sheetName val="TDS_2"/>
      <sheetName val="1__Lead2"/>
      <sheetName val="Cost_of_Services2"/>
      <sheetName val="Income_Statement2"/>
      <sheetName val="Shareholders'_Equity2"/>
      <sheetName val="Grant_Ranges2"/>
      <sheetName val="fin_stmts_5Yr_Model_Format2"/>
      <sheetName val="Equity_Movement_(Shares)2"/>
      <sheetName val="old_serial_no_2"/>
      <sheetName val="TRIAL_BALANCE2"/>
      <sheetName val="Schedules_PL2"/>
      <sheetName val="Schedules_BS2"/>
      <sheetName val="Ann_-12"/>
      <sheetName val="list_of_directo2"/>
      <sheetName val="Balance_Sheet_-_Final1"/>
      <sheetName val="Schedule_VI_-_03-041"/>
      <sheetName val="Switch_V161"/>
      <sheetName val="Total_Haryana_POs_AMC_Sheet_3%1"/>
      <sheetName val="delhi_03-04AMC_@_3%1"/>
      <sheetName val="SPS_DETAIL1"/>
      <sheetName val="Gratutity_-_Ask_&amp;_delete2"/>
      <sheetName val="NSV_N_KGs1"/>
      <sheetName val="Source_Ref_1"/>
      <sheetName val="Payroll_BL1"/>
      <sheetName val="Balance_sheet1"/>
      <sheetName val="Scenarios_and_sensitivities1"/>
      <sheetName val="ANNX_-_I_(_a_)1"/>
      <sheetName val="Rec'd_Statements1"/>
      <sheetName val="RF_Vol1"/>
      <sheetName val="Master_List1"/>
      <sheetName val="Category_wise_Summary1"/>
      <sheetName val="Parameters"/>
      <sheetName val="DN_TIME 02"/>
      <sheetName val="DN_TIME 14"/>
      <sheetName val="List_ratios"/>
      <sheetName val=""/>
      <sheetName val="Exchange"/>
      <sheetName val="RPT 71-VOLUME DATA-PCI "/>
      <sheetName val="BAB"/>
      <sheetName val="BA_B"/>
      <sheetName val="CA_C1"/>
      <sheetName val="CB_C2"/>
      <sheetName val="1 - A (Narrative)"/>
      <sheetName val="Interface"/>
      <sheetName val="Pro-Forma profile_AVP"/>
      <sheetName val="Nov 02 &amp; Dec 02 sal"/>
      <sheetName val="SSI"/>
      <sheetName val="Bal_Gr"/>
      <sheetName val="factors"/>
      <sheetName val="wdr bldg"/>
      <sheetName val="Balancesheet"/>
      <sheetName val="Main-Material"/>
      <sheetName val="sept-plan"/>
      <sheetName val="pacific_forms"/>
      <sheetName val="Actual_Input"/>
      <sheetName val="Bus_Mgmt"/>
      <sheetName val="Disruptive_"/>
      <sheetName val="Unidentified_Contracts-NLX"/>
      <sheetName val="2002_03_Prem_Projection"/>
      <sheetName val="EVA_Calculations1"/>
      <sheetName val="DN_TIME_02"/>
      <sheetName val="DN_TIME_14"/>
      <sheetName val="wdr_bldg"/>
      <sheetName val="profit &amp; loss"/>
      <sheetName val="DEBTORS"/>
      <sheetName val="Excess Calc"/>
      <sheetName val="Customize Your Purchase Order"/>
      <sheetName val="x-rate"/>
      <sheetName val="PART-1"/>
      <sheetName val="PART-2"/>
      <sheetName val="PART-3"/>
      <sheetName val="PART-4"/>
      <sheetName val="PART-5"/>
      <sheetName val="PART-6"/>
      <sheetName val="PART-7"/>
      <sheetName val="PART-8"/>
      <sheetName val="PART-9"/>
      <sheetName val="PART-10"/>
      <sheetName val="PART-11"/>
      <sheetName val="Source_Ref_2"/>
      <sheetName val="RF_Vol2"/>
      <sheetName val="115JB_CERT3"/>
      <sheetName val="DEF_TAX3"/>
      <sheetName val="TDS_3"/>
      <sheetName val="1__Lead3"/>
      <sheetName val="Cost_of_Services3"/>
      <sheetName val="Income_Statement3"/>
      <sheetName val="Shareholders'_Equity3"/>
      <sheetName val="Grant_Ranges3"/>
      <sheetName val="fin_stmts_5Yr_Model_Format3"/>
      <sheetName val="Equity_Movement_(Shares)3"/>
      <sheetName val="old_serial_no_3"/>
      <sheetName val="Source_Ref_3"/>
      <sheetName val="RF_Vol3"/>
      <sheetName val="115JB_CERT4"/>
      <sheetName val="DEF_TAX4"/>
      <sheetName val="TDS_4"/>
      <sheetName val="1__Lead4"/>
      <sheetName val="Cost_of_Services4"/>
      <sheetName val="Income_Statement4"/>
      <sheetName val="Shareholders'_Equity4"/>
      <sheetName val="Grant_Ranges4"/>
      <sheetName val="fin_stmts_5Yr_Model_Format4"/>
      <sheetName val="Equity_Movement_(Shares)4"/>
      <sheetName val="old_serial_no_4"/>
      <sheetName val="Source_Ref_4"/>
      <sheetName val="RF_Vol4"/>
      <sheetName val="115JB_CERT5"/>
      <sheetName val="DEF_TAX5"/>
      <sheetName val="TDS_5"/>
      <sheetName val="1__Lead5"/>
      <sheetName val="Cost_of_Services5"/>
      <sheetName val="Income_Statement5"/>
      <sheetName val="Shareholders'_Equity5"/>
      <sheetName val="Grant_Ranges5"/>
      <sheetName val="fin_stmts_5Yr_Model_Format5"/>
      <sheetName val="Equity_Movement_(Shares)5"/>
      <sheetName val="old_serial_no_5"/>
      <sheetName val="Source_Ref_5"/>
      <sheetName val="RF_Vol5"/>
      <sheetName val="115JB_CERT6"/>
      <sheetName val="DEF_TAX6"/>
      <sheetName val="TDS_6"/>
      <sheetName val="1__Lead6"/>
      <sheetName val="Cost_of_Services6"/>
      <sheetName val="Income_Statement6"/>
      <sheetName val="Shareholders'_Equity6"/>
      <sheetName val="Grant_Ranges6"/>
      <sheetName val="fin_stmts_5Yr_Model_Format6"/>
      <sheetName val="Equity_Movement_(Shares)6"/>
      <sheetName val="old_serial_no_6"/>
      <sheetName val="Source_Ref_6"/>
      <sheetName val="RF_Vol6"/>
      <sheetName val="115JB_CERT7"/>
      <sheetName val="DEF_TAX7"/>
      <sheetName val="TDS_7"/>
      <sheetName val="1__Lead7"/>
      <sheetName val="Cost_of_Services7"/>
      <sheetName val="Income_Statement7"/>
      <sheetName val="Shareholders'_Equity7"/>
      <sheetName val="Grant_Ranges7"/>
      <sheetName val="fin_stmts_5Yr_Model_Format7"/>
      <sheetName val="Equity_Movement_(Shares)7"/>
      <sheetName val="old_serial_no_7"/>
      <sheetName val="Source_Ref_7"/>
      <sheetName val="RF_Vol7"/>
      <sheetName val="115JB_CERT11"/>
      <sheetName val="DEF_TAX11"/>
      <sheetName val="TDS_11"/>
      <sheetName val="1__Lead11"/>
      <sheetName val="Cost_of_Services11"/>
      <sheetName val="Income_Statement11"/>
      <sheetName val="Shareholders'_Equity11"/>
      <sheetName val="Grant_Ranges11"/>
      <sheetName val="fin_stmts_5Yr_Model_Format11"/>
      <sheetName val="Equity_Movement_(Shares)11"/>
      <sheetName val="old_serial_no_11"/>
      <sheetName val="Source_Ref_11"/>
      <sheetName val="RF_Vol11"/>
      <sheetName val="115JB_CERT8"/>
      <sheetName val="DEF_TAX8"/>
      <sheetName val="TDS_8"/>
      <sheetName val="1__Lead8"/>
      <sheetName val="Cost_of_Services8"/>
      <sheetName val="Income_Statement8"/>
      <sheetName val="Shareholders'_Equity8"/>
      <sheetName val="Grant_Ranges8"/>
      <sheetName val="fin_stmts_5Yr_Model_Format8"/>
      <sheetName val="Equity_Movement_(Shares)8"/>
      <sheetName val="old_serial_no_8"/>
      <sheetName val="Source_Ref_8"/>
      <sheetName val="RF_Vol8"/>
      <sheetName val="115JB_CERT9"/>
      <sheetName val="DEF_TAX9"/>
      <sheetName val="TDS_9"/>
      <sheetName val="1__Lead9"/>
      <sheetName val="Cost_of_Services9"/>
      <sheetName val="Income_Statement9"/>
      <sheetName val="Shareholders'_Equity9"/>
      <sheetName val="Grant_Ranges9"/>
      <sheetName val="fin_stmts_5Yr_Model_Format9"/>
      <sheetName val="Equity_Movement_(Shares)9"/>
      <sheetName val="old_serial_no_9"/>
      <sheetName val="Source_Ref_9"/>
      <sheetName val="RF_Vol9"/>
      <sheetName val="115JB_CERT10"/>
      <sheetName val="DEF_TAX10"/>
      <sheetName val="TDS_10"/>
      <sheetName val="1__Lead10"/>
      <sheetName val="Cost_of_Services10"/>
      <sheetName val="Income_Statement10"/>
      <sheetName val="Shareholders'_Equity10"/>
      <sheetName val="Grant_Ranges10"/>
      <sheetName val="fin_stmts_5Yr_Model_Format10"/>
      <sheetName val="Equity_Movement_(Shares)10"/>
      <sheetName val="old_serial_no_10"/>
      <sheetName val="Source_Ref_10"/>
      <sheetName val="RF_Vol10"/>
      <sheetName val="115JB_CERT12"/>
      <sheetName val="DEF_TAX12"/>
      <sheetName val="TDS_12"/>
      <sheetName val="1__Lead12"/>
      <sheetName val="Cost_of_Services12"/>
      <sheetName val="Income_Statement12"/>
      <sheetName val="Shareholders'_Equity12"/>
      <sheetName val="Grant_Ranges12"/>
      <sheetName val="fin_stmts_5Yr_Model_Format12"/>
      <sheetName val="Equity_Movement_(Shares)12"/>
      <sheetName val="old_serial_no_12"/>
      <sheetName val="Source_Ref_12"/>
      <sheetName val="RF_Vol12"/>
      <sheetName val="115JB_CERT15"/>
      <sheetName val="DEF_TAX15"/>
      <sheetName val="TDS_15"/>
      <sheetName val="1__Lead15"/>
      <sheetName val="Cost_of_Services15"/>
      <sheetName val="Income_Statement15"/>
      <sheetName val="Shareholders'_Equity15"/>
      <sheetName val="Grant_Ranges15"/>
      <sheetName val="fin_stmts_5Yr_Model_Format15"/>
      <sheetName val="Equity_Movement_(Shares)15"/>
      <sheetName val="old_serial_no_15"/>
      <sheetName val="Source_Ref_15"/>
      <sheetName val="RF_Vol15"/>
      <sheetName val="115JB_CERT13"/>
      <sheetName val="DEF_TAX13"/>
      <sheetName val="TDS_13"/>
      <sheetName val="1__Lead13"/>
      <sheetName val="Cost_of_Services13"/>
      <sheetName val="Income_Statement13"/>
      <sheetName val="Shareholders'_Equity13"/>
      <sheetName val="Grant_Ranges13"/>
      <sheetName val="fin_stmts_5Yr_Model_Format13"/>
      <sheetName val="Equity_Movement_(Shares)13"/>
      <sheetName val="old_serial_no_13"/>
      <sheetName val="Source_Ref_13"/>
      <sheetName val="RF_Vol13"/>
      <sheetName val="115JB_CERT14"/>
      <sheetName val="DEF_TAX14"/>
      <sheetName val="TDS_14"/>
      <sheetName val="1__Lead14"/>
      <sheetName val="Cost_of_Services14"/>
      <sheetName val="Income_Statement14"/>
      <sheetName val="Shareholders'_Equity14"/>
      <sheetName val="Grant_Ranges14"/>
      <sheetName val="fin_stmts_5Yr_Model_Format14"/>
      <sheetName val="Equity_Movement_(Shares)14"/>
      <sheetName val="old_serial_no_14"/>
      <sheetName val="Source_Ref_14"/>
      <sheetName val="RF_Vol14"/>
      <sheetName val="115JB_CERT16"/>
      <sheetName val="DEF_TAX16"/>
      <sheetName val="TDS_16"/>
      <sheetName val="1__Lead16"/>
      <sheetName val="Cost_of_Services16"/>
      <sheetName val="Income_Statement16"/>
      <sheetName val="Shareholders'_Equity16"/>
      <sheetName val="Grant_Ranges16"/>
      <sheetName val="fin_stmts_5Yr_Model_Format16"/>
      <sheetName val="Equity_Movement_(Shares)16"/>
      <sheetName val="old_serial_no_16"/>
      <sheetName val="Source_Ref_16"/>
      <sheetName val="RF_Vol16"/>
      <sheetName val="115JB_CERT18"/>
      <sheetName val="DEF_TAX18"/>
      <sheetName val="TDS_18"/>
      <sheetName val="1__Lead18"/>
      <sheetName val="Cost_of_Services18"/>
      <sheetName val="Income_Statement18"/>
      <sheetName val="Shareholders'_Equity18"/>
      <sheetName val="Grant_Ranges18"/>
      <sheetName val="fin_stmts_5Yr_Model_Format18"/>
      <sheetName val="Equity_Movement_(Shares)18"/>
      <sheetName val="old_serial_no_18"/>
      <sheetName val="Source_Ref_18"/>
      <sheetName val="RF_Vol18"/>
      <sheetName val="115JB_CERT17"/>
      <sheetName val="DEF_TAX17"/>
      <sheetName val="TDS_17"/>
      <sheetName val="1__Lead17"/>
      <sheetName val="Cost_of_Services17"/>
      <sheetName val="Income_Statement17"/>
      <sheetName val="Shareholders'_Equity17"/>
      <sheetName val="Grant_Ranges17"/>
      <sheetName val="fin_stmts_5Yr_Model_Format17"/>
      <sheetName val="Equity_Movement_(Shares)17"/>
      <sheetName val="old_serial_no_17"/>
      <sheetName val="Source_Ref_17"/>
      <sheetName val="RF_Vol17"/>
      <sheetName val="115JB_CERT20"/>
      <sheetName val="DEF_TAX20"/>
      <sheetName val="TDS_20"/>
      <sheetName val="1__Lead20"/>
      <sheetName val="Cost_of_Services20"/>
      <sheetName val="Income_Statement20"/>
      <sheetName val="Shareholders'_Equity20"/>
      <sheetName val="Grant_Ranges20"/>
      <sheetName val="fin_stmts_5Yr_Model_Format20"/>
      <sheetName val="Equity_Movement_(Shares)20"/>
      <sheetName val="old_serial_no_20"/>
      <sheetName val="Source_Ref_20"/>
      <sheetName val="RF_Vol20"/>
      <sheetName val="115JB_CERT19"/>
      <sheetName val="DEF_TAX19"/>
      <sheetName val="TDS_19"/>
      <sheetName val="1__Lead19"/>
      <sheetName val="Cost_of_Services19"/>
      <sheetName val="Income_Statement19"/>
      <sheetName val="Shareholders'_Equity19"/>
      <sheetName val="Grant_Ranges19"/>
      <sheetName val="fin_stmts_5Yr_Model_Format19"/>
      <sheetName val="Equity_Movement_(Shares)19"/>
      <sheetName val="old_serial_no_19"/>
      <sheetName val="Source_Ref_19"/>
      <sheetName val="RF_Vol19"/>
      <sheetName val="115JB_CERT21"/>
      <sheetName val="DEF_TAX21"/>
      <sheetName val="TDS_21"/>
      <sheetName val="1__Lead21"/>
      <sheetName val="Cost_of_Services21"/>
      <sheetName val="Income_Statement21"/>
      <sheetName val="Shareholders'_Equity21"/>
      <sheetName val="Grant_Ranges21"/>
      <sheetName val="fin_stmts_5Yr_Model_Format21"/>
      <sheetName val="Equity_Movement_(Shares)21"/>
      <sheetName val="old_serial_no_21"/>
      <sheetName val="Source_Ref_21"/>
      <sheetName val="RF_Vol21"/>
      <sheetName val="115JB_CERT22"/>
      <sheetName val="DEF_TAX22"/>
      <sheetName val="TDS_22"/>
      <sheetName val="1__Lead22"/>
      <sheetName val="Cost_of_Services22"/>
      <sheetName val="Income_Statement22"/>
      <sheetName val="Shareholders'_Equity22"/>
      <sheetName val="Grant_Ranges22"/>
      <sheetName val="fin_stmts_5Yr_Model_Format22"/>
      <sheetName val="Equity_Movement_(Shares)22"/>
      <sheetName val="old_serial_no_22"/>
      <sheetName val="Source_Ref_22"/>
      <sheetName val="RF_Vol22"/>
      <sheetName val="115JB_CERT23"/>
      <sheetName val="DEF_TAX23"/>
      <sheetName val="TDS_23"/>
      <sheetName val="1__Lead23"/>
      <sheetName val="Cost_of_Services23"/>
      <sheetName val="Income_Statement23"/>
      <sheetName val="Shareholders'_Equity23"/>
      <sheetName val="Grant_Ranges23"/>
      <sheetName val="fin_stmts_5Yr_Model_Format23"/>
      <sheetName val="Equity_Movement_(Shares)23"/>
      <sheetName val="old_serial_no_23"/>
      <sheetName val="Source_Ref_23"/>
      <sheetName val="RF_Vol23"/>
      <sheetName val="115JB_CERT26"/>
      <sheetName val="DEF_TAX26"/>
      <sheetName val="TDS_26"/>
      <sheetName val="1__Lead26"/>
      <sheetName val="Cost_of_Services26"/>
      <sheetName val="Income_Statement26"/>
      <sheetName val="Shareholders'_Equity26"/>
      <sheetName val="Grant_Ranges26"/>
      <sheetName val="fin_stmts_5Yr_Model_Format26"/>
      <sheetName val="Equity_Movement_(Shares)26"/>
      <sheetName val="old_serial_no_26"/>
      <sheetName val="Source_Ref_26"/>
      <sheetName val="RF_Vol26"/>
      <sheetName val="115JB_CERT24"/>
      <sheetName val="DEF_TAX24"/>
      <sheetName val="TDS_24"/>
      <sheetName val="1__Lead24"/>
      <sheetName val="Cost_of_Services24"/>
      <sheetName val="Income_Statement24"/>
      <sheetName val="Shareholders'_Equity24"/>
      <sheetName val="Grant_Ranges24"/>
      <sheetName val="fin_stmts_5Yr_Model_Format24"/>
      <sheetName val="Equity_Movement_(Shares)24"/>
      <sheetName val="old_serial_no_24"/>
      <sheetName val="Source_Ref_24"/>
      <sheetName val="RF_Vol24"/>
      <sheetName val="115JB_CERT25"/>
      <sheetName val="DEF_TAX25"/>
      <sheetName val="TDS_25"/>
      <sheetName val="1__Lead25"/>
      <sheetName val="Cost_of_Services25"/>
      <sheetName val="Income_Statement25"/>
      <sheetName val="Shareholders'_Equity25"/>
      <sheetName val="Grant_Ranges25"/>
      <sheetName val="fin_stmts_5Yr_Model_Format25"/>
      <sheetName val="Equity_Movement_(Shares)25"/>
      <sheetName val="old_serial_no_25"/>
      <sheetName val="Source_Ref_25"/>
      <sheetName val="RF_Vol25"/>
      <sheetName val="115JB_CERT36"/>
      <sheetName val="DEF_TAX36"/>
      <sheetName val="TDS_36"/>
      <sheetName val="1__Lead36"/>
      <sheetName val="Cost_of_Services36"/>
      <sheetName val="Income_Statement36"/>
      <sheetName val="Shareholders'_Equity36"/>
      <sheetName val="Grant_Ranges36"/>
      <sheetName val="fin_stmts_5Yr_Model_Format36"/>
      <sheetName val="Equity_Movement_(Shares)36"/>
      <sheetName val="old_serial_no_36"/>
      <sheetName val="Source_Ref_36"/>
      <sheetName val="RF_Vol36"/>
      <sheetName val="115JB_CERT27"/>
      <sheetName val="DEF_TAX27"/>
      <sheetName val="TDS_27"/>
      <sheetName val="1__Lead27"/>
      <sheetName val="Cost_of_Services27"/>
      <sheetName val="Income_Statement27"/>
      <sheetName val="Shareholders'_Equity27"/>
      <sheetName val="Grant_Ranges27"/>
      <sheetName val="fin_stmts_5Yr_Model_Format27"/>
      <sheetName val="Equity_Movement_(Shares)27"/>
      <sheetName val="old_serial_no_27"/>
      <sheetName val="Source_Ref_27"/>
      <sheetName val="RF_Vol27"/>
      <sheetName val="115JB_CERT28"/>
      <sheetName val="DEF_TAX28"/>
      <sheetName val="TDS_28"/>
      <sheetName val="1__Lead28"/>
      <sheetName val="Cost_of_Services28"/>
      <sheetName val="Income_Statement28"/>
      <sheetName val="Shareholders'_Equity28"/>
      <sheetName val="Grant_Ranges28"/>
      <sheetName val="fin_stmts_5Yr_Model_Format28"/>
      <sheetName val="Equity_Movement_(Shares)28"/>
      <sheetName val="old_serial_no_28"/>
      <sheetName val="Source_Ref_28"/>
      <sheetName val="RF_Vol28"/>
      <sheetName val="115JB_CERT29"/>
      <sheetName val="DEF_TAX29"/>
      <sheetName val="TDS_29"/>
      <sheetName val="1__Lead29"/>
      <sheetName val="Cost_of_Services29"/>
      <sheetName val="Income_Statement29"/>
      <sheetName val="Shareholders'_Equity29"/>
      <sheetName val="Grant_Ranges29"/>
      <sheetName val="fin_stmts_5Yr_Model_Format29"/>
      <sheetName val="Equity_Movement_(Shares)29"/>
      <sheetName val="old_serial_no_29"/>
      <sheetName val="Source_Ref_29"/>
      <sheetName val="RF_Vol29"/>
      <sheetName val="115JB_CERT30"/>
      <sheetName val="DEF_TAX30"/>
      <sheetName val="TDS_30"/>
      <sheetName val="1__Lead30"/>
      <sheetName val="Cost_of_Services30"/>
      <sheetName val="Income_Statement30"/>
      <sheetName val="Shareholders'_Equity30"/>
      <sheetName val="Grant_Ranges30"/>
      <sheetName val="fin_stmts_5Yr_Model_Format30"/>
      <sheetName val="Equity_Movement_(Shares)30"/>
      <sheetName val="old_serial_no_30"/>
      <sheetName val="Source_Ref_30"/>
      <sheetName val="RF_Vol30"/>
      <sheetName val="115JB_CERT32"/>
      <sheetName val="DEF_TAX32"/>
      <sheetName val="TDS_32"/>
      <sheetName val="1__Lead32"/>
      <sheetName val="Cost_of_Services32"/>
      <sheetName val="Income_Statement32"/>
      <sheetName val="Shareholders'_Equity32"/>
      <sheetName val="Grant_Ranges32"/>
      <sheetName val="fin_stmts_5Yr_Model_Format32"/>
      <sheetName val="Equity_Movement_(Shares)32"/>
      <sheetName val="old_serial_no_32"/>
      <sheetName val="Source_Ref_32"/>
      <sheetName val="RF_Vol32"/>
      <sheetName val="115JB_CERT31"/>
      <sheetName val="DEF_TAX31"/>
      <sheetName val="TDS_31"/>
      <sheetName val="1__Lead31"/>
      <sheetName val="Cost_of_Services31"/>
      <sheetName val="Income_Statement31"/>
      <sheetName val="Shareholders'_Equity31"/>
      <sheetName val="Grant_Ranges31"/>
      <sheetName val="fin_stmts_5Yr_Model_Format31"/>
      <sheetName val="Equity_Movement_(Shares)31"/>
      <sheetName val="old_serial_no_31"/>
      <sheetName val="Source_Ref_31"/>
      <sheetName val="RF_Vol31"/>
      <sheetName val="115JB_CERT33"/>
      <sheetName val="DEF_TAX33"/>
      <sheetName val="TDS_33"/>
      <sheetName val="1__Lead33"/>
      <sheetName val="Cost_of_Services33"/>
      <sheetName val="Income_Statement33"/>
      <sheetName val="Shareholders'_Equity33"/>
      <sheetName val="Grant_Ranges33"/>
      <sheetName val="fin_stmts_5Yr_Model_Format33"/>
      <sheetName val="Equity_Movement_(Shares)33"/>
      <sheetName val="old_serial_no_33"/>
      <sheetName val="Source_Ref_33"/>
      <sheetName val="RF_Vol33"/>
      <sheetName val="115JB_CERT34"/>
      <sheetName val="DEF_TAX34"/>
      <sheetName val="TDS_34"/>
      <sheetName val="1__Lead34"/>
      <sheetName val="Cost_of_Services34"/>
      <sheetName val="Income_Statement34"/>
      <sheetName val="Shareholders'_Equity34"/>
      <sheetName val="Grant_Ranges34"/>
      <sheetName val="fin_stmts_5Yr_Model_Format34"/>
      <sheetName val="Equity_Movement_(Shares)34"/>
      <sheetName val="old_serial_no_34"/>
      <sheetName val="Source_Ref_34"/>
      <sheetName val="RF_Vol34"/>
      <sheetName val="115JB_CERT35"/>
      <sheetName val="DEF_TAX35"/>
      <sheetName val="TDS_35"/>
      <sheetName val="1__Lead35"/>
      <sheetName val="Cost_of_Services35"/>
      <sheetName val="Income_Statement35"/>
      <sheetName val="Shareholders'_Equity35"/>
      <sheetName val="Grant_Ranges35"/>
      <sheetName val="fin_stmts_5Yr_Model_Format35"/>
      <sheetName val="Equity_Movement_(Shares)35"/>
      <sheetName val="old_serial_no_35"/>
      <sheetName val="Source_Ref_35"/>
      <sheetName val="RF_Vol35"/>
      <sheetName val="115JB_CERT42"/>
      <sheetName val="DEF_TAX42"/>
      <sheetName val="TDS_42"/>
      <sheetName val="1__Lead42"/>
      <sheetName val="Cost_of_Services42"/>
      <sheetName val="Income_Statement42"/>
      <sheetName val="Shareholders'_Equity42"/>
      <sheetName val="Grant_Ranges42"/>
      <sheetName val="fin_stmts_5Yr_Model_Format42"/>
      <sheetName val="Equity_Movement_(Shares)42"/>
      <sheetName val="old_serial_no_42"/>
      <sheetName val="Source_Ref_42"/>
      <sheetName val="RF_Vol42"/>
      <sheetName val="115JB_CERT37"/>
      <sheetName val="DEF_TAX37"/>
      <sheetName val="TDS_37"/>
      <sheetName val="1__Lead37"/>
      <sheetName val="Cost_of_Services37"/>
      <sheetName val="Income_Statement37"/>
      <sheetName val="Shareholders'_Equity37"/>
      <sheetName val="Grant_Ranges37"/>
      <sheetName val="fin_stmts_5Yr_Model_Format37"/>
      <sheetName val="Equity_Movement_(Shares)37"/>
      <sheetName val="old_serial_no_37"/>
      <sheetName val="Source_Ref_37"/>
      <sheetName val="RF_Vol37"/>
      <sheetName val="115JB_CERT38"/>
      <sheetName val="DEF_TAX38"/>
      <sheetName val="TDS_38"/>
      <sheetName val="1__Lead38"/>
      <sheetName val="Cost_of_Services38"/>
      <sheetName val="Income_Statement38"/>
      <sheetName val="Shareholders'_Equity38"/>
      <sheetName val="Grant_Ranges38"/>
      <sheetName val="fin_stmts_5Yr_Model_Format38"/>
      <sheetName val="Equity_Movement_(Shares)38"/>
      <sheetName val="old_serial_no_38"/>
      <sheetName val="Source_Ref_38"/>
      <sheetName val="RF_Vol38"/>
      <sheetName val="115JB_CERT40"/>
      <sheetName val="DEF_TAX40"/>
      <sheetName val="TDS_40"/>
      <sheetName val="1__Lead40"/>
      <sheetName val="Cost_of_Services40"/>
      <sheetName val="Income_Statement40"/>
      <sheetName val="Shareholders'_Equity40"/>
      <sheetName val="Grant_Ranges40"/>
      <sheetName val="fin_stmts_5Yr_Model_Format40"/>
      <sheetName val="Equity_Movement_(Shares)40"/>
      <sheetName val="old_serial_no_40"/>
      <sheetName val="Source_Ref_40"/>
      <sheetName val="RF_Vol40"/>
      <sheetName val="115JB_CERT39"/>
      <sheetName val="DEF_TAX39"/>
      <sheetName val="TDS_39"/>
      <sheetName val="1__Lead39"/>
      <sheetName val="Cost_of_Services39"/>
      <sheetName val="Income_Statement39"/>
      <sheetName val="Shareholders'_Equity39"/>
      <sheetName val="Grant_Ranges39"/>
      <sheetName val="fin_stmts_5Yr_Model_Format39"/>
      <sheetName val="Equity_Movement_(Shares)39"/>
      <sheetName val="old_serial_no_39"/>
      <sheetName val="Source_Ref_39"/>
      <sheetName val="RF_Vol39"/>
      <sheetName val="115JB_CERT41"/>
      <sheetName val="DEF_TAX41"/>
      <sheetName val="TDS_41"/>
      <sheetName val="1__Lead41"/>
      <sheetName val="Cost_of_Services41"/>
      <sheetName val="Income_Statement41"/>
      <sheetName val="Shareholders'_Equity41"/>
      <sheetName val="Grant_Ranges41"/>
      <sheetName val="fin_stmts_5Yr_Model_Format41"/>
      <sheetName val="Equity_Movement_(Shares)41"/>
      <sheetName val="old_serial_no_41"/>
      <sheetName val="Source_Ref_41"/>
      <sheetName val="RF_Vol41"/>
      <sheetName val="115JB_CERT43"/>
      <sheetName val="DEF_TAX43"/>
      <sheetName val="TDS_43"/>
      <sheetName val="1__Lead43"/>
      <sheetName val="Cost_of_Services43"/>
      <sheetName val="Income_Statement43"/>
      <sheetName val="Shareholders'_Equity43"/>
      <sheetName val="Grant_Ranges43"/>
      <sheetName val="fin_stmts_5Yr_Model_Format43"/>
      <sheetName val="Equity_Movement_(Shares)43"/>
      <sheetName val="old_serial_no_43"/>
      <sheetName val="Source_Ref_43"/>
      <sheetName val="RF_Vol43"/>
      <sheetName val="115JB_CERT44"/>
      <sheetName val="DEF_TAX44"/>
      <sheetName val="TDS_44"/>
      <sheetName val="1__Lead44"/>
      <sheetName val="Cost_of_Services44"/>
      <sheetName val="Income_Statement44"/>
      <sheetName val="Shareholders'_Equity44"/>
      <sheetName val="Grant_Ranges44"/>
      <sheetName val="fin_stmts_5Yr_Model_Format44"/>
      <sheetName val="Equity_Movement_(Shares)44"/>
      <sheetName val="old_serial_no_44"/>
      <sheetName val="Source_Ref_44"/>
      <sheetName val="RF_Vol44"/>
      <sheetName val="115JB_CERT45"/>
      <sheetName val="DEF_TAX45"/>
      <sheetName val="TDS_45"/>
      <sheetName val="1__Lead45"/>
      <sheetName val="Cost_of_Services45"/>
      <sheetName val="Income_Statement45"/>
      <sheetName val="Shareholders'_Equity45"/>
      <sheetName val="Grant_Ranges45"/>
      <sheetName val="fin_stmts_5Yr_Model_Format45"/>
      <sheetName val="Equity_Movement_(Shares)45"/>
      <sheetName val="old_serial_no_45"/>
      <sheetName val="Source_Ref_45"/>
      <sheetName val="RF_Vol45"/>
      <sheetName val=" Apr 03 to Mar04"/>
      <sheetName val="RES1Aviation"/>
      <sheetName val="PARAM"/>
      <sheetName val="Détails plans d'actions"/>
      <sheetName val="080 (2)"/>
      <sheetName val="SI-FIN"/>
      <sheetName val="fixd1"/>
      <sheetName val="fixd2"/>
      <sheetName val="OpTrack"/>
      <sheetName val="curlocal"/>
      <sheetName val="Customize Your Invoice"/>
      <sheetName val="Sub Sch P &amp; L"/>
      <sheetName val="Other notes"/>
      <sheetName val="TB(03-10-07)"/>
      <sheetName val="TLSTLNCDCP"/>
      <sheetName val="SAPBEXqueries"/>
      <sheetName val="UC-Premix"/>
      <sheetName val="Trial"/>
      <sheetName val="Assume"/>
      <sheetName val="Clause 9"/>
      <sheetName val="Tickers"/>
      <sheetName val="NXTL"/>
      <sheetName val="Methodology"/>
      <sheetName val="Calculations"/>
      <sheetName val="Lists"/>
      <sheetName val="CHC ADGRR"/>
      <sheetName val="MRP97-6"/>
      <sheetName val="SALES"/>
      <sheetName val="EXE-SUM"/>
      <sheetName val="Control"/>
      <sheetName val="405"/>
      <sheetName val="427"/>
      <sheetName val="403"/>
      <sheetName val="Formulas"/>
      <sheetName val="TRIAL_BALANCE3"/>
      <sheetName val="Schedules_PL3"/>
      <sheetName val="Schedules_BS3"/>
      <sheetName val="list_of_directo3"/>
      <sheetName val="Ann_-13"/>
      <sheetName val="TRIAL_BALANCE4"/>
      <sheetName val="Schedules_PL4"/>
      <sheetName val="Schedules_BS4"/>
      <sheetName val="list_of_directo4"/>
      <sheetName val="Ann_-14"/>
      <sheetName val="TRIAL_BALANCE5"/>
      <sheetName val="Schedules_PL5"/>
      <sheetName val="Schedules_BS5"/>
      <sheetName val="list_of_directo5"/>
      <sheetName val="Ann_-15"/>
      <sheetName val="TRIAL_BALANCE6"/>
      <sheetName val="Schedules_PL6"/>
      <sheetName val="Schedules_BS6"/>
      <sheetName val="list_of_directo6"/>
      <sheetName val="Ann_-16"/>
      <sheetName val="Lead"/>
      <sheetName val="Links"/>
      <sheetName val="DF"/>
      <sheetName val="CMGRPM20"/>
      <sheetName val="Main Cash Flow"/>
      <sheetName val="PARKING"/>
      <sheetName val="Alok"/>
      <sheetName val="Amol"/>
      <sheetName val="Anand"/>
      <sheetName val="Anindya "/>
      <sheetName val="Chetan"/>
      <sheetName val="Chitnis"/>
      <sheetName val="Deepak"/>
      <sheetName val="R. Devarajan"/>
      <sheetName val="Mohan"/>
      <sheetName val="Girish"/>
      <sheetName val="Harry"/>
      <sheetName val="Jeetu"/>
      <sheetName val="Kuldeepak"/>
      <sheetName val="Mahesh "/>
      <sheetName val="Mandar"/>
      <sheetName val="Manoj"/>
      <sheetName val="Milind Acharya"/>
      <sheetName val="Milind Pande"/>
      <sheetName val="MLMahindra"/>
      <sheetName val="Navjit"/>
      <sheetName val="Nozer"/>
      <sheetName val="Ram Pattabhi"/>
      <sheetName val="Prabhanjan"/>
      <sheetName val="P K Ramnath"/>
      <sheetName val="Revati"/>
      <sheetName val="R Chatterjee"/>
      <sheetName val="Roy"/>
      <sheetName val="Sagar"/>
      <sheetName val="salaj"/>
      <sheetName val="Sameer"/>
      <sheetName val="Sandeep C"/>
      <sheetName val="Sandeep Tulshyan"/>
      <sheetName val="Sanjay"/>
      <sheetName val="Santosh"/>
      <sheetName val="Shardul"/>
      <sheetName val="Shivkumar"/>
      <sheetName val="Subir "/>
      <sheetName val="Suman"/>
      <sheetName val="Swami"/>
      <sheetName val="Vishal"/>
      <sheetName val="Bill 3 - Site Works"/>
      <sheetName val="115JB_CERT48"/>
      <sheetName val="DEF_TAX48"/>
      <sheetName val="TDS_48"/>
      <sheetName val="1__Lead48"/>
      <sheetName val="Cost_of_Services48"/>
      <sheetName val="Income_Statement48"/>
      <sheetName val="Shareholders'_Equity48"/>
      <sheetName val="Grant_Ranges48"/>
      <sheetName val="fin_stmts_5Yr_Model_Format48"/>
      <sheetName val="Equity_Movement_(Shares)48"/>
      <sheetName val="old_serial_no_48"/>
      <sheetName val="Source_Ref_48"/>
      <sheetName val="RF_Vol48"/>
      <sheetName val="115JB_CERT46"/>
      <sheetName val="DEF_TAX46"/>
      <sheetName val="TDS_46"/>
      <sheetName val="1__Lead46"/>
      <sheetName val="Cost_of_Services46"/>
      <sheetName val="Income_Statement46"/>
      <sheetName val="Shareholders'_Equity46"/>
      <sheetName val="Grant_Ranges46"/>
      <sheetName val="fin_stmts_5Yr_Model_Format46"/>
      <sheetName val="Equity_Movement_(Shares)46"/>
      <sheetName val="old_serial_no_46"/>
      <sheetName val="Source_Ref_46"/>
      <sheetName val="RF_Vol46"/>
      <sheetName val="115JB_CERT47"/>
      <sheetName val="DEF_TAX47"/>
      <sheetName val="TDS_47"/>
      <sheetName val="1__Lead47"/>
      <sheetName val="Cost_of_Services47"/>
      <sheetName val="Income_Statement47"/>
      <sheetName val="Shareholders'_Equity47"/>
      <sheetName val="Grant_Ranges47"/>
      <sheetName val="fin_stmts_5Yr_Model_Format47"/>
      <sheetName val="Equity_Movement_(Shares)47"/>
      <sheetName val="old_serial_no_47"/>
      <sheetName val="Source_Ref_47"/>
      <sheetName val="RF_Vol47"/>
      <sheetName val="115JB_CERT49"/>
      <sheetName val="DEF_TAX49"/>
      <sheetName val="TDS_49"/>
      <sheetName val="1__Lead49"/>
      <sheetName val="Cost_of_Services49"/>
      <sheetName val="Income_Statement49"/>
      <sheetName val="Shareholders'_Equity49"/>
      <sheetName val="Grant_Ranges49"/>
      <sheetName val="fin_stmts_5Yr_Model_Format49"/>
      <sheetName val="Equity_Movement_(Shares)49"/>
      <sheetName val="old_serial_no_49"/>
      <sheetName val="Source_Ref_49"/>
      <sheetName val="RF_Vol49"/>
      <sheetName val="115JB_CERT50"/>
      <sheetName val="DEF_TAX50"/>
      <sheetName val="TDS_50"/>
      <sheetName val="1__Lead50"/>
      <sheetName val="Cost_of_Services50"/>
      <sheetName val="Income_Statement50"/>
      <sheetName val="Shareholders'_Equity50"/>
      <sheetName val="Grant_Ranges50"/>
      <sheetName val="fin_stmts_5Yr_Model_Format50"/>
      <sheetName val="Equity_Movement_(Shares)50"/>
      <sheetName val="old_serial_no_50"/>
      <sheetName val="Source_Ref_50"/>
      <sheetName val="RF_Vol50"/>
      <sheetName val="115JB_CERT56"/>
      <sheetName val="DEF_TAX56"/>
      <sheetName val="TDS_56"/>
      <sheetName val="1__Lead56"/>
      <sheetName val="Cost_of_Services56"/>
      <sheetName val="Income_Statement56"/>
      <sheetName val="Shareholders'_Equity56"/>
      <sheetName val="Grant_Ranges56"/>
      <sheetName val="fin_stmts_5Yr_Model_Format56"/>
      <sheetName val="Equity_Movement_(Shares)56"/>
      <sheetName val="old_serial_no_56"/>
      <sheetName val="Source_Ref_56"/>
      <sheetName val="RF_Vol56"/>
      <sheetName val="115JB_CERT51"/>
      <sheetName val="DEF_TAX51"/>
      <sheetName val="TDS_51"/>
      <sheetName val="1__Lead51"/>
      <sheetName val="Cost_of_Services51"/>
      <sheetName val="Income_Statement51"/>
      <sheetName val="Shareholders'_Equity51"/>
      <sheetName val="Grant_Ranges51"/>
      <sheetName val="fin_stmts_5Yr_Model_Format51"/>
      <sheetName val="Equity_Movement_(Shares)51"/>
      <sheetName val="old_serial_no_51"/>
      <sheetName val="Source_Ref_51"/>
      <sheetName val="RF_Vol51"/>
      <sheetName val="115JB_CERT52"/>
      <sheetName val="DEF_TAX52"/>
      <sheetName val="TDS_52"/>
      <sheetName val="1__Lead52"/>
      <sheetName val="Cost_of_Services52"/>
      <sheetName val="Income_Statement52"/>
      <sheetName val="Shareholders'_Equity52"/>
      <sheetName val="Grant_Ranges52"/>
      <sheetName val="fin_stmts_5Yr_Model_Format52"/>
      <sheetName val="Equity_Movement_(Shares)52"/>
      <sheetName val="old_serial_no_52"/>
      <sheetName val="Source_Ref_52"/>
      <sheetName val="RF_Vol52"/>
      <sheetName val="115JB_CERT53"/>
      <sheetName val="DEF_TAX53"/>
      <sheetName val="TDS_53"/>
      <sheetName val="1__Lead53"/>
      <sheetName val="Cost_of_Services53"/>
      <sheetName val="Income_Statement53"/>
      <sheetName val="Shareholders'_Equity53"/>
      <sheetName val="Grant_Ranges53"/>
      <sheetName val="fin_stmts_5Yr_Model_Format53"/>
      <sheetName val="Equity_Movement_(Shares)53"/>
      <sheetName val="old_serial_no_53"/>
      <sheetName val="Source_Ref_53"/>
      <sheetName val="RF_Vol53"/>
      <sheetName val="115JB_CERT55"/>
      <sheetName val="DEF_TAX55"/>
      <sheetName val="TDS_55"/>
      <sheetName val="1__Lead55"/>
      <sheetName val="Cost_of_Services55"/>
      <sheetName val="Income_Statement55"/>
      <sheetName val="Shareholders'_Equity55"/>
      <sheetName val="Grant_Ranges55"/>
      <sheetName val="fin_stmts_5Yr_Model_Format55"/>
      <sheetName val="Equity_Movement_(Shares)55"/>
      <sheetName val="old_serial_no_55"/>
      <sheetName val="Source_Ref_55"/>
      <sheetName val="RF_Vol55"/>
      <sheetName val="115JB_CERT54"/>
      <sheetName val="DEF_TAX54"/>
      <sheetName val="TDS_54"/>
      <sheetName val="1__Lead54"/>
      <sheetName val="Cost_of_Services54"/>
      <sheetName val="Income_Statement54"/>
      <sheetName val="Shareholders'_Equity54"/>
      <sheetName val="Grant_Ranges54"/>
      <sheetName val="fin_stmts_5Yr_Model_Format54"/>
      <sheetName val="Equity_Movement_(Shares)54"/>
      <sheetName val="old_serial_no_54"/>
      <sheetName val="Source_Ref_54"/>
      <sheetName val="RF_Vol54"/>
      <sheetName val="115JB_CERT57"/>
      <sheetName val="DEF_TAX57"/>
      <sheetName val="TDS_57"/>
      <sheetName val="1__Lead57"/>
      <sheetName val="Cost_of_Services57"/>
      <sheetName val="Income_Statement57"/>
      <sheetName val="Shareholders'_Equity57"/>
      <sheetName val="Grant_Ranges57"/>
      <sheetName val="fin_stmts_5Yr_Model_Format57"/>
      <sheetName val="Equity_Movement_(Shares)57"/>
      <sheetName val="old_serial_no_57"/>
      <sheetName val="Source_Ref_57"/>
      <sheetName val="RF_Vol57"/>
      <sheetName val="115JB_CERT58"/>
      <sheetName val="DEF_TAX58"/>
      <sheetName val="TDS_58"/>
      <sheetName val="1__Lead58"/>
      <sheetName val="Cost_of_Services58"/>
      <sheetName val="Income_Statement58"/>
      <sheetName val="Shareholders'_Equity58"/>
      <sheetName val="Grant_Ranges58"/>
      <sheetName val="fin_stmts_5Yr_Model_Format58"/>
      <sheetName val="Equity_Movement_(Shares)58"/>
      <sheetName val="old_serial_no_58"/>
      <sheetName val="Source_Ref_58"/>
      <sheetName val="RF_Vol58"/>
      <sheetName val="115JB_CERT59"/>
      <sheetName val="DEF_TAX59"/>
      <sheetName val="TDS_59"/>
      <sheetName val="1__Lead59"/>
      <sheetName val="Cost_of_Services59"/>
      <sheetName val="Income_Statement59"/>
      <sheetName val="Shareholders'_Equity59"/>
      <sheetName val="Grant_Ranges59"/>
      <sheetName val="fin_stmts_5Yr_Model_Format59"/>
      <sheetName val="Equity_Movement_(Shares)59"/>
      <sheetName val="old_serial_no_59"/>
      <sheetName val="Source_Ref_59"/>
      <sheetName val="RF_Vol59"/>
      <sheetName val="115JB_CERT60"/>
      <sheetName val="DEF_TAX60"/>
      <sheetName val="TDS_60"/>
      <sheetName val="1__Lead60"/>
      <sheetName val="Cost_of_Services60"/>
      <sheetName val="Income_Statement60"/>
      <sheetName val="Shareholders'_Equity60"/>
      <sheetName val="Grant_Ranges60"/>
      <sheetName val="fin_stmts_5Yr_Model_Format60"/>
      <sheetName val="Equity_Movement_(Shares)60"/>
      <sheetName val="old_serial_no_60"/>
      <sheetName val="Source_Ref_60"/>
      <sheetName val="RF_Vol60"/>
      <sheetName val="PL grp"/>
      <sheetName val="kpmg format"/>
      <sheetName val="cash flow"/>
      <sheetName val="115JB_CERT61"/>
      <sheetName val="DEF_TAX61"/>
      <sheetName val="TDS_61"/>
      <sheetName val="1__Lead61"/>
      <sheetName val="Cost_of_Services61"/>
      <sheetName val="Income_Statement61"/>
      <sheetName val="Shareholders'_Equity61"/>
      <sheetName val="Grant_Ranges61"/>
      <sheetName val="fin_stmts_5Yr_Model_Format61"/>
      <sheetName val="Equity_Movement_(Shares)61"/>
      <sheetName val="old_serial_no_61"/>
      <sheetName val="Source_Ref_61"/>
      <sheetName val="RF_Vol61"/>
      <sheetName val="115JB_CERT62"/>
      <sheetName val="DEF_TAX62"/>
      <sheetName val="TDS_62"/>
      <sheetName val="1__Lead62"/>
      <sheetName val="Cost_of_Services62"/>
      <sheetName val="Income_Statement62"/>
      <sheetName val="Shareholders'_Equity62"/>
      <sheetName val="Grant_Ranges62"/>
      <sheetName val="fin_stmts_5Yr_Model_Format62"/>
      <sheetName val="Equity_Movement_(Shares)62"/>
      <sheetName val="old_serial_no_62"/>
      <sheetName val="Source_Ref_62"/>
      <sheetName val="RF_Vol62"/>
      <sheetName val="YTD"/>
      <sheetName val="GENERAL2"/>
      <sheetName val="IT_FBT_DDTP"/>
      <sheetName val="CP-CT1"/>
      <sheetName val="CP-CT2"/>
      <sheetName val="Cover Page"/>
      <sheetName val="Company"/>
      <sheetName val="Capex"/>
      <sheetName val="ConsPL"/>
      <sheetName val="PROV."/>
      <sheetName val="Note 11"/>
      <sheetName val="Long Term Borrowings"/>
      <sheetName val="Long Term Loans"/>
      <sheetName val="LTP"/>
      <sheetName val="OFL-Current"/>
      <sheetName val="OFL-Non-Current"/>
      <sheetName val="Other Financial Liab - Current"/>
      <sheetName val="Note 26"/>
      <sheetName val="OL-C"/>
      <sheetName val="OL-NC"/>
      <sheetName val="Other CA"/>
      <sheetName val="Other Financial Assets - Cu"/>
      <sheetName val="Other Financial Assets - NC"/>
      <sheetName val="Other Non CA"/>
      <sheetName val="Note 25"/>
      <sheetName val="Short Term Loans"/>
      <sheetName val="STP"/>
      <sheetName val="sch_1&amp;2"/>
      <sheetName val="Cover"/>
      <sheetName val="schbs"/>
      <sheetName val="BS_CF"/>
      <sheetName val="BS SPAIN"/>
      <sheetName val="CASH FLOW ANALYSIS SUMMARY  M"/>
      <sheetName val="UTIL"/>
      <sheetName val="Admin"/>
      <sheetName val="BD"/>
      <sheetName val="BVN"/>
      <sheetName val="Chairman"/>
      <sheetName val="Common"/>
      <sheetName val="Connectivity"/>
      <sheetName val="Corp Communications"/>
      <sheetName val="Corp -relations Hyd"/>
      <sheetName val="Delhi office"/>
      <sheetName val="EDP- Aparna Crest"/>
      <sheetName val="F&amp;A"/>
      <sheetName val="GBS"/>
      <sheetName val="HADA monitoring"/>
      <sheetName val="HR-Final updated 2006 03 08"/>
      <sheetName val="MD"/>
      <sheetName val="O&amp;M"/>
      <sheetName val="PMT "/>
      <sheetName val="Project finance"/>
      <sheetName val="Raxa"/>
      <sheetName val="Secretarial"/>
      <sheetName val="Security- Aparna Crest"/>
      <sheetName val="Printing-Billing"/>
      <sheetName val="15"/>
      <sheetName val="NOTES"/>
      <sheetName val="I1"/>
      <sheetName val="for challans"/>
      <sheetName val="Mar'16 BS Area TB"/>
      <sheetName val="N PL"/>
      <sheetName val="N 1"/>
      <sheetName val="Accounting Policies-Rev Sch VI"/>
      <sheetName val="Note 16,17,18,19,20,21,22, 23"/>
      <sheetName val="Note 3"/>
      <sheetName val="Note-1 &amp; 2"/>
      <sheetName val="Note 11,12,13,14and15"/>
      <sheetName val="Note 4,5,6,7,8 and 9"/>
      <sheetName val="Note 10"/>
      <sheetName val="ǣ_x0000__x0000_hǣ_x0000__x0000_lǣ_x0000__x0000_Iǣ_x0000__x0000_0ǣ_x0000__x0000_4ǣ_x0000__x0000_sǣ_x0000__x0000_-ǣ_x0000__x0000_"/>
      <sheetName val="ǣ_x0000__x0000_hǣ_x0000__x0000_lǣ_x0000__x0000_Iǣ_x0000__x0000_0ǣ_x0000__x0000_4ǣ_x0000__x0000_sǧ_x0000__x0000_-ǣ_x0000__x0000_"/>
      <sheetName val="ǣ_x0000__x0000_hǣ_x0000__x0000_lǣ_x0000__x0000_Iǣ_x0000__x0000_0ǣ_x0000__x0000_4ǣ_x0000__x0000_sȇ_x0000__x0000_-ǣ_x0000__x0000_"/>
      <sheetName val="ǣ_x0000__x0000_hǣ_x0000__x0000_lǩ_x0000__x0000_Iǣ_x0000__x0000_0ǣ_x0000__x0000_4ǣ_x0000__x0000_sǣ_x0000__x0000_-ǣ_x0000__x0000_"/>
      <sheetName val="ǣ"/>
      <sheetName val="1"/>
      <sheetName val="2gii"/>
      <sheetName val="August"/>
      <sheetName val="July"/>
      <sheetName val="November"/>
      <sheetName val="grid"/>
      <sheetName val="4.Grouping - Balance Sheet(mio)"/>
      <sheetName val="qe32"/>
      <sheetName val="Assumption"/>
      <sheetName val="Attainment"/>
      <sheetName val="YTD_Pmts_by_Person2"/>
      <sheetName val="YTD Pmts by Person"/>
      <sheetName val="시산"/>
      <sheetName val="Final Data"/>
      <sheetName val="Adjustments"/>
      <sheetName val="FORM-16"/>
      <sheetName val="other data lookup"/>
      <sheetName val="BS_Sch"/>
      <sheetName val="gen_ledger_data"/>
      <sheetName val="SCHDGRP"/>
      <sheetName val="EXHAUST"/>
      <sheetName val="Basic data"/>
      <sheetName val="Temp. Help"/>
      <sheetName val="Balance_sheet2"/>
      <sheetName val="Gratutity_-_Ask_&amp;_delete3"/>
      <sheetName val="pacific_forms1"/>
      <sheetName val="Scenarios_and_sensitivities2"/>
      <sheetName val="Actual_Input1"/>
      <sheetName val="Bus_Mgmt1"/>
      <sheetName val="Disruptive_1"/>
      <sheetName val="Unidentified_Contracts-NLX1"/>
      <sheetName val="2002_03_Prem_Projection1"/>
      <sheetName val="Non-Recurring_Items_Detail"/>
      <sheetName val="Gross_Margin_by_Practice"/>
      <sheetName val="Exchange_Rate"/>
      <sheetName val="Ann VII"/>
      <sheetName val="Ann VIII"/>
      <sheetName val="SCH-A"/>
      <sheetName val="Financials"/>
      <sheetName val="001-2"/>
      <sheetName val="BA"/>
      <sheetName val="Balance_Sheet_-_Final2"/>
      <sheetName val="Schedule_VI_-_03-042"/>
      <sheetName val="Switch_V162"/>
      <sheetName val="Total_Haryana_POs_AMC_Sheet_3%2"/>
      <sheetName val="delhi_03-04AMC_@_3%2"/>
      <sheetName val="SPS_DETAIL2"/>
      <sheetName val="NSV_N_KGs2"/>
      <sheetName val="ANNX_-_I_(_a_)2"/>
      <sheetName val="Payroll_BL2"/>
      <sheetName val="Rec'd_Statements2"/>
      <sheetName val="Master_List2"/>
      <sheetName val="Category_wise_Summary2"/>
      <sheetName val="PRECAST_lightconc-II"/>
      <sheetName val="3BPA00132-5-3_W_plan_HVPNL"/>
      <sheetName val="Modality_Summary"/>
      <sheetName val="Nov_02_&amp;_Dec_02_sal"/>
      <sheetName val="NBP_Gp_wise_-_blr_15"/>
      <sheetName val="RPT_71-VOLUME_DATA-PCI_"/>
      <sheetName val="Pro-Forma_profile_AVP"/>
      <sheetName val="XREF"/>
      <sheetName val="Earnings"/>
      <sheetName val="BS_Sch1"/>
      <sheetName val="PRECAST_lightconc-II1"/>
      <sheetName val="3BPA00132-5-3_W_plan_HVPNL1"/>
      <sheetName val="Modality_Summary1"/>
      <sheetName val="Non-Recurring_Items_Detail1"/>
      <sheetName val="Gross_Margin_by_Practice1"/>
      <sheetName val="Exchange_Rate1"/>
      <sheetName val="EVA_Calculations2"/>
      <sheetName val="YTD_Pmts_by_Person"/>
      <sheetName val="Actual_Input2"/>
      <sheetName val="Bus_Mgmt2"/>
      <sheetName val="Disruptive_2"/>
      <sheetName val="NSV_N_KGs3"/>
      <sheetName val="Payroll_BL3"/>
      <sheetName val="Switch_V163"/>
      <sheetName val="Balance_Sheet_-_Final3"/>
      <sheetName val="Schedule_VI_-_03-043"/>
      <sheetName val="Scenarios_and_sensitivities3"/>
      <sheetName val="Total_Haryana_POs_AMC_Sheet_3%3"/>
      <sheetName val="delhi_03-04AMC_@_3%3"/>
      <sheetName val="SPS_DETAIL3"/>
      <sheetName val="Rec'd_Statements3"/>
      <sheetName val="Gratutity_-_Ask_&amp;_delete4"/>
      <sheetName val="Balance_sheet3"/>
      <sheetName val="EVA_Calculations3"/>
      <sheetName val="ANNX_-_I_(_a_)3"/>
      <sheetName val="Unidentified_Contracts-NLX2"/>
      <sheetName val="2002_03_Prem_Projection2"/>
      <sheetName val="Master_List3"/>
      <sheetName val="Category_wise_Summary3"/>
      <sheetName val="gen_ledger_data1"/>
      <sheetName val="YTD_Pmts_by_Person1"/>
      <sheetName val="RPT_71-VOLUME_DATA-PCI_1"/>
      <sheetName val="DN_TIME_021"/>
      <sheetName val="DN_TIME_141"/>
      <sheetName val="NBP_Gp_wise_-_blr_151"/>
      <sheetName val="Actual_Input3"/>
      <sheetName val="Bus_Mgmt3"/>
      <sheetName val="Disruptive_3"/>
      <sheetName val="NSV_N_KGs4"/>
      <sheetName val="Payroll_BL4"/>
      <sheetName val="Switch_V164"/>
      <sheetName val="Balance_Sheet_-_Final4"/>
      <sheetName val="Schedule_VI_-_03-044"/>
      <sheetName val="Scenarios_and_sensitivities4"/>
      <sheetName val="Total_Haryana_POs_AMC_Sheet_3%4"/>
      <sheetName val="delhi_03-04AMC_@_3%4"/>
      <sheetName val="SPS_DETAIL4"/>
      <sheetName val="Rec'd_Statements4"/>
      <sheetName val="Gratutity_-_Ask_&amp;_delete5"/>
      <sheetName val="Balance_sheet4"/>
      <sheetName val="EVA_Calculations4"/>
      <sheetName val="ANNX_-_I_(_a_)4"/>
      <sheetName val="Unidentified_Contracts-NLX3"/>
      <sheetName val="2002_03_Prem_Projection3"/>
      <sheetName val="Master_List4"/>
      <sheetName val="Category_wise_Summary4"/>
      <sheetName val="pacific_forms2"/>
      <sheetName val="Non-Recurring_Items_Detail2"/>
      <sheetName val="Gross_Margin_by_Practice2"/>
      <sheetName val="Exchange_Rate2"/>
      <sheetName val="BS_Sch2"/>
      <sheetName val="gen_ledger_data2"/>
      <sheetName val="YTD_Pmts_by_Person3"/>
      <sheetName val="RPT_71-VOLUME_DATA-PCI_2"/>
      <sheetName val="DN_TIME_022"/>
      <sheetName val="DN_TIME_142"/>
      <sheetName val="PRECAST_lightconc-II2"/>
      <sheetName val="3BPA00132-5-3_W_plan_HVPNL2"/>
      <sheetName val="Modality_Summary2"/>
      <sheetName val="NBP_Gp_wise_-_blr_152"/>
      <sheetName val="Actual_Input4"/>
      <sheetName val="Bus_Mgmt4"/>
      <sheetName val="Disruptive_4"/>
      <sheetName val="NSV_N_KGs5"/>
      <sheetName val="Payroll_BL5"/>
      <sheetName val="Switch_V165"/>
      <sheetName val="Balance_Sheet_-_Final5"/>
      <sheetName val="Schedule_VI_-_03-045"/>
      <sheetName val="Scenarios_and_sensitivities5"/>
      <sheetName val="Total_Haryana_POs_AMC_Sheet_3%5"/>
      <sheetName val="delhi_03-04AMC_@_3%5"/>
      <sheetName val="SPS_DETAIL5"/>
      <sheetName val="Rec'd_Statements5"/>
      <sheetName val="Gratutity_-_Ask_&amp;_delete6"/>
      <sheetName val="Balance_sheet5"/>
      <sheetName val="EVA_Calculations5"/>
      <sheetName val="ANNX_-_I_(_a_)5"/>
      <sheetName val="Unidentified_Contracts-NLX4"/>
      <sheetName val="2002_03_Prem_Projection4"/>
      <sheetName val="Master_List5"/>
      <sheetName val="Category_wise_Summary5"/>
      <sheetName val="pacific_forms3"/>
      <sheetName val="Non-Recurring_Items_Detail3"/>
      <sheetName val="Gross_Margin_by_Practice3"/>
      <sheetName val="Exchange_Rate3"/>
      <sheetName val="BS_Sch3"/>
      <sheetName val="gen_ledger_data3"/>
      <sheetName val="YTD_Pmts_by_Person4"/>
      <sheetName val="RPT_71-VOLUME_DATA-PCI_3"/>
      <sheetName val="DN_TIME_023"/>
      <sheetName val="DN_TIME_143"/>
      <sheetName val="PRECAST_lightconc-II3"/>
      <sheetName val="3BPA00132-5-3_W_plan_HVPNL3"/>
      <sheetName val="Modality_Summary3"/>
      <sheetName val="NBP_Gp_wise_-_blr_153"/>
      <sheetName val="TRIAL_BALANCE7"/>
      <sheetName val="Ann_-17"/>
      <sheetName val="Schedules_PL7"/>
      <sheetName val="Schedules_BS7"/>
      <sheetName val="list_of_directo7"/>
      <sheetName val="Actual_Input5"/>
      <sheetName val="Bus_Mgmt5"/>
      <sheetName val="Disruptive_5"/>
      <sheetName val="NSV_N_KGs6"/>
      <sheetName val="Payroll_BL6"/>
      <sheetName val="Switch_V166"/>
      <sheetName val="Balance_Sheet_-_Final6"/>
      <sheetName val="Schedule_VI_-_03-046"/>
      <sheetName val="Scenarios_and_sensitivities6"/>
      <sheetName val="Total_Haryana_POs_AMC_Sheet_3%6"/>
      <sheetName val="delhi_03-04AMC_@_3%6"/>
      <sheetName val="SPS_DETAIL6"/>
      <sheetName val="Rec'd_Statements6"/>
      <sheetName val="Gratutity_-_Ask_&amp;_delete7"/>
      <sheetName val="Balance_sheet6"/>
      <sheetName val="EVA_Calculations6"/>
      <sheetName val="ANNX_-_I_(_a_)6"/>
      <sheetName val="Unidentified_Contracts-NLX5"/>
      <sheetName val="2002_03_Prem_Projection5"/>
      <sheetName val="Master_List6"/>
      <sheetName val="Category_wise_Summary6"/>
      <sheetName val="pacific_forms4"/>
      <sheetName val="Non-Recurring_Items_Detail4"/>
      <sheetName val="Gross_Margin_by_Practice4"/>
      <sheetName val="Exchange_Rate4"/>
      <sheetName val="BS_Sch4"/>
      <sheetName val="gen_ledger_data4"/>
      <sheetName val="YTD_Pmts_by_Person5"/>
      <sheetName val="RPT_71-VOLUME_DATA-PCI_4"/>
      <sheetName val="DN_TIME_024"/>
      <sheetName val="DN_TIME_144"/>
      <sheetName val="PRECAST_lightconc-II4"/>
      <sheetName val="3BPA00132-5-3_W_plan_HVPNL4"/>
      <sheetName val="Modality_Summary4"/>
      <sheetName val="NBP_Gp_wise_-_blr_154"/>
      <sheetName val="A"/>
      <sheetName val="DATE"/>
      <sheetName val="HCO3CD"/>
      <sheetName val="Control Sheet"/>
      <sheetName val="Grouping_TB"/>
      <sheetName val="Control_Sheet"/>
      <sheetName val="BS_ABRIDGED"/>
      <sheetName val="Hyp-mstr"/>
      <sheetName val="Bases"/>
      <sheetName val="FIX_INCOME"/>
      <sheetName val="ALL-IBANK-BRS"/>
      <sheetName val="BSHEET"/>
      <sheetName val="ANNX -II"/>
      <sheetName val="SALT{PBC}"/>
      <sheetName val="Stockchange_Leadsheet"/>
      <sheetName val="Inventories_Leadsheet"/>
      <sheetName val="IGAAP"/>
      <sheetName val="FG030701 gm1007"/>
      <sheetName val="WGE P&amp;E"/>
      <sheetName val="Consolidation _Rs"/>
      <sheetName val="cell rel"/>
      <sheetName val="Grouping_TB2"/>
      <sheetName val="Excess_Calc2"/>
      <sheetName val="Customize_Your_Purchase_Order2"/>
      <sheetName val="Excess_Calc"/>
      <sheetName val="Customize_Your_Purchase_Order"/>
      <sheetName val="Grouping_TB1"/>
      <sheetName val="Excess_Calc1"/>
      <sheetName val="Customize_Your_Purchase_Order1"/>
      <sheetName val="Grouping_TB3"/>
      <sheetName val="Excess_Calc3"/>
      <sheetName val="Customize_Your_Purchase_Order3"/>
      <sheetName val="Grouping_TB4"/>
      <sheetName val="Excess_Calc4"/>
      <sheetName val="Customize_Your_Purchase_Order4"/>
      <sheetName val="TRIAL_BALANCE8"/>
      <sheetName val="Ann_-18"/>
      <sheetName val="Schedules_PL8"/>
      <sheetName val="Schedules_BS8"/>
      <sheetName val="list_of_directo8"/>
      <sheetName val="Actual_Input6"/>
      <sheetName val="Bus_Mgmt6"/>
      <sheetName val="Disruptive_6"/>
      <sheetName val="NSV_N_KGs7"/>
      <sheetName val="Payroll_BL7"/>
      <sheetName val="Switch_V167"/>
      <sheetName val="Balance_Sheet_-_Final7"/>
      <sheetName val="Schedule_VI_-_03-047"/>
      <sheetName val="Scenarios_and_sensitivities7"/>
      <sheetName val="Total_Haryana_POs_AMC_Sheet_3%7"/>
      <sheetName val="delhi_03-04AMC_@_3%7"/>
      <sheetName val="SPS_DETAIL7"/>
      <sheetName val="Rec'd_Statements7"/>
      <sheetName val="Gratutity_-_Ask_&amp;_delete8"/>
      <sheetName val="Balance_sheet7"/>
      <sheetName val="EVA_Calculations7"/>
      <sheetName val="ANNX_-_I_(_a_)7"/>
      <sheetName val="Unidentified_Contracts-NLX6"/>
      <sheetName val="2002_03_Prem_Projection6"/>
      <sheetName val="Master_List7"/>
      <sheetName val="Category_wise_Summary7"/>
      <sheetName val="pacific_forms5"/>
      <sheetName val="Non-Recurring_Items_Detail5"/>
      <sheetName val="Gross_Margin_by_Practice5"/>
      <sheetName val="Exchange_Rate5"/>
      <sheetName val="BS_Sch5"/>
      <sheetName val="gen_ledger_data5"/>
      <sheetName val="YTD_Pmts_by_Person6"/>
      <sheetName val="RPT_71-VOLUME_DATA-PCI_5"/>
      <sheetName val="DN_TIME_025"/>
      <sheetName val="DN_TIME_145"/>
      <sheetName val="PRECAST_lightconc-II5"/>
      <sheetName val="3BPA00132-5-3_W_plan_HVPNL5"/>
      <sheetName val="Modality_Summary5"/>
      <sheetName val="NBP_Gp_wise_-_blr_155"/>
      <sheetName val="Grouping_TB5"/>
      <sheetName val="Excess_Calc5"/>
      <sheetName val="Customize_Your_Purchase_Order5"/>
      <sheetName val="TRIAL_BALANCE9"/>
      <sheetName val="Ann_-19"/>
      <sheetName val="Schedules_PL9"/>
      <sheetName val="Schedules_BS9"/>
      <sheetName val="list_of_directo9"/>
      <sheetName val="Actual_Input7"/>
      <sheetName val="Bus_Mgmt7"/>
      <sheetName val="Disruptive_7"/>
      <sheetName val="NSV_N_KGs8"/>
      <sheetName val="Payroll_BL8"/>
      <sheetName val="Switch_V168"/>
      <sheetName val="Balance_Sheet_-_Final8"/>
      <sheetName val="Schedule_VI_-_03-048"/>
      <sheetName val="Scenarios_and_sensitivities8"/>
      <sheetName val="Total_Haryana_POs_AMC_Sheet_3%8"/>
      <sheetName val="delhi_03-04AMC_@_3%8"/>
      <sheetName val="SPS_DETAIL8"/>
      <sheetName val="Rec'd_Statements8"/>
      <sheetName val="Gratutity_-_Ask_&amp;_delete9"/>
      <sheetName val="Balance_sheet8"/>
      <sheetName val="EVA_Calculations8"/>
      <sheetName val="ANNX_-_I_(_a_)8"/>
      <sheetName val="Unidentified_Contracts-NLX7"/>
      <sheetName val="2002_03_Prem_Projection7"/>
      <sheetName val="Master_List8"/>
      <sheetName val="Category_wise_Summary8"/>
      <sheetName val="pacific_forms6"/>
      <sheetName val="Non-Recurring_Items_Detail6"/>
      <sheetName val="Gross_Margin_by_Practice6"/>
      <sheetName val="Exchange_Rate6"/>
      <sheetName val="BS_Sch6"/>
      <sheetName val="gen_ledger_data6"/>
      <sheetName val="YTD_Pmts_by_Person7"/>
      <sheetName val="RPT_71-VOLUME_DATA-PCI_6"/>
      <sheetName val="DN_TIME_026"/>
      <sheetName val="DN_TIME_146"/>
      <sheetName val="PRECAST_lightconc-II6"/>
      <sheetName val="3BPA00132-5-3_W_plan_HVPNL6"/>
      <sheetName val="Modality_Summary6"/>
      <sheetName val="NBP_Gp_wise_-_blr_156"/>
      <sheetName val="Grouping_TB6"/>
      <sheetName val="Excess_Calc6"/>
      <sheetName val="Customize_Your_Purchase_Order6"/>
      <sheetName val="TRIAL_BALANCE10"/>
      <sheetName val="Ann_-110"/>
      <sheetName val="Schedules_PL10"/>
      <sheetName val="Schedules_BS10"/>
      <sheetName val="list_of_directo10"/>
      <sheetName val="Actual_Input8"/>
      <sheetName val="Bus_Mgmt8"/>
      <sheetName val="Disruptive_8"/>
      <sheetName val="NSV_N_KGs9"/>
      <sheetName val="Payroll_BL9"/>
      <sheetName val="Switch_V169"/>
      <sheetName val="Balance_Sheet_-_Final9"/>
      <sheetName val="Schedule_VI_-_03-049"/>
      <sheetName val="Scenarios_and_sensitivities9"/>
      <sheetName val="Total_Haryana_POs_AMC_Sheet_3%9"/>
      <sheetName val="delhi_03-04AMC_@_3%9"/>
      <sheetName val="SPS_DETAIL9"/>
      <sheetName val="Rec'd_Statements9"/>
      <sheetName val="Gratutity_-_Ask_&amp;_delete10"/>
      <sheetName val="Balance_sheet9"/>
      <sheetName val="EVA_Calculations9"/>
      <sheetName val="ANNX_-_I_(_a_)9"/>
      <sheetName val="Unidentified_Contracts-NLX8"/>
      <sheetName val="2002_03_Prem_Projection8"/>
      <sheetName val="Master_List9"/>
      <sheetName val="Category_wise_Summary9"/>
      <sheetName val="pacific_forms7"/>
      <sheetName val="Non-Recurring_Items_Detail7"/>
      <sheetName val="Gross_Margin_by_Practice7"/>
      <sheetName val="Exchange_Rate7"/>
      <sheetName val="BS_Sch7"/>
      <sheetName val="gen_ledger_data7"/>
      <sheetName val="YTD_Pmts_by_Person8"/>
      <sheetName val="RPT_71-VOLUME_DATA-PCI_7"/>
      <sheetName val="DN_TIME_027"/>
      <sheetName val="DN_TIME_147"/>
      <sheetName val="PRECAST_lightconc-II7"/>
      <sheetName val="3BPA00132-5-3_W_plan_HVPNL7"/>
      <sheetName val="Modality_Summary7"/>
      <sheetName val="NBP_Gp_wise_-_blr_157"/>
      <sheetName val="TRIAL_BALANCE14"/>
      <sheetName val="Ann_-114"/>
      <sheetName val="Schedules_PL14"/>
      <sheetName val="Schedules_BS14"/>
      <sheetName val="list_of_directo14"/>
      <sheetName val="Actual_Input12"/>
      <sheetName val="Bus_Mgmt12"/>
      <sheetName val="Disruptive_12"/>
      <sheetName val="NSV_N_KGs13"/>
      <sheetName val="Payroll_BL13"/>
      <sheetName val="Switch_V1613"/>
      <sheetName val="Balance_Sheet_-_Final13"/>
      <sheetName val="Schedule_VI_-_03-0413"/>
      <sheetName val="Scenarios_and_sensitivities13"/>
      <sheetName val="Total_Haryana_POs_AMC_Sheet_313"/>
      <sheetName val="delhi_03-04AMC_@_3%13"/>
      <sheetName val="SPS_DETAIL13"/>
      <sheetName val="Rec'd_Statements13"/>
      <sheetName val="Gratutity_-_Ask_&amp;_delete14"/>
      <sheetName val="Balance_sheet13"/>
      <sheetName val="EVA_Calculations13"/>
      <sheetName val="ANNX_-_I_(_a_)13"/>
      <sheetName val="Unidentified_Contracts-NLX12"/>
      <sheetName val="2002_03_Prem_Projection12"/>
      <sheetName val="Master_List13"/>
      <sheetName val="Category_wise_Summary13"/>
      <sheetName val="pacific_forms11"/>
      <sheetName val="Non-Recurring_Items_Detail11"/>
      <sheetName val="Gross_Margin_by_Practice11"/>
      <sheetName val="Exchange_Rate11"/>
      <sheetName val="BS_Sch11"/>
      <sheetName val="gen_ledger_data11"/>
      <sheetName val="YTD_Pmts_by_Person12"/>
      <sheetName val="RPT_71-VOLUME_DATA-PCI_11"/>
      <sheetName val="DN_TIME_0211"/>
      <sheetName val="DN_TIME_1411"/>
      <sheetName val="PRECAST_lightconc-II11"/>
      <sheetName val="3BPA00132-5-3_W_plan_HVPNL11"/>
      <sheetName val="Modality_Summary11"/>
      <sheetName val="NBP_Gp_wise_-_blr_1511"/>
      <sheetName val="Grouping_TB10"/>
      <sheetName val="Excess_Calc10"/>
      <sheetName val="Customize_Your_Purchase_Order10"/>
      <sheetName val="TRIAL_BALANCE13"/>
      <sheetName val="Ann_-113"/>
      <sheetName val="Schedules_PL13"/>
      <sheetName val="Schedules_BS13"/>
      <sheetName val="list_of_directo13"/>
      <sheetName val="Actual_Input11"/>
      <sheetName val="Bus_Mgmt11"/>
      <sheetName val="Disruptive_11"/>
      <sheetName val="NSV_N_KGs12"/>
      <sheetName val="Payroll_BL12"/>
      <sheetName val="Switch_V1612"/>
      <sheetName val="Balance_Sheet_-_Final12"/>
      <sheetName val="Schedule_VI_-_03-0412"/>
      <sheetName val="Scenarios_and_sensitivities12"/>
      <sheetName val="Total_Haryana_POs_AMC_Sheet_312"/>
      <sheetName val="delhi_03-04AMC_@_3%12"/>
      <sheetName val="SPS_DETAIL12"/>
      <sheetName val="Rec'd_Statements12"/>
      <sheetName val="Gratutity_-_Ask_&amp;_delete13"/>
      <sheetName val="Balance_sheet12"/>
      <sheetName val="EVA_Calculations12"/>
      <sheetName val="ANNX_-_I_(_a_)12"/>
      <sheetName val="Unidentified_Contracts-NLX11"/>
      <sheetName val="2002_03_Prem_Projection11"/>
      <sheetName val="Master_List12"/>
      <sheetName val="Category_wise_Summary12"/>
      <sheetName val="pacific_forms10"/>
      <sheetName val="Non-Recurring_Items_Detail10"/>
      <sheetName val="Gross_Margin_by_Practice10"/>
      <sheetName val="Exchange_Rate10"/>
      <sheetName val="BS_Sch10"/>
      <sheetName val="gen_ledger_data10"/>
      <sheetName val="YTD_Pmts_by_Person11"/>
      <sheetName val="RPT_71-VOLUME_DATA-PCI_10"/>
      <sheetName val="DN_TIME_0210"/>
      <sheetName val="DN_TIME_1410"/>
      <sheetName val="PRECAST_lightconc-II10"/>
      <sheetName val="3BPA00132-5-3_W_plan_HVPNL10"/>
      <sheetName val="Modality_Summary10"/>
      <sheetName val="NBP_Gp_wise_-_blr_1510"/>
      <sheetName val="Grouping_TB9"/>
      <sheetName val="Excess_Calc9"/>
      <sheetName val="Customize_Your_Purchase_Order9"/>
      <sheetName val="TRIAL_BALANCE11"/>
      <sheetName val="Ann_-111"/>
      <sheetName val="Schedules_PL11"/>
      <sheetName val="Schedules_BS11"/>
      <sheetName val="list_of_directo11"/>
      <sheetName val="Actual_Input9"/>
      <sheetName val="Bus_Mgmt9"/>
      <sheetName val="Disruptive_9"/>
      <sheetName val="NSV_N_KGs10"/>
      <sheetName val="Payroll_BL10"/>
      <sheetName val="Switch_V1610"/>
      <sheetName val="Balance_Sheet_-_Final10"/>
      <sheetName val="Schedule_VI_-_03-0410"/>
      <sheetName val="Scenarios_and_sensitivities10"/>
      <sheetName val="Total_Haryana_POs_AMC_Sheet_310"/>
      <sheetName val="delhi_03-04AMC_@_3%10"/>
      <sheetName val="SPS_DETAIL10"/>
      <sheetName val="Rec'd_Statements10"/>
      <sheetName val="Gratutity_-_Ask_&amp;_delete11"/>
      <sheetName val="Balance_sheet10"/>
      <sheetName val="EVA_Calculations10"/>
      <sheetName val="ANNX_-_I_(_a_)10"/>
      <sheetName val="Unidentified_Contracts-NLX9"/>
      <sheetName val="2002_03_Prem_Projection9"/>
      <sheetName val="Master_List10"/>
      <sheetName val="Category_wise_Summary10"/>
      <sheetName val="pacific_forms8"/>
      <sheetName val="Non-Recurring_Items_Detail8"/>
      <sheetName val="Gross_Margin_by_Practice8"/>
      <sheetName val="Exchange_Rate8"/>
      <sheetName val="BS_Sch8"/>
      <sheetName val="gen_ledger_data8"/>
      <sheetName val="YTD_Pmts_by_Person9"/>
      <sheetName val="RPT_71-VOLUME_DATA-PCI_8"/>
      <sheetName val="DN_TIME_028"/>
      <sheetName val="DN_TIME_148"/>
      <sheetName val="PRECAST_lightconc-II8"/>
      <sheetName val="3BPA00132-5-3_W_plan_HVPNL8"/>
      <sheetName val="Modality_Summary8"/>
      <sheetName val="NBP_Gp_wise_-_blr_158"/>
      <sheetName val="Grouping_TB7"/>
      <sheetName val="Excess_Calc7"/>
      <sheetName val="Customize_Your_Purchase_Order7"/>
      <sheetName val="TRIAL_BALANCE12"/>
      <sheetName val="Ann_-112"/>
      <sheetName val="Schedules_PL12"/>
      <sheetName val="Schedules_BS12"/>
      <sheetName val="list_of_directo12"/>
      <sheetName val="Actual_Input10"/>
      <sheetName val="Bus_Mgmt10"/>
      <sheetName val="Disruptive_10"/>
      <sheetName val="NSV_N_KGs11"/>
      <sheetName val="Payroll_BL11"/>
      <sheetName val="Switch_V1611"/>
      <sheetName val="Balance_Sheet_-_Final11"/>
      <sheetName val="Schedule_VI_-_03-0411"/>
      <sheetName val="Scenarios_and_sensitivities11"/>
      <sheetName val="Total_Haryana_POs_AMC_Sheet_311"/>
      <sheetName val="delhi_03-04AMC_@_3%11"/>
      <sheetName val="SPS_DETAIL11"/>
      <sheetName val="Rec'd_Statements11"/>
      <sheetName val="Gratutity_-_Ask_&amp;_delete12"/>
      <sheetName val="Balance_sheet11"/>
      <sheetName val="EVA_Calculations11"/>
      <sheetName val="ANNX_-_I_(_a_)11"/>
      <sheetName val="Unidentified_Contracts-NLX10"/>
      <sheetName val="2002_03_Prem_Projection10"/>
      <sheetName val="Master_List11"/>
      <sheetName val="Category_wise_Summary11"/>
      <sheetName val="pacific_forms9"/>
      <sheetName val="Non-Recurring_Items_Detail9"/>
      <sheetName val="Gross_Margin_by_Practice9"/>
      <sheetName val="Exchange_Rate9"/>
      <sheetName val="BS_Sch9"/>
      <sheetName val="gen_ledger_data9"/>
      <sheetName val="YTD_Pmts_by_Person10"/>
      <sheetName val="RPT_71-VOLUME_DATA-PCI_9"/>
      <sheetName val="DN_TIME_029"/>
      <sheetName val="DN_TIME_149"/>
      <sheetName val="PRECAST_lightconc-II9"/>
      <sheetName val="3BPA00132-5-3_W_plan_HVPNL9"/>
      <sheetName val="Modality_Summary9"/>
      <sheetName val="NBP_Gp_wise_-_blr_159"/>
      <sheetName val="Grouping_TB8"/>
      <sheetName val="Excess_Calc8"/>
      <sheetName val="Customize_Your_Purchase_Order8"/>
      <sheetName val="TRIAL_BALANCE15"/>
      <sheetName val="Ann_-115"/>
      <sheetName val="Schedules_PL15"/>
      <sheetName val="Schedules_BS15"/>
      <sheetName val="list_of_directo15"/>
      <sheetName val="Actual_Input13"/>
      <sheetName val="Bus_Mgmt13"/>
      <sheetName val="Disruptive_13"/>
      <sheetName val="NSV_N_KGs14"/>
      <sheetName val="Payroll_BL14"/>
      <sheetName val="Switch_V1614"/>
      <sheetName val="Balance_Sheet_-_Final14"/>
      <sheetName val="Schedule_VI_-_03-0414"/>
      <sheetName val="Scenarios_and_sensitivities14"/>
      <sheetName val="Total_Haryana_POs_AMC_Sheet_314"/>
      <sheetName val="delhi_03-04AMC_@_3%14"/>
      <sheetName val="SPS_DETAIL14"/>
      <sheetName val="Rec'd_Statements14"/>
      <sheetName val="Gratutity_-_Ask_&amp;_delete15"/>
      <sheetName val="Balance_sheet14"/>
      <sheetName val="EVA_Calculations14"/>
      <sheetName val="ANNX_-_I_(_a_)14"/>
      <sheetName val="Unidentified_Contracts-NLX13"/>
      <sheetName val="2002_03_Prem_Projection13"/>
      <sheetName val="Master_List14"/>
      <sheetName val="Category_wise_Summary14"/>
      <sheetName val="pacific_forms12"/>
      <sheetName val="Non-Recurring_Items_Detail12"/>
      <sheetName val="Gross_Margin_by_Practice12"/>
      <sheetName val="Exchange_Rate12"/>
      <sheetName val="BS_Sch12"/>
      <sheetName val="gen_ledger_data12"/>
      <sheetName val="YTD_Pmts_by_Person13"/>
      <sheetName val="RPT_71-VOLUME_DATA-PCI_12"/>
      <sheetName val="DN_TIME_0212"/>
      <sheetName val="DN_TIME_1412"/>
      <sheetName val="PRECAST_lightconc-II12"/>
      <sheetName val="3BPA00132-5-3_W_plan_HVPNL12"/>
      <sheetName val="Modality_Summary12"/>
      <sheetName val="NBP_Gp_wise_-_blr_1512"/>
      <sheetName val="Grouping_TB11"/>
      <sheetName val="Excess_Calc11"/>
      <sheetName val="Customize_Your_Purchase_Order11"/>
      <sheetName val="TRIAL_BALANCE16"/>
      <sheetName val="Ann_-116"/>
      <sheetName val="Schedules_PL16"/>
      <sheetName val="Schedules_BS16"/>
      <sheetName val="list_of_directo16"/>
      <sheetName val="Actual_Input14"/>
      <sheetName val="Bus_Mgmt14"/>
      <sheetName val="Disruptive_14"/>
      <sheetName val="NSV_N_KGs15"/>
      <sheetName val="Payroll_BL15"/>
      <sheetName val="Switch_V1615"/>
      <sheetName val="Balance_Sheet_-_Final15"/>
      <sheetName val="Schedule_VI_-_03-0415"/>
      <sheetName val="Scenarios_and_sensitivities15"/>
      <sheetName val="Total_Haryana_POs_AMC_Sheet_315"/>
      <sheetName val="delhi_03-04AMC_@_3%15"/>
      <sheetName val="SPS_DETAIL15"/>
      <sheetName val="Rec'd_Statements15"/>
      <sheetName val="Gratutity_-_Ask_&amp;_delete16"/>
      <sheetName val="Balance_sheet15"/>
      <sheetName val="EVA_Calculations15"/>
      <sheetName val="ANNX_-_I_(_a_)15"/>
      <sheetName val="Unidentified_Contracts-NLX14"/>
      <sheetName val="2002_03_Prem_Projection14"/>
      <sheetName val="Master_List15"/>
      <sheetName val="Category_wise_Summary15"/>
      <sheetName val="pacific_forms13"/>
      <sheetName val="Non-Recurring_Items_Detail13"/>
      <sheetName val="Gross_Margin_by_Practice13"/>
      <sheetName val="Exchange_Rate13"/>
      <sheetName val="BS_Sch13"/>
      <sheetName val="gen_ledger_data13"/>
      <sheetName val="YTD_Pmts_by_Person14"/>
      <sheetName val="RPT_71-VOLUME_DATA-PCI_13"/>
      <sheetName val="DN_TIME_0213"/>
      <sheetName val="DN_TIME_1413"/>
      <sheetName val="PRECAST_lightconc-II13"/>
      <sheetName val="3BPA00132-5-3_W_plan_HVPNL13"/>
      <sheetName val="Modality_Summary13"/>
      <sheetName val="NBP_Gp_wise_-_blr_1513"/>
      <sheetName val="Grouping_TB12"/>
      <sheetName val="Excess_Calc12"/>
      <sheetName val="Customize_Your_Purchase_Order12"/>
      <sheetName val="TRIAL_BALANCE17"/>
      <sheetName val="Ann_-117"/>
      <sheetName val="Schedules_PL17"/>
      <sheetName val="Schedules_BS17"/>
      <sheetName val="list_of_directo17"/>
      <sheetName val="Actual_Input15"/>
      <sheetName val="Bus_Mgmt15"/>
      <sheetName val="Disruptive_15"/>
      <sheetName val="NSV_N_KGs16"/>
      <sheetName val="Payroll_BL16"/>
      <sheetName val="Switch_V1616"/>
      <sheetName val="Balance_Sheet_-_Final16"/>
      <sheetName val="Schedule_VI_-_03-0416"/>
      <sheetName val="Scenarios_and_sensitivities16"/>
      <sheetName val="Total_Haryana_POs_AMC_Sheet_316"/>
      <sheetName val="delhi_03-04AMC_@_3%16"/>
      <sheetName val="SPS_DETAIL16"/>
      <sheetName val="Rec'd_Statements16"/>
      <sheetName val="Gratutity_-_Ask_&amp;_delete17"/>
      <sheetName val="Balance_sheet16"/>
      <sheetName val="EVA_Calculations16"/>
      <sheetName val="ANNX_-_I_(_a_)16"/>
      <sheetName val="Unidentified_Contracts-NLX15"/>
      <sheetName val="2002_03_Prem_Projection15"/>
      <sheetName val="Master_List16"/>
      <sheetName val="Category_wise_Summary16"/>
      <sheetName val="pacific_forms14"/>
      <sheetName val="Non-Recurring_Items_Detail14"/>
      <sheetName val="Gross_Margin_by_Practice14"/>
      <sheetName val="Exchange_Rate14"/>
      <sheetName val="BS_Sch14"/>
      <sheetName val="gen_ledger_data14"/>
      <sheetName val="YTD_Pmts_by_Person15"/>
      <sheetName val="RPT_71-VOLUME_DATA-PCI_14"/>
      <sheetName val="DN_TIME_0214"/>
      <sheetName val="DN_TIME_1414"/>
      <sheetName val="PRECAST_lightconc-II14"/>
      <sheetName val="3BPA00132-5-3_W_plan_HVPNL14"/>
      <sheetName val="Modality_Summary14"/>
      <sheetName val="NBP_Gp_wise_-_blr_1514"/>
      <sheetName val="Grouping_TB13"/>
      <sheetName val="Excess_Calc13"/>
      <sheetName val="Customize_Your_Purchase_Order13"/>
      <sheetName val="Sub-Cont_Rev"/>
      <sheetName val="Input_schedule"/>
      <sheetName val="Consol_wkg"/>
      <sheetName val="Resource_Details"/>
      <sheetName val="TRIAL_BALANCE18"/>
      <sheetName val="Ann_-118"/>
      <sheetName val="Schedules_PL18"/>
      <sheetName val="Schedules_BS18"/>
      <sheetName val="list_of_directo18"/>
      <sheetName val="Actual_Input16"/>
      <sheetName val="Bus_Mgmt16"/>
      <sheetName val="Disruptive_16"/>
      <sheetName val="NSV_N_KGs17"/>
      <sheetName val="Payroll_BL17"/>
      <sheetName val="Switch_V1617"/>
      <sheetName val="Balance_Sheet_-_Final17"/>
      <sheetName val="Schedule_VI_-_03-0417"/>
      <sheetName val="Scenarios_and_sensitivities17"/>
      <sheetName val="Total_Haryana_POs_AMC_Sheet_317"/>
      <sheetName val="delhi_03-04AMC_@_3%17"/>
      <sheetName val="SPS_DETAIL17"/>
      <sheetName val="Rec'd_Statements17"/>
      <sheetName val="Gratutity_-_Ask_&amp;_delete18"/>
      <sheetName val="Balance_sheet17"/>
      <sheetName val="EVA_Calculations17"/>
      <sheetName val="ANNX_-_I_(_a_)17"/>
      <sheetName val="Unidentified_Contracts-NLX16"/>
      <sheetName val="2002_03_Prem_Projection16"/>
      <sheetName val="Master_List17"/>
      <sheetName val="Category_wise_Summary17"/>
      <sheetName val="pacific_forms15"/>
      <sheetName val="Non-Recurring_Items_Detail15"/>
      <sheetName val="Gross_Margin_by_Practice15"/>
      <sheetName val="Exchange_Rate15"/>
      <sheetName val="BS_Sch15"/>
      <sheetName val="gen_ledger_data15"/>
      <sheetName val="YTD_Pmts_by_Person16"/>
      <sheetName val="RPT_71-VOLUME_DATA-PCI_15"/>
      <sheetName val="DN_TIME_0215"/>
      <sheetName val="DN_TIME_1415"/>
      <sheetName val="PRECAST_lightconc-II15"/>
      <sheetName val="3BPA00132-5-3_W_plan_HVPNL15"/>
      <sheetName val="Modality_Summary15"/>
      <sheetName val="NBP_Gp_wise_-_blr_1515"/>
      <sheetName val="Grouping_TB14"/>
      <sheetName val="Excess_Calc14"/>
      <sheetName val="Customize_Your_Purchase_Order14"/>
      <sheetName val="Sub-Cont_Rev1"/>
      <sheetName val="Input_schedule1"/>
      <sheetName val="Consol_wkg1"/>
      <sheetName val="Resource_Details1"/>
      <sheetName val="TRIAL_BALANCE19"/>
      <sheetName val="Ann_-119"/>
      <sheetName val="Schedules_PL19"/>
      <sheetName val="Schedules_BS19"/>
      <sheetName val="list_of_directo19"/>
      <sheetName val="Actual_Input17"/>
      <sheetName val="Bus_Mgmt17"/>
      <sheetName val="Disruptive_17"/>
      <sheetName val="NSV_N_KGs18"/>
      <sheetName val="Payroll_BL18"/>
      <sheetName val="Switch_V1618"/>
      <sheetName val="Balance_Sheet_-_Final18"/>
      <sheetName val="Schedule_VI_-_03-0418"/>
      <sheetName val="Scenarios_and_sensitivities18"/>
      <sheetName val="Total_Haryana_POs_AMC_Sheet_318"/>
      <sheetName val="delhi_03-04AMC_@_3%18"/>
      <sheetName val="SPS_DETAIL18"/>
      <sheetName val="Rec'd_Statements18"/>
      <sheetName val="Gratutity_-_Ask_&amp;_delete19"/>
      <sheetName val="Balance_sheet18"/>
      <sheetName val="EVA_Calculations18"/>
      <sheetName val="ANNX_-_I_(_a_)18"/>
      <sheetName val="Unidentified_Contracts-NLX17"/>
      <sheetName val="2002_03_Prem_Projection17"/>
      <sheetName val="Master_List18"/>
      <sheetName val="Category_wise_Summary18"/>
      <sheetName val="pacific_forms16"/>
      <sheetName val="Non-Recurring_Items_Detail16"/>
      <sheetName val="Gross_Margin_by_Practice16"/>
      <sheetName val="Exchange_Rate16"/>
      <sheetName val="BS_Sch16"/>
      <sheetName val="gen_ledger_data16"/>
      <sheetName val="YTD_Pmts_by_Person17"/>
      <sheetName val="RPT_71-VOLUME_DATA-PCI_16"/>
      <sheetName val="DN_TIME_0216"/>
      <sheetName val="DN_TIME_1416"/>
      <sheetName val="PRECAST_lightconc-II16"/>
      <sheetName val="3BPA00132-5-3_W_plan_HVPNL16"/>
      <sheetName val="Modality_Summary16"/>
      <sheetName val="NBP_Gp_wise_-_blr_1516"/>
      <sheetName val="Grouping_TB15"/>
      <sheetName val="Excess_Calc15"/>
      <sheetName val="Customize_Your_Purchase_Order15"/>
      <sheetName val="Sub-Cont_Rev2"/>
      <sheetName val="Input_schedule2"/>
      <sheetName val="Consol_wkg2"/>
      <sheetName val="Resource_Details2"/>
      <sheetName val="TRIAL_BALANCE23"/>
      <sheetName val="Ann_-123"/>
      <sheetName val="Schedules_PL23"/>
      <sheetName val="Schedules_BS23"/>
      <sheetName val="list_of_directo23"/>
      <sheetName val="Actual_Input21"/>
      <sheetName val="Bus_Mgmt21"/>
      <sheetName val="Disruptive_21"/>
      <sheetName val="NSV_N_KGs22"/>
      <sheetName val="Payroll_BL22"/>
      <sheetName val="Switch_V1622"/>
      <sheetName val="Balance_Sheet_-_Final22"/>
      <sheetName val="Schedule_VI_-_03-0422"/>
      <sheetName val="Scenarios_and_sensitivities22"/>
      <sheetName val="Total_Haryana_POs_AMC_Sheet_322"/>
      <sheetName val="delhi_03-04AMC_@_3%22"/>
      <sheetName val="SPS_DETAIL22"/>
      <sheetName val="Rec'd_Statements22"/>
      <sheetName val="Gratutity_-_Ask_&amp;_delete23"/>
      <sheetName val="Balance_sheet22"/>
      <sheetName val="EVA_Calculations22"/>
      <sheetName val="ANNX_-_I_(_a_)22"/>
      <sheetName val="Unidentified_Contracts-NLX21"/>
      <sheetName val="2002_03_Prem_Projection21"/>
      <sheetName val="Master_List22"/>
      <sheetName val="Category_wise_Summary22"/>
      <sheetName val="pacific_forms20"/>
      <sheetName val="Non-Recurring_Items_Detail20"/>
      <sheetName val="Gross_Margin_by_Practice20"/>
      <sheetName val="Exchange_Rate20"/>
      <sheetName val="BS_Sch20"/>
      <sheetName val="gen_ledger_data20"/>
      <sheetName val="YTD_Pmts_by_Person21"/>
      <sheetName val="RPT_71-VOLUME_DATA-PCI_20"/>
      <sheetName val="DN_TIME_0220"/>
      <sheetName val="DN_TIME_1420"/>
      <sheetName val="PRECAST_lightconc-II20"/>
      <sheetName val="3BPA00132-5-3_W_plan_HVPNL20"/>
      <sheetName val="Modality_Summary20"/>
      <sheetName val="NBP_Gp_wise_-_blr_1520"/>
      <sheetName val="Grouping_TB19"/>
      <sheetName val="Excess_Calc19"/>
      <sheetName val="Customize_Your_Purchase_Order19"/>
      <sheetName val="Sub-Cont_Rev6"/>
      <sheetName val="Input_schedule6"/>
      <sheetName val="Consol_wkg6"/>
      <sheetName val="Resource_Details6"/>
      <sheetName val="TRIAL_BALANCE21"/>
      <sheetName val="Ann_-121"/>
      <sheetName val="Schedules_PL21"/>
      <sheetName val="Schedules_BS21"/>
      <sheetName val="list_of_directo21"/>
      <sheetName val="Actual_Input19"/>
      <sheetName val="Bus_Mgmt19"/>
      <sheetName val="Disruptive_19"/>
      <sheetName val="NSV_N_KGs20"/>
      <sheetName val="Payroll_BL20"/>
      <sheetName val="Switch_V1620"/>
      <sheetName val="Balance_Sheet_-_Final20"/>
      <sheetName val="Schedule_VI_-_03-0420"/>
      <sheetName val="Scenarios_and_sensitivities20"/>
      <sheetName val="Total_Haryana_POs_AMC_Sheet_320"/>
      <sheetName val="delhi_03-04AMC_@_3%20"/>
      <sheetName val="SPS_DETAIL20"/>
      <sheetName val="Rec'd_Statements20"/>
      <sheetName val="Gratutity_-_Ask_&amp;_delete21"/>
      <sheetName val="Balance_sheet20"/>
      <sheetName val="EVA_Calculations20"/>
      <sheetName val="ANNX_-_I_(_a_)20"/>
      <sheetName val="Unidentified_Contracts-NLX19"/>
      <sheetName val="2002_03_Prem_Projection19"/>
      <sheetName val="Master_List20"/>
      <sheetName val="Category_wise_Summary20"/>
      <sheetName val="pacific_forms18"/>
      <sheetName val="Non-Recurring_Items_Detail18"/>
      <sheetName val="Gross_Margin_by_Practice18"/>
      <sheetName val="Exchange_Rate18"/>
      <sheetName val="BS_Sch18"/>
      <sheetName val="gen_ledger_data18"/>
      <sheetName val="YTD_Pmts_by_Person19"/>
      <sheetName val="RPT_71-VOLUME_DATA-PCI_18"/>
      <sheetName val="DN_TIME_0218"/>
      <sheetName val="DN_TIME_1418"/>
      <sheetName val="PRECAST_lightconc-II18"/>
      <sheetName val="3BPA00132-5-3_W_plan_HVPNL18"/>
      <sheetName val="Modality_Summary18"/>
      <sheetName val="NBP_Gp_wise_-_blr_1518"/>
      <sheetName val="Grouping_TB17"/>
      <sheetName val="Excess_Calc17"/>
      <sheetName val="Customize_Your_Purchase_Order17"/>
      <sheetName val="Sub-Cont_Rev4"/>
      <sheetName val="Input_schedule4"/>
      <sheetName val="Consol_wkg4"/>
      <sheetName val="Resource_Details4"/>
      <sheetName val="TRIAL_BALANCE20"/>
      <sheetName val="Ann_-120"/>
      <sheetName val="Schedules_PL20"/>
      <sheetName val="Schedules_BS20"/>
      <sheetName val="list_of_directo20"/>
      <sheetName val="Actual_Input18"/>
      <sheetName val="Bus_Mgmt18"/>
      <sheetName val="Disruptive_18"/>
      <sheetName val="NSV_N_KGs19"/>
      <sheetName val="Payroll_BL19"/>
      <sheetName val="Switch_V1619"/>
      <sheetName val="Balance_Sheet_-_Final19"/>
      <sheetName val="Schedule_VI_-_03-0419"/>
      <sheetName val="Scenarios_and_sensitivities19"/>
      <sheetName val="Total_Haryana_POs_AMC_Sheet_319"/>
      <sheetName val="delhi_03-04AMC_@_3%19"/>
      <sheetName val="SPS_DETAIL19"/>
      <sheetName val="Rec'd_Statements19"/>
      <sheetName val="Gratutity_-_Ask_&amp;_delete20"/>
      <sheetName val="Balance_sheet19"/>
      <sheetName val="EVA_Calculations19"/>
      <sheetName val="ANNX_-_I_(_a_)19"/>
      <sheetName val="Unidentified_Contracts-NLX18"/>
      <sheetName val="2002_03_Prem_Projection18"/>
      <sheetName val="Master_List19"/>
      <sheetName val="Category_wise_Summary19"/>
      <sheetName val="pacific_forms17"/>
      <sheetName val="Non-Recurring_Items_Detail17"/>
      <sheetName val="Gross_Margin_by_Practice17"/>
      <sheetName val="Exchange_Rate17"/>
      <sheetName val="BS_Sch17"/>
      <sheetName val="gen_ledger_data17"/>
      <sheetName val="YTD_Pmts_by_Person18"/>
      <sheetName val="RPT_71-VOLUME_DATA-PCI_17"/>
      <sheetName val="DN_TIME_0217"/>
      <sheetName val="DN_TIME_1417"/>
      <sheetName val="PRECAST_lightconc-II17"/>
      <sheetName val="3BPA00132-5-3_W_plan_HVPNL17"/>
      <sheetName val="Modality_Summary17"/>
      <sheetName val="NBP_Gp_wise_-_blr_1517"/>
      <sheetName val="Grouping_TB16"/>
      <sheetName val="Excess_Calc16"/>
      <sheetName val="Customize_Your_Purchase_Order16"/>
      <sheetName val="Sub-Cont_Rev3"/>
      <sheetName val="Input_schedule3"/>
      <sheetName val="Consol_wkg3"/>
      <sheetName val="Resource_Details3"/>
      <sheetName val="TRIAL_BALANCE22"/>
      <sheetName val="Ann_-122"/>
      <sheetName val="Schedules_PL22"/>
      <sheetName val="Schedules_BS22"/>
      <sheetName val="list_of_directo22"/>
      <sheetName val="Actual_Input20"/>
      <sheetName val="Bus_Mgmt20"/>
      <sheetName val="Disruptive_20"/>
      <sheetName val="NSV_N_KGs21"/>
      <sheetName val="Payroll_BL21"/>
      <sheetName val="Switch_V1621"/>
      <sheetName val="Balance_Sheet_-_Final21"/>
      <sheetName val="Schedule_VI_-_03-0421"/>
      <sheetName val="Scenarios_and_sensitivities21"/>
      <sheetName val="Total_Haryana_POs_AMC_Sheet_321"/>
      <sheetName val="delhi_03-04AMC_@_3%21"/>
      <sheetName val="SPS_DETAIL21"/>
      <sheetName val="Rec'd_Statements21"/>
      <sheetName val="Gratutity_-_Ask_&amp;_delete22"/>
      <sheetName val="Balance_sheet21"/>
      <sheetName val="EVA_Calculations21"/>
      <sheetName val="ANNX_-_I_(_a_)21"/>
      <sheetName val="Unidentified_Contracts-NLX20"/>
      <sheetName val="2002_03_Prem_Projection20"/>
      <sheetName val="Master_List21"/>
      <sheetName val="Category_wise_Summary21"/>
      <sheetName val="pacific_forms19"/>
      <sheetName val="Non-Recurring_Items_Detail19"/>
      <sheetName val="Gross_Margin_by_Practice19"/>
      <sheetName val="Exchange_Rate19"/>
      <sheetName val="BS_Sch19"/>
      <sheetName val="gen_ledger_data19"/>
      <sheetName val="YTD_Pmts_by_Person20"/>
      <sheetName val="RPT_71-VOLUME_DATA-PCI_19"/>
      <sheetName val="DN_TIME_0219"/>
      <sheetName val="DN_TIME_1419"/>
      <sheetName val="PRECAST_lightconc-II19"/>
      <sheetName val="3BPA00132-5-3_W_plan_HVPNL19"/>
      <sheetName val="Modality_Summary19"/>
      <sheetName val="NBP_Gp_wise_-_blr_1519"/>
      <sheetName val="Grouping_TB18"/>
      <sheetName val="Excess_Calc18"/>
      <sheetName val="Customize_Your_Purchase_Order18"/>
      <sheetName val="Sub-Cont_Rev5"/>
      <sheetName val="Input_schedule5"/>
      <sheetName val="Consol_wkg5"/>
      <sheetName val="Resource_Details5"/>
      <sheetName val="TRIAL_BALANCE24"/>
      <sheetName val="Ann_-124"/>
      <sheetName val="Schedules_PL24"/>
      <sheetName val="Schedules_BS24"/>
      <sheetName val="list_of_directo24"/>
      <sheetName val="Actual_Input22"/>
      <sheetName val="Bus_Mgmt22"/>
      <sheetName val="Disruptive_22"/>
      <sheetName val="NSV_N_KGs23"/>
      <sheetName val="Payroll_BL23"/>
      <sheetName val="Switch_V1623"/>
      <sheetName val="Balance_Sheet_-_Final23"/>
      <sheetName val="Schedule_VI_-_03-0423"/>
      <sheetName val="Scenarios_and_sensitivities23"/>
      <sheetName val="Total_Haryana_POs_AMC_Sheet_323"/>
      <sheetName val="delhi_03-04AMC_@_3%23"/>
      <sheetName val="SPS_DETAIL23"/>
      <sheetName val="Rec'd_Statements23"/>
      <sheetName val="Gratutity_-_Ask_&amp;_delete24"/>
      <sheetName val="Balance_sheet23"/>
      <sheetName val="EVA_Calculations23"/>
      <sheetName val="ANNX_-_I_(_a_)23"/>
      <sheetName val="Unidentified_Contracts-NLX22"/>
      <sheetName val="2002_03_Prem_Projection22"/>
      <sheetName val="Master_List23"/>
      <sheetName val="Category_wise_Summary23"/>
      <sheetName val="pacific_forms21"/>
      <sheetName val="Non-Recurring_Items_Detail21"/>
      <sheetName val="Gross_Margin_by_Practice21"/>
      <sheetName val="Exchange_Rate21"/>
      <sheetName val="BS_Sch21"/>
      <sheetName val="gen_ledger_data21"/>
      <sheetName val="YTD_Pmts_by_Person22"/>
      <sheetName val="RPT_71-VOLUME_DATA-PCI_21"/>
      <sheetName val="DN_TIME_0221"/>
      <sheetName val="DN_TIME_1421"/>
      <sheetName val="PRECAST_lightconc-II21"/>
      <sheetName val="3BPA00132-5-3_W_plan_HVPNL21"/>
      <sheetName val="Modality_Summary21"/>
      <sheetName val="NBP_Gp_wise_-_blr_1521"/>
      <sheetName val="Grouping_TB20"/>
      <sheetName val="Excess_Calc20"/>
      <sheetName val="Customize_Your_Purchase_Order20"/>
      <sheetName val="Sub-Cont_Rev7"/>
      <sheetName val="Input_schedule7"/>
      <sheetName val="Consol_wkg7"/>
      <sheetName val="Resource_Details7"/>
      <sheetName val="TRIAL_BALANCE25"/>
      <sheetName val="Ann_-125"/>
      <sheetName val="Schedules_PL25"/>
      <sheetName val="Schedules_BS25"/>
      <sheetName val="list_of_directo25"/>
      <sheetName val="Actual_Input23"/>
      <sheetName val="Bus_Mgmt23"/>
      <sheetName val="Disruptive_23"/>
      <sheetName val="NSV_N_KGs24"/>
      <sheetName val="Payroll_BL24"/>
      <sheetName val="Switch_V1624"/>
      <sheetName val="Balance_Sheet_-_Final24"/>
      <sheetName val="Schedule_VI_-_03-0424"/>
      <sheetName val="Scenarios_and_sensitivities24"/>
      <sheetName val="Total_Haryana_POs_AMC_Sheet_324"/>
      <sheetName val="delhi_03-04AMC_@_3%24"/>
      <sheetName val="SPS_DETAIL24"/>
      <sheetName val="Rec'd_Statements24"/>
      <sheetName val="Gratutity_-_Ask_&amp;_delete25"/>
      <sheetName val="Balance_sheet24"/>
      <sheetName val="EVA_Calculations24"/>
      <sheetName val="ANNX_-_I_(_a_)24"/>
      <sheetName val="Unidentified_Contracts-NLX23"/>
      <sheetName val="2002_03_Prem_Projection23"/>
      <sheetName val="Master_List24"/>
      <sheetName val="Category_wise_Summary24"/>
      <sheetName val="pacific_forms22"/>
      <sheetName val="Non-Recurring_Items_Detail22"/>
      <sheetName val="Gross_Margin_by_Practice22"/>
      <sheetName val="Exchange_Rate22"/>
      <sheetName val="BS_Sch22"/>
      <sheetName val="gen_ledger_data22"/>
      <sheetName val="YTD_Pmts_by_Person23"/>
      <sheetName val="RPT_71-VOLUME_DATA-PCI_22"/>
      <sheetName val="DN_TIME_0222"/>
      <sheetName val="DN_TIME_1422"/>
      <sheetName val="PRECAST_lightconc-II22"/>
      <sheetName val="3BPA00132-5-3_W_plan_HVPNL22"/>
      <sheetName val="Modality_Summary22"/>
      <sheetName val="NBP_Gp_wise_-_blr_1522"/>
      <sheetName val="Grouping_TB21"/>
      <sheetName val="Excess_Calc21"/>
      <sheetName val="Customize_Your_Purchase_Order21"/>
      <sheetName val="Sub-Cont_Rev8"/>
      <sheetName val="Input_schedule8"/>
      <sheetName val="Consol_wkg8"/>
      <sheetName val="Resource_Details8"/>
      <sheetName val="TRIAL_BALANCE26"/>
      <sheetName val="Ann_-126"/>
      <sheetName val="Schedules_PL26"/>
      <sheetName val="Schedules_BS26"/>
      <sheetName val="list_of_directo26"/>
      <sheetName val="Actual_Input24"/>
      <sheetName val="Bus_Mgmt24"/>
      <sheetName val="Disruptive_24"/>
      <sheetName val="NSV_N_KGs25"/>
      <sheetName val="Payroll_BL25"/>
      <sheetName val="Switch_V1625"/>
      <sheetName val="Balance_Sheet_-_Final25"/>
      <sheetName val="Schedule_VI_-_03-0425"/>
      <sheetName val="Scenarios_and_sensitivities25"/>
      <sheetName val="Total_Haryana_POs_AMC_Sheet_325"/>
      <sheetName val="delhi_03-04AMC_@_3%25"/>
      <sheetName val="SPS_DETAIL25"/>
      <sheetName val="Rec'd_Statements25"/>
      <sheetName val="Gratutity_-_Ask_&amp;_delete26"/>
      <sheetName val="Balance_sheet25"/>
      <sheetName val="EVA_Calculations25"/>
      <sheetName val="ANNX_-_I_(_a_)25"/>
      <sheetName val="Unidentified_Contracts-NLX24"/>
      <sheetName val="2002_03_Prem_Projection24"/>
      <sheetName val="Master_List25"/>
      <sheetName val="Category_wise_Summary25"/>
      <sheetName val="pacific_forms23"/>
      <sheetName val="Non-Recurring_Items_Detail23"/>
      <sheetName val="Gross_Margin_by_Practice23"/>
      <sheetName val="Exchange_Rate23"/>
      <sheetName val="BS_Sch23"/>
      <sheetName val="gen_ledger_data23"/>
      <sheetName val="YTD_Pmts_by_Person24"/>
      <sheetName val="RPT_71-VOLUME_DATA-PCI_23"/>
      <sheetName val="DN_TIME_0223"/>
      <sheetName val="DN_TIME_1423"/>
      <sheetName val="PRECAST_lightconc-II23"/>
      <sheetName val="3BPA00132-5-3_W_plan_HVPNL23"/>
      <sheetName val="Modality_Summary23"/>
      <sheetName val="NBP_Gp_wise_-_blr_1523"/>
      <sheetName val="Grouping_TB22"/>
      <sheetName val="Excess_Calc22"/>
      <sheetName val="Customize_Your_Purchase_Order22"/>
      <sheetName val="Sub-Cont_Rev9"/>
      <sheetName val="Input_schedule9"/>
      <sheetName val="Consol_wkg9"/>
      <sheetName val="Resource_Details9"/>
      <sheetName val="TRIAL_BALANCE30"/>
      <sheetName val="Ann_-130"/>
      <sheetName val="Schedules_PL30"/>
      <sheetName val="Schedules_BS30"/>
      <sheetName val="list_of_directo30"/>
      <sheetName val="Actual_Input28"/>
      <sheetName val="Bus_Mgmt28"/>
      <sheetName val="Disruptive_28"/>
      <sheetName val="NSV_N_KGs29"/>
      <sheetName val="Payroll_BL29"/>
      <sheetName val="Switch_V1629"/>
      <sheetName val="Balance_Sheet_-_Final29"/>
      <sheetName val="Schedule_VI_-_03-0429"/>
      <sheetName val="Scenarios_and_sensitivities29"/>
      <sheetName val="Total_Haryana_POs_AMC_Sheet_329"/>
      <sheetName val="delhi_03-04AMC_@_3%29"/>
      <sheetName val="SPS_DETAIL29"/>
      <sheetName val="Rec'd_Statements29"/>
      <sheetName val="Gratutity_-_Ask_&amp;_delete30"/>
      <sheetName val="Balance_sheet29"/>
      <sheetName val="EVA_Calculations29"/>
      <sheetName val="ANNX_-_I_(_a_)29"/>
      <sheetName val="Unidentified_Contracts-NLX28"/>
      <sheetName val="2002_03_Prem_Projection28"/>
      <sheetName val="Master_List29"/>
      <sheetName val="Category_wise_Summary29"/>
      <sheetName val="pacific_forms27"/>
      <sheetName val="Non-Recurring_Items_Detail27"/>
      <sheetName val="Gross_Margin_by_Practice27"/>
      <sheetName val="Exchange_Rate27"/>
      <sheetName val="BS_Sch27"/>
      <sheetName val="gen_ledger_data27"/>
      <sheetName val="YTD_Pmts_by_Person28"/>
      <sheetName val="RPT_71-VOLUME_DATA-PCI_27"/>
      <sheetName val="DN_TIME_0227"/>
      <sheetName val="DN_TIME_1427"/>
      <sheetName val="PRECAST_lightconc-II27"/>
      <sheetName val="3BPA00132-5-3_W_plan_HVPNL27"/>
      <sheetName val="Modality_Summary27"/>
      <sheetName val="NBP_Gp_wise_-_blr_1527"/>
      <sheetName val="Grouping_TB26"/>
      <sheetName val="Excess_Calc26"/>
      <sheetName val="Customize_Your_Purchase_Order26"/>
      <sheetName val="Sub-Cont_Rev13"/>
      <sheetName val="Input_schedule13"/>
      <sheetName val="Consol_wkg13"/>
      <sheetName val="Resource_Details13"/>
      <sheetName val="TRIAL_BALANCE27"/>
      <sheetName val="Ann_-127"/>
      <sheetName val="Schedules_PL27"/>
      <sheetName val="Schedules_BS27"/>
      <sheetName val="list_of_directo27"/>
      <sheetName val="Actual_Input25"/>
      <sheetName val="Bus_Mgmt25"/>
      <sheetName val="Disruptive_25"/>
      <sheetName val="NSV_N_KGs26"/>
      <sheetName val="Payroll_BL26"/>
      <sheetName val="Switch_V1626"/>
      <sheetName val="Balance_Sheet_-_Final26"/>
      <sheetName val="Schedule_VI_-_03-0426"/>
      <sheetName val="Scenarios_and_sensitivities26"/>
      <sheetName val="Total_Haryana_POs_AMC_Sheet_326"/>
      <sheetName val="delhi_03-04AMC_@_3%26"/>
      <sheetName val="SPS_DETAIL26"/>
      <sheetName val="Rec'd_Statements26"/>
      <sheetName val="Gratutity_-_Ask_&amp;_delete27"/>
      <sheetName val="Balance_sheet26"/>
      <sheetName val="EVA_Calculations26"/>
      <sheetName val="ANNX_-_I_(_a_)26"/>
      <sheetName val="Unidentified_Contracts-NLX25"/>
      <sheetName val="2002_03_Prem_Projection25"/>
      <sheetName val="Master_List26"/>
      <sheetName val="Category_wise_Summary26"/>
      <sheetName val="pacific_forms24"/>
      <sheetName val="Non-Recurring_Items_Detail24"/>
      <sheetName val="Gross_Margin_by_Practice24"/>
      <sheetName val="Exchange_Rate24"/>
      <sheetName val="BS_Sch24"/>
      <sheetName val="gen_ledger_data24"/>
      <sheetName val="YTD_Pmts_by_Person25"/>
      <sheetName val="RPT_71-VOLUME_DATA-PCI_24"/>
      <sheetName val="DN_TIME_0224"/>
      <sheetName val="DN_TIME_1424"/>
      <sheetName val="PRECAST_lightconc-II24"/>
      <sheetName val="3BPA00132-5-3_W_plan_HVPNL24"/>
      <sheetName val="Modality_Summary24"/>
      <sheetName val="NBP_Gp_wise_-_blr_1524"/>
      <sheetName val="Grouping_TB23"/>
      <sheetName val="Excess_Calc23"/>
      <sheetName val="Customize_Your_Purchase_Order23"/>
      <sheetName val="Sub-Cont_Rev10"/>
      <sheetName val="Input_schedule10"/>
      <sheetName val="Consol_wkg10"/>
      <sheetName val="Resource_Details10"/>
      <sheetName val="TRIAL_BALANCE28"/>
      <sheetName val="Ann_-128"/>
      <sheetName val="Schedules_PL28"/>
      <sheetName val="Schedules_BS28"/>
      <sheetName val="list_of_directo28"/>
      <sheetName val="Actual_Input26"/>
      <sheetName val="Bus_Mgmt26"/>
      <sheetName val="Disruptive_26"/>
      <sheetName val="NSV_N_KGs27"/>
      <sheetName val="Payroll_BL27"/>
      <sheetName val="Switch_V1627"/>
      <sheetName val="Balance_Sheet_-_Final27"/>
      <sheetName val="Schedule_VI_-_03-0427"/>
      <sheetName val="Scenarios_and_sensitivities27"/>
      <sheetName val="Total_Haryana_POs_AMC_Sheet_327"/>
      <sheetName val="delhi_03-04AMC_@_3%27"/>
      <sheetName val="SPS_DETAIL27"/>
      <sheetName val="Rec'd_Statements27"/>
      <sheetName val="Gratutity_-_Ask_&amp;_delete28"/>
      <sheetName val="Balance_sheet27"/>
      <sheetName val="EVA_Calculations27"/>
      <sheetName val="ANNX_-_I_(_a_)27"/>
      <sheetName val="Unidentified_Contracts-NLX26"/>
      <sheetName val="2002_03_Prem_Projection26"/>
      <sheetName val="Master_List27"/>
      <sheetName val="Category_wise_Summary27"/>
      <sheetName val="pacific_forms25"/>
      <sheetName val="Non-Recurring_Items_Detail25"/>
      <sheetName val="Gross_Margin_by_Practice25"/>
      <sheetName val="Exchange_Rate25"/>
      <sheetName val="BS_Sch25"/>
      <sheetName val="gen_ledger_data25"/>
      <sheetName val="YTD_Pmts_by_Person26"/>
      <sheetName val="RPT_71-VOLUME_DATA-PCI_25"/>
      <sheetName val="DN_TIME_0225"/>
      <sheetName val="DN_TIME_1425"/>
      <sheetName val="PRECAST_lightconc-II25"/>
      <sheetName val="3BPA00132-5-3_W_plan_HVPNL25"/>
      <sheetName val="Modality_Summary25"/>
      <sheetName val="NBP_Gp_wise_-_blr_1525"/>
      <sheetName val="Grouping_TB24"/>
      <sheetName val="Excess_Calc24"/>
      <sheetName val="Customize_Your_Purchase_Order24"/>
      <sheetName val="Sub-Cont_Rev11"/>
      <sheetName val="Input_schedule11"/>
      <sheetName val="Consol_wkg11"/>
      <sheetName val="Resource_Details11"/>
      <sheetName val="TRIAL_BALANCE29"/>
      <sheetName val="Ann_-129"/>
      <sheetName val="Schedules_PL29"/>
      <sheetName val="Schedules_BS29"/>
      <sheetName val="list_of_directo29"/>
      <sheetName val="Actual_Input27"/>
      <sheetName val="Bus_Mgmt27"/>
      <sheetName val="Disruptive_27"/>
      <sheetName val="NSV_N_KGs28"/>
      <sheetName val="Payroll_BL28"/>
      <sheetName val="Switch_V1628"/>
      <sheetName val="Balance_Sheet_-_Final28"/>
      <sheetName val="Schedule_VI_-_03-0428"/>
      <sheetName val="Scenarios_and_sensitivities28"/>
      <sheetName val="Total_Haryana_POs_AMC_Sheet_328"/>
      <sheetName val="delhi_03-04AMC_@_3%28"/>
      <sheetName val="SPS_DETAIL28"/>
      <sheetName val="Rec'd_Statements28"/>
      <sheetName val="Gratutity_-_Ask_&amp;_delete29"/>
      <sheetName val="Balance_sheet28"/>
      <sheetName val="EVA_Calculations28"/>
      <sheetName val="ANNX_-_I_(_a_)28"/>
      <sheetName val="Unidentified_Contracts-NLX27"/>
      <sheetName val="2002_03_Prem_Projection27"/>
      <sheetName val="Master_List28"/>
      <sheetName val="Category_wise_Summary28"/>
      <sheetName val="pacific_forms26"/>
      <sheetName val="Non-Recurring_Items_Detail26"/>
      <sheetName val="Gross_Margin_by_Practice26"/>
      <sheetName val="Exchange_Rate26"/>
      <sheetName val="BS_Sch26"/>
      <sheetName val="gen_ledger_data26"/>
      <sheetName val="YTD_Pmts_by_Person27"/>
      <sheetName val="RPT_71-VOLUME_DATA-PCI_26"/>
      <sheetName val="DN_TIME_0226"/>
      <sheetName val="DN_TIME_1426"/>
      <sheetName val="PRECAST_lightconc-II26"/>
      <sheetName val="3BPA00132-5-3_W_plan_HVPNL26"/>
      <sheetName val="Modality_Summary26"/>
      <sheetName val="NBP_Gp_wise_-_blr_1526"/>
      <sheetName val="Grouping_TB25"/>
      <sheetName val="Excess_Calc25"/>
      <sheetName val="Customize_Your_Purchase_Order25"/>
      <sheetName val="Sub-Cont_Rev12"/>
      <sheetName val="Input_schedule12"/>
      <sheetName val="Consol_wkg12"/>
      <sheetName val="Resource_Details12"/>
      <sheetName val="TRIAL_BALANCE31"/>
      <sheetName val="Ann_-131"/>
      <sheetName val="Schedules_PL31"/>
      <sheetName val="Schedules_BS31"/>
      <sheetName val="list_of_directo31"/>
      <sheetName val="Actual_Input29"/>
      <sheetName val="Bus_Mgmt29"/>
      <sheetName val="Disruptive_29"/>
      <sheetName val="NSV_N_KGs30"/>
      <sheetName val="Payroll_BL30"/>
      <sheetName val="Switch_V1630"/>
      <sheetName val="Balance_Sheet_-_Final30"/>
      <sheetName val="Schedule_VI_-_03-0430"/>
      <sheetName val="Scenarios_and_sensitivities30"/>
      <sheetName val="Total_Haryana_POs_AMC_Sheet_330"/>
      <sheetName val="delhi_03-04AMC_@_3%30"/>
      <sheetName val="SPS_DETAIL30"/>
      <sheetName val="Rec'd_Statements30"/>
      <sheetName val="Gratutity_-_Ask_&amp;_delete31"/>
      <sheetName val="Balance_sheet30"/>
      <sheetName val="EVA_Calculations30"/>
      <sheetName val="ANNX_-_I_(_a_)30"/>
      <sheetName val="Unidentified_Contracts-NLX29"/>
      <sheetName val="2002_03_Prem_Projection29"/>
      <sheetName val="Master_List30"/>
      <sheetName val="Category_wise_Summary30"/>
      <sheetName val="pacific_forms28"/>
      <sheetName val="Non-Recurring_Items_Detail28"/>
      <sheetName val="Gross_Margin_by_Practice28"/>
      <sheetName val="Exchange_Rate28"/>
      <sheetName val="BS_Sch28"/>
      <sheetName val="gen_ledger_data28"/>
      <sheetName val="YTD_Pmts_by_Person29"/>
      <sheetName val="RPT_71-VOLUME_DATA-PCI_28"/>
      <sheetName val="DN_TIME_0228"/>
      <sheetName val="DN_TIME_1428"/>
      <sheetName val="PRECAST_lightconc-II28"/>
      <sheetName val="3BPA00132-5-3_W_plan_HVPNL28"/>
      <sheetName val="Modality_Summary28"/>
      <sheetName val="NBP_Gp_wise_-_blr_1528"/>
      <sheetName val="Grouping_TB27"/>
      <sheetName val="Excess_Calc27"/>
      <sheetName val="Customize_Your_Purchase_Order27"/>
      <sheetName val="Sub-Cont_Rev14"/>
      <sheetName val="Input_schedule14"/>
      <sheetName val="Consol_wkg14"/>
      <sheetName val="Resource_Details14"/>
      <sheetName val="TRIAL_BALANCE32"/>
      <sheetName val="Ann_-132"/>
      <sheetName val="Schedules_PL32"/>
      <sheetName val="Schedules_BS32"/>
      <sheetName val="list_of_directo32"/>
      <sheetName val="Actual_Input30"/>
      <sheetName val="Bus_Mgmt30"/>
      <sheetName val="Disruptive_30"/>
      <sheetName val="NSV_N_KGs31"/>
      <sheetName val="Payroll_BL31"/>
      <sheetName val="Switch_V1631"/>
      <sheetName val="Balance_Sheet_-_Final31"/>
      <sheetName val="Schedule_VI_-_03-0431"/>
      <sheetName val="Scenarios_and_sensitivities31"/>
      <sheetName val="Total_Haryana_POs_AMC_Sheet_331"/>
      <sheetName val="delhi_03-04AMC_@_3%31"/>
      <sheetName val="SPS_DETAIL31"/>
      <sheetName val="Rec'd_Statements31"/>
      <sheetName val="Gratutity_-_Ask_&amp;_delete32"/>
      <sheetName val="Balance_sheet31"/>
      <sheetName val="EVA_Calculations31"/>
      <sheetName val="ANNX_-_I_(_a_)31"/>
      <sheetName val="Unidentified_Contracts-NLX30"/>
      <sheetName val="2002_03_Prem_Projection30"/>
      <sheetName val="Master_List31"/>
      <sheetName val="Category_wise_Summary31"/>
      <sheetName val="pacific_forms29"/>
      <sheetName val="Non-Recurring_Items_Detail29"/>
      <sheetName val="Gross_Margin_by_Practice29"/>
      <sheetName val="Exchange_Rate29"/>
      <sheetName val="BS_Sch29"/>
      <sheetName val="gen_ledger_data29"/>
      <sheetName val="YTD_Pmts_by_Person30"/>
      <sheetName val="RPT_71-VOLUME_DATA-PCI_29"/>
      <sheetName val="DN_TIME_0229"/>
      <sheetName val="DN_TIME_1429"/>
      <sheetName val="PRECAST_lightconc-II29"/>
      <sheetName val="3BPA00132-5-3_W_plan_HVPNL29"/>
      <sheetName val="Modality_Summary29"/>
      <sheetName val="NBP_Gp_wise_-_blr_1529"/>
      <sheetName val="Grouping_TB28"/>
      <sheetName val="Excess_Calc28"/>
      <sheetName val="Customize_Your_Purchase_Order28"/>
      <sheetName val="Sub-Cont_Rev15"/>
      <sheetName val="Input_schedule15"/>
      <sheetName val="Consol_wkg15"/>
      <sheetName val="Resource_Details15"/>
      <sheetName val="TRIAL_BALANCE33"/>
      <sheetName val="Ann_-133"/>
      <sheetName val="Schedules_PL33"/>
      <sheetName val="Schedules_BS33"/>
      <sheetName val="list_of_directo33"/>
      <sheetName val="Actual_Input31"/>
      <sheetName val="Bus_Mgmt31"/>
      <sheetName val="Disruptive_31"/>
      <sheetName val="NSV_N_KGs32"/>
      <sheetName val="Payroll_BL32"/>
      <sheetName val="Switch_V1632"/>
      <sheetName val="Balance_Sheet_-_Final32"/>
      <sheetName val="Schedule_VI_-_03-0432"/>
      <sheetName val="Scenarios_and_sensitivities32"/>
      <sheetName val="Total_Haryana_POs_AMC_Sheet_332"/>
      <sheetName val="delhi_03-04AMC_@_3%32"/>
      <sheetName val="SPS_DETAIL32"/>
      <sheetName val="Rec'd_Statements32"/>
      <sheetName val="Gratutity_-_Ask_&amp;_delete33"/>
      <sheetName val="Balance_sheet32"/>
      <sheetName val="EVA_Calculations32"/>
      <sheetName val="ANNX_-_I_(_a_)32"/>
      <sheetName val="Unidentified_Contracts-NLX31"/>
      <sheetName val="2002_03_Prem_Projection31"/>
      <sheetName val="Master_List32"/>
      <sheetName val="Category_wise_Summary32"/>
      <sheetName val="pacific_forms30"/>
      <sheetName val="Non-Recurring_Items_Detail30"/>
      <sheetName val="Gross_Margin_by_Practice30"/>
      <sheetName val="Exchange_Rate30"/>
      <sheetName val="BS_Sch30"/>
      <sheetName val="gen_ledger_data30"/>
      <sheetName val="YTD_Pmts_by_Person31"/>
      <sheetName val="RPT_71-VOLUME_DATA-PCI_30"/>
      <sheetName val="DN_TIME_0230"/>
      <sheetName val="DN_TIME_1430"/>
      <sheetName val="PRECAST_lightconc-II30"/>
      <sheetName val="3BPA00132-5-3_W_plan_HVPNL30"/>
      <sheetName val="Modality_Summary30"/>
      <sheetName val="NBP_Gp_wise_-_blr_1530"/>
      <sheetName val="Grouping_TB29"/>
      <sheetName val="Excess_Calc29"/>
      <sheetName val="Customize_Your_Purchase_Order29"/>
      <sheetName val="Sub-Cont_Rev16"/>
      <sheetName val="Input_schedule16"/>
      <sheetName val="Consol_wkg16"/>
      <sheetName val="Resource_Details16"/>
      <sheetName val="Bill_3_-_Site_Works"/>
      <sheetName val="Bill_3_-_Site_Works1"/>
      <sheetName val="Bill_3_-_Site_Works2"/>
      <sheetName val="Bill_3_-_Site_Works3"/>
      <sheetName val="Bill_3_-_Site_Works5"/>
      <sheetName val="Bill_3_-_Site_Works4"/>
      <sheetName val="MISC"/>
      <sheetName val="교각1"/>
      <sheetName val="Actuals_by_Job"/>
      <sheetName val="PT_Heads_SD"/>
      <sheetName val="Outlook"/>
      <sheetName val="Profile"/>
      <sheetName val="QuanOP"/>
      <sheetName val="Headcount"/>
      <sheetName val="VALUE2_5"/>
      <sheetName val="LABOUR RATE"/>
      <sheetName val="Material Rate"/>
      <sheetName val="RCC"/>
      <sheetName val="CMA"/>
      <sheetName val="RPT 72-VOLUME DATA-Industry"/>
      <sheetName val="FDR-Jan-99 "/>
      <sheetName val="Labor Hours Available"/>
      <sheetName val="Data Feed 1"/>
      <sheetName val="Sales &amp; Revenue &amp; Sked"/>
      <sheetName val="Title"/>
      <sheetName val="Setup Variables"/>
      <sheetName val="BS-groupings"/>
      <sheetName val="P&amp;L-groupings"/>
      <sheetName val="Nov_02_&amp;_Dec_02_sal1"/>
      <sheetName val="Pro-Forma_profile_AVP1"/>
      <sheetName val="sales GL 31.3.07"/>
      <sheetName val="Pend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refreshError="1"/>
      <sheetData sheetId="1148" refreshError="1"/>
      <sheetData sheetId="1149" refreshError="1"/>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sheetData sheetId="1269"/>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refreshError="1"/>
      <sheetData sheetId="1312" refreshError="1"/>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sheetData sheetId="2706"/>
      <sheetData sheetId="2707"/>
      <sheetData sheetId="270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bles"/>
      <sheetName val="Fm 3CD"/>
      <sheetName val="Annexure A"/>
      <sheetName val="Annexure B(o)"/>
      <sheetName val="Annexure B"/>
      <sheetName val="Annexure "/>
      <sheetName val="Annexure C"/>
      <sheetName val="Annexure D"/>
      <sheetName val="Annexure D1"/>
      <sheetName val="Annexure Dold"/>
      <sheetName val="Annexure E"/>
      <sheetName val="14(i)"/>
      <sheetName val="Annexure F "/>
      <sheetName val="Annexure G"/>
      <sheetName val="17(e)"/>
      <sheetName val="Annexure H"/>
      <sheetName val="Annexure I"/>
      <sheetName val="Annexure J"/>
      <sheetName val="Annexure K"/>
      <sheetName val="Annexure L"/>
      <sheetName val="Annexure M"/>
      <sheetName val="22(a) "/>
      <sheetName val="Annexure N"/>
      <sheetName val="Annexure O"/>
      <sheetName val="22(b)"/>
      <sheetName val="Annexure P"/>
      <sheetName val="Annexure Q"/>
      <sheetName val="Annexure R"/>
      <sheetName val="Annexure S"/>
      <sheetName val="Annexure T"/>
      <sheetName val="Annexure U"/>
      <sheetName val="Annexure V"/>
      <sheetName val="SALESTAX"/>
      <sheetName val="Ratio Analysis"/>
      <sheetName val="excise trans summary"/>
      <sheetName val="Annex."/>
      <sheetName val="Annexure X"/>
      <sheetName val="22A &amp;Leave E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I"/>
      <sheetName val="BOB"/>
      <sheetName val="Obc457789"/>
      <sheetName val="PNB40"/>
      <sheetName val="DENA"/>
      <sheetName val="HDFC"/>
      <sheetName val="INDUSIND"/>
      <sheetName val="YES"/>
      <sheetName val="VIJAYA"/>
      <sheetName val="SBS"/>
      <sheetName val="ICICI"/>
      <sheetName val="UCO4962"/>
      <sheetName val="GTB"/>
      <sheetName val="HEDG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Balance Sheet"/>
      <sheetName val="Profit and Loss"/>
      <sheetName val="Suppl. Info."/>
      <sheetName val="Cashflow"/>
      <sheetName val="macro"/>
      <sheetName val="Upload"/>
      <sheetName val="Commentary"/>
      <sheetName val="ICDN's Received"/>
      <sheetName val="Accr and Prepay"/>
      <sheetName val="Manpow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rans_Letter"/>
      <sheetName val="Index"/>
      <sheetName val="Abbreviations"/>
      <sheetName val="Lead_Index"/>
      <sheetName val="Lead PL"/>
      <sheetName val="Lead CF"/>
      <sheetName val="Lead BS"/>
      <sheetName val="PL_Index"/>
      <sheetName val="PL1"/>
      <sheetName val="PL2"/>
      <sheetName val="PL3"/>
      <sheetName val="PL4"/>
      <sheetName val="PL5"/>
      <sheetName val="PL6-Revenue Bridge"/>
      <sheetName val="PL7"/>
      <sheetName val="PL8"/>
      <sheetName val="PL9"/>
      <sheetName val="PL10"/>
      <sheetName val="PL11"/>
      <sheetName val="PL12"/>
      <sheetName val="PL13"/>
      <sheetName val="PL14"/>
      <sheetName val="PL15"/>
      <sheetName val="PL16"/>
      <sheetName val="PL17"/>
      <sheetName val="PL18"/>
      <sheetName val="PL19"/>
      <sheetName val="PL20"/>
      <sheetName val="PL21"/>
      <sheetName val="PL22"/>
      <sheetName val="PL23"/>
      <sheetName val="PL24"/>
      <sheetName val="BS_Index"/>
      <sheetName val="BS1"/>
      <sheetName val="BS2"/>
      <sheetName val="BS3"/>
      <sheetName val="BS4"/>
      <sheetName val="BS5"/>
      <sheetName val="BS6"/>
      <sheetName val="BS7"/>
      <sheetName val="BS8"/>
      <sheetName val="BS9"/>
      <sheetName val="BS10"/>
      <sheetName val="BS11"/>
      <sheetName val="BS12"/>
      <sheetName val="BS13"/>
      <sheetName val="BS14"/>
      <sheetName val="BS15"/>
      <sheetName val="BS16"/>
      <sheetName val="BS17"/>
      <sheetName val="BS18"/>
      <sheetName val="BS19"/>
      <sheetName val="BS20"/>
      <sheetName val="BS21"/>
      <sheetName val="BS22"/>
      <sheetName val="BS23"/>
      <sheetName val="BS24"/>
      <sheetName val="WC_Index"/>
      <sheetName val="WC1"/>
      <sheetName val="WC2"/>
      <sheetName val="FC_Index"/>
      <sheetName val="FC1"/>
      <sheetName val="FC2"/>
      <sheetName val="AG_Index"/>
      <sheetName val="AG1"/>
      <sheetName val="AG2"/>
      <sheetName val="AG3"/>
      <sheetName val="AG4"/>
      <sheetName val="AG5"/>
      <sheetName val="AG6"/>
      <sheetName val="Sheet8S"/>
      <sheetName val="Sheet4S"/>
      <sheetName val="Sheet01S"/>
      <sheetName val="Sheet12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s"/>
      <sheetName val="Index"/>
      <sheetName val="Trial Report"/>
      <sheetName val="PL"/>
      <sheetName val="BalanceSheet"/>
      <sheetName val="Sch_BS_Share Capita"/>
      <sheetName val="Sch_BS_Other_Liabilities"/>
      <sheetName val="Sch_BS_Assets"/>
      <sheetName val="Sch_BS_FA"/>
      <sheetName val="Sch_PL_Revenue"/>
      <sheetName val="Sch_PL_Exp"/>
      <sheetName val="Sheet1"/>
      <sheetName val="Sch_BS_Liabilities"/>
      <sheetName val="01-Balance sheet-IGAAP_Adani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UD"/>
      <sheetName val="10A"/>
      <sheetName val="80G"/>
      <sheetName val="80_"/>
      <sheetName val="SI"/>
      <sheetName val="EI_MAT"/>
      <sheetName val="FRINGE_BENEFIT_INFO"/>
      <sheetName val="IT_DDTP"/>
      <sheetName val="FSI"/>
      <sheetName val="TR_FA"/>
      <sheetName val="DDT_TDS_TCS"/>
      <sheetName val="Instructions"/>
      <sheetName val="Pre_XML"/>
      <sheetName val="Calculator"/>
      <sheetName val="Setof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S FOR CIRCULATION"/>
      <sheetName val="Report"/>
      <sheetName val="Swap MTM"/>
      <sheetName val="MTM Position"/>
      <sheetName val="CAD &amp; Early Uti."/>
      <sheetName val="Cancel &amp; Rollover"/>
      <sheetName val="settled"/>
      <sheetName val="Buyers Credit"/>
      <sheetName val="Export &amp; Remittance"/>
      <sheetName val="Master Sheet"/>
      <sheetName val="Open Exposure"/>
      <sheetName val="Prepay Interest"/>
      <sheetName val="Contract Position"/>
      <sheetName val="Export MIS"/>
      <sheetName val="Export"/>
      <sheetName val="EXC. DIFF ON PURCHASE"/>
      <sheetName val="Book Exchange"/>
      <sheetName val="Char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Balance Sheet"/>
      <sheetName val="Sheet1"/>
      <sheetName val="Profit and Loss"/>
      <sheetName val="Cashflow"/>
      <sheetName val="Supplement info"/>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alculation-2"/>
      <sheetName val="revised"/>
      <sheetName val="zpctb-dta"/>
      <sheetName val="zpctb-sez"/>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rty Results (2)"/>
      <sheetName val="FORMAT"/>
      <sheetName val="Main Bs (2)"/>
      <sheetName val="Outside"/>
      <sheetName val="Outside entry"/>
      <sheetName val="QR-Millions"/>
      <sheetName val="Qrty Results"/>
      <sheetName val="Segmental Report"/>
      <sheetName val="CLBS"/>
      <sheetName val="Main Bs"/>
      <sheetName val="Inter Unit"/>
      <sheetName val="Analysis"/>
      <sheetName val="ratios"/>
      <sheetName val="CashFlow"/>
      <sheetName val="QR-EX_RH"/>
      <sheetName val="Qrty Results (3)"/>
      <sheetName val="QR-EX-OI"/>
      <sheetName val="ASSAY-new"/>
      <sheetName val="zpctb-dta"/>
      <sheetName val="Sheet1"/>
      <sheetName val="Details"/>
      <sheetName val="REFNCOMPARE"/>
      <sheetName val="EESL IN VPCL"/>
      <sheetName val="VPCL-1000"/>
      <sheetName val="Scenar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EC01 (2)"/>
      <sheetName val="DEC01"/>
      <sheetName val="sep01"/>
      <sheetName val="March 01"/>
      <sheetName val="December2k"/>
      <sheetName val="SEPT 2000 (R)"/>
      <sheetName val="SEPT 2000"/>
      <sheetName val="JUNE 2000"/>
      <sheetName val="Dec"/>
      <sheetName val="Sept"/>
      <sheetName val="june"/>
      <sheetName val="March'99"/>
      <sheetName val="VPCL-1000"/>
      <sheetName val="Scenarios"/>
      <sheetName val="COST SHEET WORKING  -vizag"/>
      <sheetName val="extra"/>
      <sheetName val="Controls"/>
      <sheetName val="toggles"/>
      <sheetName val="P&amp;L"/>
      <sheetName val="DEC01_(2)"/>
      <sheetName val="March_01"/>
      <sheetName val="SEPT_2000_(R)"/>
      <sheetName val="SEPT_2000"/>
      <sheetName val="JUNE_2000"/>
      <sheetName val="COST_SHEET_WORKING__-vizag"/>
      <sheetName val="Input"/>
      <sheetName val="calc"/>
    </sheetNames>
    <sheetDataSet>
      <sheetData sheetId="0" refreshError="1"/>
      <sheetData sheetId="1" refreshError="1"/>
      <sheetData sheetId="2" refreshError="1"/>
      <sheetData sheetId="3" refreshError="1">
        <row r="1">
          <cell r="A1" t="str">
            <v>ESSAR STEEL LIMITED</v>
          </cell>
        </row>
        <row r="2">
          <cell r="A2" t="str">
            <v>SCHEDULE V AS ON 30.09.2001</v>
          </cell>
        </row>
        <row r="4">
          <cell r="C4" t="str">
            <v>GROSS BLOCK</v>
          </cell>
          <cell r="D4">
            <v>0</v>
          </cell>
          <cell r="E4">
            <v>0</v>
          </cell>
          <cell r="F4">
            <v>0</v>
          </cell>
          <cell r="G4" t="str">
            <v>DEPRECIATION</v>
          </cell>
          <cell r="H4">
            <v>0</v>
          </cell>
          <cell r="I4">
            <v>0</v>
          </cell>
          <cell r="J4">
            <v>0</v>
          </cell>
          <cell r="K4" t="str">
            <v>NET BLOCK</v>
          </cell>
        </row>
        <row r="5">
          <cell r="C5" t="str">
            <v>Balance as on</v>
          </cell>
          <cell r="D5" t="str">
            <v xml:space="preserve">Addition during </v>
          </cell>
          <cell r="E5" t="str">
            <v xml:space="preserve">Deletion during </v>
          </cell>
          <cell r="F5" t="str">
            <v>Balance as on</v>
          </cell>
          <cell r="G5" t="str">
            <v>Balance as on</v>
          </cell>
          <cell r="H5" t="str">
            <v xml:space="preserve">For the </v>
          </cell>
          <cell r="I5" t="str">
            <v>Withdrawls/</v>
          </cell>
          <cell r="J5" t="str">
            <v>Balance as on</v>
          </cell>
          <cell r="K5" t="str">
            <v>Balance as on</v>
          </cell>
          <cell r="L5" t="str">
            <v>Balance as on</v>
          </cell>
        </row>
        <row r="6">
          <cell r="B6" t="str">
            <v>Bus Area</v>
          </cell>
          <cell r="C6" t="str">
            <v>01.04.2001</v>
          </cell>
          <cell r="D6" t="str">
            <v>period</v>
          </cell>
          <cell r="E6" t="str">
            <v>period</v>
          </cell>
          <cell r="F6" t="str">
            <v>30.09.2001</v>
          </cell>
          <cell r="G6" t="str">
            <v>01.04.2001</v>
          </cell>
          <cell r="H6" t="str">
            <v>year</v>
          </cell>
          <cell r="I6" t="str">
            <v>written back</v>
          </cell>
          <cell r="J6" t="str">
            <v>30.09.2001</v>
          </cell>
          <cell r="K6" t="str">
            <v>30.09.2001</v>
          </cell>
          <cell r="L6" t="str">
            <v>31.03.2001</v>
          </cell>
        </row>
        <row r="7">
          <cell r="A7" t="str">
            <v>HBI</v>
          </cell>
        </row>
        <row r="8">
          <cell r="A8" t="str">
            <v>LAND</v>
          </cell>
          <cell r="B8">
            <v>1100</v>
          </cell>
          <cell r="C8">
            <v>15823090.9</v>
          </cell>
          <cell r="D8">
            <v>0</v>
          </cell>
          <cell r="E8">
            <v>0</v>
          </cell>
          <cell r="F8">
            <v>15823090.9</v>
          </cell>
          <cell r="G8">
            <v>0</v>
          </cell>
          <cell r="H8">
            <v>0</v>
          </cell>
          <cell r="I8">
            <v>0</v>
          </cell>
          <cell r="J8">
            <v>0</v>
          </cell>
          <cell r="K8">
            <v>15823090.9</v>
          </cell>
          <cell r="L8">
            <v>15823090.9</v>
          </cell>
        </row>
        <row r="9">
          <cell r="A9" t="str">
            <v>BUILDINGS</v>
          </cell>
          <cell r="B9">
            <v>1100</v>
          </cell>
          <cell r="C9">
            <v>319227652.68000001</v>
          </cell>
          <cell r="D9">
            <v>0</v>
          </cell>
          <cell r="E9">
            <v>0</v>
          </cell>
          <cell r="F9">
            <v>319227652.68000001</v>
          </cell>
          <cell r="G9">
            <v>165467883.11000001</v>
          </cell>
          <cell r="H9">
            <v>5000591</v>
          </cell>
          <cell r="I9">
            <v>0</v>
          </cell>
          <cell r="J9">
            <v>170468474.11000001</v>
          </cell>
          <cell r="K9">
            <v>148759178.56999999</v>
          </cell>
          <cell r="L9">
            <v>153759769.56999999</v>
          </cell>
        </row>
        <row r="10">
          <cell r="A10" t="str">
            <v>PLANT &amp; MACHINERY</v>
          </cell>
          <cell r="B10">
            <v>1100</v>
          </cell>
          <cell r="C10">
            <v>8502250247.75</v>
          </cell>
          <cell r="D10">
            <v>80886321</v>
          </cell>
          <cell r="E10">
            <v>0</v>
          </cell>
          <cell r="F10">
            <v>8583136568.75</v>
          </cell>
          <cell r="G10">
            <v>4848111145.0500002</v>
          </cell>
          <cell r="H10">
            <v>266337262.19</v>
          </cell>
          <cell r="I10">
            <v>0</v>
          </cell>
          <cell r="J10">
            <v>5114448407.2399998</v>
          </cell>
          <cell r="K10">
            <v>3468688161.5100002</v>
          </cell>
          <cell r="L10">
            <v>3654139102.6999998</v>
          </cell>
        </row>
        <row r="11">
          <cell r="A11" t="str">
            <v>FURNITURE &amp; FIXTURE</v>
          </cell>
          <cell r="B11">
            <v>1100</v>
          </cell>
          <cell r="C11">
            <v>12436890.470000001</v>
          </cell>
          <cell r="D11">
            <v>0</v>
          </cell>
          <cell r="E11">
            <v>0</v>
          </cell>
          <cell r="F11">
            <v>12436890.470000001</v>
          </cell>
          <cell r="G11">
            <v>10556844.18</v>
          </cell>
          <cell r="H11">
            <v>170623</v>
          </cell>
          <cell r="I11">
            <v>0</v>
          </cell>
          <cell r="J11">
            <v>10727467.18</v>
          </cell>
          <cell r="K11">
            <v>1709423.290000001</v>
          </cell>
          <cell r="L11">
            <v>1880046.290000001</v>
          </cell>
        </row>
        <row r="12">
          <cell r="A12" t="str">
            <v>OFFICE EQUIPMENT</v>
          </cell>
          <cell r="B12">
            <v>1100</v>
          </cell>
          <cell r="C12">
            <v>25197558.239999998</v>
          </cell>
          <cell r="D12">
            <v>0</v>
          </cell>
          <cell r="E12">
            <v>0</v>
          </cell>
          <cell r="F12">
            <v>25197558.239999998</v>
          </cell>
          <cell r="G12">
            <v>22121039.68</v>
          </cell>
          <cell r="H12">
            <v>270419</v>
          </cell>
          <cell r="I12">
            <v>0</v>
          </cell>
          <cell r="J12">
            <v>22391458.68</v>
          </cell>
          <cell r="K12">
            <v>2806099.5599999987</v>
          </cell>
          <cell r="L12">
            <v>3076518.5599999987</v>
          </cell>
        </row>
        <row r="13">
          <cell r="A13" t="str">
            <v>VEHICLES</v>
          </cell>
          <cell r="B13">
            <v>1100</v>
          </cell>
          <cell r="C13">
            <v>3102311.71</v>
          </cell>
          <cell r="D13">
            <v>0</v>
          </cell>
          <cell r="E13">
            <v>0</v>
          </cell>
          <cell r="F13">
            <v>3102311.71</v>
          </cell>
          <cell r="G13">
            <v>2782295.04</v>
          </cell>
          <cell r="H13">
            <v>42438</v>
          </cell>
          <cell r="I13">
            <v>0</v>
          </cell>
          <cell r="J13">
            <v>2824733.04</v>
          </cell>
          <cell r="K13">
            <v>277578.66999999993</v>
          </cell>
          <cell r="L13">
            <v>320016.66999999993</v>
          </cell>
        </row>
        <row r="14">
          <cell r="A14" t="str">
            <v>SHIPS</v>
          </cell>
          <cell r="B14">
            <v>1100</v>
          </cell>
          <cell r="C14">
            <v>689563031</v>
          </cell>
          <cell r="D14">
            <v>0</v>
          </cell>
          <cell r="E14">
            <v>0</v>
          </cell>
          <cell r="F14">
            <v>689563031</v>
          </cell>
          <cell r="G14">
            <v>184888702.30000001</v>
          </cell>
          <cell r="H14">
            <v>25302850</v>
          </cell>
          <cell r="I14">
            <v>0</v>
          </cell>
          <cell r="J14">
            <v>210191552.30000001</v>
          </cell>
          <cell r="K14">
            <v>479371478.69999999</v>
          </cell>
          <cell r="L14">
            <v>504674328.69999999</v>
          </cell>
        </row>
        <row r="15">
          <cell r="A15" t="str">
            <v>AIRCRAFT</v>
          </cell>
          <cell r="B15">
            <v>1100</v>
          </cell>
          <cell r="C15">
            <v>0</v>
          </cell>
          <cell r="D15">
            <v>0</v>
          </cell>
          <cell r="E15">
            <v>0</v>
          </cell>
          <cell r="F15">
            <v>0</v>
          </cell>
          <cell r="G15">
            <v>0</v>
          </cell>
          <cell r="H15">
            <v>0</v>
          </cell>
          <cell r="I15">
            <v>0</v>
          </cell>
          <cell r="J15">
            <v>0</v>
          </cell>
          <cell r="K15">
            <v>0</v>
          </cell>
          <cell r="L15">
            <v>0</v>
          </cell>
        </row>
        <row r="16">
          <cell r="A16" t="str">
            <v>RAILWAY SIDING &amp; WAGONS</v>
          </cell>
          <cell r="B16">
            <v>1100</v>
          </cell>
          <cell r="C16">
            <v>179163743.00999999</v>
          </cell>
          <cell r="D16">
            <v>0</v>
          </cell>
          <cell r="E16">
            <v>0</v>
          </cell>
          <cell r="F16">
            <v>179163743.00999999</v>
          </cell>
          <cell r="G16">
            <v>61671285.68</v>
          </cell>
          <cell r="H16">
            <v>4266798</v>
          </cell>
          <cell r="I16">
            <v>0</v>
          </cell>
          <cell r="J16">
            <v>65938083.68</v>
          </cell>
          <cell r="K16">
            <v>113225659.32999998</v>
          </cell>
          <cell r="L16">
            <v>117492457.32999998</v>
          </cell>
        </row>
        <row r="17">
          <cell r="C17">
            <v>9746764525.7599983</v>
          </cell>
          <cell r="D17">
            <v>80886321</v>
          </cell>
          <cell r="E17">
            <v>0</v>
          </cell>
          <cell r="F17">
            <v>9827650846.7599983</v>
          </cell>
          <cell r="G17">
            <v>5295599195.0400009</v>
          </cell>
          <cell r="H17">
            <v>301390981.19</v>
          </cell>
          <cell r="I17">
            <v>0</v>
          </cell>
          <cell r="J17">
            <v>5596990176.2300005</v>
          </cell>
          <cell r="K17">
            <v>4230660670.5299997</v>
          </cell>
          <cell r="L17">
            <v>4451165330.7199993</v>
          </cell>
        </row>
        <row r="18">
          <cell r="A18" t="str">
            <v>HRC</v>
          </cell>
        </row>
        <row r="19">
          <cell r="A19" t="str">
            <v xml:space="preserve"> LAND</v>
          </cell>
          <cell r="B19">
            <v>1500</v>
          </cell>
          <cell r="C19">
            <v>315389153.70999998</v>
          </cell>
          <cell r="D19">
            <v>0</v>
          </cell>
          <cell r="E19">
            <v>159232</v>
          </cell>
          <cell r="F19">
            <v>315229921.70999998</v>
          </cell>
          <cell r="G19">
            <v>0</v>
          </cell>
          <cell r="H19">
            <v>0</v>
          </cell>
          <cell r="I19">
            <v>0</v>
          </cell>
          <cell r="J19">
            <v>0</v>
          </cell>
          <cell r="K19">
            <v>315229921.70999998</v>
          </cell>
          <cell r="L19">
            <v>315389153.70999998</v>
          </cell>
        </row>
        <row r="20">
          <cell r="A20" t="str">
            <v>BUILDINGS</v>
          </cell>
          <cell r="B20">
            <v>1500</v>
          </cell>
          <cell r="C20">
            <v>4070285083.3099999</v>
          </cell>
          <cell r="D20">
            <v>162946</v>
          </cell>
          <cell r="E20">
            <v>0</v>
          </cell>
          <cell r="F20">
            <v>4070448029.3099999</v>
          </cell>
          <cell r="G20">
            <v>1724727022.8700001</v>
          </cell>
          <cell r="H20">
            <v>109221993</v>
          </cell>
          <cell r="I20">
            <v>0</v>
          </cell>
          <cell r="J20">
            <v>1833949015.8700001</v>
          </cell>
          <cell r="K20">
            <v>2236499013.4399996</v>
          </cell>
          <cell r="L20">
            <v>2345558060.4399996</v>
          </cell>
        </row>
        <row r="21">
          <cell r="A21" t="str">
            <v>PLANT &amp; MACHINERY</v>
          </cell>
          <cell r="B21">
            <v>1500</v>
          </cell>
          <cell r="C21">
            <v>49626502718.139999</v>
          </cell>
          <cell r="D21">
            <v>9911802</v>
          </cell>
          <cell r="E21">
            <v>0</v>
          </cell>
          <cell r="F21">
            <v>49636414520.139999</v>
          </cell>
          <cell r="G21">
            <v>12298017846</v>
          </cell>
          <cell r="H21">
            <v>1637899619</v>
          </cell>
          <cell r="I21">
            <v>0</v>
          </cell>
          <cell r="J21">
            <v>13935917465</v>
          </cell>
          <cell r="K21">
            <v>35700497055.139999</v>
          </cell>
          <cell r="L21">
            <v>37328484872.139999</v>
          </cell>
        </row>
        <row r="22">
          <cell r="A22" t="str">
            <v>FURNITURE &amp; FIXTURE</v>
          </cell>
          <cell r="B22">
            <v>1500</v>
          </cell>
          <cell r="C22">
            <v>143125001.62</v>
          </cell>
          <cell r="D22">
            <v>25975</v>
          </cell>
          <cell r="E22">
            <v>0</v>
          </cell>
          <cell r="F22">
            <v>143150976.62</v>
          </cell>
          <cell r="G22">
            <v>111692050.62</v>
          </cell>
          <cell r="H22">
            <v>2854410</v>
          </cell>
          <cell r="I22">
            <v>0</v>
          </cell>
          <cell r="J22">
            <v>114546460.62</v>
          </cell>
          <cell r="K22">
            <v>28604516</v>
          </cell>
          <cell r="L22">
            <v>31432951</v>
          </cell>
        </row>
        <row r="23">
          <cell r="A23" t="str">
            <v>OFFICE EQUIPMENT</v>
          </cell>
          <cell r="B23">
            <v>1500</v>
          </cell>
          <cell r="C23">
            <v>299067230.81999999</v>
          </cell>
          <cell r="D23">
            <v>3744535</v>
          </cell>
          <cell r="E23">
            <v>0</v>
          </cell>
          <cell r="F23">
            <v>302811765.81999999</v>
          </cell>
          <cell r="G23">
            <v>234598630.72999999</v>
          </cell>
          <cell r="H23">
            <v>9735699</v>
          </cell>
          <cell r="I23">
            <v>0</v>
          </cell>
          <cell r="J23">
            <v>244334329.72999999</v>
          </cell>
          <cell r="K23">
            <v>58477436.090000004</v>
          </cell>
          <cell r="L23">
            <v>64468600.090000004</v>
          </cell>
        </row>
        <row r="24">
          <cell r="A24" t="str">
            <v>VEHICLES</v>
          </cell>
          <cell r="B24">
            <v>1500</v>
          </cell>
          <cell r="C24">
            <v>41761973.590000004</v>
          </cell>
          <cell r="D24">
            <v>1233431.45</v>
          </cell>
          <cell r="E24">
            <v>4308581</v>
          </cell>
          <cell r="F24">
            <v>38686824.040000007</v>
          </cell>
          <cell r="G24">
            <v>28393348.780000001</v>
          </cell>
          <cell r="H24">
            <v>1883090</v>
          </cell>
          <cell r="I24">
            <v>2188218.06</v>
          </cell>
          <cell r="J24">
            <v>28088220.720000003</v>
          </cell>
          <cell r="K24">
            <v>10598603.320000004</v>
          </cell>
          <cell r="L24">
            <v>13368624.810000002</v>
          </cell>
        </row>
        <row r="25">
          <cell r="A25" t="str">
            <v>SHIPS</v>
          </cell>
          <cell r="B25">
            <v>0</v>
          </cell>
          <cell r="C25">
            <v>0</v>
          </cell>
          <cell r="D25">
            <v>0</v>
          </cell>
          <cell r="E25">
            <v>0</v>
          </cell>
          <cell r="F25">
            <v>0</v>
          </cell>
          <cell r="G25">
            <v>0</v>
          </cell>
          <cell r="H25">
            <v>0</v>
          </cell>
          <cell r="I25">
            <v>0</v>
          </cell>
          <cell r="J25">
            <v>0</v>
          </cell>
          <cell r="K25">
            <v>0</v>
          </cell>
          <cell r="L25">
            <v>0</v>
          </cell>
        </row>
        <row r="26">
          <cell r="A26" t="str">
            <v>AIRCRAFT</v>
          </cell>
          <cell r="B26">
            <v>1500</v>
          </cell>
          <cell r="C26">
            <v>43471480</v>
          </cell>
          <cell r="D26">
            <v>0</v>
          </cell>
          <cell r="E26">
            <v>0</v>
          </cell>
          <cell r="F26">
            <v>43471480</v>
          </cell>
          <cell r="G26">
            <v>28710073.91</v>
          </cell>
          <cell r="H26">
            <v>1198950</v>
          </cell>
          <cell r="I26">
            <v>0</v>
          </cell>
          <cell r="J26">
            <v>29909023.91</v>
          </cell>
          <cell r="K26">
            <v>13562456.09</v>
          </cell>
          <cell r="L26">
            <v>14761406.09</v>
          </cell>
        </row>
        <row r="27">
          <cell r="A27" t="str">
            <v>RAILWAY SIDING &amp; WAGONS</v>
          </cell>
          <cell r="B27">
            <v>1500</v>
          </cell>
          <cell r="C27">
            <v>129930090.22</v>
          </cell>
          <cell r="D27">
            <v>0</v>
          </cell>
          <cell r="E27">
            <v>0</v>
          </cell>
          <cell r="F27">
            <v>129930090.22</v>
          </cell>
          <cell r="G27">
            <v>31658165.609999999</v>
          </cell>
          <cell r="H27">
            <v>3329662</v>
          </cell>
          <cell r="I27">
            <v>0</v>
          </cell>
          <cell r="J27">
            <v>34987827.609999999</v>
          </cell>
          <cell r="K27">
            <v>94942262.609999999</v>
          </cell>
          <cell r="L27">
            <v>98271924.609999999</v>
          </cell>
        </row>
        <row r="28">
          <cell r="C28">
            <v>54669532731.409996</v>
          </cell>
          <cell r="D28">
            <v>15078689.449999999</v>
          </cell>
          <cell r="E28">
            <v>4467813</v>
          </cell>
          <cell r="F28">
            <v>54680143607.860001</v>
          </cell>
          <cell r="G28">
            <v>14457797138.520002</v>
          </cell>
          <cell r="H28">
            <v>1766123423</v>
          </cell>
          <cell r="I28">
            <v>2188218.06</v>
          </cell>
          <cell r="J28">
            <v>16221732343.460001</v>
          </cell>
          <cell r="K28">
            <v>38458411264.399994</v>
          </cell>
          <cell r="L28">
            <v>40211735592.889992</v>
          </cell>
        </row>
        <row r="29">
          <cell r="A29" t="str">
            <v>CORPORATE</v>
          </cell>
        </row>
        <row r="30">
          <cell r="A30" t="str">
            <v xml:space="preserve"> LAND</v>
          </cell>
          <cell r="B30">
            <v>0</v>
          </cell>
          <cell r="C30">
            <v>0</v>
          </cell>
          <cell r="D30">
            <v>0</v>
          </cell>
          <cell r="E30">
            <v>0</v>
          </cell>
          <cell r="F30">
            <v>0</v>
          </cell>
          <cell r="G30">
            <v>0</v>
          </cell>
          <cell r="H30">
            <v>0</v>
          </cell>
          <cell r="I30">
            <v>0</v>
          </cell>
          <cell r="J30">
            <v>0</v>
          </cell>
          <cell r="K30">
            <v>0</v>
          </cell>
          <cell r="L30">
            <v>0</v>
          </cell>
        </row>
        <row r="31">
          <cell r="A31" t="str">
            <v>BUILDINGS</v>
          </cell>
          <cell r="B31">
            <v>1900</v>
          </cell>
          <cell r="C31">
            <v>6086179</v>
          </cell>
          <cell r="D31">
            <v>0</v>
          </cell>
          <cell r="E31">
            <v>0</v>
          </cell>
          <cell r="F31">
            <v>6086179</v>
          </cell>
          <cell r="G31">
            <v>3586069</v>
          </cell>
          <cell r="H31">
            <v>67444</v>
          </cell>
          <cell r="I31">
            <v>0</v>
          </cell>
          <cell r="J31">
            <v>3653513</v>
          </cell>
          <cell r="K31">
            <v>2432666</v>
          </cell>
          <cell r="L31">
            <v>2500110</v>
          </cell>
        </row>
        <row r="32">
          <cell r="A32" t="str">
            <v>PLANT &amp; MACHINERY</v>
          </cell>
          <cell r="B32">
            <v>0</v>
          </cell>
          <cell r="C32">
            <v>0</v>
          </cell>
          <cell r="D32">
            <v>0</v>
          </cell>
          <cell r="E32">
            <v>0</v>
          </cell>
          <cell r="F32">
            <v>0</v>
          </cell>
          <cell r="G32">
            <v>0</v>
          </cell>
          <cell r="H32">
            <v>0</v>
          </cell>
          <cell r="I32">
            <v>0</v>
          </cell>
          <cell r="J32">
            <v>0</v>
          </cell>
          <cell r="K32">
            <v>0</v>
          </cell>
          <cell r="L32">
            <v>0</v>
          </cell>
        </row>
        <row r="33">
          <cell r="A33" t="str">
            <v>FURNITURE &amp; FIXTURE</v>
          </cell>
          <cell r="B33">
            <v>1900</v>
          </cell>
          <cell r="C33">
            <v>18650264.300000001</v>
          </cell>
          <cell r="D33">
            <v>54250</v>
          </cell>
          <cell r="E33">
            <v>0</v>
          </cell>
          <cell r="F33">
            <v>18704514.300000001</v>
          </cell>
          <cell r="G33">
            <v>15368792</v>
          </cell>
          <cell r="H33">
            <v>299908</v>
          </cell>
          <cell r="I33">
            <v>0</v>
          </cell>
          <cell r="J33">
            <v>15668700</v>
          </cell>
          <cell r="K33">
            <v>3035814.3000000007</v>
          </cell>
          <cell r="L33">
            <v>3281472.3000000007</v>
          </cell>
        </row>
        <row r="34">
          <cell r="A34" t="str">
            <v>OFFICE EQUIPMENT</v>
          </cell>
          <cell r="B34">
            <v>1900</v>
          </cell>
          <cell r="C34">
            <v>19895306.559999999</v>
          </cell>
          <cell r="D34">
            <v>655570</v>
          </cell>
          <cell r="E34">
            <v>0</v>
          </cell>
          <cell r="F34">
            <v>20550876.559999999</v>
          </cell>
          <cell r="G34">
            <v>15159783</v>
          </cell>
          <cell r="H34">
            <v>592607</v>
          </cell>
          <cell r="I34">
            <v>0</v>
          </cell>
          <cell r="J34">
            <v>15752390</v>
          </cell>
          <cell r="K34">
            <v>4798486.5599999987</v>
          </cell>
          <cell r="L34">
            <v>4735523.5599999987</v>
          </cell>
        </row>
        <row r="35">
          <cell r="A35" t="str">
            <v>VEHICLES</v>
          </cell>
          <cell r="B35">
            <v>1900</v>
          </cell>
          <cell r="C35">
            <v>28326299.68</v>
          </cell>
          <cell r="D35">
            <v>0</v>
          </cell>
          <cell r="E35">
            <v>0</v>
          </cell>
          <cell r="F35">
            <v>28326299.68</v>
          </cell>
          <cell r="G35">
            <v>15234849</v>
          </cell>
          <cell r="H35">
            <v>1695955</v>
          </cell>
          <cell r="I35">
            <v>0</v>
          </cell>
          <cell r="J35">
            <v>16930804</v>
          </cell>
          <cell r="K35">
            <v>11395495.68</v>
          </cell>
          <cell r="L35">
            <v>13091450.68</v>
          </cell>
        </row>
        <row r="36">
          <cell r="A36" t="str">
            <v>SHIPS</v>
          </cell>
          <cell r="B36">
            <v>0</v>
          </cell>
          <cell r="C36">
            <v>0</v>
          </cell>
          <cell r="D36">
            <v>0</v>
          </cell>
          <cell r="E36">
            <v>0</v>
          </cell>
          <cell r="F36">
            <v>0</v>
          </cell>
          <cell r="G36">
            <v>0</v>
          </cell>
          <cell r="H36">
            <v>0</v>
          </cell>
          <cell r="I36">
            <v>0</v>
          </cell>
          <cell r="J36">
            <v>0</v>
          </cell>
          <cell r="K36">
            <v>0</v>
          </cell>
          <cell r="L36">
            <v>0</v>
          </cell>
        </row>
        <row r="37">
          <cell r="A37" t="str">
            <v>AIRCRAFT</v>
          </cell>
          <cell r="B37">
            <v>0</v>
          </cell>
          <cell r="C37">
            <v>0</v>
          </cell>
          <cell r="D37">
            <v>0</v>
          </cell>
          <cell r="E37">
            <v>0</v>
          </cell>
          <cell r="F37">
            <v>0</v>
          </cell>
          <cell r="G37">
            <v>0</v>
          </cell>
          <cell r="H37">
            <v>0</v>
          </cell>
          <cell r="I37">
            <v>0</v>
          </cell>
          <cell r="J37">
            <v>0</v>
          </cell>
          <cell r="K37">
            <v>0</v>
          </cell>
          <cell r="L37">
            <v>0</v>
          </cell>
        </row>
        <row r="38">
          <cell r="A38" t="str">
            <v>RAILWAY SIDING &amp; WAGONS</v>
          </cell>
          <cell r="B38">
            <v>0</v>
          </cell>
          <cell r="C38">
            <v>0</v>
          </cell>
          <cell r="D38">
            <v>0</v>
          </cell>
          <cell r="E38">
            <v>0</v>
          </cell>
          <cell r="F38">
            <v>0</v>
          </cell>
          <cell r="G38">
            <v>0</v>
          </cell>
          <cell r="H38">
            <v>0</v>
          </cell>
          <cell r="I38">
            <v>0</v>
          </cell>
          <cell r="J38">
            <v>0</v>
          </cell>
          <cell r="K38">
            <v>0</v>
          </cell>
          <cell r="L38">
            <v>0</v>
          </cell>
        </row>
        <row r="39">
          <cell r="C39">
            <v>72958049.539999992</v>
          </cell>
          <cell r="D39">
            <v>709820</v>
          </cell>
          <cell r="E39">
            <v>0</v>
          </cell>
          <cell r="F39">
            <v>73667869.539999992</v>
          </cell>
          <cell r="G39">
            <v>49349493</v>
          </cell>
          <cell r="H39">
            <v>2655914</v>
          </cell>
          <cell r="I39">
            <v>0</v>
          </cell>
          <cell r="J39">
            <v>52005407</v>
          </cell>
          <cell r="K39">
            <v>21662462.539999999</v>
          </cell>
          <cell r="L39">
            <v>23608556.539999999</v>
          </cell>
        </row>
        <row r="40">
          <cell r="A40" t="str">
            <v>TOTAL</v>
          </cell>
        </row>
        <row r="41">
          <cell r="A41" t="str">
            <v xml:space="preserve"> LAND</v>
          </cell>
          <cell r="B41">
            <v>0</v>
          </cell>
          <cell r="C41">
            <v>331212244.60999995</v>
          </cell>
          <cell r="D41">
            <v>0</v>
          </cell>
          <cell r="E41">
            <v>159232</v>
          </cell>
          <cell r="F41">
            <v>331053012.60999995</v>
          </cell>
          <cell r="G41">
            <v>0</v>
          </cell>
          <cell r="H41">
            <v>0</v>
          </cell>
          <cell r="I41">
            <v>0</v>
          </cell>
          <cell r="J41">
            <v>0</v>
          </cell>
          <cell r="K41">
            <v>331053012.60999995</v>
          </cell>
          <cell r="L41">
            <v>331212244.60999995</v>
          </cell>
        </row>
        <row r="42">
          <cell r="A42" t="str">
            <v>BUILDINGS</v>
          </cell>
          <cell r="B42">
            <v>0</v>
          </cell>
          <cell r="C42">
            <v>4395598914.9899998</v>
          </cell>
          <cell r="D42">
            <v>162946</v>
          </cell>
          <cell r="E42">
            <v>0</v>
          </cell>
          <cell r="F42">
            <v>4395761860.9899998</v>
          </cell>
          <cell r="G42">
            <v>1893780974.98</v>
          </cell>
          <cell r="H42">
            <v>114290028</v>
          </cell>
          <cell r="I42">
            <v>0</v>
          </cell>
          <cell r="J42">
            <v>2008071002.98</v>
          </cell>
          <cell r="K42">
            <v>2387690858.0099998</v>
          </cell>
          <cell r="L42">
            <v>2501817940.0099998</v>
          </cell>
        </row>
        <row r="43">
          <cell r="A43" t="str">
            <v>PLANT &amp; MACHINERY</v>
          </cell>
          <cell r="B43">
            <v>0</v>
          </cell>
          <cell r="C43">
            <v>58128752965.889999</v>
          </cell>
          <cell r="D43">
            <v>90798123</v>
          </cell>
          <cell r="E43">
            <v>0</v>
          </cell>
          <cell r="F43">
            <v>58219551088.889999</v>
          </cell>
          <cell r="G43">
            <v>17146128991.049999</v>
          </cell>
          <cell r="H43">
            <v>1904236881.1900001</v>
          </cell>
          <cell r="I43">
            <v>0</v>
          </cell>
          <cell r="J43">
            <v>19050365872.239998</v>
          </cell>
          <cell r="K43">
            <v>39169185216.650002</v>
          </cell>
          <cell r="L43">
            <v>40982623974.839996</v>
          </cell>
        </row>
        <row r="44">
          <cell r="A44" t="str">
            <v>FURNITURE &amp; FIXTURE</v>
          </cell>
          <cell r="B44">
            <v>0</v>
          </cell>
          <cell r="C44">
            <v>174212156.39000002</v>
          </cell>
          <cell r="D44">
            <v>80225</v>
          </cell>
          <cell r="E44">
            <v>0</v>
          </cell>
          <cell r="F44">
            <v>174292381.39000002</v>
          </cell>
          <cell r="G44">
            <v>137617686.80000001</v>
          </cell>
          <cell r="H44">
            <v>3324941</v>
          </cell>
          <cell r="I44">
            <v>0</v>
          </cell>
          <cell r="J44">
            <v>140942627.80000001</v>
          </cell>
          <cell r="K44">
            <v>33349753.590000004</v>
          </cell>
          <cell r="L44">
            <v>36594469.589999996</v>
          </cell>
        </row>
        <row r="45">
          <cell r="A45" t="str">
            <v>OFFICE EQUIPMENT</v>
          </cell>
          <cell r="B45">
            <v>0</v>
          </cell>
          <cell r="C45">
            <v>344160095.62</v>
          </cell>
          <cell r="D45">
            <v>4400105</v>
          </cell>
          <cell r="E45">
            <v>0</v>
          </cell>
          <cell r="F45">
            <v>348560200.62</v>
          </cell>
          <cell r="G45">
            <v>271879453.40999997</v>
          </cell>
          <cell r="H45">
            <v>10598725</v>
          </cell>
          <cell r="I45">
            <v>0</v>
          </cell>
          <cell r="J45">
            <v>282478178.40999997</v>
          </cell>
          <cell r="K45">
            <v>66082022.210000008</v>
          </cell>
          <cell r="L45">
            <v>72280642.210000008</v>
          </cell>
        </row>
        <row r="46">
          <cell r="A46" t="str">
            <v>VEHICLES</v>
          </cell>
          <cell r="B46">
            <v>0</v>
          </cell>
          <cell r="C46">
            <v>73190584.980000004</v>
          </cell>
          <cell r="D46">
            <v>1233431.45</v>
          </cell>
          <cell r="E46">
            <v>4308581</v>
          </cell>
          <cell r="F46">
            <v>70115435.430000007</v>
          </cell>
          <cell r="G46">
            <v>46410492.82</v>
          </cell>
          <cell r="H46">
            <v>3621483</v>
          </cell>
          <cell r="I46">
            <v>2188218.06</v>
          </cell>
          <cell r="J46">
            <v>47843757.759999998</v>
          </cell>
          <cell r="K46">
            <v>22271677.670000002</v>
          </cell>
          <cell r="L46">
            <v>26780092.160000004</v>
          </cell>
        </row>
        <row r="47">
          <cell r="A47" t="str">
            <v>SHIPS</v>
          </cell>
          <cell r="B47">
            <v>0</v>
          </cell>
          <cell r="C47">
            <v>689563031</v>
          </cell>
          <cell r="D47">
            <v>0</v>
          </cell>
          <cell r="E47">
            <v>0</v>
          </cell>
          <cell r="F47">
            <v>689563031</v>
          </cell>
          <cell r="G47">
            <v>184888702.30000001</v>
          </cell>
          <cell r="H47">
            <v>25302850</v>
          </cell>
          <cell r="I47">
            <v>0</v>
          </cell>
          <cell r="J47">
            <v>210191552.30000001</v>
          </cell>
          <cell r="K47">
            <v>479371478.69999999</v>
          </cell>
          <cell r="L47">
            <v>504674328.69999999</v>
          </cell>
        </row>
        <row r="48">
          <cell r="A48" t="str">
            <v>AIRCRAFT</v>
          </cell>
          <cell r="B48">
            <v>0</v>
          </cell>
          <cell r="C48">
            <v>43471480</v>
          </cell>
          <cell r="D48">
            <v>0</v>
          </cell>
          <cell r="E48">
            <v>0</v>
          </cell>
          <cell r="F48">
            <v>43471480</v>
          </cell>
          <cell r="G48">
            <v>28710073.91</v>
          </cell>
          <cell r="H48">
            <v>1198950</v>
          </cell>
          <cell r="I48">
            <v>0</v>
          </cell>
          <cell r="J48">
            <v>29909023.91</v>
          </cell>
          <cell r="K48">
            <v>13562456.09</v>
          </cell>
          <cell r="L48">
            <v>14761406.09</v>
          </cell>
        </row>
        <row r="49">
          <cell r="A49" t="str">
            <v>RAILWAY SIDING &amp; WAGONS</v>
          </cell>
          <cell r="B49">
            <v>0</v>
          </cell>
          <cell r="C49">
            <v>309093833.23000002</v>
          </cell>
          <cell r="D49">
            <v>0</v>
          </cell>
          <cell r="E49">
            <v>0</v>
          </cell>
          <cell r="F49">
            <v>309093833.23000002</v>
          </cell>
          <cell r="G49">
            <v>93329451.289999992</v>
          </cell>
          <cell r="H49">
            <v>7596460</v>
          </cell>
          <cell r="I49">
            <v>0</v>
          </cell>
          <cell r="J49">
            <v>100925911.28999999</v>
          </cell>
          <cell r="K49">
            <v>208167921.94</v>
          </cell>
          <cell r="L49">
            <v>215764381.94</v>
          </cell>
        </row>
        <row r="50">
          <cell r="C50">
            <v>64489255306.709991</v>
          </cell>
          <cell r="D50">
            <v>96674830.450000003</v>
          </cell>
          <cell r="E50">
            <v>4467813</v>
          </cell>
          <cell r="F50">
            <v>64581462324.160004</v>
          </cell>
          <cell r="G50">
            <v>19802745826.560005</v>
          </cell>
          <cell r="H50">
            <v>2070170318.1900001</v>
          </cell>
          <cell r="I50">
            <v>2188218.06</v>
          </cell>
          <cell r="J50">
            <v>21870727926.690002</v>
          </cell>
          <cell r="K50">
            <v>42710734397.469994</v>
          </cell>
          <cell r="L50">
            <v>44686509480.149994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refreshError="1"/>
      <sheetData sheetId="27"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ne 02"/>
      <sheetName val="mar02"/>
      <sheetName val="sep02"/>
      <sheetName val="Apr01-Sep02"/>
      <sheetName val="deductions"/>
      <sheetName val="additionsep02"/>
      <sheetName val="SUMMARY02-03"/>
      <sheetName val="01-02 "/>
      <sheetName val="ADDItion0203"/>
      <sheetName val="Sheet1"/>
      <sheetName val="summary01-02"/>
      <sheetName val="deduction"/>
      <sheetName val="addition"/>
      <sheetName val="DEC01"/>
      <sheetName val="summarydec01"/>
      <sheetName val="dec01ded"/>
      <sheetName val="dec01add"/>
      <sheetName val="sep01"/>
      <sheetName val="summary sep01"/>
      <sheetName val="sep01ded"/>
      <sheetName val="sep01add)"/>
      <sheetName val="Masters"/>
      <sheetName val="June_02"/>
      <sheetName val="01-02_"/>
      <sheetName val="summary_sep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
          <cell r="A1" t="str">
            <v>Essar Steel Limited</v>
          </cell>
          <cell r="B1" t="str">
            <v>Essar Steel Limited</v>
          </cell>
        </row>
        <row r="2">
          <cell r="B2" t="str">
            <v>Details of sale of fixed Assets during the period Apr -Mar 02</v>
          </cell>
        </row>
        <row r="3">
          <cell r="B3" t="str">
            <v>Doc.No</v>
          </cell>
          <cell r="C3" t="str">
            <v>Cap.date</v>
          </cell>
          <cell r="D3" t="str">
            <v>Name of Item</v>
          </cell>
          <cell r="E3" t="str">
            <v>AstValDate</v>
          </cell>
          <cell r="F3" t="str">
            <v>Acq.Value</v>
          </cell>
          <cell r="G3" t="str">
            <v>Depreciation</v>
          </cell>
        </row>
        <row r="4">
          <cell r="B4" t="str">
            <v>Main number</v>
          </cell>
          <cell r="C4" t="str">
            <v>DocumentNo</v>
          </cell>
          <cell r="D4" t="str">
            <v>Cap.date</v>
          </cell>
          <cell r="E4" t="str">
            <v>Description I</v>
          </cell>
          <cell r="F4" t="str">
            <v>cost</v>
          </cell>
          <cell r="G4" t="str">
            <v>Cum dep.</v>
          </cell>
          <cell r="H4" t="str">
            <v>Sale Value</v>
          </cell>
          <cell r="I4" t="str">
            <v>Profit\loss(-)</v>
          </cell>
        </row>
        <row r="5">
          <cell r="D5" t="str">
            <v>Deactivat.</v>
          </cell>
          <cell r="E5" t="str">
            <v>Description II</v>
          </cell>
        </row>
        <row r="6">
          <cell r="B6" t="str">
            <v>Vehicles</v>
          </cell>
          <cell r="C6" t="str">
            <v>15.05.2001</v>
          </cell>
          <cell r="D6" t="str">
            <v>CD WRITER, SOUND CARD, SPEAKER FOR PURCHASE DEPT.</v>
          </cell>
          <cell r="E6" t="str">
            <v>15.05.2001</v>
          </cell>
          <cell r="F6">
            <v>15000</v>
          </cell>
          <cell r="G6">
            <v>-2285</v>
          </cell>
        </row>
        <row r="7">
          <cell r="B7" t="str">
            <v>B area 1100</v>
          </cell>
        </row>
        <row r="8">
          <cell r="B8">
            <v>330000000004</v>
          </cell>
          <cell r="C8">
            <v>4000087</v>
          </cell>
          <cell r="D8" t="str">
            <v>04.10.1995</v>
          </cell>
          <cell r="E8" t="str">
            <v>GJ-5-FF-1154 MARUTI CAR</v>
          </cell>
          <cell r="F8">
            <v>14642</v>
          </cell>
          <cell r="G8">
            <v>12342.47</v>
          </cell>
          <cell r="H8">
            <v>2271</v>
          </cell>
          <cell r="I8">
            <v>-28.530000000000655</v>
          </cell>
        </row>
        <row r="9">
          <cell r="D9" t="str">
            <v>01.01.2002</v>
          </cell>
          <cell r="E9" t="str">
            <v>6010101-05  MR.PKS.MANI</v>
          </cell>
        </row>
        <row r="10">
          <cell r="B10">
            <v>330000000006</v>
          </cell>
          <cell r="C10">
            <v>4000086</v>
          </cell>
          <cell r="D10" t="str">
            <v>04.10.1995</v>
          </cell>
          <cell r="E10" t="str">
            <v>GJ-5-FF-1154 MARUTI CAR</v>
          </cell>
          <cell r="F10">
            <v>223851</v>
          </cell>
          <cell r="G10">
            <v>188699.2</v>
          </cell>
          <cell r="H10">
            <v>30403</v>
          </cell>
          <cell r="I10">
            <v>-4748.7999999999884</v>
          </cell>
        </row>
        <row r="11">
          <cell r="D11" t="str">
            <v>01.01.2002</v>
          </cell>
          <cell r="E11" t="str">
            <v>6010101-07  MR.PKS.MANI</v>
          </cell>
        </row>
        <row r="12">
          <cell r="B12">
            <v>330000000010</v>
          </cell>
          <cell r="C12">
            <v>4000085</v>
          </cell>
          <cell r="D12" t="str">
            <v>04.10.1995</v>
          </cell>
          <cell r="E12" t="str">
            <v>GJ-5-FF-1154-MARUTI CAR</v>
          </cell>
          <cell r="F12">
            <v>12055</v>
          </cell>
          <cell r="G12">
            <v>10162.58</v>
          </cell>
          <cell r="H12">
            <v>1893</v>
          </cell>
          <cell r="I12">
            <v>0.57999999999992724</v>
          </cell>
        </row>
        <row r="13">
          <cell r="D13" t="str">
            <v>01.01.2002</v>
          </cell>
          <cell r="E13" t="str">
            <v>6010101-11-MR.PKS.MANI</v>
          </cell>
        </row>
        <row r="14">
          <cell r="B14">
            <v>330000000285</v>
          </cell>
          <cell r="C14">
            <v>4000080</v>
          </cell>
          <cell r="D14" t="str">
            <v>01.10.1997</v>
          </cell>
          <cell r="E14" t="str">
            <v>GJ-5-N-7706 MARUTI 1000</v>
          </cell>
          <cell r="F14">
            <v>193857</v>
          </cell>
          <cell r="G14">
            <v>140053</v>
          </cell>
          <cell r="H14">
            <v>53804</v>
          </cell>
          <cell r="I14">
            <v>0</v>
          </cell>
        </row>
        <row r="15">
          <cell r="D15" t="str">
            <v>01.02.2002</v>
          </cell>
          <cell r="E15" t="str">
            <v>USER:CAP S. DAS</v>
          </cell>
        </row>
        <row r="16">
          <cell r="B16">
            <v>2000023</v>
          </cell>
          <cell r="C16" t="str">
            <v>30.04.2001</v>
          </cell>
          <cell r="D16" t="str">
            <v>MULTITECH MODEM 56.3 KBPS</v>
          </cell>
          <cell r="E16" t="str">
            <v>30.04.2001</v>
          </cell>
          <cell r="F16">
            <v>25200</v>
          </cell>
          <cell r="G16">
            <v>-4253</v>
          </cell>
        </row>
        <row r="17">
          <cell r="B17">
            <v>330000000276</v>
          </cell>
          <cell r="C17">
            <v>40000105</v>
          </cell>
          <cell r="D17" t="str">
            <v>01.04.1996</v>
          </cell>
          <cell r="E17" t="str">
            <v>GJ-5-FF-1633-MARUTI CAR Accessories</v>
          </cell>
          <cell r="F17">
            <v>9775</v>
          </cell>
          <cell r="G17">
            <v>8015.75</v>
          </cell>
          <cell r="H17">
            <v>1759.25</v>
          </cell>
          <cell r="I17">
            <v>0</v>
          </cell>
        </row>
        <row r="18">
          <cell r="B18">
            <v>2000023</v>
          </cell>
          <cell r="C18" t="str">
            <v>30.04.2001</v>
          </cell>
          <cell r="D18" t="str">
            <v>01.01.2002</v>
          </cell>
          <cell r="E18" t="str">
            <v xml:space="preserve">  MR.A.TAKOO</v>
          </cell>
          <cell r="F18">
            <v>15800</v>
          </cell>
          <cell r="G18">
            <v>-2667</v>
          </cell>
        </row>
        <row r="19">
          <cell r="B19">
            <v>330000000009</v>
          </cell>
          <cell r="C19">
            <v>40000105</v>
          </cell>
          <cell r="D19" t="str">
            <v>27.11.1995</v>
          </cell>
          <cell r="E19" t="str">
            <v xml:space="preserve">GJ-5-FF-1633-MARUTI CAR </v>
          </cell>
          <cell r="F19">
            <v>221914</v>
          </cell>
          <cell r="G19">
            <v>185539.82</v>
          </cell>
          <cell r="H19">
            <v>66578.33</v>
          </cell>
          <cell r="I19">
            <v>30204.150000000023</v>
          </cell>
        </row>
        <row r="20">
          <cell r="B20">
            <v>2000023</v>
          </cell>
          <cell r="C20" t="str">
            <v>30.04.2001</v>
          </cell>
          <cell r="D20" t="str">
            <v>01.01.2002</v>
          </cell>
          <cell r="E20" t="str">
            <v xml:space="preserve">  MR.A.TAKOO</v>
          </cell>
          <cell r="F20">
            <v>15750</v>
          </cell>
          <cell r="G20">
            <v>-2658</v>
          </cell>
        </row>
        <row r="21">
          <cell r="B21">
            <v>330000000008</v>
          </cell>
          <cell r="C21">
            <v>40000104</v>
          </cell>
          <cell r="D21" t="str">
            <v>27.11.1995</v>
          </cell>
          <cell r="E21" t="str">
            <v>GJ-5-FF-1633-MARUTI CAR Accessories</v>
          </cell>
          <cell r="F21">
            <v>13019</v>
          </cell>
          <cell r="G21">
            <v>10886.58</v>
          </cell>
          <cell r="H21">
            <v>2132.42</v>
          </cell>
          <cell r="I21">
            <v>0</v>
          </cell>
        </row>
        <row r="22">
          <cell r="B22">
            <v>2000023</v>
          </cell>
          <cell r="C22" t="str">
            <v>18.05.2001</v>
          </cell>
          <cell r="D22" t="str">
            <v>02.01.2002</v>
          </cell>
          <cell r="E22" t="str">
            <v xml:space="preserve">  MR.A.TAKOO</v>
          </cell>
          <cell r="F22">
            <v>17472</v>
          </cell>
          <cell r="G22">
            <v>-2604</v>
          </cell>
        </row>
        <row r="24">
          <cell r="B24">
            <v>2000023</v>
          </cell>
          <cell r="C24" t="str">
            <v>18.05.2001</v>
          </cell>
          <cell r="D24" t="str">
            <v>LCD DISPLAY 15"</v>
          </cell>
          <cell r="E24" t="str">
            <v>Total A</v>
          </cell>
          <cell r="F24">
            <v>689113</v>
          </cell>
          <cell r="G24">
            <v>555699.4</v>
          </cell>
          <cell r="H24">
            <v>158841.00000000003</v>
          </cell>
          <cell r="I24">
            <v>25427.400000000034</v>
          </cell>
        </row>
        <row r="26">
          <cell r="B26">
            <v>2000023</v>
          </cell>
          <cell r="C26" t="str">
            <v>31.05.2001</v>
          </cell>
          <cell r="D26" t="str">
            <v>Y2K COMPLIANT SOFTWARE (EPROM)</v>
          </cell>
          <cell r="E26" t="str">
            <v>31.05.2001</v>
          </cell>
          <cell r="F26">
            <v>23400</v>
          </cell>
          <cell r="G26">
            <v>-3154</v>
          </cell>
        </row>
        <row r="27">
          <cell r="B27" t="str">
            <v>B Area 1500</v>
          </cell>
        </row>
        <row r="28">
          <cell r="B28" t="str">
            <v>330000000134</v>
          </cell>
          <cell r="C28">
            <v>4000004</v>
          </cell>
          <cell r="D28" t="str">
            <v>31.10.1994</v>
          </cell>
          <cell r="E28" t="str">
            <v>TN-01-H-8962 PREMIER PADMINI</v>
          </cell>
          <cell r="F28">
            <v>267386</v>
          </cell>
          <cell r="G28">
            <v>232818.86</v>
          </cell>
          <cell r="H28">
            <v>35000</v>
          </cell>
          <cell r="I28">
            <v>432.85999999998603</v>
          </cell>
        </row>
        <row r="29">
          <cell r="D29" t="str">
            <v>31.07.2001</v>
          </cell>
          <cell r="E29" t="str">
            <v>6010103-09-MR.SELVARAJ P.</v>
          </cell>
          <cell r="F29">
            <v>0</v>
          </cell>
          <cell r="G29">
            <v>0</v>
          </cell>
        </row>
        <row r="30">
          <cell r="B30" t="str">
            <v>330000000256</v>
          </cell>
          <cell r="C30">
            <v>4000002</v>
          </cell>
          <cell r="D30" t="str">
            <v>05.11.1996</v>
          </cell>
          <cell r="E30" t="str">
            <v>MARUTI ACTG CAR  GJ-5-FF-6270  EN</v>
          </cell>
          <cell r="F30">
            <v>229530</v>
          </cell>
          <cell r="G30">
            <v>171513.94</v>
          </cell>
          <cell r="H30">
            <v>58018</v>
          </cell>
          <cell r="I30">
            <v>1.9400000000023283</v>
          </cell>
        </row>
        <row r="31">
          <cell r="D31" t="str">
            <v>01.07.2001</v>
          </cell>
          <cell r="E31" t="str">
            <v>USER: MR.A.K.DAHIWAL / N.K.MODI</v>
          </cell>
          <cell r="F31">
            <v>0</v>
          </cell>
          <cell r="G31">
            <v>0</v>
          </cell>
        </row>
        <row r="32">
          <cell r="B32" t="str">
            <v>330000000291</v>
          </cell>
          <cell r="C32">
            <v>4000000</v>
          </cell>
          <cell r="D32" t="str">
            <v>13.06.1997</v>
          </cell>
          <cell r="E32" t="str">
            <v>Maruti ZEN- GJ-5-PP-185</v>
          </cell>
          <cell r="F32">
            <v>333798.19</v>
          </cell>
          <cell r="G32">
            <v>235394</v>
          </cell>
          <cell r="H32">
            <v>90000</v>
          </cell>
          <cell r="I32">
            <v>-8404.1900000000023</v>
          </cell>
        </row>
        <row r="33">
          <cell r="D33" t="str">
            <v>01.08.2001</v>
          </cell>
          <cell r="E33" t="str">
            <v>User :MR. S. BHATNAGAR</v>
          </cell>
        </row>
        <row r="34">
          <cell r="B34" t="str">
            <v>330000000306</v>
          </cell>
          <cell r="C34">
            <v>4000003</v>
          </cell>
          <cell r="D34" t="str">
            <v>08.05.1997</v>
          </cell>
          <cell r="E34" t="str">
            <v>Maruti 800- GJ-5-PP-6 AC</v>
          </cell>
          <cell r="F34">
            <v>269825.51</v>
          </cell>
          <cell r="G34">
            <v>192626</v>
          </cell>
          <cell r="H34">
            <v>77200</v>
          </cell>
          <cell r="I34">
            <v>0.48999999999068677</v>
          </cell>
        </row>
        <row r="35">
          <cell r="D35" t="str">
            <v>01.08.2001</v>
          </cell>
          <cell r="E35" t="str">
            <v>User : MR.T.K.SUDHARSHAN</v>
          </cell>
          <cell r="F35">
            <v>0</v>
          </cell>
          <cell r="G35">
            <v>0</v>
          </cell>
        </row>
        <row r="36">
          <cell r="B36" t="str">
            <v>330000000315</v>
          </cell>
          <cell r="C36">
            <v>2000012</v>
          </cell>
          <cell r="D36" t="str">
            <v>01.04.1998</v>
          </cell>
          <cell r="E36" t="str">
            <v>Maruti GJ-5-N-7832</v>
          </cell>
          <cell r="F36">
            <v>70670</v>
          </cell>
          <cell r="G36">
            <v>43129</v>
          </cell>
          <cell r="H36">
            <v>27520</v>
          </cell>
          <cell r="I36">
            <v>-21</v>
          </cell>
        </row>
        <row r="37">
          <cell r="D37" t="str">
            <v>31.05.2001</v>
          </cell>
          <cell r="E37" t="str">
            <v>USER: MR. K.V.MALLESWARA RAO</v>
          </cell>
        </row>
        <row r="38">
          <cell r="B38" t="str">
            <v>330000000379</v>
          </cell>
          <cell r="C38">
            <v>4000005</v>
          </cell>
          <cell r="D38" t="str">
            <v>03.05.2001</v>
          </cell>
          <cell r="E38" t="str">
            <v>SANTRO LS-HR SURANA-GJ5-AR-1702</v>
          </cell>
          <cell r="F38">
            <v>424645</v>
          </cell>
          <cell r="G38">
            <v>26808</v>
          </cell>
          <cell r="H38">
            <v>265319</v>
          </cell>
          <cell r="I38">
            <v>-132518</v>
          </cell>
        </row>
        <row r="39">
          <cell r="D39" t="str">
            <v>31.07.2001</v>
          </cell>
          <cell r="E39" t="str">
            <v>SANTRO LS-HR SURANA-GJ5-AR-1702</v>
          </cell>
        </row>
        <row r="40">
          <cell r="B40" t="str">
            <v>330000000381</v>
          </cell>
          <cell r="C40">
            <v>1001840</v>
          </cell>
          <cell r="D40" t="str">
            <v>01.04.2001</v>
          </cell>
          <cell r="E40" t="str">
            <v>MARUTI 800 GJ-5-FF-391</v>
          </cell>
          <cell r="F40">
            <v>71779</v>
          </cell>
          <cell r="G40">
            <v>39744</v>
          </cell>
          <cell r="H40">
            <v>32035</v>
          </cell>
          <cell r="I40">
            <v>0</v>
          </cell>
        </row>
        <row r="41">
          <cell r="D41" t="str">
            <v>01.09.2001</v>
          </cell>
          <cell r="E41" t="str">
            <v>USER: MR.P.T.RAO</v>
          </cell>
        </row>
        <row r="42">
          <cell r="B42">
            <v>2000105</v>
          </cell>
          <cell r="C42" t="str">
            <v>13.09.2001</v>
          </cell>
          <cell r="D42" t="str">
            <v>PRINTER,MODEL NO : GS 2415,GODREJ</v>
          </cell>
          <cell r="E42" t="str">
            <v>13.09.2001</v>
          </cell>
          <cell r="F42">
            <v>63116</v>
          </cell>
          <cell r="G42">
            <v>-1245</v>
          </cell>
        </row>
        <row r="43">
          <cell r="B43" t="str">
            <v>330000000261</v>
          </cell>
          <cell r="C43">
            <v>4000008</v>
          </cell>
          <cell r="D43" t="str">
            <v>05.11.1996</v>
          </cell>
          <cell r="E43" t="str">
            <v>MARUTI STD CAR  GJ-5-FF-6247</v>
          </cell>
          <cell r="F43">
            <v>198757</v>
          </cell>
          <cell r="G43">
            <v>151985.26</v>
          </cell>
          <cell r="H43">
            <v>0.01</v>
          </cell>
          <cell r="I43">
            <v>-46771.729999999981</v>
          </cell>
        </row>
        <row r="44">
          <cell r="B44">
            <v>2000144</v>
          </cell>
          <cell r="C44" t="str">
            <v>31.07.2001</v>
          </cell>
          <cell r="D44" t="str">
            <v>30.09.2001</v>
          </cell>
          <cell r="E44" t="str">
            <v>USER: MR.R.M.BHATIA</v>
          </cell>
          <cell r="F44">
            <v>30000</v>
          </cell>
          <cell r="G44">
            <v>-2038</v>
          </cell>
        </row>
        <row r="45">
          <cell r="B45" t="str">
            <v>330000000353</v>
          </cell>
          <cell r="C45">
            <v>4000007</v>
          </cell>
          <cell r="D45" t="str">
            <v>01.04.2000</v>
          </cell>
          <cell r="E45" t="str">
            <v>MARUTI GJ-5-FF-6247-A.C &amp; OTHER ACCORIES</v>
          </cell>
          <cell r="F45">
            <v>35275</v>
          </cell>
          <cell r="G45">
            <v>12508</v>
          </cell>
          <cell r="H45">
            <v>69483</v>
          </cell>
          <cell r="I45">
            <v>46716</v>
          </cell>
        </row>
        <row r="46">
          <cell r="B46">
            <v>2000144</v>
          </cell>
          <cell r="C46" t="str">
            <v>23.07.2001</v>
          </cell>
          <cell r="D46" t="str">
            <v>30.09.2001</v>
          </cell>
          <cell r="E46" t="str">
            <v>USER: MR.R.M.BHATIA</v>
          </cell>
          <cell r="F46">
            <v>234032</v>
          </cell>
          <cell r="G46">
            <v>164493.26</v>
          </cell>
          <cell r="H46">
            <v>69483.009999999995</v>
          </cell>
          <cell r="I46">
            <v>-55.729999999981374</v>
          </cell>
        </row>
        <row r="49">
          <cell r="B49" t="str">
            <v>330000000300</v>
          </cell>
          <cell r="C49">
            <v>4000017</v>
          </cell>
          <cell r="D49" t="str">
            <v>19.05.1997</v>
          </cell>
          <cell r="E49" t="str">
            <v>MARUTI ZEN,GJ-5-FF-9467</v>
          </cell>
          <cell r="F49">
            <v>336731.15</v>
          </cell>
          <cell r="G49">
            <v>244204</v>
          </cell>
          <cell r="H49">
            <v>109017.98</v>
          </cell>
          <cell r="I49">
            <v>16490.829999999958</v>
          </cell>
        </row>
        <row r="50">
          <cell r="D50" t="str">
            <v>30.09.2001</v>
          </cell>
          <cell r="E50" t="str">
            <v>USER:Mr.T SUBRAMANIUM (UGPAWAR)</v>
          </cell>
        </row>
        <row r="51">
          <cell r="B51" t="str">
            <v>330000000300</v>
          </cell>
          <cell r="C51">
            <v>4000018</v>
          </cell>
          <cell r="D51" t="str">
            <v>01.02.1999</v>
          </cell>
          <cell r="E51" t="str">
            <v>MARUTI ZEN,GJ-5-FF-9467</v>
          </cell>
          <cell r="F51">
            <v>9775</v>
          </cell>
          <cell r="G51">
            <v>5295</v>
          </cell>
          <cell r="H51">
            <v>0.01</v>
          </cell>
          <cell r="I51">
            <v>-4479.99</v>
          </cell>
        </row>
        <row r="52">
          <cell r="D52" t="str">
            <v>30.09.2001</v>
          </cell>
          <cell r="E52" t="str">
            <v>USER:Mr.T SUBRAMANIUM (UGPAWAR)</v>
          </cell>
        </row>
        <row r="53">
          <cell r="B53">
            <v>2000223</v>
          </cell>
          <cell r="C53">
            <v>37303</v>
          </cell>
          <cell r="D53" t="str">
            <v>ITSOURCE INDIA PURCHASE OF LAPTOP PC FOR H SHEKAR</v>
          </cell>
          <cell r="E53" t="str">
            <v>16.02.2002</v>
          </cell>
          <cell r="F53">
            <v>346506.15</v>
          </cell>
          <cell r="G53">
            <v>249499</v>
          </cell>
          <cell r="H53">
            <v>109017.98999999999</v>
          </cell>
          <cell r="I53">
            <v>12010.839999999958</v>
          </cell>
        </row>
        <row r="55">
          <cell r="B55" t="str">
            <v>330000000305</v>
          </cell>
          <cell r="C55">
            <v>4000012</v>
          </cell>
          <cell r="D55" t="str">
            <v>28.04.1997</v>
          </cell>
          <cell r="E55" t="str">
            <v>Maruti 800- GJ-5-PP-187 AC</v>
          </cell>
          <cell r="F55">
            <v>229552.15</v>
          </cell>
          <cell r="G55">
            <v>167688</v>
          </cell>
          <cell r="H55">
            <v>63350</v>
          </cell>
          <cell r="I55">
            <v>1485.8500000000058</v>
          </cell>
        </row>
        <row r="56">
          <cell r="D56" t="str">
            <v>30.09.2001</v>
          </cell>
          <cell r="E56" t="str">
            <v>User : MR.MOTILAL CHOUDHARY</v>
          </cell>
        </row>
        <row r="57">
          <cell r="B57" t="str">
            <v>330000000312</v>
          </cell>
          <cell r="C57">
            <v>4000011</v>
          </cell>
          <cell r="D57" t="str">
            <v>02.04.1997</v>
          </cell>
          <cell r="E57" t="str">
            <v>MARUTI STD CAR,GJ-5-FF-3670</v>
          </cell>
          <cell r="F57">
            <v>148108</v>
          </cell>
          <cell r="G57">
            <v>109161</v>
          </cell>
          <cell r="H57">
            <v>46065</v>
          </cell>
          <cell r="I57">
            <v>7118</v>
          </cell>
        </row>
        <row r="58">
          <cell r="D58" t="str">
            <v>30.09.2001</v>
          </cell>
          <cell r="E58" t="str">
            <v>USER:MR.M.M.PALTANWALE</v>
          </cell>
        </row>
        <row r="59">
          <cell r="B59">
            <v>2000234</v>
          </cell>
          <cell r="C59" t="str">
            <v>15.03.2002</v>
          </cell>
          <cell r="D59" t="str">
            <v>WINDOWS 2000 CLIENT LICENSE FOR 25 USERS</v>
          </cell>
          <cell r="E59" t="str">
            <v>15.03.2002</v>
          </cell>
          <cell r="F59">
            <v>35880</v>
          </cell>
          <cell r="G59">
            <v>-668</v>
          </cell>
        </row>
        <row r="60">
          <cell r="B60" t="str">
            <v>330000000331</v>
          </cell>
          <cell r="C60">
            <v>4000019</v>
          </cell>
          <cell r="D60" t="str">
            <v>05.06.1998</v>
          </cell>
          <cell r="E60" t="str">
            <v>MARUTI GJ-5-PP-3024</v>
          </cell>
          <cell r="F60">
            <v>256457</v>
          </cell>
          <cell r="G60">
            <v>159891</v>
          </cell>
          <cell r="H60">
            <v>109138.99</v>
          </cell>
          <cell r="I60">
            <v>12572.989999999991</v>
          </cell>
        </row>
        <row r="61">
          <cell r="B61">
            <v>2000237</v>
          </cell>
          <cell r="C61" t="str">
            <v>24.01.2002</v>
          </cell>
          <cell r="D61" t="str">
            <v>30.09.2001</v>
          </cell>
          <cell r="E61" t="str">
            <v>USER:MR.B.R.BAXI</v>
          </cell>
          <cell r="F61">
            <v>5200</v>
          </cell>
          <cell r="G61">
            <v>-382</v>
          </cell>
        </row>
        <row r="62">
          <cell r="B62" t="str">
            <v>330000000331</v>
          </cell>
          <cell r="C62">
            <v>4000020</v>
          </cell>
          <cell r="D62" t="str">
            <v>07.08.1998</v>
          </cell>
          <cell r="E62" t="str">
            <v>MARUTI GJ-5-PP-3024</v>
          </cell>
          <cell r="F62">
            <v>6992</v>
          </cell>
          <cell r="G62">
            <v>4209</v>
          </cell>
          <cell r="H62">
            <v>0.01</v>
          </cell>
          <cell r="I62">
            <v>-2782.99</v>
          </cell>
        </row>
        <row r="63">
          <cell r="B63">
            <v>2000237</v>
          </cell>
          <cell r="C63" t="str">
            <v>25.01.2002</v>
          </cell>
          <cell r="D63" t="str">
            <v>30.09.2001</v>
          </cell>
          <cell r="E63" t="str">
            <v>USER:MR.B.R.BAXI</v>
          </cell>
          <cell r="F63">
            <v>5200</v>
          </cell>
          <cell r="G63">
            <v>-376</v>
          </cell>
        </row>
        <row r="64">
          <cell r="F64">
            <v>263449</v>
          </cell>
          <cell r="G64">
            <v>164100</v>
          </cell>
          <cell r="H64">
            <v>109139</v>
          </cell>
          <cell r="I64">
            <v>9789.9999999999909</v>
          </cell>
        </row>
        <row r="65">
          <cell r="B65">
            <v>2000237</v>
          </cell>
          <cell r="C65" t="str">
            <v>30.01.2002</v>
          </cell>
          <cell r="D65" t="str">
            <v>PRINTER,DESK JET,COLOUR,HP 850 CR</v>
          </cell>
          <cell r="E65" t="str">
            <v>30.01.2002</v>
          </cell>
          <cell r="F65">
            <v>9350</v>
          </cell>
          <cell r="G65">
            <v>-625</v>
          </cell>
        </row>
        <row r="67">
          <cell r="B67" t="str">
            <v>330000000345</v>
          </cell>
          <cell r="C67">
            <v>4000014</v>
          </cell>
          <cell r="D67" t="str">
            <v>01.04.1999</v>
          </cell>
          <cell r="E67" t="str">
            <v>GJ-5-FF-6617-MARUTI 800 ; USER-P.M.JOSHI</v>
          </cell>
          <cell r="F67">
            <v>139493</v>
          </cell>
          <cell r="G67">
            <v>72770</v>
          </cell>
          <cell r="H67">
            <v>0.01</v>
          </cell>
          <cell r="I67">
            <v>-66722.990000000005</v>
          </cell>
        </row>
        <row r="68">
          <cell r="D68" t="str">
            <v>30.09.2001</v>
          </cell>
          <cell r="E68" t="str">
            <v>USER-P.M.JOSHI</v>
          </cell>
        </row>
        <row r="69">
          <cell r="B69" t="str">
            <v>330000000355</v>
          </cell>
          <cell r="C69">
            <v>4000013</v>
          </cell>
          <cell r="D69" t="str">
            <v>01.04.2000</v>
          </cell>
          <cell r="E69" t="str">
            <v>A.C FOR GJ-5-FF-6617-MARUTI; USER-P.M.JOSHI</v>
          </cell>
          <cell r="F69">
            <v>23000</v>
          </cell>
          <cell r="G69">
            <v>8155</v>
          </cell>
          <cell r="H69">
            <v>42113.99</v>
          </cell>
          <cell r="I69">
            <v>27268.989999999998</v>
          </cell>
        </row>
        <row r="70">
          <cell r="D70" t="str">
            <v>30.09.2001</v>
          </cell>
          <cell r="E70" t="str">
            <v>USER-P.M.JOSHI</v>
          </cell>
        </row>
        <row r="71">
          <cell r="B71">
            <v>2000203</v>
          </cell>
          <cell r="C71" t="str">
            <v>07.11.2001</v>
          </cell>
          <cell r="D71" t="str">
            <v>DESK JET 560 COLOUR INKLET PRINTER,HP</v>
          </cell>
          <cell r="E71" t="str">
            <v>31.12.2001</v>
          </cell>
          <cell r="F71">
            <v>162493</v>
          </cell>
          <cell r="G71">
            <v>80925</v>
          </cell>
          <cell r="H71">
            <v>42114</v>
          </cell>
          <cell r="I71">
            <v>-39454.000000000007</v>
          </cell>
        </row>
        <row r="73">
          <cell r="B73">
            <v>2000203</v>
          </cell>
          <cell r="C73" t="str">
            <v>07.11.2001</v>
          </cell>
          <cell r="D73" t="str">
            <v>UTP CABLE, E.CAT.5,4 PAIR</v>
          </cell>
          <cell r="E73" t="str">
            <v>31.12.2001</v>
          </cell>
          <cell r="F73">
            <v>18254.5</v>
          </cell>
          <cell r="G73">
            <v>-2901</v>
          </cell>
        </row>
        <row r="74">
          <cell r="B74" t="str">
            <v>330000000363</v>
          </cell>
          <cell r="C74">
            <v>4000009</v>
          </cell>
          <cell r="D74" t="str">
            <v>01.12.2000</v>
          </cell>
          <cell r="E74" t="str">
            <v>GJ-5-AR-0058HUNDAI  MR P.PANDE</v>
          </cell>
          <cell r="F74">
            <v>684649</v>
          </cell>
          <cell r="G74">
            <v>138291</v>
          </cell>
          <cell r="H74">
            <v>568010.99</v>
          </cell>
          <cell r="I74">
            <v>21652.989999999991</v>
          </cell>
        </row>
        <row r="75">
          <cell r="B75">
            <v>2000210</v>
          </cell>
          <cell r="C75" t="str">
            <v>31.12.2001</v>
          </cell>
          <cell r="D75" t="str">
            <v>30.09.2001</v>
          </cell>
          <cell r="E75" t="str">
            <v xml:space="preserve">USER-MR. P PANDE </v>
          </cell>
          <cell r="F75">
            <v>9550</v>
          </cell>
          <cell r="G75">
            <v>-952</v>
          </cell>
        </row>
        <row r="76">
          <cell r="B76" t="str">
            <v>330000000363</v>
          </cell>
          <cell r="C76">
            <v>4000010</v>
          </cell>
          <cell r="D76" t="str">
            <v>01.12.2000</v>
          </cell>
          <cell r="E76" t="str">
            <v>GJ-5-AR-0058HUNDAI ACCENT*EXPENSES-</v>
          </cell>
          <cell r="F76">
            <v>15655</v>
          </cell>
          <cell r="G76">
            <v>3162</v>
          </cell>
          <cell r="H76">
            <v>0.01</v>
          </cell>
          <cell r="I76">
            <v>-12492.99</v>
          </cell>
        </row>
        <row r="77">
          <cell r="B77">
            <v>2000210</v>
          </cell>
          <cell r="C77" t="str">
            <v>31.12.2001</v>
          </cell>
          <cell r="D77" t="str">
            <v>30.09.2001</v>
          </cell>
          <cell r="E77" t="str">
            <v xml:space="preserve">USER-MR. P PANDE CHASIS NO </v>
          </cell>
          <cell r="F77">
            <v>11000</v>
          </cell>
          <cell r="G77">
            <v>-1097</v>
          </cell>
        </row>
        <row r="78">
          <cell r="F78">
            <v>700304</v>
          </cell>
          <cell r="G78">
            <v>141453</v>
          </cell>
          <cell r="H78">
            <v>568011</v>
          </cell>
          <cell r="I78">
            <v>9159.9999999999909</v>
          </cell>
        </row>
        <row r="79">
          <cell r="F79">
            <v>4274750.5</v>
          </cell>
          <cell r="G79">
            <v>-524947</v>
          </cell>
        </row>
        <row r="80">
          <cell r="B80" t="str">
            <v>330000000372</v>
          </cell>
          <cell r="C80">
            <v>4000015</v>
          </cell>
          <cell r="D80" t="str">
            <v>29.01.2001</v>
          </cell>
          <cell r="E80" t="str">
            <v>MARUTI*ZEN*GJ*5*AR*766**MR S G WATWAY</v>
          </cell>
          <cell r="F80">
            <v>377984</v>
          </cell>
          <cell r="G80">
            <v>63273</v>
          </cell>
          <cell r="H80">
            <v>127983.99</v>
          </cell>
          <cell r="I80">
            <v>-186727.01</v>
          </cell>
        </row>
        <row r="81">
          <cell r="D81" t="str">
            <v>30.09.2001</v>
          </cell>
          <cell r="E81" t="str">
            <v>CH NO 511286 ENG NO 491523</v>
          </cell>
        </row>
        <row r="82">
          <cell r="B82" t="str">
            <v>330000000372</v>
          </cell>
          <cell r="C82">
            <v>4000016</v>
          </cell>
          <cell r="D82" t="str">
            <v>29.01.2001</v>
          </cell>
          <cell r="E82" t="str">
            <v>MARUTI*ZEN*GJ*5*AR*766*RTO *OCTORI*INSU.</v>
          </cell>
          <cell r="F82">
            <v>45780</v>
          </cell>
          <cell r="G82">
            <v>7663</v>
          </cell>
          <cell r="H82">
            <v>0.01</v>
          </cell>
          <cell r="I82">
            <v>-38116.99</v>
          </cell>
        </row>
        <row r="83">
          <cell r="B83">
            <v>2000002</v>
          </cell>
          <cell r="C83" t="str">
            <v>17.04.2001</v>
          </cell>
          <cell r="D83" t="str">
            <v>30.09.2001</v>
          </cell>
          <cell r="E83" t="str">
            <v>CH NO 511286  USER MR S G WATWAY</v>
          </cell>
          <cell r="F83">
            <v>208000</v>
          </cell>
          <cell r="G83">
            <v>-38067</v>
          </cell>
        </row>
        <row r="84">
          <cell r="F84">
            <v>423764</v>
          </cell>
          <cell r="G84">
            <v>70936</v>
          </cell>
          <cell r="H84">
            <v>127984</v>
          </cell>
          <cell r="I84">
            <v>-224844</v>
          </cell>
        </row>
        <row r="85">
          <cell r="B85">
            <v>32000567</v>
          </cell>
          <cell r="C85" t="str">
            <v>03.05.2001</v>
          </cell>
          <cell r="D85" t="str">
            <v>COMPUTER COMPAQ DP SB FOR MR. J MEHRA AT MUMBAI</v>
          </cell>
          <cell r="E85" t="str">
            <v>03.05.2001</v>
          </cell>
          <cell r="F85">
            <v>58000</v>
          </cell>
          <cell r="G85">
            <v>-9598</v>
          </cell>
        </row>
        <row r="86">
          <cell r="B86" t="str">
            <v>330000000282</v>
          </cell>
          <cell r="C86">
            <v>4000006</v>
          </cell>
          <cell r="D86" t="str">
            <v>01.04.1997</v>
          </cell>
          <cell r="E86" t="str">
            <v>Maruti Car- GJ-5-FF-282*330000000282</v>
          </cell>
          <cell r="F86">
            <v>132738.6</v>
          </cell>
          <cell r="G86">
            <v>97929</v>
          </cell>
          <cell r="H86">
            <v>35111</v>
          </cell>
          <cell r="I86">
            <v>301.39999999999418</v>
          </cell>
        </row>
        <row r="87">
          <cell r="B87">
            <v>32002474</v>
          </cell>
          <cell r="C87" t="str">
            <v>18.07.2001</v>
          </cell>
          <cell r="D87" t="str">
            <v>30.09.2001</v>
          </cell>
          <cell r="E87" t="str">
            <v>DL mali WDV of</v>
          </cell>
          <cell r="F87">
            <v>5200</v>
          </cell>
          <cell r="G87">
            <v>-427</v>
          </cell>
        </row>
      </sheetData>
      <sheetData sheetId="12" refreshError="1">
        <row r="1">
          <cell r="A1" t="str">
            <v>Essar Steel Limited</v>
          </cell>
          <cell r="B1" t="str">
            <v>Essar Steel Limited</v>
          </cell>
        </row>
        <row r="2">
          <cell r="A2" t="str">
            <v>Details of Additions  to Fixed Assets for the period April-Mar 02</v>
          </cell>
          <cell r="B2" t="str">
            <v>Details of sale of fixed Assets during the period Apr -Mar 02</v>
          </cell>
        </row>
        <row r="3">
          <cell r="A3" t="str">
            <v>Main number</v>
          </cell>
          <cell r="B3" t="str">
            <v>Doc.No</v>
          </cell>
          <cell r="C3" t="str">
            <v>Cap.date</v>
          </cell>
          <cell r="D3" t="str">
            <v>Name of Item</v>
          </cell>
          <cell r="E3" t="str">
            <v>AstValDate</v>
          </cell>
          <cell r="F3" t="str">
            <v>Acq.Value</v>
          </cell>
          <cell r="G3" t="str">
            <v>Depreciation</v>
          </cell>
        </row>
        <row r="4">
          <cell r="A4" t="str">
            <v>Off Equip - Computer 1500</v>
          </cell>
          <cell r="B4" t="str">
            <v>Main number</v>
          </cell>
          <cell r="C4" t="str">
            <v>DocumentNo</v>
          </cell>
          <cell r="D4" t="str">
            <v>Cap.date</v>
          </cell>
          <cell r="E4" t="str">
            <v>Description I</v>
          </cell>
          <cell r="F4" t="str">
            <v>cost</v>
          </cell>
          <cell r="G4" t="str">
            <v>Cum dep.</v>
          </cell>
        </row>
        <row r="5">
          <cell r="D5" t="str">
            <v>Deactivat.</v>
          </cell>
          <cell r="E5" t="str">
            <v>Description II</v>
          </cell>
        </row>
        <row r="6">
          <cell r="A6" t="str">
            <v>220000000919</v>
          </cell>
          <cell r="B6">
            <v>2000014</v>
          </cell>
          <cell r="C6" t="str">
            <v>15.05.2001</v>
          </cell>
          <cell r="D6" t="str">
            <v>CD WRITER, SOUND CARD, SPEAKER FOR PURCHASE DEPT.</v>
          </cell>
          <cell r="E6" t="str">
            <v>15.05.2001</v>
          </cell>
          <cell r="F6">
            <v>15000</v>
          </cell>
          <cell r="G6">
            <v>-2285</v>
          </cell>
        </row>
        <row r="7">
          <cell r="B7" t="str">
            <v>B area 1100</v>
          </cell>
        </row>
        <row r="8">
          <cell r="A8" t="str">
            <v>2200000009'22</v>
          </cell>
          <cell r="B8">
            <v>32001811</v>
          </cell>
          <cell r="C8" t="str">
            <v>31.05.2001</v>
          </cell>
          <cell r="D8" t="str">
            <v>PRINTER HP 640C INKJET</v>
          </cell>
          <cell r="E8" t="str">
            <v>31.05.2001</v>
          </cell>
          <cell r="F8">
            <v>5500</v>
          </cell>
          <cell r="G8">
            <v>-741</v>
          </cell>
        </row>
        <row r="9">
          <cell r="D9" t="str">
            <v>01.01.2002</v>
          </cell>
          <cell r="E9" t="str">
            <v>6010101-05  MR.PKS.MANI</v>
          </cell>
        </row>
        <row r="10">
          <cell r="A10" t="str">
            <v>220000000923</v>
          </cell>
          <cell r="B10">
            <v>2000023</v>
          </cell>
          <cell r="C10" t="str">
            <v>21.04.2001</v>
          </cell>
          <cell r="D10" t="str">
            <v>PRINTER HP DESKJET 695 CCI</v>
          </cell>
          <cell r="E10" t="str">
            <v>21.04.2001</v>
          </cell>
          <cell r="F10">
            <v>10600</v>
          </cell>
          <cell r="G10">
            <v>-1893</v>
          </cell>
        </row>
        <row r="11">
          <cell r="D11" t="str">
            <v>01.01.2002</v>
          </cell>
          <cell r="E11" t="str">
            <v>6010101-07  MR.PKS.MANI</v>
          </cell>
        </row>
        <row r="12">
          <cell r="A12" t="str">
            <v>220000000924</v>
          </cell>
          <cell r="B12">
            <v>2000023</v>
          </cell>
          <cell r="C12" t="str">
            <v>21.04.2001</v>
          </cell>
          <cell r="D12" t="str">
            <v>HARD DISC, 1.2GB</v>
          </cell>
          <cell r="E12" t="str">
            <v>21.04.2001</v>
          </cell>
          <cell r="F12">
            <v>20400</v>
          </cell>
          <cell r="G12">
            <v>-3644</v>
          </cell>
        </row>
        <row r="13">
          <cell r="D13" t="str">
            <v>01.01.2002</v>
          </cell>
          <cell r="E13" t="str">
            <v>6010101-11-MR.PKS.MANI</v>
          </cell>
        </row>
        <row r="14">
          <cell r="A14" t="str">
            <v>220000000925</v>
          </cell>
          <cell r="B14">
            <v>2000023</v>
          </cell>
          <cell r="C14" t="str">
            <v>30.04.2001</v>
          </cell>
          <cell r="D14" t="str">
            <v>PRINTER HP DESKJET W/SCANNER ATTACHMENT.</v>
          </cell>
          <cell r="E14" t="str">
            <v>30.04.2001</v>
          </cell>
          <cell r="F14">
            <v>5250</v>
          </cell>
          <cell r="G14">
            <v>-886</v>
          </cell>
        </row>
        <row r="15">
          <cell r="D15" t="str">
            <v>01.02.2002</v>
          </cell>
          <cell r="E15" t="str">
            <v>USER:CAP S. DAS</v>
          </cell>
        </row>
        <row r="16">
          <cell r="A16" t="str">
            <v>220000000926</v>
          </cell>
          <cell r="B16">
            <v>2000023</v>
          </cell>
          <cell r="C16" t="str">
            <v>30.04.2001</v>
          </cell>
          <cell r="D16" t="str">
            <v>MULTITECH MODEM 56.3 KBPS</v>
          </cell>
          <cell r="E16" t="str">
            <v>30.04.2001</v>
          </cell>
          <cell r="F16">
            <v>25200</v>
          </cell>
          <cell r="G16">
            <v>-4253</v>
          </cell>
        </row>
        <row r="17">
          <cell r="B17">
            <v>330000000276</v>
          </cell>
          <cell r="C17">
            <v>40000105</v>
          </cell>
          <cell r="D17" t="str">
            <v>01.04.1996</v>
          </cell>
          <cell r="E17" t="str">
            <v>GJ-5-FF-1633-MARUTI CAR Accessories</v>
          </cell>
          <cell r="F17">
            <v>9775</v>
          </cell>
          <cell r="G17">
            <v>8015.75</v>
          </cell>
        </row>
        <row r="18">
          <cell r="A18" t="str">
            <v>220000000927</v>
          </cell>
          <cell r="B18">
            <v>2000023</v>
          </cell>
          <cell r="C18" t="str">
            <v>30.04.2001</v>
          </cell>
          <cell r="D18" t="str">
            <v>PRINTER HP DESKJET COLOUR 670C</v>
          </cell>
          <cell r="E18" t="str">
            <v>30.04.2001</v>
          </cell>
          <cell r="F18">
            <v>15800</v>
          </cell>
          <cell r="G18">
            <v>-2667</v>
          </cell>
        </row>
        <row r="19">
          <cell r="B19">
            <v>330000000009</v>
          </cell>
          <cell r="C19">
            <v>40000105</v>
          </cell>
          <cell r="D19" t="str">
            <v>27.11.1995</v>
          </cell>
          <cell r="E19" t="str">
            <v xml:space="preserve">GJ-5-FF-1633-MARUTI CAR </v>
          </cell>
          <cell r="F19">
            <v>221914</v>
          </cell>
          <cell r="G19">
            <v>185539.82</v>
          </cell>
        </row>
        <row r="20">
          <cell r="A20" t="str">
            <v>220000000928</v>
          </cell>
          <cell r="B20">
            <v>2000023</v>
          </cell>
          <cell r="C20" t="str">
            <v>30.04.2001</v>
          </cell>
          <cell r="D20" t="str">
            <v>PRINTER HP DESKJET W/SCANNER ATTACHMENT.</v>
          </cell>
          <cell r="E20" t="str">
            <v>30.04.2001</v>
          </cell>
          <cell r="F20">
            <v>15750</v>
          </cell>
          <cell r="G20">
            <v>-2658</v>
          </cell>
        </row>
        <row r="21">
          <cell r="B21">
            <v>330000000008</v>
          </cell>
          <cell r="C21">
            <v>40000104</v>
          </cell>
          <cell r="D21" t="str">
            <v>27.11.1995</v>
          </cell>
          <cell r="E21" t="str">
            <v>GJ-5-FF-1633-MARUTI CAR Accessories</v>
          </cell>
          <cell r="F21">
            <v>13019</v>
          </cell>
          <cell r="G21">
            <v>10886.58</v>
          </cell>
        </row>
        <row r="22">
          <cell r="A22" t="str">
            <v>220000000929</v>
          </cell>
          <cell r="B22">
            <v>2000023</v>
          </cell>
          <cell r="C22" t="str">
            <v>18.05.2001</v>
          </cell>
          <cell r="D22" t="str">
            <v>ANTI VIRUS SOFTWARE</v>
          </cell>
          <cell r="E22" t="str">
            <v>18.05.2001</v>
          </cell>
          <cell r="F22">
            <v>17472</v>
          </cell>
          <cell r="G22">
            <v>-2604</v>
          </cell>
        </row>
        <row r="24">
          <cell r="A24" t="str">
            <v>220000000930</v>
          </cell>
          <cell r="B24">
            <v>2000023</v>
          </cell>
          <cell r="C24" t="str">
            <v>18.05.2001</v>
          </cell>
          <cell r="D24" t="str">
            <v>LCD DISPLAY 15"</v>
          </cell>
          <cell r="E24" t="str">
            <v>18.05.2001</v>
          </cell>
          <cell r="F24">
            <v>106000</v>
          </cell>
          <cell r="G24">
            <v>-15798</v>
          </cell>
        </row>
        <row r="26">
          <cell r="A26" t="str">
            <v>220000000931</v>
          </cell>
          <cell r="B26">
            <v>2000023</v>
          </cell>
          <cell r="C26" t="str">
            <v>31.05.2001</v>
          </cell>
          <cell r="D26" t="str">
            <v>Y2K COMPLIANT SOFTWARE (EPROM)</v>
          </cell>
          <cell r="E26" t="str">
            <v>31.05.2001</v>
          </cell>
          <cell r="F26">
            <v>23400</v>
          </cell>
          <cell r="G26">
            <v>-3154</v>
          </cell>
        </row>
        <row r="27">
          <cell r="B27" t="str">
            <v>B Area 1500</v>
          </cell>
        </row>
        <row r="28">
          <cell r="A28" t="str">
            <v>220000000932</v>
          </cell>
          <cell r="B28">
            <v>2000023</v>
          </cell>
          <cell r="C28" t="str">
            <v>31.05.2001</v>
          </cell>
          <cell r="D28" t="str">
            <v>LAPTOP COMPUTER PENTIUM MMX COLOR LCD</v>
          </cell>
          <cell r="E28" t="str">
            <v>31.05.2001</v>
          </cell>
          <cell r="F28">
            <v>29500</v>
          </cell>
          <cell r="G28">
            <v>-3976</v>
          </cell>
        </row>
        <row r="29">
          <cell r="D29" t="str">
            <v>31.07.2001</v>
          </cell>
          <cell r="E29" t="str">
            <v>6010103-09-MR.SELVARAJ P.</v>
          </cell>
          <cell r="F29">
            <v>0</v>
          </cell>
          <cell r="G29">
            <v>0</v>
          </cell>
        </row>
        <row r="30">
          <cell r="A30" t="str">
            <v>220000000933</v>
          </cell>
          <cell r="B30">
            <v>2000023</v>
          </cell>
          <cell r="C30" t="str">
            <v>14.06.2001</v>
          </cell>
          <cell r="D30" t="str">
            <v>PC PENTIUM II PRELOADED 98 WITH MEDIA</v>
          </cell>
          <cell r="E30" t="str">
            <v>14.06.2001</v>
          </cell>
          <cell r="F30">
            <v>55000</v>
          </cell>
          <cell r="G30">
            <v>-6570</v>
          </cell>
        </row>
        <row r="31">
          <cell r="D31" t="str">
            <v>01.07.2001</v>
          </cell>
          <cell r="E31" t="str">
            <v>USER: MR.A.K.DAHIWAL / N.K.MODI</v>
          </cell>
          <cell r="F31">
            <v>0</v>
          </cell>
          <cell r="G31">
            <v>0</v>
          </cell>
        </row>
        <row r="32">
          <cell r="A32" t="str">
            <v>220000000934</v>
          </cell>
          <cell r="B32">
            <v>2000023</v>
          </cell>
          <cell r="C32" t="str">
            <v>23.06.2001</v>
          </cell>
          <cell r="D32" t="str">
            <v>PENTIUM II SERVER, 400 Mhz.</v>
          </cell>
          <cell r="E32" t="str">
            <v>23.06.2001</v>
          </cell>
          <cell r="F32">
            <v>1075000</v>
          </cell>
          <cell r="G32">
            <v>-117808</v>
          </cell>
        </row>
        <row r="33">
          <cell r="D33" t="str">
            <v>01.08.2001</v>
          </cell>
          <cell r="E33" t="str">
            <v>User :MR. S. BHATNAGAR</v>
          </cell>
        </row>
        <row r="34">
          <cell r="A34" t="str">
            <v>220000000935</v>
          </cell>
          <cell r="B34">
            <v>2000023</v>
          </cell>
          <cell r="C34" t="str">
            <v>25.06.2001</v>
          </cell>
          <cell r="D34" t="str">
            <v>PENTIUM-III PC FOR CLIENT WITH 64 MB RA</v>
          </cell>
          <cell r="E34" t="str">
            <v>25.06.2001</v>
          </cell>
          <cell r="F34">
            <v>86320</v>
          </cell>
          <cell r="G34">
            <v>-9271</v>
          </cell>
        </row>
        <row r="35">
          <cell r="D35" t="str">
            <v>01.08.2001</v>
          </cell>
          <cell r="E35" t="str">
            <v>User : MR.T.K.SUDHARSHAN</v>
          </cell>
          <cell r="F35">
            <v>0</v>
          </cell>
          <cell r="G35">
            <v>0</v>
          </cell>
        </row>
        <row r="36">
          <cell r="A36" t="str">
            <v>220000000936</v>
          </cell>
          <cell r="B36">
            <v>2000023</v>
          </cell>
          <cell r="C36" t="str">
            <v>25.06.2001</v>
          </cell>
          <cell r="D36" t="str">
            <v>PENTIUM-III XEON PC BASED SERVER,512 MB</v>
          </cell>
          <cell r="E36" t="str">
            <v>25.06.2001</v>
          </cell>
          <cell r="F36">
            <v>296400</v>
          </cell>
          <cell r="G36">
            <v>-31833</v>
          </cell>
        </row>
        <row r="37">
          <cell r="D37" t="str">
            <v>31.05.2001</v>
          </cell>
          <cell r="E37" t="str">
            <v>USER: MR. K.V.MALLESWARA RAO</v>
          </cell>
        </row>
        <row r="38">
          <cell r="A38" t="str">
            <v>220000000937</v>
          </cell>
          <cell r="B38">
            <v>2000039</v>
          </cell>
          <cell r="C38" t="str">
            <v>30.04.2001</v>
          </cell>
          <cell r="D38" t="str">
            <v>MySAP.COM START UP PACK SOFTWARE</v>
          </cell>
          <cell r="E38" t="str">
            <v>30.04.2001</v>
          </cell>
          <cell r="F38">
            <v>1521000</v>
          </cell>
          <cell r="G38">
            <v>-256695</v>
          </cell>
        </row>
        <row r="39">
          <cell r="D39" t="str">
            <v>31.07.2001</v>
          </cell>
          <cell r="E39" t="str">
            <v>SANTRO LS-HR SURANA-GJ5-AR-1702</v>
          </cell>
        </row>
        <row r="40">
          <cell r="A40" t="str">
            <v>220000000944</v>
          </cell>
          <cell r="B40">
            <v>32002471</v>
          </cell>
          <cell r="C40" t="str">
            <v>01.07.2001</v>
          </cell>
          <cell r="D40" t="str">
            <v>E.MAIL MODEM - D LINK 56.0 KBPS-HOSPET OFFICE</v>
          </cell>
          <cell r="E40" t="str">
            <v>01.07.2001</v>
          </cell>
          <cell r="F40">
            <v>2800</v>
          </cell>
          <cell r="G40">
            <v>-282</v>
          </cell>
        </row>
        <row r="41">
          <cell r="D41" t="str">
            <v>01.09.2001</v>
          </cell>
          <cell r="E41" t="str">
            <v>USER: MR.P.T.RAO</v>
          </cell>
        </row>
        <row r="42">
          <cell r="A42" t="str">
            <v>220000000946</v>
          </cell>
          <cell r="B42">
            <v>2000105</v>
          </cell>
          <cell r="C42" t="str">
            <v>13.09.2001</v>
          </cell>
          <cell r="D42" t="str">
            <v>PRINTER,MODEL NO : GS 2415,GODREJ</v>
          </cell>
          <cell r="E42" t="str">
            <v>13.09.2001</v>
          </cell>
          <cell r="F42">
            <v>63116</v>
          </cell>
          <cell r="G42">
            <v>-1245</v>
          </cell>
        </row>
        <row r="43">
          <cell r="B43" t="str">
            <v>330000000261</v>
          </cell>
          <cell r="C43">
            <v>4000008</v>
          </cell>
          <cell r="D43" t="str">
            <v>05.11.1996</v>
          </cell>
          <cell r="E43" t="str">
            <v>MARUTI STD CAR  GJ-5-FF-6247</v>
          </cell>
          <cell r="F43">
            <v>198757</v>
          </cell>
          <cell r="G43">
            <v>151985.26</v>
          </cell>
        </row>
        <row r="44">
          <cell r="A44" t="str">
            <v>220000000947</v>
          </cell>
          <cell r="B44">
            <v>2000144</v>
          </cell>
          <cell r="C44" t="str">
            <v>31.07.2001</v>
          </cell>
          <cell r="D44" t="str">
            <v>MICROSOFT PROXY SERVER VER 2.0 SOFTWARE</v>
          </cell>
          <cell r="E44" t="str">
            <v>31.07.2001</v>
          </cell>
          <cell r="F44">
            <v>30000</v>
          </cell>
          <cell r="G44">
            <v>-2038</v>
          </cell>
        </row>
        <row r="45">
          <cell r="B45" t="str">
            <v>330000000353</v>
          </cell>
          <cell r="C45">
            <v>4000007</v>
          </cell>
          <cell r="D45" t="str">
            <v>01.04.2000</v>
          </cell>
          <cell r="E45" t="str">
            <v>MARUTI GJ-5-FF-6247-A.C &amp; OTHER ACCORIES</v>
          </cell>
          <cell r="F45">
            <v>35275</v>
          </cell>
          <cell r="G45">
            <v>12508</v>
          </cell>
        </row>
        <row r="46">
          <cell r="A46" t="str">
            <v>220000000948</v>
          </cell>
          <cell r="B46">
            <v>2000144</v>
          </cell>
          <cell r="C46" t="str">
            <v>23.07.2001</v>
          </cell>
          <cell r="D46" t="str">
            <v>BAR CODE PRINTER DMX 600 CODRA TT8520</v>
          </cell>
          <cell r="E46" t="str">
            <v>23.07.2001</v>
          </cell>
          <cell r="F46">
            <v>38480</v>
          </cell>
          <cell r="G46">
            <v>-2952</v>
          </cell>
        </row>
        <row r="49">
          <cell r="A49" t="str">
            <v>220000000949</v>
          </cell>
          <cell r="B49">
            <v>2000145</v>
          </cell>
          <cell r="C49" t="str">
            <v>31.07.2001</v>
          </cell>
          <cell r="D49" t="str">
            <v>LASER JET PRINTER,MODEL:6M PLUS, HEWLETT</v>
          </cell>
          <cell r="E49" t="str">
            <v>31.07.2001</v>
          </cell>
          <cell r="F49">
            <v>38600</v>
          </cell>
          <cell r="G49">
            <v>-2623</v>
          </cell>
        </row>
        <row r="50">
          <cell r="D50" t="str">
            <v>30.09.2001</v>
          </cell>
          <cell r="E50" t="str">
            <v>USER:Mr.T SUBRAMANIUM (UGPAWAR)</v>
          </cell>
        </row>
        <row r="51">
          <cell r="A51" t="str">
            <v>220000000950</v>
          </cell>
          <cell r="B51">
            <v>2000145</v>
          </cell>
          <cell r="C51" t="str">
            <v>27.07.2001</v>
          </cell>
          <cell r="D51" t="str">
            <v>COLOUR MONITOR, SIZE:15" &amp; SWITH 8 PORT</v>
          </cell>
          <cell r="E51" t="str">
            <v>27.07.2001</v>
          </cell>
          <cell r="F51">
            <v>13450</v>
          </cell>
          <cell r="G51">
            <v>-973</v>
          </cell>
        </row>
        <row r="52">
          <cell r="D52" t="str">
            <v>30.09.2001</v>
          </cell>
          <cell r="E52" t="str">
            <v>USER:Mr.T SUBRAMANIUM (UGPAWAR)</v>
          </cell>
        </row>
        <row r="53">
          <cell r="A53">
            <v>220000000957</v>
          </cell>
          <cell r="B53">
            <v>2000223</v>
          </cell>
          <cell r="C53">
            <v>37303</v>
          </cell>
          <cell r="D53" t="str">
            <v>ITSOURCE INDIA PURCHASE OF LAPTOP PC FOR H SHEKAR</v>
          </cell>
          <cell r="E53" t="str">
            <v>16.02.2002</v>
          </cell>
          <cell r="F53">
            <v>128000</v>
          </cell>
          <cell r="G53">
            <v>-6172</v>
          </cell>
        </row>
        <row r="55">
          <cell r="A55">
            <v>220000000958</v>
          </cell>
          <cell r="B55">
            <v>2000234</v>
          </cell>
          <cell r="C55" t="str">
            <v>21.01.2002</v>
          </cell>
          <cell r="D55" t="str">
            <v>LAPTOP COMPUTER PENTIUM MMX COLOR LCD</v>
          </cell>
          <cell r="E55" t="str">
            <v>21.01.2002</v>
          </cell>
          <cell r="F55">
            <v>87000</v>
          </cell>
          <cell r="G55">
            <v>-6674</v>
          </cell>
        </row>
        <row r="56">
          <cell r="D56" t="str">
            <v>30.09.2001</v>
          </cell>
          <cell r="E56" t="str">
            <v>User : MR.MOTILAL CHOUDHARY</v>
          </cell>
        </row>
        <row r="57">
          <cell r="A57">
            <v>220000000959</v>
          </cell>
          <cell r="B57">
            <v>2000234</v>
          </cell>
          <cell r="C57" t="str">
            <v>15.03.2002</v>
          </cell>
          <cell r="D57" t="str">
            <v>WINDOWS-NT SERVER LICENSE FOR 10 USERS</v>
          </cell>
          <cell r="E57" t="str">
            <v>15.03.2002</v>
          </cell>
          <cell r="F57">
            <v>320000</v>
          </cell>
          <cell r="G57">
            <v>-5962</v>
          </cell>
        </row>
        <row r="58">
          <cell r="D58" t="str">
            <v>30.09.2001</v>
          </cell>
          <cell r="E58" t="str">
            <v>USER:MR.M.M.PALTANWALE</v>
          </cell>
        </row>
        <row r="59">
          <cell r="A59">
            <v>220000000960</v>
          </cell>
          <cell r="B59">
            <v>2000234</v>
          </cell>
          <cell r="C59" t="str">
            <v>15.03.2002</v>
          </cell>
          <cell r="D59" t="str">
            <v>WINDOWS 2000 CLIENT LICENSE FOR 25 USERS</v>
          </cell>
          <cell r="E59" t="str">
            <v>15.03.2002</v>
          </cell>
          <cell r="F59">
            <v>35880</v>
          </cell>
          <cell r="G59">
            <v>-668</v>
          </cell>
        </row>
        <row r="60">
          <cell r="B60" t="str">
            <v>330000000331</v>
          </cell>
          <cell r="C60">
            <v>4000019</v>
          </cell>
          <cell r="D60" t="str">
            <v>05.06.1998</v>
          </cell>
          <cell r="E60" t="str">
            <v>MARUTI GJ-5-PP-3024</v>
          </cell>
          <cell r="F60">
            <v>256457</v>
          </cell>
          <cell r="G60">
            <v>159891</v>
          </cell>
        </row>
        <row r="61">
          <cell r="A61">
            <v>220000000961</v>
          </cell>
          <cell r="B61">
            <v>2000237</v>
          </cell>
          <cell r="C61" t="str">
            <v>24.01.2002</v>
          </cell>
          <cell r="D61" t="str">
            <v>PRINTER,DESK JET,COLOUR,HP 850 CR</v>
          </cell>
          <cell r="E61" t="str">
            <v>24.01.2002</v>
          </cell>
          <cell r="F61">
            <v>5200</v>
          </cell>
          <cell r="G61">
            <v>-382</v>
          </cell>
        </row>
        <row r="62">
          <cell r="B62" t="str">
            <v>330000000331</v>
          </cell>
          <cell r="C62">
            <v>4000020</v>
          </cell>
          <cell r="D62" t="str">
            <v>07.08.1998</v>
          </cell>
          <cell r="E62" t="str">
            <v>MARUTI GJ-5-PP-3024</v>
          </cell>
          <cell r="F62">
            <v>6992</v>
          </cell>
          <cell r="G62">
            <v>4209</v>
          </cell>
        </row>
        <row r="63">
          <cell r="A63">
            <v>220000000962</v>
          </cell>
          <cell r="B63">
            <v>2000237</v>
          </cell>
          <cell r="C63" t="str">
            <v>25.01.2002</v>
          </cell>
          <cell r="D63" t="str">
            <v>PRINTER,DESK JET,COLOUR,HP 850 CR</v>
          </cell>
          <cell r="E63" t="str">
            <v>25.01.2002</v>
          </cell>
          <cell r="F63">
            <v>5200</v>
          </cell>
          <cell r="G63">
            <v>-376</v>
          </cell>
        </row>
        <row r="64">
          <cell r="F64">
            <v>263449</v>
          </cell>
          <cell r="G64">
            <v>164100</v>
          </cell>
        </row>
        <row r="65">
          <cell r="A65">
            <v>220000000963</v>
          </cell>
          <cell r="B65">
            <v>2000237</v>
          </cell>
          <cell r="C65" t="str">
            <v>30.01.2002</v>
          </cell>
          <cell r="D65" t="str">
            <v>PRINTER,DESK JET,COLOUR,HP 850 CR</v>
          </cell>
          <cell r="E65" t="str">
            <v>30.01.2002</v>
          </cell>
          <cell r="F65">
            <v>9350</v>
          </cell>
          <cell r="G65">
            <v>-625</v>
          </cell>
        </row>
        <row r="67">
          <cell r="A67">
            <v>220000000951</v>
          </cell>
          <cell r="B67">
            <v>2000203</v>
          </cell>
          <cell r="C67" t="str">
            <v>24.10.2001</v>
          </cell>
          <cell r="D67" t="str">
            <v>PENTIUM-III PC FOR CLIENT WITH 64 MB RA</v>
          </cell>
          <cell r="E67" t="str">
            <v>31.12.2001</v>
          </cell>
          <cell r="F67">
            <v>51678</v>
          </cell>
          <cell r="G67">
            <v>-9005</v>
          </cell>
        </row>
        <row r="68">
          <cell r="D68" t="str">
            <v>30.09.2001</v>
          </cell>
          <cell r="E68" t="str">
            <v>USER-P.M.JOSHI</v>
          </cell>
        </row>
        <row r="69">
          <cell r="A69">
            <v>220000000952</v>
          </cell>
          <cell r="B69">
            <v>2000203</v>
          </cell>
          <cell r="C69" t="str">
            <v>07.11.2001</v>
          </cell>
          <cell r="D69" t="str">
            <v>LAPTOP COMPUTER PENTIUM MMX COLOR LCD</v>
          </cell>
          <cell r="E69" t="str">
            <v>31.12.2001</v>
          </cell>
          <cell r="F69">
            <v>78500</v>
          </cell>
          <cell r="G69">
            <v>-12474</v>
          </cell>
        </row>
        <row r="70">
          <cell r="D70" t="str">
            <v>30.09.2001</v>
          </cell>
          <cell r="E70" t="str">
            <v>USER-P.M.JOSHI</v>
          </cell>
        </row>
        <row r="71">
          <cell r="A71">
            <v>220000000953</v>
          </cell>
          <cell r="B71">
            <v>2000203</v>
          </cell>
          <cell r="C71" t="str">
            <v>07.11.2001</v>
          </cell>
          <cell r="D71" t="str">
            <v>DESK JET 560 COLOUR INKLET PRINTER,HP</v>
          </cell>
          <cell r="E71" t="str">
            <v>31.12.2001</v>
          </cell>
          <cell r="F71">
            <v>5100</v>
          </cell>
          <cell r="G71">
            <v>-810</v>
          </cell>
        </row>
        <row r="73">
          <cell r="A73">
            <v>220000000954</v>
          </cell>
          <cell r="B73">
            <v>2000203</v>
          </cell>
          <cell r="C73" t="str">
            <v>07.11.2001</v>
          </cell>
          <cell r="D73" t="str">
            <v>UTP CABLE, E.CAT.5,4 PAIR</v>
          </cell>
          <cell r="E73" t="str">
            <v>31.12.2001</v>
          </cell>
          <cell r="F73">
            <v>18254.5</v>
          </cell>
          <cell r="G73">
            <v>-2901</v>
          </cell>
        </row>
        <row r="74">
          <cell r="B74" t="str">
            <v>330000000363</v>
          </cell>
          <cell r="C74">
            <v>4000009</v>
          </cell>
          <cell r="D74" t="str">
            <v>01.12.2000</v>
          </cell>
          <cell r="E74" t="str">
            <v>GJ-5-AR-0058HUNDAI  MR P.PANDE</v>
          </cell>
          <cell r="F74">
            <v>684649</v>
          </cell>
          <cell r="G74">
            <v>138291</v>
          </cell>
        </row>
        <row r="75">
          <cell r="A75">
            <v>220000000955</v>
          </cell>
          <cell r="B75">
            <v>2000210</v>
          </cell>
          <cell r="C75" t="str">
            <v>31.12.2001</v>
          </cell>
          <cell r="D75" t="str">
            <v>PRINTER HP DESKJET 670 C COLOR</v>
          </cell>
          <cell r="E75" t="str">
            <v>31.12.2001</v>
          </cell>
          <cell r="F75">
            <v>9550</v>
          </cell>
          <cell r="G75">
            <v>-952</v>
          </cell>
        </row>
        <row r="76">
          <cell r="B76" t="str">
            <v>330000000363</v>
          </cell>
          <cell r="C76">
            <v>4000010</v>
          </cell>
          <cell r="D76" t="str">
            <v>01.12.2000</v>
          </cell>
          <cell r="E76" t="str">
            <v>GJ-5-AR-0058HUNDAI ACCENT*EXPENSES-</v>
          </cell>
          <cell r="F76">
            <v>15655</v>
          </cell>
          <cell r="G76">
            <v>3162</v>
          </cell>
        </row>
        <row r="77">
          <cell r="A77">
            <v>220000000956</v>
          </cell>
          <cell r="B77">
            <v>2000210</v>
          </cell>
          <cell r="C77" t="str">
            <v>31.12.2001</v>
          </cell>
          <cell r="D77" t="str">
            <v>PRINTER HP DESKJET 670 C COLOR</v>
          </cell>
          <cell r="E77" t="str">
            <v>31.12.2001</v>
          </cell>
          <cell r="F77">
            <v>11000</v>
          </cell>
          <cell r="G77">
            <v>-1097</v>
          </cell>
        </row>
        <row r="78">
          <cell r="F78">
            <v>700304</v>
          </cell>
          <cell r="G78">
            <v>141453</v>
          </cell>
        </row>
        <row r="79">
          <cell r="F79">
            <v>4274750.5</v>
          </cell>
          <cell r="G79">
            <v>-524947</v>
          </cell>
        </row>
        <row r="80">
          <cell r="B80" t="str">
            <v>330000000372</v>
          </cell>
          <cell r="C80">
            <v>4000015</v>
          </cell>
          <cell r="D80" t="str">
            <v>29.01.2001</v>
          </cell>
          <cell r="E80" t="str">
            <v>MARUTI*ZEN*GJ*5*AR*766**MR S G WATWAY</v>
          </cell>
          <cell r="F80">
            <v>377984</v>
          </cell>
          <cell r="G80">
            <v>63273</v>
          </cell>
        </row>
        <row r="81">
          <cell r="D81" t="str">
            <v>30.09.2001</v>
          </cell>
          <cell r="E81" t="str">
            <v>CH NO 511286 ENG NO 491523</v>
          </cell>
        </row>
        <row r="82">
          <cell r="A82" t="str">
            <v>B Area 1900</v>
          </cell>
          <cell r="B82" t="str">
            <v>330000000372</v>
          </cell>
          <cell r="C82">
            <v>4000016</v>
          </cell>
          <cell r="D82" t="str">
            <v>29.01.2001</v>
          </cell>
          <cell r="E82" t="str">
            <v>MARUTI*ZEN*GJ*5*AR*766*RTO *OCTORI*INSU.</v>
          </cell>
          <cell r="F82">
            <v>45780</v>
          </cell>
          <cell r="G82">
            <v>7663</v>
          </cell>
        </row>
        <row r="83">
          <cell r="A83" t="str">
            <v>220000000917</v>
          </cell>
          <cell r="B83">
            <v>2000002</v>
          </cell>
          <cell r="C83" t="str">
            <v>17.04.2001</v>
          </cell>
          <cell r="D83" t="str">
            <v>LAPTOP COMPUTER COMPAQ PRESARIO 1200XL:CORP FIN</v>
          </cell>
          <cell r="E83" t="str">
            <v>17.04.2001</v>
          </cell>
          <cell r="F83">
            <v>208000</v>
          </cell>
          <cell r="G83">
            <v>-38067</v>
          </cell>
        </row>
        <row r="84">
          <cell r="F84">
            <v>423764</v>
          </cell>
          <cell r="G84">
            <v>70936</v>
          </cell>
        </row>
        <row r="85">
          <cell r="A85" t="str">
            <v>220000000918</v>
          </cell>
          <cell r="B85">
            <v>32000567</v>
          </cell>
          <cell r="C85" t="str">
            <v>03.05.2001</v>
          </cell>
          <cell r="D85" t="str">
            <v>COMPUTER COMPAQ DP SB FOR MR. J MEHRA AT MUMBAI</v>
          </cell>
          <cell r="E85" t="str">
            <v>03.05.2001</v>
          </cell>
          <cell r="F85">
            <v>58000</v>
          </cell>
          <cell r="G85">
            <v>-9598</v>
          </cell>
        </row>
        <row r="86">
          <cell r="B86" t="str">
            <v>330000000282</v>
          </cell>
          <cell r="C86">
            <v>4000006</v>
          </cell>
          <cell r="D86" t="str">
            <v>01.04.1997</v>
          </cell>
          <cell r="E86" t="str">
            <v>Maruti Car- GJ-5-FF-282*330000000282</v>
          </cell>
          <cell r="F86">
            <v>132738.6</v>
          </cell>
          <cell r="G86">
            <v>97929</v>
          </cell>
        </row>
        <row r="87">
          <cell r="A87" t="str">
            <v>220000000938</v>
          </cell>
          <cell r="B87">
            <v>32002474</v>
          </cell>
          <cell r="C87" t="str">
            <v>18.07.2001</v>
          </cell>
          <cell r="D87" t="str">
            <v>MULTIMEDIA KIT</v>
          </cell>
          <cell r="E87" t="str">
            <v>18.07.2001</v>
          </cell>
          <cell r="F87">
            <v>5200</v>
          </cell>
          <cell r="G87">
            <v>-427</v>
          </cell>
        </row>
        <row r="89">
          <cell r="A89" t="str">
            <v>220000000945</v>
          </cell>
          <cell r="B89">
            <v>2000057</v>
          </cell>
          <cell r="C89" t="str">
            <v>18.06.2001</v>
          </cell>
          <cell r="D89" t="str">
            <v>PRINTER,COLOUR HP DJ 640C SNO SIPL-THOB9E3QIM</v>
          </cell>
          <cell r="E89" t="str">
            <v>18.06.2001</v>
          </cell>
          <cell r="F89">
            <v>5750</v>
          </cell>
          <cell r="G89">
            <v>-662</v>
          </cell>
        </row>
        <row r="91">
          <cell r="F91">
            <v>276950</v>
          </cell>
          <cell r="G91">
            <v>-48754</v>
          </cell>
        </row>
        <row r="93">
          <cell r="D93" t="str">
            <v xml:space="preserve">Off Equip - Computer </v>
          </cell>
          <cell r="E93">
            <v>0</v>
          </cell>
          <cell r="F93">
            <v>4551700.5</v>
          </cell>
          <cell r="G93">
            <v>-573701</v>
          </cell>
        </row>
        <row r="95">
          <cell r="A95" t="str">
            <v>Office Eq.Others</v>
          </cell>
        </row>
        <row r="96">
          <cell r="A96" t="str">
            <v>B Area 1100</v>
          </cell>
        </row>
        <row r="98">
          <cell r="A98">
            <v>230000001220</v>
          </cell>
          <cell r="B98">
            <v>2000152</v>
          </cell>
          <cell r="C98" t="str">
            <v>09.05.2001</v>
          </cell>
          <cell r="D98" t="str">
            <v>MOBILE HAND SET-R.E.BAILEY HBI PLANT</v>
          </cell>
          <cell r="E98" t="str">
            <v>09.05.2001</v>
          </cell>
          <cell r="F98">
            <v>8000</v>
          </cell>
          <cell r="G98">
            <v>-723</v>
          </cell>
        </row>
        <row r="99">
          <cell r="D99" t="str">
            <v>RE Bailey purchase of Mobile Nokia make</v>
          </cell>
        </row>
        <row r="102">
          <cell r="A102" t="str">
            <v>B Area 1500</v>
          </cell>
        </row>
        <row r="104">
          <cell r="A104" t="str">
            <v>230000001075</v>
          </cell>
          <cell r="B104">
            <v>2000001</v>
          </cell>
          <cell r="C104" t="str">
            <v>09.09.2000</v>
          </cell>
          <cell r="D104" t="str">
            <v>MOBILE NOKIA FOR MR. ARUN JANI- PROCUREMENT</v>
          </cell>
          <cell r="E104" t="str">
            <v>09.09.2000</v>
          </cell>
          <cell r="F104">
            <v>4500</v>
          </cell>
          <cell r="G104">
            <v>-295</v>
          </cell>
        </row>
        <row r="106">
          <cell r="A106" t="str">
            <v>230000001183</v>
          </cell>
          <cell r="B106">
            <v>2000001</v>
          </cell>
          <cell r="C106" t="str">
            <v>12.04.2001</v>
          </cell>
          <cell r="D106" t="str">
            <v>MOBILE HANDSET FOR S.NAG/SUKANT BEHRA</v>
          </cell>
          <cell r="E106" t="str">
            <v>12.04.2001</v>
          </cell>
          <cell r="F106">
            <v>13000</v>
          </cell>
          <cell r="G106">
            <v>-852</v>
          </cell>
        </row>
        <row r="108">
          <cell r="A108" t="str">
            <v>230000001185</v>
          </cell>
          <cell r="B108">
            <v>2000004</v>
          </cell>
          <cell r="C108" t="str">
            <v>09.04.2001</v>
          </cell>
          <cell r="D108" t="str">
            <v>MOBILE HANDSET FOR M.K.JOSHI</v>
          </cell>
          <cell r="E108" t="str">
            <v>09.04.2001</v>
          </cell>
          <cell r="F108">
            <v>9700</v>
          </cell>
          <cell r="G108">
            <v>-647</v>
          </cell>
        </row>
        <row r="110">
          <cell r="A110" t="str">
            <v>230000001189</v>
          </cell>
          <cell r="B110">
            <v>2000010</v>
          </cell>
          <cell r="C110" t="str">
            <v>17.04.2001</v>
          </cell>
          <cell r="D110" t="str">
            <v>MOBILE PHONE NOKIA FOR JESSY POTHEN &amp; MANIKANDAN</v>
          </cell>
          <cell r="E110" t="str">
            <v>17.04.2001</v>
          </cell>
          <cell r="F110">
            <v>13100</v>
          </cell>
          <cell r="G110">
            <v>-834</v>
          </cell>
        </row>
        <row r="112">
          <cell r="A112" t="str">
            <v>230000001190</v>
          </cell>
          <cell r="B112">
            <v>2000009</v>
          </cell>
          <cell r="C112" t="str">
            <v>03.05.2001</v>
          </cell>
          <cell r="D112" t="str">
            <v>M0BILE PHONE NOKIA FOR (AS PER LIST)</v>
          </cell>
          <cell r="E112" t="str">
            <v>03.05.2001</v>
          </cell>
          <cell r="F112">
            <v>34200</v>
          </cell>
          <cell r="G112">
            <v>-1968</v>
          </cell>
        </row>
        <row r="114">
          <cell r="A114" t="str">
            <v>230000001191</v>
          </cell>
          <cell r="B114">
            <v>2000011</v>
          </cell>
          <cell r="C114" t="str">
            <v>12.05.2001</v>
          </cell>
          <cell r="D114" t="str">
            <v>M0BILE PHONE NOKIA FOR (AS PER LIST)</v>
          </cell>
          <cell r="E114" t="str">
            <v>12.05.2001</v>
          </cell>
          <cell r="F114">
            <v>22800</v>
          </cell>
          <cell r="G114">
            <v>-1234</v>
          </cell>
        </row>
        <row r="116">
          <cell r="A116" t="str">
            <v>230000001192</v>
          </cell>
          <cell r="B116">
            <v>2000009</v>
          </cell>
          <cell r="C116" t="str">
            <v>03.05.2001</v>
          </cell>
          <cell r="D116" t="str">
            <v>M0BILE PHONE NOKIA FOR (AS PER LIST)</v>
          </cell>
          <cell r="E116" t="str">
            <v>03.05.2001</v>
          </cell>
          <cell r="F116">
            <v>34200</v>
          </cell>
          <cell r="G116">
            <v>-1968</v>
          </cell>
        </row>
        <row r="118">
          <cell r="A118" t="str">
            <v>230000001193</v>
          </cell>
          <cell r="B118">
            <v>2000013</v>
          </cell>
          <cell r="C118" t="str">
            <v>17.05.2001</v>
          </cell>
          <cell r="D118" t="str">
            <v>AQUA GUARD FOR NAND SCHOOL</v>
          </cell>
          <cell r="E118" t="str">
            <v>17.05.2001</v>
          </cell>
          <cell r="F118">
            <v>4956</v>
          </cell>
          <cell r="G118">
            <v>-259</v>
          </cell>
        </row>
        <row r="120">
          <cell r="A120" t="str">
            <v>230000001194</v>
          </cell>
          <cell r="B120">
            <v>2000015</v>
          </cell>
          <cell r="C120" t="str">
            <v>27.04.2001</v>
          </cell>
          <cell r="D120" t="str">
            <v>MOBILE PHONE NOKIA FOR K. SUNIL KUMAR</v>
          </cell>
          <cell r="E120" t="str">
            <v>27.04.2001</v>
          </cell>
          <cell r="F120">
            <v>9588</v>
          </cell>
          <cell r="G120">
            <v>-574</v>
          </cell>
        </row>
        <row r="122">
          <cell r="A122" t="str">
            <v>230000001196</v>
          </cell>
          <cell r="B122">
            <v>2000021</v>
          </cell>
          <cell r="C122" t="str">
            <v>28.04.2001</v>
          </cell>
          <cell r="D122" t="str">
            <v>FAX MACHINE,F-800,MODI XEROX MAKE</v>
          </cell>
          <cell r="E122" t="str">
            <v>28.04.2001</v>
          </cell>
          <cell r="F122">
            <v>10500</v>
          </cell>
          <cell r="G122">
            <v>-624</v>
          </cell>
        </row>
        <row r="124">
          <cell r="A124" t="str">
            <v>230000001197</v>
          </cell>
          <cell r="B124">
            <v>2000027</v>
          </cell>
          <cell r="C124" t="str">
            <v>18.05.2001</v>
          </cell>
          <cell r="D124" t="str">
            <v>HOT &amp; COLD WATER DISPENSER,CAP:20LTRS</v>
          </cell>
          <cell r="E124" t="str">
            <v>18.05.2001</v>
          </cell>
          <cell r="F124">
            <v>11500</v>
          </cell>
          <cell r="G124">
            <v>-596</v>
          </cell>
        </row>
        <row r="126">
          <cell r="A126" t="str">
            <v>230000001198</v>
          </cell>
          <cell r="B126">
            <v>2000065</v>
          </cell>
          <cell r="C126" t="str">
            <v>13.06.2001</v>
          </cell>
          <cell r="D126" t="str">
            <v>MOBILE PHONE K.RANG/SG WAT/NAVIN BH/PALIA</v>
          </cell>
          <cell r="E126" t="str">
            <v>13.06.2001</v>
          </cell>
          <cell r="F126">
            <v>22800</v>
          </cell>
          <cell r="G126">
            <v>-956</v>
          </cell>
        </row>
        <row r="128">
          <cell r="A128" t="str">
            <v>230000001207</v>
          </cell>
          <cell r="B128">
            <v>2000068</v>
          </cell>
          <cell r="C128" t="str">
            <v>27.07.2001</v>
          </cell>
          <cell r="D128" t="str">
            <v>MOBILE HAND SETS N 8210 NOKIA FOR RN GUPTA</v>
          </cell>
          <cell r="E128" t="str">
            <v>27.07.2001</v>
          </cell>
          <cell r="F128">
            <v>14800</v>
          </cell>
          <cell r="G128">
            <v>-372</v>
          </cell>
        </row>
        <row r="130">
          <cell r="A130" t="str">
            <v>230000001209</v>
          </cell>
          <cell r="B130">
            <v>2000072</v>
          </cell>
          <cell r="C130" t="str">
            <v>31.07.2001</v>
          </cell>
          <cell r="D130" t="str">
            <v>MOBILE  HAND SET SIEMENS S-35 FOR RAJAT GUPTA</v>
          </cell>
          <cell r="E130" t="str">
            <v>31.07.2001</v>
          </cell>
          <cell r="F130">
            <v>14858</v>
          </cell>
          <cell r="G130">
            <v>-351</v>
          </cell>
        </row>
        <row r="132">
          <cell r="A132" t="str">
            <v>230000001210</v>
          </cell>
          <cell r="B132">
            <v>2000074</v>
          </cell>
          <cell r="C132" t="str">
            <v>19.07.2001</v>
          </cell>
          <cell r="D132" t="str">
            <v>TATA SPECTRA T-731- FRP FOR SN  PURI CABIN 1102</v>
          </cell>
          <cell r="E132" t="str">
            <v>19.07.2001</v>
          </cell>
          <cell r="F132">
            <v>2495</v>
          </cell>
          <cell r="G132">
            <v>-1248</v>
          </cell>
        </row>
        <row r="134">
          <cell r="A134" t="str">
            <v>230000001213</v>
          </cell>
          <cell r="B134">
            <v>2000100</v>
          </cell>
          <cell r="C134" t="str">
            <v>20.07.2001</v>
          </cell>
          <cell r="D134" t="str">
            <v>MOBILE HANDSET FOR MR COL.KANAN KAT MOD N/5110</v>
          </cell>
          <cell r="E134" t="str">
            <v>20.07.2001</v>
          </cell>
          <cell r="F134">
            <v>4500</v>
          </cell>
          <cell r="G134">
            <v>-125</v>
          </cell>
        </row>
        <row r="136">
          <cell r="A136" t="str">
            <v>230000001216</v>
          </cell>
          <cell r="B136">
            <v>2000101</v>
          </cell>
          <cell r="C136" t="str">
            <v>21.08.2001</v>
          </cell>
          <cell r="D136" t="str">
            <v>PANASONIC 92 MOBILE PHONE FOR PRADEEP SUTHAN</v>
          </cell>
          <cell r="E136" t="str">
            <v>21.08.2001</v>
          </cell>
          <cell r="F136">
            <v>7000</v>
          </cell>
          <cell r="G136">
            <v>-109</v>
          </cell>
        </row>
        <row r="138">
          <cell r="A138">
            <v>230000001233</v>
          </cell>
          <cell r="B138">
            <v>30007700</v>
          </cell>
          <cell r="C138" t="str">
            <v>25.11.2001</v>
          </cell>
          <cell r="D138" t="str">
            <v>MOBILE 3310 nokia KVS GOPAL RAO</v>
          </cell>
          <cell r="E138" t="str">
            <v>25.11.2001</v>
          </cell>
          <cell r="F138">
            <v>6000</v>
          </cell>
          <cell r="G138">
            <v>-290</v>
          </cell>
        </row>
        <row r="140">
          <cell r="A140">
            <v>230000001228</v>
          </cell>
          <cell r="B140">
            <v>2000220</v>
          </cell>
          <cell r="C140" t="str">
            <v>22.11.2001</v>
          </cell>
          <cell r="D140" t="str">
            <v>MOBILE HAND SET 3330 NOKIA</v>
          </cell>
          <cell r="E140" t="str">
            <v>22.11.2001</v>
          </cell>
          <cell r="F140">
            <v>10200</v>
          </cell>
          <cell r="G140">
            <v>-505</v>
          </cell>
        </row>
        <row r="142">
          <cell r="A142">
            <v>230000001230</v>
          </cell>
          <cell r="B142">
            <v>2000222</v>
          </cell>
          <cell r="C142" t="str">
            <v>14.02.2002</v>
          </cell>
          <cell r="D142" t="str">
            <v>MOBILE HAND SET PANASONIC 92 FOR ARUNI MISHRA</v>
          </cell>
          <cell r="E142" t="str">
            <v>14.02.2002</v>
          </cell>
          <cell r="F142">
            <v>6100</v>
          </cell>
          <cell r="G142">
            <v>-107</v>
          </cell>
        </row>
        <row r="144">
          <cell r="A144">
            <v>230000001236</v>
          </cell>
          <cell r="B144">
            <v>2000244</v>
          </cell>
          <cell r="C144" t="str">
            <v>19.03.2002</v>
          </cell>
          <cell r="D144" t="str">
            <v>MOBILE PHONE A-3618 ERICSSON USER MR MAHADEV KUMAR</v>
          </cell>
          <cell r="E144" t="str">
            <v>19.03.2002</v>
          </cell>
          <cell r="F144">
            <v>5406</v>
          </cell>
          <cell r="G144">
            <v>-27</v>
          </cell>
        </row>
        <row r="146">
          <cell r="A146">
            <v>230000001221</v>
          </cell>
          <cell r="B146">
            <v>2000154</v>
          </cell>
          <cell r="C146" t="str">
            <v>04.10.2001</v>
          </cell>
          <cell r="D146" t="str">
            <v>2 LINE CORDLESS PHONE FOR S SHIVRAM RESIDENCE</v>
          </cell>
          <cell r="E146" t="str">
            <v>04.10.2001</v>
          </cell>
          <cell r="F146">
            <v>6800</v>
          </cell>
          <cell r="G146">
            <v>-231</v>
          </cell>
        </row>
        <row r="147">
          <cell r="D147" t="str">
            <v>Applied systems Panasonic TE system for Shivram</v>
          </cell>
        </row>
        <row r="150">
          <cell r="A150">
            <v>230000001222</v>
          </cell>
          <cell r="B150">
            <v>2000153</v>
          </cell>
          <cell r="C150" t="str">
            <v>13.10.2001</v>
          </cell>
          <cell r="D150" t="str">
            <v>REFRIGERATOR SAMSUNG SR 41EMA(W) VGR RESIDENCE</v>
          </cell>
          <cell r="E150" t="str">
            <v>13.10.2001</v>
          </cell>
          <cell r="F150">
            <v>33000</v>
          </cell>
          <cell r="G150">
            <v>-1006</v>
          </cell>
        </row>
        <row r="151">
          <cell r="D151" t="str">
            <v>Vijay sales FRIDGE at VGR's residence MUMBAI</v>
          </cell>
        </row>
        <row r="154">
          <cell r="A154">
            <v>230000001224</v>
          </cell>
          <cell r="B154">
            <v>32005180</v>
          </cell>
          <cell r="C154" t="str">
            <v>01.04.1999</v>
          </cell>
          <cell r="D154" t="str">
            <v>ACQUAGUARD WATER - FILTER-CUM-PURIFIER</v>
          </cell>
          <cell r="E154" t="str">
            <v>01.04.1999</v>
          </cell>
          <cell r="F154">
            <v>4218</v>
          </cell>
          <cell r="G154">
            <v>-3164</v>
          </cell>
        </row>
        <row r="157">
          <cell r="D157" t="str">
            <v>B Area 1500</v>
          </cell>
          <cell r="E157">
            <v>0</v>
          </cell>
          <cell r="F157">
            <v>306221</v>
          </cell>
          <cell r="G157">
            <v>-18342</v>
          </cell>
        </row>
        <row r="161">
          <cell r="A161" t="str">
            <v>B Area 1900</v>
          </cell>
        </row>
        <row r="163">
          <cell r="A163" t="str">
            <v>230000001182</v>
          </cell>
          <cell r="B163">
            <v>2000000</v>
          </cell>
          <cell r="C163" t="str">
            <v>31.03.2001</v>
          </cell>
          <cell r="D163" t="str">
            <v>MOBILE HANDSET FOR PANKAJ KUMAR/BALAJI/PRASHANT JAIN</v>
          </cell>
          <cell r="E163" t="str">
            <v>31.03.2001</v>
          </cell>
          <cell r="F163">
            <v>26364</v>
          </cell>
          <cell r="G163">
            <v>-1788</v>
          </cell>
        </row>
        <row r="165">
          <cell r="A165" t="str">
            <v>230000001184</v>
          </cell>
          <cell r="B165">
            <v>2000003</v>
          </cell>
          <cell r="C165" t="str">
            <v>13.04.2001</v>
          </cell>
          <cell r="D165" t="str">
            <v>TELEPHONE INSTRUMENT FOR H.SHEKHAR</v>
          </cell>
          <cell r="E165" t="str">
            <v>13.04.2001</v>
          </cell>
          <cell r="F165">
            <v>3600</v>
          </cell>
          <cell r="G165">
            <v>-1800</v>
          </cell>
        </row>
        <row r="167">
          <cell r="A167" t="str">
            <v>230000001186</v>
          </cell>
          <cell r="B167">
            <v>2000005</v>
          </cell>
          <cell r="C167" t="str">
            <v>10.05.2001</v>
          </cell>
          <cell r="D167" t="str">
            <v>MOBILE PHONE NOKIA FOR J.MEHRA</v>
          </cell>
          <cell r="E167" t="str">
            <v>10.05.2001</v>
          </cell>
          <cell r="F167">
            <v>16500</v>
          </cell>
          <cell r="G167">
            <v>-905</v>
          </cell>
        </row>
        <row r="169">
          <cell r="A169" t="str">
            <v>230000001188</v>
          </cell>
          <cell r="B169">
            <v>32000790</v>
          </cell>
          <cell r="C169" t="str">
            <v>04.05.2001</v>
          </cell>
          <cell r="D169" t="str">
            <v>TELEPHONE INSTRUMENT FOR A.K.MUSSADY</v>
          </cell>
          <cell r="E169" t="str">
            <v>04.05.2001</v>
          </cell>
          <cell r="F169">
            <v>7400</v>
          </cell>
          <cell r="G169">
            <v>-3700</v>
          </cell>
        </row>
        <row r="171">
          <cell r="A171" t="str">
            <v>230000001195</v>
          </cell>
          <cell r="B171">
            <v>2000016</v>
          </cell>
          <cell r="C171" t="str">
            <v>02.06.2001</v>
          </cell>
          <cell r="D171" t="str">
            <v>MOBILE PHONE NOKIA FOR VAHBIZ/GOURAV MERCHANT</v>
          </cell>
          <cell r="E171" t="str">
            <v>02.06.2001</v>
          </cell>
          <cell r="F171">
            <v>18000</v>
          </cell>
          <cell r="G171">
            <v>-830</v>
          </cell>
        </row>
        <row r="173">
          <cell r="A173" t="str">
            <v>230000001199</v>
          </cell>
          <cell r="B173">
            <v>2000066</v>
          </cell>
          <cell r="C173" t="str">
            <v>01.04.2001</v>
          </cell>
          <cell r="D173" t="str">
            <v>MOBILE HANDSET FOR S.L.KAUL (NOKIA 6210)</v>
          </cell>
          <cell r="E173" t="str">
            <v>01.04.2001</v>
          </cell>
          <cell r="F173">
            <v>16388</v>
          </cell>
          <cell r="G173">
            <v>-1143</v>
          </cell>
        </row>
        <row r="175">
          <cell r="A175" t="str">
            <v>230000001208</v>
          </cell>
          <cell r="B175">
            <v>2000073</v>
          </cell>
          <cell r="C175" t="str">
            <v>27.07.2001</v>
          </cell>
          <cell r="D175" t="str">
            <v>MOBILE HANDSET(NOKIA5110) FOR MISS GINA SARA KOSHY</v>
          </cell>
          <cell r="E175" t="str">
            <v>27.07.2001</v>
          </cell>
          <cell r="F175">
            <v>4200</v>
          </cell>
          <cell r="G175">
            <v>-106</v>
          </cell>
        </row>
        <row r="177">
          <cell r="A177" t="str">
            <v>230000001200</v>
          </cell>
          <cell r="B177">
            <v>2000056</v>
          </cell>
          <cell r="C177" t="str">
            <v>16.07.2001</v>
          </cell>
          <cell r="D177" t="str">
            <v>MOBILE HANDSET FOR AKHIL DUTTA/P VINAYENDRA</v>
          </cell>
          <cell r="E177" t="str">
            <v>16.07.2001</v>
          </cell>
          <cell r="F177">
            <v>13400</v>
          </cell>
          <cell r="G177">
            <v>-393</v>
          </cell>
        </row>
        <row r="179">
          <cell r="A179" t="str">
            <v>230000001206</v>
          </cell>
          <cell r="B179">
            <v>2000054</v>
          </cell>
          <cell r="C179" t="str">
            <v>12.07.2001</v>
          </cell>
          <cell r="D179" t="str">
            <v>2 LINE CORDLESS PHONE SNP RESID.MUMBAI PANASONIC</v>
          </cell>
          <cell r="E179" t="str">
            <v>12.07.2001</v>
          </cell>
          <cell r="F179">
            <v>11300</v>
          </cell>
          <cell r="G179">
            <v>-349</v>
          </cell>
        </row>
        <row r="181">
          <cell r="A181" t="str">
            <v>230000001214</v>
          </cell>
          <cell r="B181">
            <v>32003032</v>
          </cell>
          <cell r="C181" t="str">
            <v>10.05.2001</v>
          </cell>
          <cell r="D181" t="str">
            <v>NATIONAL PANASONIC PHOTO COPIES/ FAX MACHINE</v>
          </cell>
          <cell r="E181" t="str">
            <v>10.05.2001</v>
          </cell>
          <cell r="F181">
            <v>20000</v>
          </cell>
          <cell r="G181">
            <v>-1098</v>
          </cell>
        </row>
        <row r="183">
          <cell r="A183" t="str">
            <v>230000001215</v>
          </cell>
          <cell r="B183">
            <v>32003032</v>
          </cell>
          <cell r="C183" t="str">
            <v>10.05.2001</v>
          </cell>
          <cell r="D183" t="str">
            <v>Computer PIII COLOUR MONITOR/HP DJ COLOUR PRINTER</v>
          </cell>
          <cell r="E183" t="str">
            <v>10.05.2001</v>
          </cell>
          <cell r="F183">
            <v>50000</v>
          </cell>
          <cell r="G183">
            <v>-7890</v>
          </cell>
        </row>
        <row r="185">
          <cell r="A185" t="str">
            <v>230000001217</v>
          </cell>
          <cell r="B185">
            <v>32003454</v>
          </cell>
          <cell r="C185" t="str">
            <v>22.09.2001</v>
          </cell>
          <cell r="D185" t="str">
            <v>SPORTS EQUIPMENT(MULTI STATATION)ATGYM ESSAR HOUSE</v>
          </cell>
          <cell r="E185" t="str">
            <v>22.09.2001</v>
          </cell>
          <cell r="F185">
            <v>182268</v>
          </cell>
          <cell r="G185">
            <v>-625</v>
          </cell>
        </row>
        <row r="187">
          <cell r="A187" t="str">
            <v>230000001218</v>
          </cell>
          <cell r="B187">
            <v>30004049</v>
          </cell>
          <cell r="C187" t="str">
            <v>25.07.2001</v>
          </cell>
          <cell r="D187" t="str">
            <v>MOBILE NOKIA 3310 RB SINGH FOR INDORE</v>
          </cell>
          <cell r="E187" t="str">
            <v>25.07.2001</v>
          </cell>
          <cell r="F187">
            <v>9200</v>
          </cell>
          <cell r="G187">
            <v>-238</v>
          </cell>
        </row>
        <row r="189">
          <cell r="A189">
            <v>230000001225</v>
          </cell>
          <cell r="B189">
            <v>2000204</v>
          </cell>
          <cell r="C189" t="str">
            <v>26.11.2001</v>
          </cell>
          <cell r="D189" t="str">
            <v>S SHIVRAM REIMB PUR MOBILE PHONE FM UNIQUE ENTERPR</v>
          </cell>
        </row>
        <row r="190">
          <cell r="D190" t="str">
            <v>MOBILE HAND SET SMSUNG FOR S SHIVRAM KRISHNAN</v>
          </cell>
          <cell r="E190" t="str">
            <v>26.11.2001</v>
          </cell>
          <cell r="F190">
            <v>9562</v>
          </cell>
          <cell r="G190">
            <v>-459</v>
          </cell>
        </row>
        <row r="191">
          <cell r="A191">
            <v>230000001226</v>
          </cell>
          <cell r="B191">
            <v>2000218</v>
          </cell>
          <cell r="C191" t="str">
            <v>21.12.2001</v>
          </cell>
          <cell r="D191" t="str">
            <v>VIJAY SALES MICROWAVE OVER JM'S RESIDENNCE</v>
          </cell>
        </row>
        <row r="192">
          <cell r="D192" t="str">
            <v>MICROWAVE OVEN AT J MEHRA RESIDENCE M/W NNK 561</v>
          </cell>
          <cell r="E192" t="str">
            <v>21.12.2001</v>
          </cell>
          <cell r="F192">
            <v>12500</v>
          </cell>
          <cell r="G192">
            <v>-481</v>
          </cell>
        </row>
        <row r="193">
          <cell r="A193">
            <v>230000001227</v>
          </cell>
          <cell r="B193">
            <v>2000228</v>
          </cell>
          <cell r="C193" t="str">
            <v>23.01.2002</v>
          </cell>
          <cell r="D193" t="str">
            <v>CAREWELL APPLIANCES AC COS FLAT 6 EKEN HOSE BANDRA</v>
          </cell>
        </row>
        <row r="194">
          <cell r="D194" t="str">
            <v>AIR CONDITIONER 1.5TONS LG LWN-1862 WAC EKEN HOUSE</v>
          </cell>
          <cell r="E194" t="str">
            <v>23.01.2002</v>
          </cell>
          <cell r="F194">
            <v>23000</v>
          </cell>
          <cell r="G194">
            <v>-596</v>
          </cell>
        </row>
        <row r="195">
          <cell r="A195">
            <v>230000001228</v>
          </cell>
          <cell r="B195">
            <v>2000220</v>
          </cell>
          <cell r="C195" t="str">
            <v>22.11.2001</v>
          </cell>
          <cell r="D195" t="str">
            <v>BY MR J SHARMA-DELHI OFF*RITU REL*BN 841</v>
          </cell>
        </row>
        <row r="196">
          <cell r="D196" t="str">
            <v>MOBILE HAND SET TELEPHONE FOR P PANDIT</v>
          </cell>
          <cell r="E196" t="str">
            <v>04.01.2002</v>
          </cell>
          <cell r="F196">
            <v>5500</v>
          </cell>
          <cell r="G196">
            <v>-182</v>
          </cell>
        </row>
        <row r="197">
          <cell r="A197">
            <v>230000001232</v>
          </cell>
          <cell r="B197">
            <v>30007661</v>
          </cell>
          <cell r="C197" t="str">
            <v>01.10.2001</v>
          </cell>
          <cell r="D197" t="str">
            <v>G PAI PURCHSE OF NOKIA MOBILE AND ENT EXPS FOR GUS</v>
          </cell>
        </row>
        <row r="198">
          <cell r="D198" t="str">
            <v>MOBILE SET NOKIA 3310 MR GANESH PAI</v>
          </cell>
          <cell r="E198" t="str">
            <v>01.10.2001</v>
          </cell>
          <cell r="F198">
            <v>7000</v>
          </cell>
          <cell r="G198">
            <v>-486</v>
          </cell>
        </row>
        <row r="199">
          <cell r="A199">
            <v>230000001234</v>
          </cell>
          <cell r="B199">
            <v>30007700</v>
          </cell>
          <cell r="C199" t="str">
            <v>25.11.2001</v>
          </cell>
          <cell r="D199" t="str">
            <v>GOPAL RAO PURCHSE OF NOIKA MOBILE</v>
          </cell>
        </row>
        <row r="200">
          <cell r="D200" t="str">
            <v>NOKIA3310 MANISH MOTI,BHARAT TRIVEDI,PANKAJ KULKRN</v>
          </cell>
          <cell r="E200" t="str">
            <v>05.03.2002</v>
          </cell>
          <cell r="F200">
            <v>16500</v>
          </cell>
          <cell r="G200">
            <v>-170</v>
          </cell>
        </row>
        <row r="201">
          <cell r="D201" t="str">
            <v>OFFICE EQUIPMENT</v>
          </cell>
        </row>
        <row r="203">
          <cell r="A203">
            <v>230000001223</v>
          </cell>
          <cell r="B203">
            <v>2000155</v>
          </cell>
          <cell r="C203" t="str">
            <v>19.10.2001</v>
          </cell>
          <cell r="D203" t="str">
            <v>MOBILE HAND SETS N 8210 NOKIA FOR SN PURI</v>
          </cell>
          <cell r="E203" t="str">
            <v>19.10.2001</v>
          </cell>
          <cell r="F203">
            <v>11500</v>
          </cell>
          <cell r="G203">
            <v>-324</v>
          </cell>
        </row>
        <row r="204">
          <cell r="D204" t="str">
            <v>RM Enterprises purchase of MOBILE TEL for MR SNP</v>
          </cell>
        </row>
        <row r="206">
          <cell r="A206" t="str">
            <v>230000001219</v>
          </cell>
          <cell r="B206">
            <v>2000151</v>
          </cell>
          <cell r="C206" t="str">
            <v>06.10.2001</v>
          </cell>
          <cell r="D206" t="str">
            <v>HYDROPNEMATIC SYSTEM MODLE EM-02 MULTI-405*2M(100)</v>
          </cell>
          <cell r="E206" t="str">
            <v>06.10.2001</v>
          </cell>
          <cell r="F206">
            <v>130100</v>
          </cell>
          <cell r="G206">
            <v>-4314</v>
          </cell>
        </row>
        <row r="209">
          <cell r="D209" t="str">
            <v>TOTAL B AREA  1900</v>
          </cell>
          <cell r="E209">
            <v>0</v>
          </cell>
          <cell r="F209">
            <v>594282</v>
          </cell>
          <cell r="G209">
            <v>-27877</v>
          </cell>
        </row>
        <row r="211">
          <cell r="D211" t="str">
            <v>Total office eq others</v>
          </cell>
          <cell r="E211">
            <v>0</v>
          </cell>
          <cell r="F211">
            <v>900503</v>
          </cell>
          <cell r="G211">
            <v>-46219</v>
          </cell>
        </row>
        <row r="215">
          <cell r="E215" t="str">
            <v>B area 1100</v>
          </cell>
          <cell r="F215">
            <v>8000</v>
          </cell>
          <cell r="G215">
            <v>-723</v>
          </cell>
        </row>
        <row r="216">
          <cell r="D216" t="str">
            <v>Total office equipment</v>
          </cell>
          <cell r="E216" t="str">
            <v>B area 1500</v>
          </cell>
          <cell r="F216">
            <v>4580971.5</v>
          </cell>
          <cell r="G216">
            <v>-543289</v>
          </cell>
        </row>
        <row r="217">
          <cell r="E217" t="str">
            <v>B area 1900</v>
          </cell>
          <cell r="F217">
            <v>871232</v>
          </cell>
          <cell r="G217">
            <v>-76631</v>
          </cell>
        </row>
        <row r="218">
          <cell r="E218" t="str">
            <v>total all BA</v>
          </cell>
          <cell r="F218">
            <v>5460203.5</v>
          </cell>
          <cell r="G218">
            <v>-620643</v>
          </cell>
        </row>
      </sheetData>
      <sheetData sheetId="13" refreshError="1"/>
      <sheetData sheetId="14" refreshError="1"/>
      <sheetData sheetId="15" refreshError="1"/>
      <sheetData sheetId="16" refreshError="1"/>
      <sheetData sheetId="17" refreshError="1">
        <row r="1">
          <cell r="A1" t="str">
            <v>ESSAR STEEL LIMITED</v>
          </cell>
        </row>
        <row r="2">
          <cell r="A2" t="str">
            <v>SCHEDULE V AS ON 30.09.2001</v>
          </cell>
        </row>
        <row r="4">
          <cell r="C4" t="str">
            <v>GROSS BLOCK</v>
          </cell>
          <cell r="D4">
            <v>0</v>
          </cell>
          <cell r="E4">
            <v>0</v>
          </cell>
          <cell r="F4">
            <v>0</v>
          </cell>
          <cell r="G4" t="str">
            <v>DEPRECIATION</v>
          </cell>
          <cell r="H4">
            <v>0</v>
          </cell>
          <cell r="I4">
            <v>0</v>
          </cell>
          <cell r="J4">
            <v>0</v>
          </cell>
          <cell r="K4" t="str">
            <v>NET BLOCK</v>
          </cell>
        </row>
        <row r="5">
          <cell r="C5" t="str">
            <v>Balance as on</v>
          </cell>
          <cell r="D5" t="str">
            <v xml:space="preserve">Addition during </v>
          </cell>
          <cell r="E5" t="str">
            <v xml:space="preserve">Deletion during </v>
          </cell>
          <cell r="F5" t="str">
            <v>Balance as on</v>
          </cell>
          <cell r="G5" t="str">
            <v>Balance as on</v>
          </cell>
          <cell r="H5" t="str">
            <v xml:space="preserve">For the </v>
          </cell>
          <cell r="I5" t="str">
            <v>Withdrawls/</v>
          </cell>
          <cell r="J5" t="str">
            <v>Balance as on</v>
          </cell>
          <cell r="K5" t="str">
            <v>Balance as on</v>
          </cell>
          <cell r="L5" t="str">
            <v>Balance as on</v>
          </cell>
        </row>
        <row r="6">
          <cell r="B6" t="str">
            <v>Bus Area</v>
          </cell>
          <cell r="C6" t="str">
            <v>01.04.2001</v>
          </cell>
          <cell r="D6" t="str">
            <v>period</v>
          </cell>
          <cell r="E6" t="str">
            <v>period</v>
          </cell>
          <cell r="F6" t="str">
            <v>30.09.2001</v>
          </cell>
          <cell r="G6" t="str">
            <v>01.04.2001</v>
          </cell>
          <cell r="H6" t="str">
            <v>year</v>
          </cell>
          <cell r="I6" t="str">
            <v>written back</v>
          </cell>
          <cell r="J6" t="str">
            <v>30.09.2001</v>
          </cell>
          <cell r="K6" t="str">
            <v>30.09.2001</v>
          </cell>
          <cell r="L6" t="str">
            <v>31.03.2001</v>
          </cell>
        </row>
        <row r="7">
          <cell r="A7" t="str">
            <v>HBI</v>
          </cell>
        </row>
        <row r="8">
          <cell r="A8" t="str">
            <v>LAND</v>
          </cell>
          <cell r="B8">
            <v>1100</v>
          </cell>
          <cell r="C8">
            <v>15823090.9</v>
          </cell>
          <cell r="D8">
            <v>0</v>
          </cell>
          <cell r="E8">
            <v>0</v>
          </cell>
          <cell r="F8">
            <v>15823090.9</v>
          </cell>
          <cell r="G8">
            <v>0</v>
          </cell>
          <cell r="H8">
            <v>0</v>
          </cell>
          <cell r="I8">
            <v>0</v>
          </cell>
          <cell r="J8">
            <v>0</v>
          </cell>
          <cell r="K8">
            <v>15823090.9</v>
          </cell>
          <cell r="L8">
            <v>15823090.9</v>
          </cell>
        </row>
        <row r="9">
          <cell r="A9" t="str">
            <v>BUILDINGS</v>
          </cell>
          <cell r="B9">
            <v>1100</v>
          </cell>
          <cell r="C9">
            <v>319227652.68000001</v>
          </cell>
          <cell r="D9">
            <v>0</v>
          </cell>
          <cell r="E9">
            <v>0</v>
          </cell>
          <cell r="F9">
            <v>319227652.68000001</v>
          </cell>
          <cell r="G9">
            <v>165467883.11000001</v>
          </cell>
          <cell r="H9">
            <v>5000591</v>
          </cell>
          <cell r="I9">
            <v>0</v>
          </cell>
          <cell r="J9">
            <v>170468474.11000001</v>
          </cell>
          <cell r="K9">
            <v>148759178.56999999</v>
          </cell>
          <cell r="L9">
            <v>153759769.56999999</v>
          </cell>
        </row>
        <row r="10">
          <cell r="A10" t="str">
            <v>PLANT &amp; MACHINERY</v>
          </cell>
          <cell r="B10">
            <v>1100</v>
          </cell>
          <cell r="C10">
            <v>8502250247.75</v>
          </cell>
          <cell r="D10">
            <v>80886321</v>
          </cell>
          <cell r="E10">
            <v>0</v>
          </cell>
          <cell r="F10">
            <v>8583136568.75</v>
          </cell>
          <cell r="G10">
            <v>4848111145.0500002</v>
          </cell>
          <cell r="H10">
            <v>266337262.19</v>
          </cell>
          <cell r="I10">
            <v>0</v>
          </cell>
          <cell r="J10">
            <v>5114448407.2399998</v>
          </cell>
          <cell r="K10">
            <v>3468688161.5100002</v>
          </cell>
          <cell r="L10">
            <v>3654139102.6999998</v>
          </cell>
        </row>
        <row r="11">
          <cell r="A11" t="str">
            <v>FURNITURE &amp; FIXTURE</v>
          </cell>
          <cell r="B11">
            <v>1100</v>
          </cell>
          <cell r="C11">
            <v>12436890.470000001</v>
          </cell>
          <cell r="D11">
            <v>0</v>
          </cell>
          <cell r="E11">
            <v>0</v>
          </cell>
          <cell r="F11">
            <v>12436890.470000001</v>
          </cell>
          <cell r="G11">
            <v>10556844.18</v>
          </cell>
          <cell r="H11">
            <v>170623</v>
          </cell>
          <cell r="I11">
            <v>0</v>
          </cell>
          <cell r="J11">
            <v>10727467.18</v>
          </cell>
          <cell r="K11">
            <v>1709423.290000001</v>
          </cell>
          <cell r="L11">
            <v>1880046.290000001</v>
          </cell>
        </row>
        <row r="12">
          <cell r="A12" t="str">
            <v>OFFICE EQUIPMENT</v>
          </cell>
          <cell r="B12">
            <v>1100</v>
          </cell>
          <cell r="C12">
            <v>25197558.239999998</v>
          </cell>
          <cell r="D12">
            <v>0</v>
          </cell>
          <cell r="E12">
            <v>0</v>
          </cell>
          <cell r="F12">
            <v>25197558.239999998</v>
          </cell>
          <cell r="G12">
            <v>22121039.68</v>
          </cell>
          <cell r="H12">
            <v>270419</v>
          </cell>
          <cell r="I12">
            <v>0</v>
          </cell>
          <cell r="J12">
            <v>22391458.68</v>
          </cell>
          <cell r="K12">
            <v>2806099.5599999987</v>
          </cell>
          <cell r="L12">
            <v>3076518.5599999987</v>
          </cell>
        </row>
        <row r="13">
          <cell r="A13" t="str">
            <v>VEHICLES</v>
          </cell>
          <cell r="B13">
            <v>1100</v>
          </cell>
          <cell r="C13">
            <v>3102311.71</v>
          </cell>
          <cell r="D13">
            <v>0</v>
          </cell>
          <cell r="E13">
            <v>0</v>
          </cell>
          <cell r="F13">
            <v>3102311.71</v>
          </cell>
          <cell r="G13">
            <v>2782295.04</v>
          </cell>
          <cell r="H13">
            <v>42438</v>
          </cell>
          <cell r="I13">
            <v>0</v>
          </cell>
          <cell r="J13">
            <v>2824733.04</v>
          </cell>
          <cell r="K13">
            <v>277578.66999999993</v>
          </cell>
          <cell r="L13">
            <v>320016.66999999993</v>
          </cell>
        </row>
        <row r="14">
          <cell r="A14" t="str">
            <v>SHIPS</v>
          </cell>
          <cell r="B14">
            <v>1100</v>
          </cell>
          <cell r="C14">
            <v>689563031</v>
          </cell>
          <cell r="D14">
            <v>0</v>
          </cell>
          <cell r="E14">
            <v>0</v>
          </cell>
          <cell r="F14">
            <v>689563031</v>
          </cell>
          <cell r="G14">
            <v>184888702.30000001</v>
          </cell>
          <cell r="H14">
            <v>25302850</v>
          </cell>
          <cell r="I14">
            <v>0</v>
          </cell>
          <cell r="J14">
            <v>210191552.30000001</v>
          </cell>
          <cell r="K14">
            <v>479371478.69999999</v>
          </cell>
          <cell r="L14">
            <v>504674328.69999999</v>
          </cell>
        </row>
        <row r="15">
          <cell r="A15" t="str">
            <v>AIRCRAFT</v>
          </cell>
          <cell r="B15">
            <v>1100</v>
          </cell>
          <cell r="C15">
            <v>0</v>
          </cell>
          <cell r="D15">
            <v>0</v>
          </cell>
          <cell r="E15">
            <v>0</v>
          </cell>
          <cell r="F15">
            <v>0</v>
          </cell>
          <cell r="G15">
            <v>0</v>
          </cell>
          <cell r="H15">
            <v>0</v>
          </cell>
          <cell r="I15">
            <v>0</v>
          </cell>
          <cell r="J15">
            <v>0</v>
          </cell>
          <cell r="K15">
            <v>0</v>
          </cell>
          <cell r="L15">
            <v>0</v>
          </cell>
        </row>
        <row r="16">
          <cell r="A16" t="str">
            <v>RAILWAY SIDING &amp; WAGONS</v>
          </cell>
          <cell r="B16">
            <v>1100</v>
          </cell>
          <cell r="C16">
            <v>179163743.00999999</v>
          </cell>
          <cell r="D16">
            <v>0</v>
          </cell>
          <cell r="E16">
            <v>0</v>
          </cell>
          <cell r="F16">
            <v>179163743.00999999</v>
          </cell>
          <cell r="G16">
            <v>61671285.68</v>
          </cell>
          <cell r="H16">
            <v>4266798</v>
          </cell>
          <cell r="I16">
            <v>0</v>
          </cell>
          <cell r="J16">
            <v>65938083.68</v>
          </cell>
          <cell r="K16">
            <v>113225659.32999998</v>
          </cell>
          <cell r="L16">
            <v>117492457.32999998</v>
          </cell>
        </row>
        <row r="17">
          <cell r="C17">
            <v>9746764525.7599983</v>
          </cell>
          <cell r="D17">
            <v>80886321</v>
          </cell>
          <cell r="E17">
            <v>0</v>
          </cell>
          <cell r="F17">
            <v>9827650846.7599983</v>
          </cell>
          <cell r="G17">
            <v>5295599195.0400009</v>
          </cell>
          <cell r="H17">
            <v>301390981.19</v>
          </cell>
          <cell r="I17">
            <v>0</v>
          </cell>
          <cell r="J17">
            <v>5596990176.2300005</v>
          </cell>
          <cell r="K17">
            <v>4230660670.5299997</v>
          </cell>
          <cell r="L17">
            <v>4451165330.7199993</v>
          </cell>
        </row>
        <row r="18">
          <cell r="A18" t="str">
            <v>HRC</v>
          </cell>
        </row>
        <row r="19">
          <cell r="A19" t="str">
            <v xml:space="preserve"> LAND</v>
          </cell>
          <cell r="B19">
            <v>1500</v>
          </cell>
          <cell r="C19">
            <v>315389153.70999998</v>
          </cell>
          <cell r="D19">
            <v>0</v>
          </cell>
          <cell r="E19">
            <v>159232</v>
          </cell>
          <cell r="F19">
            <v>315229921.70999998</v>
          </cell>
          <cell r="G19">
            <v>0</v>
          </cell>
          <cell r="H19">
            <v>0</v>
          </cell>
          <cell r="I19">
            <v>0</v>
          </cell>
          <cell r="J19">
            <v>0</v>
          </cell>
          <cell r="K19">
            <v>315229921.70999998</v>
          </cell>
          <cell r="L19">
            <v>315389153.70999998</v>
          </cell>
        </row>
        <row r="20">
          <cell r="A20" t="str">
            <v>BUILDINGS</v>
          </cell>
          <cell r="B20">
            <v>1500</v>
          </cell>
          <cell r="C20">
            <v>4070285083.3099999</v>
          </cell>
          <cell r="D20">
            <v>162946</v>
          </cell>
          <cell r="E20">
            <v>0</v>
          </cell>
          <cell r="F20">
            <v>4070448029.3099999</v>
          </cell>
          <cell r="G20">
            <v>1724727022.8700001</v>
          </cell>
          <cell r="H20">
            <v>109221993</v>
          </cell>
          <cell r="I20">
            <v>0</v>
          </cell>
          <cell r="J20">
            <v>1833949015.8700001</v>
          </cell>
          <cell r="K20">
            <v>2236499013.4399996</v>
          </cell>
          <cell r="L20">
            <v>2345558060.4399996</v>
          </cell>
        </row>
        <row r="21">
          <cell r="A21" t="str">
            <v>PLANT &amp; MACHINERY</v>
          </cell>
          <cell r="B21">
            <v>1500</v>
          </cell>
          <cell r="C21">
            <v>49626502718.139999</v>
          </cell>
          <cell r="D21">
            <v>9911802</v>
          </cell>
          <cell r="E21">
            <v>0</v>
          </cell>
          <cell r="F21">
            <v>49636414520.139999</v>
          </cell>
          <cell r="G21">
            <v>12298017846</v>
          </cell>
          <cell r="H21">
            <v>1637899619</v>
          </cell>
          <cell r="I21">
            <v>0</v>
          </cell>
          <cell r="J21">
            <v>13935917465</v>
          </cell>
          <cell r="K21">
            <v>35700497055.139999</v>
          </cell>
          <cell r="L21">
            <v>37328484872.139999</v>
          </cell>
        </row>
        <row r="22">
          <cell r="A22" t="str">
            <v>FURNITURE &amp; FIXTURE</v>
          </cell>
          <cell r="B22">
            <v>1500</v>
          </cell>
          <cell r="C22">
            <v>143125001.62</v>
          </cell>
          <cell r="D22">
            <v>25975</v>
          </cell>
          <cell r="E22">
            <v>0</v>
          </cell>
          <cell r="F22">
            <v>143150976.62</v>
          </cell>
          <cell r="G22">
            <v>111692050.62</v>
          </cell>
          <cell r="H22">
            <v>2854410</v>
          </cell>
          <cell r="I22">
            <v>0</v>
          </cell>
          <cell r="J22">
            <v>114546460.62</v>
          </cell>
          <cell r="K22">
            <v>28604516</v>
          </cell>
          <cell r="L22">
            <v>31432951</v>
          </cell>
        </row>
        <row r="23">
          <cell r="A23" t="str">
            <v>OFFICE EQUIPMENT</v>
          </cell>
          <cell r="B23">
            <v>1500</v>
          </cell>
          <cell r="C23">
            <v>299067230.81999999</v>
          </cell>
          <cell r="D23">
            <v>3744535</v>
          </cell>
          <cell r="E23">
            <v>0</v>
          </cell>
          <cell r="F23">
            <v>302811765.81999999</v>
          </cell>
          <cell r="G23">
            <v>234598630.72999999</v>
          </cell>
          <cell r="H23">
            <v>9735699</v>
          </cell>
          <cell r="I23">
            <v>0</v>
          </cell>
          <cell r="J23">
            <v>244334329.72999999</v>
          </cell>
          <cell r="K23">
            <v>58477436.090000004</v>
          </cell>
          <cell r="L23">
            <v>64468600.090000004</v>
          </cell>
        </row>
        <row r="24">
          <cell r="A24" t="str">
            <v>VEHICLES</v>
          </cell>
          <cell r="B24">
            <v>1500</v>
          </cell>
          <cell r="C24">
            <v>41761973.590000004</v>
          </cell>
          <cell r="D24">
            <v>1233431.45</v>
          </cell>
          <cell r="E24">
            <v>4308581</v>
          </cell>
          <cell r="F24">
            <v>38686824.040000007</v>
          </cell>
          <cell r="G24">
            <v>28393348.780000001</v>
          </cell>
          <cell r="H24">
            <v>1883090</v>
          </cell>
          <cell r="I24">
            <v>2188218.06</v>
          </cell>
          <cell r="J24">
            <v>28088220.720000003</v>
          </cell>
          <cell r="K24">
            <v>10598603.320000004</v>
          </cell>
          <cell r="L24">
            <v>13368624.810000002</v>
          </cell>
        </row>
        <row r="25">
          <cell r="A25" t="str">
            <v>SHIPS</v>
          </cell>
          <cell r="B25">
            <v>0</v>
          </cell>
          <cell r="C25">
            <v>0</v>
          </cell>
          <cell r="D25">
            <v>0</v>
          </cell>
          <cell r="E25">
            <v>0</v>
          </cell>
          <cell r="F25">
            <v>0</v>
          </cell>
          <cell r="G25">
            <v>0</v>
          </cell>
          <cell r="H25">
            <v>0</v>
          </cell>
          <cell r="I25">
            <v>0</v>
          </cell>
          <cell r="J25">
            <v>0</v>
          </cell>
          <cell r="K25">
            <v>0</v>
          </cell>
          <cell r="L25">
            <v>0</v>
          </cell>
        </row>
        <row r="26">
          <cell r="A26" t="str">
            <v>AIRCRAFT</v>
          </cell>
          <cell r="B26">
            <v>1500</v>
          </cell>
          <cell r="C26">
            <v>43471480</v>
          </cell>
          <cell r="D26">
            <v>0</v>
          </cell>
          <cell r="E26">
            <v>0</v>
          </cell>
          <cell r="F26">
            <v>43471480</v>
          </cell>
          <cell r="G26">
            <v>28710073.91</v>
          </cell>
          <cell r="H26">
            <v>1198950</v>
          </cell>
          <cell r="I26">
            <v>0</v>
          </cell>
          <cell r="J26">
            <v>29909023.91</v>
          </cell>
          <cell r="K26">
            <v>13562456.09</v>
          </cell>
          <cell r="L26">
            <v>14761406.09</v>
          </cell>
        </row>
        <row r="27">
          <cell r="A27" t="str">
            <v>RAILWAY SIDING &amp; WAGONS</v>
          </cell>
          <cell r="B27">
            <v>1500</v>
          </cell>
          <cell r="C27">
            <v>129930090.22</v>
          </cell>
          <cell r="D27">
            <v>0</v>
          </cell>
          <cell r="E27">
            <v>0</v>
          </cell>
          <cell r="F27">
            <v>129930090.22</v>
          </cell>
          <cell r="G27">
            <v>31658165.609999999</v>
          </cell>
          <cell r="H27">
            <v>3329662</v>
          </cell>
          <cell r="I27">
            <v>0</v>
          </cell>
          <cell r="J27">
            <v>34987827.609999999</v>
          </cell>
          <cell r="K27">
            <v>94942262.609999999</v>
          </cell>
          <cell r="L27">
            <v>98271924.609999999</v>
          </cell>
        </row>
        <row r="28">
          <cell r="C28">
            <v>54669532731.409996</v>
          </cell>
          <cell r="D28">
            <v>15078689.449999999</v>
          </cell>
          <cell r="E28">
            <v>4467813</v>
          </cell>
          <cell r="F28">
            <v>54680143607.860001</v>
          </cell>
          <cell r="G28">
            <v>14457797138.520002</v>
          </cell>
          <cell r="H28">
            <v>1766123423</v>
          </cell>
          <cell r="I28">
            <v>2188218.06</v>
          </cell>
          <cell r="J28">
            <v>16221732343.460001</v>
          </cell>
          <cell r="K28">
            <v>38458411264.399994</v>
          </cell>
          <cell r="L28">
            <v>40211735592.889992</v>
          </cell>
        </row>
        <row r="29">
          <cell r="A29" t="str">
            <v>CORPORATE</v>
          </cell>
        </row>
        <row r="30">
          <cell r="A30" t="str">
            <v xml:space="preserve"> LAND</v>
          </cell>
          <cell r="B30">
            <v>0</v>
          </cell>
          <cell r="C30">
            <v>0</v>
          </cell>
          <cell r="D30">
            <v>0</v>
          </cell>
          <cell r="E30">
            <v>0</v>
          </cell>
          <cell r="F30">
            <v>0</v>
          </cell>
          <cell r="G30">
            <v>0</v>
          </cell>
          <cell r="H30">
            <v>0</v>
          </cell>
          <cell r="I30">
            <v>0</v>
          </cell>
          <cell r="J30">
            <v>0</v>
          </cell>
          <cell r="K30">
            <v>0</v>
          </cell>
          <cell r="L30">
            <v>0</v>
          </cell>
        </row>
        <row r="31">
          <cell r="A31" t="str">
            <v>BUILDINGS</v>
          </cell>
          <cell r="B31">
            <v>1900</v>
          </cell>
          <cell r="C31">
            <v>6086179</v>
          </cell>
          <cell r="D31">
            <v>0</v>
          </cell>
          <cell r="E31">
            <v>0</v>
          </cell>
          <cell r="F31">
            <v>6086179</v>
          </cell>
          <cell r="G31">
            <v>3586069</v>
          </cell>
          <cell r="H31">
            <v>67444</v>
          </cell>
          <cell r="I31">
            <v>0</v>
          </cell>
          <cell r="J31">
            <v>3653513</v>
          </cell>
          <cell r="K31">
            <v>2432666</v>
          </cell>
          <cell r="L31">
            <v>2500110</v>
          </cell>
        </row>
        <row r="32">
          <cell r="A32" t="str">
            <v>PLANT &amp; MACHINERY</v>
          </cell>
          <cell r="B32">
            <v>0</v>
          </cell>
          <cell r="C32">
            <v>0</v>
          </cell>
          <cell r="D32">
            <v>0</v>
          </cell>
          <cell r="E32">
            <v>0</v>
          </cell>
          <cell r="F32">
            <v>0</v>
          </cell>
          <cell r="G32">
            <v>0</v>
          </cell>
          <cell r="H32">
            <v>0</v>
          </cell>
          <cell r="I32">
            <v>0</v>
          </cell>
          <cell r="J32">
            <v>0</v>
          </cell>
          <cell r="K32">
            <v>0</v>
          </cell>
          <cell r="L32">
            <v>0</v>
          </cell>
        </row>
        <row r="33">
          <cell r="A33" t="str">
            <v>FURNITURE &amp; FIXTURE</v>
          </cell>
          <cell r="B33">
            <v>1900</v>
          </cell>
          <cell r="C33">
            <v>18650264.300000001</v>
          </cell>
          <cell r="D33">
            <v>54250</v>
          </cell>
          <cell r="E33">
            <v>0</v>
          </cell>
          <cell r="F33">
            <v>18704514.300000001</v>
          </cell>
          <cell r="G33">
            <v>15368792</v>
          </cell>
          <cell r="H33">
            <v>299908</v>
          </cell>
          <cell r="I33">
            <v>0</v>
          </cell>
          <cell r="J33">
            <v>15668700</v>
          </cell>
          <cell r="K33">
            <v>3035814.3000000007</v>
          </cell>
          <cell r="L33">
            <v>3281472.3000000007</v>
          </cell>
        </row>
        <row r="34">
          <cell r="A34" t="str">
            <v>OFFICE EQUIPMENT</v>
          </cell>
          <cell r="B34">
            <v>1900</v>
          </cell>
          <cell r="C34">
            <v>19895306.559999999</v>
          </cell>
          <cell r="D34">
            <v>655570</v>
          </cell>
          <cell r="E34">
            <v>0</v>
          </cell>
          <cell r="F34">
            <v>20550876.559999999</v>
          </cell>
          <cell r="G34">
            <v>15159783</v>
          </cell>
          <cell r="H34">
            <v>592607</v>
          </cell>
          <cell r="I34">
            <v>0</v>
          </cell>
          <cell r="J34">
            <v>15752390</v>
          </cell>
          <cell r="K34">
            <v>4798486.5599999987</v>
          </cell>
          <cell r="L34">
            <v>4735523.5599999987</v>
          </cell>
        </row>
        <row r="35">
          <cell r="A35" t="str">
            <v>VEHICLES</v>
          </cell>
          <cell r="B35">
            <v>1900</v>
          </cell>
          <cell r="C35">
            <v>28326299.68</v>
          </cell>
          <cell r="D35">
            <v>0</v>
          </cell>
          <cell r="E35">
            <v>0</v>
          </cell>
          <cell r="F35">
            <v>28326299.68</v>
          </cell>
          <cell r="G35">
            <v>15234849</v>
          </cell>
          <cell r="H35">
            <v>1695955</v>
          </cell>
          <cell r="I35">
            <v>0</v>
          </cell>
          <cell r="J35">
            <v>16930804</v>
          </cell>
          <cell r="K35">
            <v>11395495.68</v>
          </cell>
          <cell r="L35">
            <v>13091450.68</v>
          </cell>
        </row>
        <row r="36">
          <cell r="A36" t="str">
            <v>SHIPS</v>
          </cell>
          <cell r="B36">
            <v>0</v>
          </cell>
          <cell r="C36">
            <v>0</v>
          </cell>
          <cell r="D36">
            <v>0</v>
          </cell>
          <cell r="E36">
            <v>0</v>
          </cell>
          <cell r="F36">
            <v>0</v>
          </cell>
          <cell r="G36">
            <v>0</v>
          </cell>
          <cell r="H36">
            <v>0</v>
          </cell>
          <cell r="I36">
            <v>0</v>
          </cell>
          <cell r="J36">
            <v>0</v>
          </cell>
          <cell r="K36">
            <v>0</v>
          </cell>
          <cell r="L36">
            <v>0</v>
          </cell>
        </row>
        <row r="37">
          <cell r="A37" t="str">
            <v>AIRCRAFT</v>
          </cell>
          <cell r="B37">
            <v>0</v>
          </cell>
          <cell r="C37">
            <v>0</v>
          </cell>
          <cell r="D37">
            <v>0</v>
          </cell>
          <cell r="E37">
            <v>0</v>
          </cell>
          <cell r="F37">
            <v>0</v>
          </cell>
          <cell r="G37">
            <v>0</v>
          </cell>
          <cell r="H37">
            <v>0</v>
          </cell>
          <cell r="I37">
            <v>0</v>
          </cell>
          <cell r="J37">
            <v>0</v>
          </cell>
          <cell r="K37">
            <v>0</v>
          </cell>
          <cell r="L37">
            <v>0</v>
          </cell>
        </row>
        <row r="38">
          <cell r="A38" t="str">
            <v>RAILWAY SIDING &amp; WAGONS</v>
          </cell>
          <cell r="B38">
            <v>0</v>
          </cell>
          <cell r="C38">
            <v>0</v>
          </cell>
          <cell r="D38">
            <v>0</v>
          </cell>
          <cell r="E38">
            <v>0</v>
          </cell>
          <cell r="F38">
            <v>0</v>
          </cell>
          <cell r="G38">
            <v>0</v>
          </cell>
          <cell r="H38">
            <v>0</v>
          </cell>
          <cell r="I38">
            <v>0</v>
          </cell>
          <cell r="J38">
            <v>0</v>
          </cell>
          <cell r="K38">
            <v>0</v>
          </cell>
          <cell r="L38">
            <v>0</v>
          </cell>
        </row>
        <row r="39">
          <cell r="C39">
            <v>72958049.539999992</v>
          </cell>
          <cell r="D39">
            <v>709820</v>
          </cell>
          <cell r="E39">
            <v>0</v>
          </cell>
          <cell r="F39">
            <v>73667869.539999992</v>
          </cell>
          <cell r="G39">
            <v>49349493</v>
          </cell>
          <cell r="H39">
            <v>2655914</v>
          </cell>
          <cell r="I39">
            <v>0</v>
          </cell>
          <cell r="J39">
            <v>52005407</v>
          </cell>
          <cell r="K39">
            <v>21662462.539999999</v>
          </cell>
          <cell r="L39">
            <v>23608556.539999999</v>
          </cell>
        </row>
        <row r="40">
          <cell r="A40" t="str">
            <v>TOTAL</v>
          </cell>
        </row>
        <row r="41">
          <cell r="A41" t="str">
            <v xml:space="preserve"> LAND</v>
          </cell>
          <cell r="B41">
            <v>0</v>
          </cell>
          <cell r="C41">
            <v>331212244.60999995</v>
          </cell>
          <cell r="D41">
            <v>0</v>
          </cell>
          <cell r="E41">
            <v>159232</v>
          </cell>
          <cell r="F41">
            <v>331053012.60999995</v>
          </cell>
          <cell r="G41">
            <v>0</v>
          </cell>
          <cell r="H41">
            <v>0</v>
          </cell>
          <cell r="I41">
            <v>0</v>
          </cell>
          <cell r="J41">
            <v>0</v>
          </cell>
          <cell r="K41">
            <v>331053012.60999995</v>
          </cell>
          <cell r="L41">
            <v>331212244.60999995</v>
          </cell>
        </row>
        <row r="42">
          <cell r="A42" t="str">
            <v>BUILDINGS</v>
          </cell>
          <cell r="B42">
            <v>0</v>
          </cell>
          <cell r="C42">
            <v>4395598914.9899998</v>
          </cell>
          <cell r="D42">
            <v>162946</v>
          </cell>
          <cell r="E42">
            <v>0</v>
          </cell>
          <cell r="F42">
            <v>4395761860.9899998</v>
          </cell>
          <cell r="G42">
            <v>1893780974.98</v>
          </cell>
          <cell r="H42">
            <v>114290028</v>
          </cell>
          <cell r="I42">
            <v>0</v>
          </cell>
          <cell r="J42">
            <v>2008071002.98</v>
          </cell>
          <cell r="K42">
            <v>2387690858.0099998</v>
          </cell>
          <cell r="L42">
            <v>2501817940.0099998</v>
          </cell>
        </row>
        <row r="43">
          <cell r="A43" t="str">
            <v>PLANT &amp; MACHINERY</v>
          </cell>
          <cell r="B43">
            <v>0</v>
          </cell>
          <cell r="C43">
            <v>58128752965.889999</v>
          </cell>
          <cell r="D43">
            <v>90798123</v>
          </cell>
          <cell r="E43">
            <v>0</v>
          </cell>
          <cell r="F43">
            <v>58219551088.889999</v>
          </cell>
          <cell r="G43">
            <v>17146128991.049999</v>
          </cell>
          <cell r="H43">
            <v>1904236881.1900001</v>
          </cell>
          <cell r="I43">
            <v>0</v>
          </cell>
          <cell r="J43">
            <v>19050365872.239998</v>
          </cell>
          <cell r="K43">
            <v>39169185216.650002</v>
          </cell>
          <cell r="L43">
            <v>40982623974.839996</v>
          </cell>
        </row>
        <row r="44">
          <cell r="A44" t="str">
            <v>FURNITURE &amp; FIXTURE</v>
          </cell>
          <cell r="B44">
            <v>0</v>
          </cell>
          <cell r="C44">
            <v>174212156.39000002</v>
          </cell>
          <cell r="D44">
            <v>80225</v>
          </cell>
          <cell r="E44">
            <v>0</v>
          </cell>
          <cell r="F44">
            <v>174292381.39000002</v>
          </cell>
          <cell r="G44">
            <v>137617686.80000001</v>
          </cell>
          <cell r="H44">
            <v>3324941</v>
          </cell>
          <cell r="I44">
            <v>0</v>
          </cell>
          <cell r="J44">
            <v>140942627.80000001</v>
          </cell>
          <cell r="K44">
            <v>33349753.590000004</v>
          </cell>
          <cell r="L44">
            <v>36594469.589999996</v>
          </cell>
        </row>
        <row r="45">
          <cell r="A45" t="str">
            <v>OFFICE EQUIPMENT</v>
          </cell>
          <cell r="B45">
            <v>0</v>
          </cell>
          <cell r="C45">
            <v>344160095.62</v>
          </cell>
          <cell r="D45">
            <v>4400105</v>
          </cell>
          <cell r="E45">
            <v>0</v>
          </cell>
          <cell r="F45">
            <v>348560200.62</v>
          </cell>
          <cell r="G45">
            <v>271879453.40999997</v>
          </cell>
          <cell r="H45">
            <v>10598725</v>
          </cell>
          <cell r="I45">
            <v>0</v>
          </cell>
          <cell r="J45">
            <v>282478178.40999997</v>
          </cell>
          <cell r="K45">
            <v>66082022.210000008</v>
          </cell>
          <cell r="L45">
            <v>72280642.210000008</v>
          </cell>
        </row>
        <row r="46">
          <cell r="A46" t="str">
            <v>VEHICLES</v>
          </cell>
          <cell r="B46">
            <v>0</v>
          </cell>
          <cell r="C46">
            <v>73190584.980000004</v>
          </cell>
          <cell r="D46">
            <v>1233431.45</v>
          </cell>
          <cell r="E46">
            <v>4308581</v>
          </cell>
          <cell r="F46">
            <v>70115435.430000007</v>
          </cell>
          <cell r="G46">
            <v>46410492.82</v>
          </cell>
          <cell r="H46">
            <v>3621483</v>
          </cell>
          <cell r="I46">
            <v>2188218.06</v>
          </cell>
          <cell r="J46">
            <v>47843757.759999998</v>
          </cell>
          <cell r="K46">
            <v>22271677.670000002</v>
          </cell>
          <cell r="L46">
            <v>26780092.160000004</v>
          </cell>
        </row>
        <row r="47">
          <cell r="A47" t="str">
            <v>SHIPS</v>
          </cell>
          <cell r="B47">
            <v>0</v>
          </cell>
          <cell r="C47">
            <v>689563031</v>
          </cell>
          <cell r="D47">
            <v>0</v>
          </cell>
          <cell r="E47">
            <v>0</v>
          </cell>
          <cell r="F47">
            <v>689563031</v>
          </cell>
          <cell r="G47">
            <v>184888702.30000001</v>
          </cell>
          <cell r="H47">
            <v>25302850</v>
          </cell>
          <cell r="I47">
            <v>0</v>
          </cell>
          <cell r="J47">
            <v>210191552.30000001</v>
          </cell>
          <cell r="K47">
            <v>479371478.69999999</v>
          </cell>
          <cell r="L47">
            <v>504674328.69999999</v>
          </cell>
        </row>
        <row r="48">
          <cell r="A48" t="str">
            <v>AIRCRAFT</v>
          </cell>
          <cell r="B48">
            <v>0</v>
          </cell>
          <cell r="C48">
            <v>43471480</v>
          </cell>
          <cell r="D48">
            <v>0</v>
          </cell>
          <cell r="E48">
            <v>0</v>
          </cell>
          <cell r="F48">
            <v>43471480</v>
          </cell>
          <cell r="G48">
            <v>28710073.91</v>
          </cell>
          <cell r="H48">
            <v>1198950</v>
          </cell>
          <cell r="I48">
            <v>0</v>
          </cell>
          <cell r="J48">
            <v>29909023.91</v>
          </cell>
          <cell r="K48">
            <v>13562456.09</v>
          </cell>
          <cell r="L48">
            <v>14761406.09</v>
          </cell>
        </row>
        <row r="49">
          <cell r="A49" t="str">
            <v>RAILWAY SIDING &amp; WAGONS</v>
          </cell>
          <cell r="B49">
            <v>0</v>
          </cell>
          <cell r="C49">
            <v>309093833.23000002</v>
          </cell>
          <cell r="D49">
            <v>0</v>
          </cell>
          <cell r="E49">
            <v>0</v>
          </cell>
          <cell r="F49">
            <v>309093833.23000002</v>
          </cell>
          <cell r="G49">
            <v>93329451.289999992</v>
          </cell>
          <cell r="H49">
            <v>7596460</v>
          </cell>
          <cell r="I49">
            <v>0</v>
          </cell>
          <cell r="J49">
            <v>100925911.28999999</v>
          </cell>
          <cell r="K49">
            <v>208167921.94</v>
          </cell>
          <cell r="L49">
            <v>215764381.94</v>
          </cell>
        </row>
        <row r="50">
          <cell r="C50">
            <v>64489255306.709991</v>
          </cell>
          <cell r="D50">
            <v>96674830.450000003</v>
          </cell>
          <cell r="E50">
            <v>4467813</v>
          </cell>
          <cell r="F50">
            <v>64581462324.160004</v>
          </cell>
          <cell r="G50">
            <v>19802745826.560005</v>
          </cell>
          <cell r="H50">
            <v>2070170318.1900001</v>
          </cell>
          <cell r="I50">
            <v>2188218.06</v>
          </cell>
          <cell r="J50">
            <v>21870727926.690002</v>
          </cell>
          <cell r="K50">
            <v>42710734397.469994</v>
          </cell>
          <cell r="L50">
            <v>44686509480.149994</v>
          </cell>
        </row>
      </sheetData>
      <sheetData sheetId="18" refreshError="1"/>
      <sheetData sheetId="19" refreshError="1"/>
      <sheetData sheetId="20" refreshError="1"/>
      <sheetData sheetId="21" refreshError="1"/>
      <sheetData sheetId="22">
        <row r="1">
          <cell r="A1" t="str">
            <v>ESSAR STEEL LIMITED</v>
          </cell>
        </row>
      </sheetData>
      <sheetData sheetId="23"/>
      <sheetData sheetId="2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diff.int.summary"/>
      <sheetName val="diff"/>
      <sheetName val="comp"/>
      <sheetName val="deb TDS"/>
      <sheetName val="deb"/>
      <sheetName val="rtl"/>
      <sheetName val="fcl"/>
      <sheetName val="rtl tds"/>
      <sheetName val="guar comm"/>
      <sheetName val="commitment "/>
      <sheetName val="intcmcdet"/>
      <sheetName val="cmc adv"/>
      <sheetName val="rftl hbi"/>
      <sheetName val="hbi ncd"/>
      <sheetName val="F&amp;S charges -2k-01"/>
      <sheetName val="sep01"/>
      <sheetName val="FOIL"/>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diff.int.summary"/>
      <sheetName val="diff"/>
      <sheetName val="comp"/>
      <sheetName val="deb TDS"/>
      <sheetName val="deb"/>
      <sheetName val="rtl"/>
      <sheetName val="fcl"/>
      <sheetName val="rtl tds"/>
      <sheetName val="guar comm"/>
      <sheetName val="commitment "/>
      <sheetName val="intcmcdet"/>
      <sheetName val="cmc adv"/>
      <sheetName val="rftl hbi"/>
      <sheetName val="hbi ncd"/>
      <sheetName val="F&amp;S charges -2k-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capital"/>
      <sheetName val="Gradnsummary"/>
      <sheetName val="cfo meet"/>
      <sheetName val="note("/>
      <sheetName val="note"/>
      <sheetName val="idbi_int"/>
      <sheetName val="sum"/>
      <sheetName val="credit"/>
      <sheetName val="assump"/>
      <sheetName val="Sheet1"/>
      <sheetName val="cash"/>
      <sheetName val="exp_det"/>
      <sheetName val="Col"/>
      <sheetName val="Ltdeta"/>
      <sheetName val="Purch"/>
      <sheetName val="bank_p"/>
      <sheetName val="dp."/>
      <sheetName val="Scenarios"/>
      <sheetName val="fcl"/>
      <sheetName val="cfo_meet"/>
      <sheetName val="dp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
      <sheetName val="Fixed Assets"/>
      <sheetName val="CWIP"/>
      <sheetName val="Branch"/>
    </sheetNames>
    <sheetDataSet>
      <sheetData sheetId="0" refreshError="1"/>
      <sheetData sheetId="1" refreshError="1"/>
      <sheetData sheetId="2" refreshError="1"/>
      <sheetData sheetId="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04"/>
      <sheetName val="Linking sheet"/>
      <sheetName val="BALSHT"/>
      <sheetName val="SCH"/>
      <sheetName val="Analysis"/>
      <sheetName val="Debtors-GEB"/>
      <sheetName val="GEB"/>
      <sheetName val="Unsec"/>
      <sheetName val="Cons"/>
      <sheetName val="Schedulev V"/>
      <sheetName val="L&amp;A"/>
      <sheetName val="Drs-GEB"/>
      <sheetName val="Curr_liab"/>
      <sheetName val="Int0304"/>
      <sheetName val="Cash Flow"/>
      <sheetName val="Abstract"/>
      <sheetName val="Perfhigh"/>
      <sheetName val="Sheet2"/>
      <sheetName val="creditors1"/>
      <sheetName val="Sheet1"/>
      <sheetName val="Checklist"/>
      <sheetName val="Sheet3 (2)"/>
      <sheetName val="UGPIPING"/>
      <sheetName val="download"/>
      <sheetName val="Linking_sheet"/>
      <sheetName val="Schedulev_V"/>
      <sheetName val="Cash_Flow"/>
      <sheetName val="Sheet3_(2)"/>
      <sheetName val="Vendor Data"/>
      <sheetName val="fcl"/>
      <sheetName val="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exp"/>
      <sheetName val="depcl"/>
      <sheetName val="depit"/>
      <sheetName val="0607"/>
      <sheetName val="0506"/>
      <sheetName val="Sheet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Top sheet"/>
      <sheetName val="4.Grouping - Balance Sheet(mio)"/>
      <sheetName val="3.Grouping - Profit &amp; Loss(mio)"/>
      <sheetName val="5. Journal entries."/>
      <sheetName val="6A. Geographical Sales"/>
      <sheetName val="Control Sheet"/>
      <sheetName val="1. ROM"/>
      <sheetName val="6B. Other income"/>
      <sheetName val="7. Investments"/>
      <sheetName val="7A.Profit on sale of investmt"/>
      <sheetName val="8. Borrowings"/>
      <sheetName val="8A. Acc &amp; buy cr."/>
      <sheetName val="9. Loans given &amp; ICDs"/>
      <sheetName val="10. Cash flow info"/>
      <sheetName val="Open Note Summary"/>
      <sheetName val="10A. Forex-cash flow"/>
      <sheetName val="11. Tax Details"/>
      <sheetName val="12. Tangible assets"/>
      <sheetName val="12A. Investment properties"/>
      <sheetName val="13. Intangible assets "/>
      <sheetName val="14. Contingent and commitments"/>
      <sheetName val="15. RPT"/>
      <sheetName val="16.IC-RP list"/>
      <sheetName val="TB Consolidated"/>
      <sheetName val="17. Provisions"/>
      <sheetName val="18. Leases"/>
      <sheetName val="19. Employee Benefits"/>
      <sheetName val="20. IAS 11 disclosure"/>
      <sheetName val="21. Fair value &amp; liquiditiy"/>
      <sheetName val="22. Currency risk"/>
      <sheetName val="23. Actual interest rates"/>
      <sheetName val="24. Interest &amp; commodity risk"/>
      <sheetName val="25. Credit risk"/>
      <sheetName val="26. Level wise FAFL"/>
      <sheetName val="Ledger upto Mar,12"/>
      <sheetName val="FGO MAR 2012"/>
      <sheetName val="Guarantee com EPL TO GS"/>
      <sheetName val="FGO 31-3-11 "/>
      <sheetName val="Updated ledger"/>
      <sheetName val="Sheet1"/>
      <sheetName val="Query Sheet"/>
      <sheetName val="Cover"/>
      <sheetName val="index"/>
      <sheetName val="m&amp;a"/>
      <sheetName val="BS"/>
      <sheetName val="P&amp;L"/>
      <sheetName val="equity"/>
      <sheetName val="Cashflow"/>
      <sheetName val="Schedule"/>
      <sheetName val="TB"/>
      <sheetName val="Notes in IFRS"/>
      <sheetName val="EPL Dubai"/>
      <sheetName val="EPL Oman"/>
      <sheetName val="EPL Korea Division"/>
      <sheetName val="TB KSA"/>
      <sheetName val="FGO corporate gurantee"/>
      <sheetName val="Adoption of new standards"/>
      <sheetName val="TB with op.balance"/>
      <sheetName val="Non Cash"/>
      <sheetName val="Sheet3"/>
      <sheetName val="EPL Saudi"/>
      <sheetName val="Sheet2"/>
      <sheetName val="Sheet4"/>
      <sheetName val="RP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1A. Checklist"/>
      <sheetName val="1B. Control Sheet"/>
      <sheetName val="2. Top sheet"/>
      <sheetName val="3.Grouping - Profit &amp; Loss(mio)"/>
      <sheetName val="4.Grouping - Balance Sheet(mio)"/>
      <sheetName val="5. Journal entries."/>
      <sheetName val="6.Cash Flow"/>
      <sheetName val="7. Reco"/>
      <sheetName val="8. Break up of other income"/>
      <sheetName val="9. Cash flow info"/>
      <sheetName val="10. Adjuted EBIDTA"/>
      <sheetName val="10. Geographical Sales"/>
      <sheetName val="11. Tax Details"/>
      <sheetName val="12. Tangible assets"/>
      <sheetName val="13. Intangible assets "/>
      <sheetName val="14. Investments"/>
      <sheetName val="15. Inventory"/>
      <sheetName val="16. Borrowings"/>
      <sheetName val="17. Risk Management"/>
      <sheetName val="18. Fair value of FA and FL"/>
      <sheetName val="19. Currency wise of FA and FL"/>
      <sheetName val="20. RPT"/>
      <sheetName val="IC-RP list"/>
      <sheetName val="21. Forex"/>
      <sheetName val="22. Trade Receivables"/>
      <sheetName val="23. Qty Infor"/>
      <sheetName val="23. Contingent and commitments"/>
      <sheetName val="23 a. Export obli and cap com"/>
      <sheetName val="24. Provisions"/>
      <sheetName val="26.Profit on sale of investment"/>
      <sheetName val="25. Leases"/>
      <sheetName val="27. ROM"/>
      <sheetName val="25. Professional Fees"/>
      <sheetName val="28. Covenant Compli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III, IV"/>
      <sheetName val="HBI,HRC&amp;CORP SUMM"/>
      <sheetName val="corp"/>
      <sheetName val="HBI NCD"/>
      <sheetName val="HBI RTL"/>
      <sheetName val="HBI WC"/>
      <sheetName val="HRC - NCD, RTL, WCDL"/>
      <sheetName val="ncd14%"/>
      <sheetName val="HBI &amp; HRC - FCL"/>
      <sheetName val="HBI &amp; HRC - FCL (2)"/>
      <sheetName val="HBI WC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capital"/>
      <sheetName val="Gradnsummary"/>
      <sheetName val="cfo meet"/>
      <sheetName val="note("/>
      <sheetName val="note"/>
      <sheetName val="idbi_int"/>
      <sheetName val="sum"/>
      <sheetName val="credit"/>
      <sheetName val="assump"/>
      <sheetName val="Sheet1"/>
      <sheetName val="cash"/>
      <sheetName val="exp_det"/>
      <sheetName val="Col"/>
      <sheetName val="Ltdeta"/>
      <sheetName val="Purch"/>
      <sheetName val="bank_p"/>
      <sheetName val="dp."/>
      <sheetName val="HBI NC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III, IV"/>
      <sheetName val="HBI,HRC&amp;CORP SUMM"/>
      <sheetName val="corp"/>
      <sheetName val="HBI NCD"/>
      <sheetName val="HBI RTL"/>
      <sheetName val="HBI WC"/>
      <sheetName val="HRC - NCD, RTL, WCDL"/>
      <sheetName val="ncd14%"/>
      <sheetName val="HBI &amp; HRC - FCL"/>
      <sheetName val="HBI &amp; HRC - FCL (2)"/>
      <sheetName val="HBI WC (2)"/>
      <sheetName val="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 val="deduction"/>
      <sheetName val="addition"/>
    </sheetNames>
    <sheetDataSet>
      <sheetData sheetId="0" refreshError="1"/>
      <sheetData sheetId="1" refreshError="1"/>
      <sheetData sheetId="2" refreshError="1"/>
      <sheetData sheetId="3" refreshError="1"/>
      <sheetData sheetId="4"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IV "/>
      <sheetName val="51-CAPITAL 2003-04"/>
      <sheetName val="CREDIT NOTE - Q3 (2)"/>
      <sheetName val="Trial Balance - Dec 2005 AUDIT"/>
      <sheetName val="EPS 2001-2002"/>
      <sheetName val="EPS 2002-2003"/>
      <sheetName val="FIXED ASSETS SCH IV -june 2005 "/>
      <sheetName val="FIXED ASSETS SCH IV -Sept 2005 "/>
      <sheetName val="DTA _ MAT SEP 05"/>
      <sheetName val="FIXED ASSETS SCH IV - MARCH 06"/>
      <sheetName val="CREDIT NOTE - Q3"/>
      <sheetName val="MISC"/>
      <sheetName val="F. ASSTS  DEP SCH -IT  2004-05 "/>
      <sheetName val="CLARF"/>
      <sheetName val="Notes on Accts MAR 06- Point 14"/>
      <sheetName val="Notes MAR 06- Point 14 (cont)"/>
      <sheetName val="RELATED PARTY INFO"/>
      <sheetName val=" Geo Segment 2005-06"/>
      <sheetName val="Segment P&amp;L MAR06 WKGS"/>
      <sheetName val="Segment BS MAR06 WKGS"/>
      <sheetName val="Interest Sum - MAR 06 GL RECO "/>
      <sheetName val=" Related Party  MAR 2006 "/>
      <sheetName val="Notes on Accts - Point 23"/>
      <sheetName val="Sheet1"/>
      <sheetName val="Trial Balance - MARCH 2006"/>
      <sheetName val="P&amp;L  - Mar 2006"/>
      <sheetName val="Cash Flow  2005_2006"/>
      <sheetName val="Balance Sheet - March 2006"/>
      <sheetName val="IT DEP 0506 "/>
      <sheetName val="DTA _ MAT MAR 06 "/>
      <sheetName val="Cash Flow  DEC 2005 "/>
      <sheetName val=" Geo Segment DEC 2005"/>
      <sheetName val="POINT NO. 14  Geo Segment 0405"/>
      <sheetName val="POINT NO.15 Related Party 0405 "/>
      <sheetName val="Cash Flow  2004_2005"/>
      <sheetName val=" Related Party "/>
      <sheetName val=" Related Party  (2)"/>
      <sheetName val="EPS 2"/>
      <sheetName val="EPS 1"/>
      <sheetName val="Sheet4"/>
      <sheetName val="CASH&amp;BANK"/>
      <sheetName val="DEBTORS"/>
      <sheetName val="INVENTORIES"/>
      <sheetName val="LOANS &amp; ADV"/>
      <sheetName val="Sheet3"/>
      <sheetName val="HBI NC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ROM"/>
      <sheetName val="2. Top sheet"/>
      <sheetName val="3.Grouping - Profit &amp; Loss(mio)"/>
      <sheetName val="4.Grouping - Balance Sheet(mio)"/>
      <sheetName val="5. Journal entries."/>
      <sheetName val="6. Other income"/>
      <sheetName val="7. Investments"/>
      <sheetName val="7A.Profit on sale of investmt"/>
      <sheetName val="8. Borrowings"/>
      <sheetName val="9. Loans given"/>
      <sheetName val="10. Cash flow info"/>
      <sheetName val="Index"/>
      <sheetName val="11. Tax Details"/>
      <sheetName val="12. Tangible assets"/>
      <sheetName val="13. Intangible assets "/>
      <sheetName val="14. Forex"/>
      <sheetName val="15. Currency wise of FA and FL"/>
      <sheetName val="16. Fair value of FA and FL"/>
      <sheetName val="17. Contingencies &amp; commitments"/>
      <sheetName val="18. IAS 11 disclosure"/>
      <sheetName val="P&amp;L"/>
      <sheetName val="BS"/>
      <sheetName val="equity"/>
      <sheetName val="Cash Flow"/>
      <sheetName val="Notes to Accounts"/>
      <sheetName val="TB Consolidated"/>
      <sheetName val="EPL Dubai"/>
      <sheetName val="EPL Korea Division"/>
      <sheetName val="FGO corporate gurantee"/>
      <sheetName val="1B. Control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III, IV"/>
      <sheetName val="HBI,HRC&amp;CORP SUMM"/>
      <sheetName val="corp"/>
      <sheetName val="HBI NCD"/>
      <sheetName val="HBI RTL"/>
      <sheetName val="HBI WC"/>
      <sheetName val="HRC - NCD, RTL, WCDL"/>
      <sheetName val="ncd14%"/>
      <sheetName val="HBI &amp; HRC - FCL"/>
      <sheetName val="HBI &amp; HRC - FCL (2)"/>
      <sheetName val="HBI WC (2)"/>
      <sheetName val="TRIAL BAL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use 9"/>
      <sheetName val="CLause 12"/>
      <sheetName val="CLause 14"/>
      <sheetName val="CLause 14(i)"/>
      <sheetName val="CLause 14(ii)"/>
      <sheetName val="CLause 17(d)"/>
      <sheetName val="CLause 17(h)"/>
      <sheetName val="CLause 18"/>
      <sheetName val="Clause 21"/>
      <sheetName val="Clause 24"/>
      <sheetName val="CLause 27"/>
      <sheetName val="CLause 28"/>
      <sheetName val="Clause 3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Default"/>
      <sheetName val="Balance Sheet"/>
      <sheetName val="Goodwill"/>
      <sheetName val="Tangible assets"/>
      <sheetName val="Investment property"/>
      <sheetName val="Inv AFS"/>
      <sheetName val="Associate"/>
      <sheetName val="Inventories"/>
      <sheetName val="Trade and other receivables"/>
      <sheetName val="Current Asset Investments"/>
      <sheetName val="Loans"/>
      <sheetName val="Convertible loan"/>
      <sheetName val="Current Liabilities"/>
      <sheetName val="Provisions"/>
      <sheetName val="UKG BS 14"/>
      <sheetName val="UKG BS 15"/>
      <sheetName val="UKG BS 16"/>
      <sheetName val="UKG BS 17"/>
      <sheetName val="UKG BS 18"/>
      <sheetName val="UKG BS 2"/>
      <sheetName val="UKG BS 3"/>
      <sheetName val="UKG BS 5"/>
      <sheetName val="UKG BS 11"/>
      <sheetName val="UKG BS 13"/>
      <sheetName val="Scenarios"/>
      <sheetName val="Operating and Capital Scenarios"/>
      <sheetName val="Refinery"/>
      <sheetName val="FUEL &amp; LOSS"/>
      <sheetName val="Sheet2"/>
      <sheetName val="TB"/>
      <sheetName val="p&am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Params"/>
      <sheetName val="Computation"/>
      <sheetName val="BLOCK"/>
      <sheetName val="BS"/>
      <sheetName val="IE"/>
      <sheetName val="SCH A&amp;B"/>
      <sheetName val="SCH C"/>
      <sheetName val="TDS LIST"/>
      <sheetName val="Capital Accounts"/>
      <sheetName val="Drivers Salary"/>
      <sheetName val="LOAN CHART"/>
      <sheetName val="Workings (2)"/>
      <sheetName val="Workings"/>
      <sheetName val="Links"/>
      <sheetName val="Clause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Bs (2)"/>
      <sheetName val="Qrty Results"/>
      <sheetName val="QR-crores"/>
      <sheetName val="QR-Millions"/>
      <sheetName val="Cash Flow"/>
      <sheetName val="CashFlow"/>
      <sheetName val="EPS"/>
      <sheetName val="Sheet1"/>
      <sheetName val="Inter Unit"/>
      <sheetName val="Main Bs Cr"/>
      <sheetName val="for disc op"/>
      <sheetName val="Current Investments movement"/>
      <sheetName val="Segmental Report"/>
      <sheetName val="CLBS"/>
      <sheetName val="Reco"/>
      <sheetName val="Outside"/>
      <sheetName val="Main Bs"/>
      <sheetName val="ratios"/>
      <sheetName val="Master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ur-1"/>
      <sheetName val="insur-2 (closed)"/>
      <sheetName val="pa-mtly"/>
      <sheetName val="po log ssb"/>
      <sheetName val="po log ssb incl cc"/>
      <sheetName val="recon"/>
      <sheetName val="data-g"/>
      <sheetName val="graph"/>
      <sheetName val="x-rate"/>
      <sheetName val="Est. Outflows"/>
      <sheetName val="Settlements"/>
      <sheetName val="ON HOLD - PA &amp; 2.7"/>
      <sheetName val="Sheet2"/>
      <sheetName val="Input"/>
      <sheetName val="sum"/>
      <sheetName val="Sheet3 (2)"/>
      <sheetName val="a-4"/>
      <sheetName val="insur-2_(closed)"/>
      <sheetName val="po_log_ssb"/>
      <sheetName val="po_log_ssb_incl_cc"/>
      <sheetName val="Est__Outflows"/>
      <sheetName val="ON_HOLD_-_PA_&amp;_2_7"/>
      <sheetName val="FUEL_&amp;_LOSS"/>
      <sheetName val="insur-2_(closed)1"/>
      <sheetName val="po_log_ssb1"/>
      <sheetName val="po_log_ssb_incl_cc1"/>
      <sheetName val="Est__Outflows1"/>
      <sheetName val="ON_HOLD_-_PA_&amp;_2_71"/>
      <sheetName val="insur-2_(closed)2"/>
      <sheetName val="po_log_ssb2"/>
      <sheetName val="po_log_ssb_incl_cc2"/>
      <sheetName val="Est__Outflows2"/>
      <sheetName val="ON_HOLD_-_PA_&amp;_2_72"/>
      <sheetName val="insur-2_(closed)3"/>
      <sheetName val="po_log_ssb3"/>
      <sheetName val="po_log_ssb_incl_cc3"/>
      <sheetName val="Est__Outflows3"/>
      <sheetName val="ON_HOLD_-_PA_&amp;_2_73"/>
      <sheetName val="Sheet3_(2)"/>
      <sheetName val="Links"/>
      <sheetName val="1612.01AN(7) - Niep Tds Summary"/>
      <sheetName val="diff on tic &amp; po"/>
      <sheetName val="insur-2"/>
      <sheetName val="retention"/>
      <sheetName val="PO-BH"/>
      <sheetName val="77S(O)"/>
      <sheetName val="310480 as on 311207"/>
      <sheetName val="diff_on_tic_&amp;_po"/>
      <sheetName val="diff_on_tic_&amp;_po1"/>
      <sheetName val="diff_on_tic_&amp;_po2"/>
      <sheetName val="insur-2_(closed)4"/>
      <sheetName val="po_log_ssb4"/>
      <sheetName val="po_log_ssb_incl_cc4"/>
      <sheetName val="Est__Outflows4"/>
      <sheetName val="ON_HOLD_-_PA_&amp;_2_74"/>
      <sheetName val="Sheet3_(2)1"/>
      <sheetName val="diff_on_tic_&amp;_po3"/>
      <sheetName val="310480_as_on_311207"/>
      <sheetName val="1612_01AN(7)_-_Niep_Tds_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III, IV"/>
      <sheetName val="HBI,HRC&amp;CORP SUMM"/>
      <sheetName val="corp"/>
      <sheetName val="HBI NCD"/>
      <sheetName val="HBI RTL"/>
      <sheetName val="HBI WC"/>
      <sheetName val="HRC - NCD, RTL, WCDL"/>
      <sheetName val="ncd14%"/>
      <sheetName val="HBI &amp; HRC - FCL"/>
      <sheetName val="HBI &amp; HRC - FCL (2)"/>
      <sheetName val="HBI WC (2)"/>
      <sheetName val="Links"/>
      <sheetName val="Lead"/>
      <sheetName val="IBASE"/>
      <sheetName val="Sheet13-Personwise"/>
      <sheetName val="FIXAS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per"/>
      <sheetName val="QTY. PROV.LAB"/>
      <sheetName val="MTM LME "/>
      <sheetName val="Reuters &amp; Ex rate"/>
      <sheetName val="UGPIPING"/>
      <sheetName val="HBI NCD"/>
      <sheetName val="Main Bs Cr"/>
      <sheetName val="Masters"/>
      <sheetName val="Sheet2"/>
      <sheetName val="Rev Working"/>
      <sheetName val="Macro1"/>
      <sheetName val="Amortization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res Guide-1"/>
      <sheetName val="Threshold-2"/>
      <sheetName val="Analysis-3"/>
      <sheetName val="Interest-4"/>
      <sheetName val="Tickmarks"/>
      <sheetName val="Index"/>
      <sheetName val="Instructions"/>
      <sheetName val="Threshhold"/>
      <sheetName val="Ad &amp; Promo"/>
      <sheetName val="Office &amp; Gen"/>
      <sheetName val="Other Operating Exp"/>
      <sheetName val="GST Reduction"/>
      <sheetName val="DirectExp"/>
      <sheetName val="OperatingExp"/>
      <sheetName val="PyrllDeduc"/>
      <sheetName val="Interest"/>
      <sheetName val="Realised Brkg"/>
      <sheetName val="BHA#1( page 1)"/>
      <sheetName val="QTY. PROV.LAB"/>
      <sheetName val="11400&amp;11405-done"/>
      <sheetName val="PM2"/>
      <sheetName val="Reclass BS 11"/>
      <sheetName val="Reclass PL 11"/>
      <sheetName val="Assumptions"/>
      <sheetName val="RecTenCrudes"/>
      <sheetName val="Reco"/>
      <sheetName val="LOCAL RATES"/>
      <sheetName val="Macro1"/>
      <sheetName val="mancount"/>
      <sheetName val="PRESFMS"/>
      <sheetName val="Opening Balance"/>
      <sheetName val="Summary"/>
      <sheetName val="This Proj OCC"/>
      <sheetName val="stock data"/>
      <sheetName val="Rates"/>
      <sheetName val="16.IC-RP list"/>
      <sheetName val="margin."/>
      <sheetName val="VIKAR"/>
      <sheetName val="FORM-16"/>
      <sheetName val="2.1. Claimed Not Ack as debts"/>
      <sheetName val="2.2. Unitech Contingent"/>
      <sheetName val="2.4. Service Tax Contingent"/>
      <sheetName val="6. Auditor Payment"/>
      <sheetName val="7. Pauling Joint Venture"/>
      <sheetName val="8. Non Provision"/>
      <sheetName val="5. MR"/>
      <sheetName val="31. EPS"/>
      <sheetName val="13. Finance Lease"/>
      <sheetName val="18. Earnings"/>
      <sheetName val="deb"/>
      <sheetName val="IT-accruals"/>
      <sheetName val="Aseet1998"/>
      <sheetName val="Rev Working"/>
      <sheetName val="Sheet1"/>
      <sheetName val="0"/>
      <sheetName val="Company"/>
      <sheetName val="Parameter"/>
      <sheetName val="India Mapping"/>
      <sheetName val="Inc. Stat from Tral balance"/>
      <sheetName val="Reference2"/>
      <sheetName val="mdd &amp; co Fdr jan.02 "/>
      <sheetName val="m3&amp;4"/>
    </sheetNames>
    <sheetDataSet>
      <sheetData sheetId="0" refreshError="1"/>
      <sheetData sheetId="1" refreshError="1"/>
      <sheetData sheetId="2" refreshError="1"/>
      <sheetData sheetId="3" refreshError="1"/>
      <sheetData sheetId="4"/>
      <sheetData sheetId="5"/>
      <sheetData sheetId="6"/>
      <sheetData sheetId="7"/>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ummary"/>
      <sheetName val="Year_End"/>
      <sheetName val="Asset Adjustment"/>
      <sheetName val="Additions"/>
      <sheetName val="Disposals"/>
      <sheetName val="Repairs"/>
      <sheetName val="Depreciation"/>
      <sheetName val="Existence"/>
      <sheetName val="Demo Equip"/>
      <sheetName val="Tickmarks"/>
      <sheetName val="PyrllDeduc"/>
      <sheetName val="11400&amp;11405-done"/>
      <sheetName val="RecTenCrudes"/>
      <sheetName val="Reco"/>
      <sheetName val="Parameters"/>
      <sheetName val="Reclass BS 11"/>
      <sheetName val="Reclass PL 11"/>
      <sheetName val="IC-RP list"/>
      <sheetName val="sch-pl"/>
      <sheetName val="ADDN0304"/>
      <sheetName val="1612.01AL - INT AM&amp;NIEP"/>
      <sheetName val="SSL PB P&amp;L"/>
      <sheetName val="Macro1"/>
      <sheetName val="Assumptions"/>
      <sheetName val="LOCAL RATES"/>
      <sheetName val="#REF!"/>
      <sheetName val="Sheet1"/>
      <sheetName val="BS Schdl-3-Fixed Assets"/>
      <sheetName val="Lead"/>
      <sheetName val="Quota"/>
      <sheetName val="India Mapping"/>
      <sheetName val="wwww"/>
      <sheetName val="List of Rem Entries PY"/>
      <sheetName val="SUMM-09-04"/>
      <sheetName val="details"/>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1. Price-Used"/>
      <sheetName val="2. Price-New"/>
      <sheetName val="3. Price-Parts"/>
      <sheetName val="4. Obsolescence"/>
      <sheetName val="5. Sum Count Errors"/>
      <sheetName val="6. Cutoff"/>
      <sheetName val="Tickmarks"/>
      <sheetName val="Price Testing - Used - 1"/>
      <sheetName val="Price Testing - New - 2 "/>
      <sheetName val="Parts  - Price Testing- 3"/>
      <sheetName val="Summary of Part Count Errors-4"/>
      <sheetName val="Cutoff Testing-5"/>
      <sheetName val="1. Obsolescence"/>
      <sheetName val="Reconciliation"/>
      <sheetName val="Year_End"/>
      <sheetName val="Price Testing _ Used _ 1"/>
      <sheetName val="Params"/>
      <sheetName val="Assumptions"/>
      <sheetName val=".2 Reserve"/>
      <sheetName val="11400&amp;11405-done"/>
      <sheetName val="PyrllDeduc"/>
      <sheetName val="Reco"/>
      <sheetName val="QTY. PROV.LAB"/>
      <sheetName val="Input"/>
      <sheetName val="b"/>
      <sheetName val="Reclass BS 11"/>
      <sheetName val="Reclass PL 11"/>
      <sheetName val="Sheet1"/>
      <sheetName val="HBI NCD"/>
      <sheetName val="Grouped TB-2004-05"/>
      <sheetName val="Exim FCL"/>
      <sheetName val="Civil Work"/>
      <sheetName val="Codes"/>
      <sheetName val="F. assets Breakup"/>
      <sheetName val="RecTenCrudes"/>
      <sheetName val="Sheet2"/>
      <sheetName val="Lists"/>
      <sheetName val="Ageing Down payment vendor"/>
      <sheetName val="Down payment vendor"/>
      <sheetName val="Basic Details"/>
      <sheetName val="India Mapping"/>
      <sheetName val="setup"/>
      <sheetName val="Inc. Stat from Tral balance"/>
      <sheetName val="co lease rental"/>
      <sheetName val="Aladdin Macro1"/>
      <sheetName val="SUMM-09-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OW"/>
      <sheetName val="OPS_asia"/>
      <sheetName val="Production"/>
      <sheetName val="PRICE"/>
      <sheetName val="Data"/>
      <sheetName val="OPS_SIMPLIFIE"/>
      <sheetName val="CESSION"/>
      <sheetName val="ORDER"/>
      <sheetName val="income"/>
      <sheetName val="AP RA99-06"/>
      <sheetName val="HV RA99-06"/>
      <sheetName val="IN RA99-06"/>
      <sheetName val="CH RA99-06"/>
      <sheetName val="TH RA99-06"/>
      <sheetName val="HZ RA99-06"/>
      <sheetName val="Params"/>
      <sheetName val="Masters"/>
      <sheetName val="Schedule"/>
      <sheetName val="TB"/>
      <sheetName val="Rates"/>
      <sheetName val="IOPlan"/>
      <sheetName val="Consol"/>
      <sheetName val="MAPPINGS"/>
      <sheetName val="Op Plan Sales"/>
      <sheetName val="Lists"/>
      <sheetName val="IT Only"/>
      <sheetName val="Sheet1"/>
      <sheetName val="Risco-Accts"/>
      <sheetName val="Comp"/>
      <sheetName val="Payroll_Statement"/>
      <sheetName val="Total MG "/>
      <sheetName val="Annexure"/>
      <sheetName val="Trial Balance"/>
      <sheetName val="Travel Expense Report(1week)"/>
      <sheetName val="New form 3CD A"/>
      <sheetName val="Input schedule"/>
      <sheetName val="Sales &amp; Marketing Dashboard"/>
      <sheetName val="LIC"/>
      <sheetName val="PropertyList"/>
      <sheetName val="IT-accruals"/>
      <sheetName val="TPM Tot"/>
      <sheetName val="StdMarginRegQtr"/>
      <sheetName val="Sept '99"/>
      <sheetName val="Control"/>
      <sheetName val="M B-QtyRecn"/>
      <sheetName val="AP_RA99-06"/>
      <sheetName val="HV_RA99-06"/>
      <sheetName val="IN_RA99-06"/>
      <sheetName val="CH_RA99-06"/>
      <sheetName val="TH_RA99-06"/>
      <sheetName val="HZ_RA99-06"/>
      <sheetName val="Op_Plan_Sales"/>
      <sheetName val="M_B-QtyRecn"/>
      <sheetName val="RES"/>
      <sheetName val="FBT Full"/>
      <sheetName val="COA-IPCL"/>
      <sheetName val="Chart of Accounts"/>
      <sheetName val="Cash Flow.7"/>
      <sheetName val="Rollup_Summary"/>
      <sheetName val="List"/>
      <sheetName val="CRITERIA1"/>
      <sheetName val="Other notes"/>
      <sheetName val="AP_RA99-061"/>
      <sheetName val="HV_RA99-061"/>
      <sheetName val="IN_RA99-061"/>
      <sheetName val="CH_RA99-061"/>
      <sheetName val="TH_RA99-061"/>
      <sheetName val="HZ_RA99-061"/>
      <sheetName val="Total_MG_"/>
      <sheetName val="Op_Plan_Sales1"/>
      <sheetName val="IT_Only"/>
      <sheetName val="MAIN"/>
      <sheetName val="3 Yr Revenue Analysis(old)"/>
      <sheetName val="Opening Balance"/>
      <sheetName val="Jodalli-P&amp;L"/>
      <sheetName val="Graphdata"/>
      <sheetName val="Macro1"/>
      <sheetName val="Other"/>
      <sheetName val="Summary"/>
      <sheetName val="Rate_dec02"/>
      <sheetName val="Push Diag on Premise"/>
      <sheetName val="CChannel Attract Input"/>
      <sheetName val="FStratPlan"/>
      <sheetName val="未着品BALANCE"/>
      <sheetName val="POFG"/>
      <sheetName val="Price Testing - Used - 1"/>
      <sheetName val="Price_Testing_-_Used_-_11"/>
      <sheetName val="Price_Testing_-_Used_-_1"/>
      <sheetName val="consolidated Budget"/>
      <sheetName val=""/>
      <sheetName val="d"/>
      <sheetName val="5Y_v2.14"/>
      <sheetName val="BAL96-97"/>
      <sheetName val="Challan"/>
      <sheetName val="データシート"/>
      <sheetName val="Categ"/>
      <sheetName val="Amortization Table"/>
      <sheetName val="India"/>
      <sheetName val="Grouping TB"/>
      <sheetName val="working"/>
      <sheetName val="Trial_Balance"/>
      <sheetName val="Sales_&amp;_Marketing_Dashboard"/>
      <sheetName val="Input_schedule"/>
      <sheetName val="TPM_Tot"/>
      <sheetName val="Sept_'99"/>
      <sheetName val="2003"/>
      <sheetName val="Cover"/>
      <sheetName val="BS"/>
      <sheetName val=".2 Reserve"/>
      <sheetName val="Maint Def Rev 03-04"/>
      <sheetName val="New-Growth Def Rev 03-04"/>
      <sheetName val="Perpetual Def Rev 03-04"/>
      <sheetName val="Renewal Def Rev 03-04"/>
      <sheetName val="ENCL6"/>
      <sheetName val="Other_notes"/>
      <sheetName val="M_B-QtyRecn1"/>
      <sheetName val="FBT_Full"/>
      <sheetName val="Chart_of_Accounts"/>
      <sheetName val="consolidated_Budget"/>
      <sheetName val="AP_RA99-062"/>
      <sheetName val="HV_RA99-062"/>
      <sheetName val="IN_RA99-062"/>
      <sheetName val="CH_RA99-062"/>
      <sheetName val="TH_RA99-062"/>
      <sheetName val="HZ_RA99-062"/>
      <sheetName val="Op_Plan_Sales2"/>
      <sheetName val="Other_notes1"/>
      <sheetName val="M_B-QtyRecn2"/>
      <sheetName val="IT_Only1"/>
      <sheetName val="Sales_&amp;_Marketing_Dashboard1"/>
      <sheetName val="Total_MG_1"/>
      <sheetName val="Trial_Balance1"/>
      <sheetName val="Input_schedule1"/>
      <sheetName val="TPM_Tot1"/>
      <sheetName val="Sept_'991"/>
      <sheetName val="FBT_Full1"/>
      <sheetName val="Chart_of_Accounts1"/>
      <sheetName val="consolidated_Budget1"/>
      <sheetName val="AP_RA99-063"/>
      <sheetName val="HV_RA99-063"/>
      <sheetName val="IN_RA99-063"/>
      <sheetName val="CH_RA99-063"/>
      <sheetName val="TH_RA99-063"/>
      <sheetName val="HZ_RA99-063"/>
      <sheetName val="Op_Plan_Sales3"/>
      <sheetName val="Other_notes2"/>
      <sheetName val="M_B-QtyRecn3"/>
      <sheetName val="IT_Only2"/>
      <sheetName val="Sales_&amp;_Marketing_Dashboard2"/>
      <sheetName val="Total_MG_2"/>
      <sheetName val="Trial_Balance2"/>
      <sheetName val="Input_schedule2"/>
      <sheetName val="TPM_Tot2"/>
      <sheetName val="Sept_'992"/>
      <sheetName val="FBT_Full2"/>
      <sheetName val="Chart_of_Accounts2"/>
      <sheetName val="consolidated_Budget2"/>
      <sheetName val="AP_RA99-065"/>
      <sheetName val="HV_RA99-065"/>
      <sheetName val="IN_RA99-065"/>
      <sheetName val="CH_RA99-065"/>
      <sheetName val="TH_RA99-065"/>
      <sheetName val="HZ_RA99-065"/>
      <sheetName val="Op_Plan_Sales5"/>
      <sheetName val="Other_notes4"/>
      <sheetName val="M_B-QtyRecn5"/>
      <sheetName val="IT_Only4"/>
      <sheetName val="Sales_&amp;_Marketing_Dashboard4"/>
      <sheetName val="Total_MG_4"/>
      <sheetName val="Trial_Balance4"/>
      <sheetName val="Input_schedule4"/>
      <sheetName val="TPM_Tot4"/>
      <sheetName val="Sept_'994"/>
      <sheetName val="FBT_Full4"/>
      <sheetName val="Chart_of_Accounts4"/>
      <sheetName val="consolidated_Budget4"/>
      <sheetName val="5Y_v2_141"/>
      <sheetName val="Price_Testing_-_Used_-_13"/>
      <sheetName val="Push_Diag_on_Premise1"/>
      <sheetName val="CChannel_Attract_Input1"/>
      <sheetName val="Cash_Flow_71"/>
      <sheetName val="Opening_Balance1"/>
      <sheetName val="AP_RA99-064"/>
      <sheetName val="HV_RA99-064"/>
      <sheetName val="IN_RA99-064"/>
      <sheetName val="CH_RA99-064"/>
      <sheetName val="TH_RA99-064"/>
      <sheetName val="HZ_RA99-064"/>
      <sheetName val="Op_Plan_Sales4"/>
      <sheetName val="Other_notes3"/>
      <sheetName val="M_B-QtyRecn4"/>
      <sheetName val="IT_Only3"/>
      <sheetName val="Sales_&amp;_Marketing_Dashboard3"/>
      <sheetName val="Total_MG_3"/>
      <sheetName val="Trial_Balance3"/>
      <sheetName val="Input_schedule3"/>
      <sheetName val="TPM_Tot3"/>
      <sheetName val="Sept_'993"/>
      <sheetName val="FBT_Full3"/>
      <sheetName val="Chart_of_Accounts3"/>
      <sheetName val="consolidated_Budget3"/>
      <sheetName val="5Y_v2_14"/>
      <sheetName val="Price_Testing_-_Used_-_12"/>
      <sheetName val="Push_Diag_on_Premise"/>
      <sheetName val="CChannel_Attract_Input"/>
      <sheetName val="Cash_Flow_7"/>
      <sheetName val="Opening_Balance"/>
      <sheetName val="AP_RA99-067"/>
      <sheetName val="HV_RA99-067"/>
      <sheetName val="IN_RA99-067"/>
      <sheetName val="CH_RA99-067"/>
      <sheetName val="TH_RA99-067"/>
      <sheetName val="HZ_RA99-067"/>
      <sheetName val="Op_Plan_Sales7"/>
      <sheetName val="Other_notes6"/>
      <sheetName val="M_B-QtyRecn7"/>
      <sheetName val="IT_Only6"/>
      <sheetName val="Sales_&amp;_Marketing_Dashboard6"/>
      <sheetName val="Total_MG_6"/>
      <sheetName val="Trial_Balance6"/>
      <sheetName val="Input_schedule6"/>
      <sheetName val="TPM_Tot6"/>
      <sheetName val="Sept_'996"/>
      <sheetName val="FBT_Full6"/>
      <sheetName val="Chart_of_Accounts6"/>
      <sheetName val="consolidated_Budget6"/>
      <sheetName val="5Y_v2_143"/>
      <sheetName val="Price_Testing_-_Used_-_15"/>
      <sheetName val="Push_Diag_on_Premise3"/>
      <sheetName val="CChannel_Attract_Input3"/>
      <sheetName val="Cash_Flow_73"/>
      <sheetName val="Opening_Balance3"/>
      <sheetName val="AP_RA99-066"/>
      <sheetName val="HV_RA99-066"/>
      <sheetName val="IN_RA99-066"/>
      <sheetName val="CH_RA99-066"/>
      <sheetName val="TH_RA99-066"/>
      <sheetName val="HZ_RA99-066"/>
      <sheetName val="Op_Plan_Sales6"/>
      <sheetName val="Other_notes5"/>
      <sheetName val="M_B-QtyRecn6"/>
      <sheetName val="IT_Only5"/>
      <sheetName val="Sales_&amp;_Marketing_Dashboard5"/>
      <sheetName val="Total_MG_5"/>
      <sheetName val="Trial_Balance5"/>
      <sheetName val="Input_schedule5"/>
      <sheetName val="TPM_Tot5"/>
      <sheetName val="Sept_'995"/>
      <sheetName val="FBT_Full5"/>
      <sheetName val="Chart_of_Accounts5"/>
      <sheetName val="consolidated_Budget5"/>
      <sheetName val="5Y_v2_142"/>
      <sheetName val="Price_Testing_-_Used_-_14"/>
      <sheetName val="Push_Diag_on_Premise2"/>
      <sheetName val="CChannel_Attract_Input2"/>
      <sheetName val="Cash_Flow_72"/>
      <sheetName val="Opening_Balance2"/>
      <sheetName val="AP_RA99-068"/>
      <sheetName val="HV_RA99-068"/>
      <sheetName val="IN_RA99-068"/>
      <sheetName val="CH_RA99-068"/>
      <sheetName val="TH_RA99-068"/>
      <sheetName val="HZ_RA99-068"/>
      <sheetName val="Op_Plan_Sales8"/>
      <sheetName val="Other_notes7"/>
      <sheetName val="M_B-QtyRecn8"/>
      <sheetName val="IT_Only7"/>
      <sheetName val="Sales_&amp;_Marketing_Dashboard7"/>
      <sheetName val="Total_MG_7"/>
      <sheetName val="Trial_Balance7"/>
      <sheetName val="Input_schedule7"/>
      <sheetName val="TPM_Tot7"/>
      <sheetName val="Sept_'997"/>
      <sheetName val="FBT_Full7"/>
      <sheetName val="Chart_of_Accounts7"/>
      <sheetName val="consolidated_Budget7"/>
      <sheetName val="5Y_v2_144"/>
      <sheetName val="Price_Testing_-_Used_-_16"/>
      <sheetName val="Push_Diag_on_Premise4"/>
      <sheetName val="CChannel_Attract_Input4"/>
      <sheetName val="Cash_Flow_74"/>
      <sheetName val="Opening_Balance4"/>
      <sheetName val="AP_RA99-069"/>
      <sheetName val="HV_RA99-069"/>
      <sheetName val="IN_RA99-069"/>
      <sheetName val="CH_RA99-069"/>
      <sheetName val="TH_RA99-069"/>
      <sheetName val="HZ_RA99-069"/>
      <sheetName val="Op_Plan_Sales9"/>
      <sheetName val="Other_notes8"/>
      <sheetName val="M_B-QtyRecn9"/>
      <sheetName val="IT_Only8"/>
      <sheetName val="Sales_&amp;_Marketing_Dashboard8"/>
      <sheetName val="Total_MG_8"/>
      <sheetName val="Trial_Balance8"/>
      <sheetName val="Input_schedule8"/>
      <sheetName val="TPM_Tot8"/>
      <sheetName val="Sept_'998"/>
      <sheetName val="FBT_Full8"/>
      <sheetName val="Chart_of_Accounts8"/>
      <sheetName val="consolidated_Budget8"/>
      <sheetName val="5Y_v2_145"/>
      <sheetName val="Price_Testing_-_Used_-_17"/>
      <sheetName val="Push_Diag_on_Premise5"/>
      <sheetName val="CChannel_Attract_Input5"/>
      <sheetName val="Cash_Flow_75"/>
      <sheetName val="Opening_Balance5"/>
      <sheetName val="AP_RA99-0610"/>
      <sheetName val="HV_RA99-0610"/>
      <sheetName val="IN_RA99-0610"/>
      <sheetName val="CH_RA99-0610"/>
      <sheetName val="TH_RA99-0610"/>
      <sheetName val="HZ_RA99-0610"/>
      <sheetName val="Op_Plan_Sales10"/>
      <sheetName val="Other_notes9"/>
      <sheetName val="M_B-QtyRecn10"/>
      <sheetName val="IT_Only9"/>
      <sheetName val="Sales_&amp;_Marketing_Dashboard9"/>
      <sheetName val="Total_MG_9"/>
      <sheetName val="Trial_Balance9"/>
      <sheetName val="Input_schedule9"/>
      <sheetName val="TPM_Tot9"/>
      <sheetName val="Sept_'999"/>
      <sheetName val="FBT_Full9"/>
      <sheetName val="Chart_of_Accounts9"/>
      <sheetName val="consolidated_Budget9"/>
      <sheetName val="5Y_v2_146"/>
      <sheetName val="Price_Testing_-_Used_-_18"/>
      <sheetName val="Push_Diag_on_Premise6"/>
      <sheetName val="CChannel_Attract_Input6"/>
      <sheetName val="Cash_Flow_76"/>
      <sheetName val="Opening_Balance6"/>
      <sheetName val="Consolidated"/>
      <sheetName val="FINAL SHEET"/>
      <sheetName val="Main-Material"/>
      <sheetName val="IS"/>
      <sheetName val="May 09"/>
      <sheetName val="AP_RA99-0611"/>
      <sheetName val="HV_RA99-0611"/>
      <sheetName val="IN_RA99-0611"/>
      <sheetName val="CH_RA99-0611"/>
      <sheetName val="TH_RA99-0611"/>
      <sheetName val="HZ_RA99-0611"/>
      <sheetName val="Op_Plan_Sales11"/>
      <sheetName val="Other_notes10"/>
      <sheetName val="M_B-QtyRecn11"/>
      <sheetName val="IT_Only10"/>
      <sheetName val="Sales_&amp;_Marketing_Dashboard10"/>
      <sheetName val="Total_MG_10"/>
      <sheetName val="Trial_Balance10"/>
      <sheetName val="Input_schedule10"/>
      <sheetName val="TPM_Tot10"/>
      <sheetName val="Sept_'9910"/>
      <sheetName val="FBT_Full10"/>
      <sheetName val="Chart_of_Accounts10"/>
      <sheetName val="consolidated_Budget10"/>
      <sheetName val="5Y_v2_147"/>
      <sheetName val="Price_Testing_-_Used_-_19"/>
      <sheetName val="Push_Diag_on_Premise7"/>
      <sheetName val="CChannel_Attract_Input7"/>
      <sheetName val="Cash_Flow_77"/>
      <sheetName val="Opening_Balance7"/>
      <sheetName val="BAL0301"/>
      <sheetName val="All Data"/>
      <sheetName val="EXPENSES"/>
      <sheetName val="Notes"/>
      <sheetName val="Cash Flows"/>
      <sheetName val="Val &amp; Multp"/>
      <sheetName val="Options"/>
      <sheetName val="Heating Div"/>
      <sheetName val="All other Div's"/>
      <sheetName val="CoCapital"/>
      <sheetName val="EPS"/>
      <sheetName val="Mult"/>
      <sheetName val="Synergies"/>
      <sheetName val="Mkt Mult"/>
      <sheetName val="Trans Mult"/>
      <sheetName val="Module1"/>
      <sheetName val="AP_RA99-0612"/>
      <sheetName val="HV_RA99-0612"/>
      <sheetName val="IN_RA99-0612"/>
      <sheetName val="CH_RA99-0612"/>
      <sheetName val="TH_RA99-0612"/>
      <sheetName val="HZ_RA99-0612"/>
      <sheetName val="Op_Plan_Sales12"/>
      <sheetName val="Other_notes11"/>
      <sheetName val="M_B-QtyRecn12"/>
      <sheetName val="IT_Only11"/>
      <sheetName val="Sales_&amp;_Marketing_Dashboard11"/>
      <sheetName val="Total_MG_11"/>
      <sheetName val="Trial_Balance11"/>
      <sheetName val="Input_schedule11"/>
      <sheetName val="TPM_Tot11"/>
      <sheetName val="Sept_'9911"/>
      <sheetName val="FBT_Full11"/>
      <sheetName val="Chart_of_Accounts11"/>
      <sheetName val="consolidated_Budget11"/>
      <sheetName val="5Y_v2_148"/>
      <sheetName val="Price_Testing_-_Used_-_110"/>
      <sheetName val="Push_Diag_on_Premise8"/>
      <sheetName val="CChannel_Attract_Input8"/>
      <sheetName val="Cash_Flow_78"/>
      <sheetName val="Opening_Balance8"/>
      <sheetName val="Rev"/>
      <sheetName val="riola don't know 9-26-99"/>
      <sheetName val="Results"/>
      <sheetName val="Spiltrates-Latest"/>
      <sheetName val="Assum"/>
      <sheetName val="VARFCST"/>
      <sheetName val="List_ratios"/>
      <sheetName val="exp-m"/>
      <sheetName val="Page1"/>
      <sheetName val="MPCP9899"/>
      <sheetName val="B0_111350"/>
      <sheetName val="A"/>
      <sheetName val="Listings 96-02"/>
      <sheetName val="SAP - Rightpak"/>
      <sheetName val="Excess Calc"/>
      <sheetName val="Fx Rates"/>
      <sheetName val="Links"/>
      <sheetName val="NLD - Assum"/>
      <sheetName val="Sales &amp;Sale Cost"/>
      <sheetName val="PAP"/>
      <sheetName val="Keyratios"/>
      <sheetName val="Facility"/>
      <sheetName val="P L"/>
      <sheetName val="Res_Area"/>
      <sheetName val="Reference"/>
      <sheetName val="Balancesheet"/>
      <sheetName val="61750000 Consultancy Charges"/>
      <sheetName val="YTD"/>
      <sheetName val="Labour &amp; Plant"/>
      <sheetName val="Annexure B"/>
      <sheetName val="Intro"/>
      <sheetName val="Staff"/>
      <sheetName val="1 - A (Narrative)"/>
      <sheetName val="IT_FBT_DDTP"/>
      <sheetName val="Input Screen"/>
      <sheetName val="Cash Flow-WSL Base Fcst"/>
      <sheetName val="TB Round"/>
      <sheetName val="12.04.09"/>
      <sheetName val="MORE-MAR'2002"/>
      <sheetName val="SCHE-MARCH'2002"/>
      <sheetName val="Inputs"/>
      <sheetName val="mdd &amp; co Fdr jan.02 "/>
      <sheetName val="SCH-A"/>
      <sheetName val="AR JAN'02"/>
      <sheetName val="98ordbkg"/>
      <sheetName val="Power Cost sheet"/>
      <sheetName val="Steam Cost Sheet"/>
      <sheetName val="P&amp;L February"/>
      <sheetName val="P&amp;L Feb 2001 cumulative"/>
      <sheetName val="COLUMN"/>
      <sheetName val="MR08' Cost Manag"/>
      <sheetName val="Wavg RM"/>
      <sheetName val="COV"/>
      <sheetName val="Aseet1998"/>
      <sheetName val="PARTY DETAILS"/>
      <sheetName val="Power"/>
      <sheetName val="mar rep rev"/>
      <sheetName val="CF SALE.W.OFF 01-02"/>
      <sheetName val="stock data"/>
      <sheetName val="Turnover"/>
      <sheetName val="Sheet2"/>
      <sheetName val="sept-plan"/>
      <sheetName val="PREFACE"/>
      <sheetName val="12-19-00"/>
      <sheetName val="Rec"/>
      <sheetName val="Occ, Other Rev, Exp, Dispo"/>
      <sheetName val="P1 RM"/>
      <sheetName val="5-F-PAR"/>
      <sheetName val="LEGAL GUJ"/>
      <sheetName val="May_09"/>
      <sheetName val="3_Yr_Revenue_Analysis(old)"/>
      <sheetName val="Amortization_Table"/>
      <sheetName val="riola_don't_know_9-26-99"/>
      <sheetName val="New_form_3CD_A"/>
      <sheetName val="All_Data"/>
      <sheetName val="1_-_A_(Narrative)"/>
      <sheetName val="P_L"/>
      <sheetName val="MR08'_Cost_Manag"/>
      <sheetName val="Wavg_RM"/>
      <sheetName val="FINAL_SHEET"/>
      <sheetName val="12_04_09"/>
      <sheetName val="Travel_Expense_Report(1week)"/>
      <sheetName val="NLD_-_Assum"/>
      <sheetName val="PARTY_DETAILS"/>
      <sheetName val="mar_rep_rev"/>
      <sheetName val="CF_SALE_W_OFF_01-02"/>
      <sheetName val="stock_data"/>
      <sheetName val="P&amp;L_February"/>
      <sheetName val="P&amp;L_Feb_2001_cumulative"/>
      <sheetName val="Balance Sheet "/>
      <sheetName val="P&amp;L Summary Page"/>
      <sheetName val="Payslip"/>
      <sheetName val="Axis Bank Cheques"/>
      <sheetName val="Master Sheet"/>
      <sheetName val="RESULTS-BLR-BB"/>
      <sheetName val="TARGET"/>
      <sheetName val="Debtors Ageing"/>
      <sheetName val="PLAN-BLR-BB"/>
      <sheetName val="RESULTS-REALTY"/>
      <sheetName val="SME"/>
      <sheetName val="Project Resource Details"/>
      <sheetName val="Assets"/>
      <sheetName val="Region"/>
      <sheetName val="WO-List"/>
      <sheetName val="K-Summary"/>
      <sheetName val="RF2004_vs_OB2004"/>
      <sheetName val="BST"/>
      <sheetName val="Validation"/>
      <sheetName val="Detail"/>
      <sheetName val="_2_Reserve1"/>
      <sheetName val="Maint_Def_Rev_03-041"/>
      <sheetName val="New-Growth_Def_Rev_03-041"/>
      <sheetName val="Perpetual_Def_Rev_03-041"/>
      <sheetName val="Renewal_Def_Rev_03-041"/>
      <sheetName val="New_form_3CD_A1"/>
      <sheetName val="_2_Reserve"/>
      <sheetName val="Maint_Def_Rev_03-04"/>
      <sheetName val="New-Growth_Def_Rev_03-04"/>
      <sheetName val="Perpetual_Def_Rev_03-04"/>
      <sheetName val="Renewal_Def_Rev_03-04"/>
      <sheetName val="FinMajestic"/>
      <sheetName val="PTRANGE"/>
      <sheetName val="Mktg"/>
      <sheetName val="Inflation"/>
      <sheetName val="deb"/>
      <sheetName val="AnnexIII"/>
      <sheetName val="Base Info"/>
      <sheetName val="RCC,Ret. Wall"/>
      <sheetName val="ValuationInput"/>
      <sheetName val="DebtInput"/>
      <sheetName val="Storage"/>
      <sheetName val="Valuation"/>
      <sheetName val="LCGRAPH"/>
      <sheetName val="BS "/>
      <sheetName val="IIL Payroll"/>
      <sheetName val="Nomenclature"/>
      <sheetName val="License Area"/>
      <sheetName val="Dec"/>
      <sheetName val="экспорт"/>
      <sheetName val="csp9597"/>
      <sheetName val="Please do not USE or DELETE"/>
      <sheetName val="Cheops BS"/>
      <sheetName val="TAXPRO"/>
      <sheetName val="Year 2003-04 Plan"/>
      <sheetName val="Lic Rev Account Lookup Table"/>
      <sheetName val="PopCache"/>
      <sheetName val="Setup"/>
      <sheetName val="Tools Rev"/>
      <sheetName val="PV"/>
      <sheetName val="M.G.P-2010"/>
      <sheetName val="Locked cell"/>
      <sheetName val="Listings_96-02"/>
      <sheetName val="mdd_&amp;_co_Fdr_jan_02_"/>
      <sheetName val="Project_Resource_Details"/>
      <sheetName val="Balance_Sheet_"/>
      <sheetName val="P&amp;L_Summary_Page"/>
      <sheetName val="Axis_Bank_Cheques"/>
      <sheetName val="Master_Sheet"/>
      <sheetName val="Debtors_Ageing"/>
      <sheetName val="Excess_Calc"/>
      <sheetName val="M_G_P-2010"/>
      <sheetName val="SAP_-_Rightpak"/>
      <sheetName val="Cash_Flows"/>
      <sheetName val="Val_&amp;_Multp"/>
      <sheetName val="Heating_Div"/>
      <sheetName val="All_other_Div's"/>
      <sheetName val="Mkt_Mult"/>
      <sheetName val="Trans_Mult"/>
      <sheetName val="Base Data"/>
      <sheetName val="Resources"/>
      <sheetName val="QTY. PROV.LAB"/>
      <sheetName val="Revenue"/>
      <sheetName val="Tables"/>
      <sheetName val="#REF"/>
      <sheetName val="Model"/>
      <sheetName val="PL"/>
      <sheetName val="Sch-PL"/>
      <sheetName val="Sch-FA"/>
      <sheetName val="RUPEE"/>
      <sheetName val="Resource Type"/>
      <sheetName val="LAMINATION-NORDMECCANICA"/>
      <sheetName val="JE"/>
      <sheetName val="Détails plans d'actions"/>
      <sheetName val="AP_RA99-0613"/>
      <sheetName val="HV_RA99-0613"/>
      <sheetName val="IN_RA99-0613"/>
      <sheetName val="CH_RA99-0613"/>
      <sheetName val="TH_RA99-0613"/>
      <sheetName val="HZ_RA99-0613"/>
      <sheetName val="Op_Plan_Sales13"/>
      <sheetName val="Other_notes12"/>
      <sheetName val="M_B-QtyRecn13"/>
      <sheetName val="IT_Only12"/>
      <sheetName val="Sales_&amp;_Marketing_Dashboard12"/>
      <sheetName val="Total_MG_12"/>
      <sheetName val="Trial_Balance12"/>
      <sheetName val="Input_schedule12"/>
      <sheetName val="TPM_Tot12"/>
      <sheetName val="Sept_'9912"/>
      <sheetName val="FBT_Full12"/>
      <sheetName val="Chart_of_Accounts12"/>
      <sheetName val="consolidated_Budget12"/>
      <sheetName val="5Y_v2_149"/>
      <sheetName val="Price_Testing_-_Used_-_111"/>
      <sheetName val="Push_Diag_on_Premise9"/>
      <sheetName val="CChannel_Attract_Input9"/>
      <sheetName val="Cash_Flow_79"/>
      <sheetName val="Opening_Balance9"/>
      <sheetName val="BKCSTOCKVAL"/>
      <sheetName val="MAHSTOCKVAL"/>
      <sheetName val="目录"/>
      <sheetName val="Debraj Sinha"/>
      <sheetName val="Parameter"/>
      <sheetName val="CABLE DATA"/>
      <sheetName val="LINK GAP"/>
      <sheetName val="CLP_Value_Driver (14) Dec Old"/>
      <sheetName val="May_091"/>
      <sheetName val="3_Yr_Revenue_Analysis(old)1"/>
      <sheetName val="Amortization_Table1"/>
      <sheetName val="riola_don't_know_9-26-991"/>
      <sheetName val="Listings_96-021"/>
      <sheetName val="All_Data1"/>
      <sheetName val="P_L1"/>
      <sheetName val="mdd_&amp;_co_Fdr_jan_02_1"/>
      <sheetName val="Project_Resource_Details1"/>
      <sheetName val="Balance_Sheet_1"/>
      <sheetName val="P&amp;L_Summary_Page1"/>
      <sheetName val="Axis_Bank_Cheques1"/>
      <sheetName val="Master_Sheet1"/>
      <sheetName val="12_04_091"/>
      <sheetName val="Debtors_Ageing1"/>
      <sheetName val="Excess_Calc1"/>
      <sheetName val="M_G_P-20101"/>
      <sheetName val="SAP_-_Rightpak1"/>
      <sheetName val="Cash_Flows1"/>
      <sheetName val="Val_&amp;_Multp1"/>
      <sheetName val="Heating_Div1"/>
      <sheetName val="All_other_Div's1"/>
      <sheetName val="Mkt_Mult1"/>
      <sheetName val="Trans_Mult1"/>
      <sheetName val="1_-_A_(Narrative)1"/>
      <sheetName val="May_092"/>
      <sheetName val="3_Yr_Revenue_Analysis(old)2"/>
      <sheetName val="Amortization_Table2"/>
      <sheetName val="New_form_3CD_A2"/>
      <sheetName val="riola_don't_know_9-26-992"/>
      <sheetName val="_2_Reserve2"/>
      <sheetName val="Listings_96-022"/>
      <sheetName val="All_Data2"/>
      <sheetName val="P_L2"/>
      <sheetName val="mdd_&amp;_co_Fdr_jan_02_2"/>
      <sheetName val="Project_Resource_Details2"/>
      <sheetName val="Balance_Sheet_2"/>
      <sheetName val="P&amp;L_Summary_Page2"/>
      <sheetName val="Axis_Bank_Cheques2"/>
      <sheetName val="Master_Sheet2"/>
      <sheetName val="12_04_092"/>
      <sheetName val="Debtors_Ageing2"/>
      <sheetName val="Excess_Calc2"/>
      <sheetName val="M_G_P-20102"/>
      <sheetName val="SAP_-_Rightpak2"/>
      <sheetName val="Cash_Flows2"/>
      <sheetName val="Val_&amp;_Multp2"/>
      <sheetName val="Heating_Div2"/>
      <sheetName val="All_other_Div's2"/>
      <sheetName val="Mkt_Mult2"/>
      <sheetName val="Trans_Mult2"/>
      <sheetName val="Maint_Def_Rev_03-042"/>
      <sheetName val="New-Growth_Def_Rev_03-042"/>
      <sheetName val="Perpetual_Def_Rev_03-042"/>
      <sheetName val="Renewal_Def_Rev_03-042"/>
      <sheetName val="1_-_A_(Narrative)2"/>
      <sheetName val="AR_JAN'02"/>
      <sheetName val="Locked_cell"/>
      <sheetName val="Base_Data"/>
      <sheetName val="Guide"/>
      <sheetName val="Consolidate Trial Dec 06"/>
      <sheetName val="Transaction Inputs"/>
      <sheetName val="36&quot;"/>
      <sheetName val="MB51"/>
      <sheetName val="GI 02"/>
      <sheetName val="PARAM (TLI Info)"/>
      <sheetName val="Horus B08"/>
      <sheetName val="Horus F07"/>
      <sheetName val="Invest"/>
      <sheetName val="1612.01AL - INT AM&amp;NIEP"/>
      <sheetName val="Rising Main"/>
      <sheetName val="RECAPITULATION"/>
      <sheetName val="Civil Boq"/>
      <sheetName val="Rev sum"/>
      <sheetName val="PM (F)"/>
      <sheetName val="details"/>
      <sheetName val="Master"/>
      <sheetName val="Register"/>
      <sheetName val="Reclass BS 11"/>
      <sheetName val="Reclass PL 11"/>
      <sheetName val="Financials"/>
      <sheetName val="hmax_2"/>
      <sheetName val="C-21(b)"/>
      <sheetName val="AS21SchE - 9M0708"/>
      <sheetName val="P&amp;L_February1"/>
      <sheetName val="P&amp;L_Feb_2001_cumulative1"/>
      <sheetName val="mar_rep_rev1"/>
      <sheetName val="CF_SALE_W_OFF_01-021"/>
      <sheetName val="stock_data1"/>
      <sheetName val="CLP_Value_Driver_(14)_Dec_Old"/>
      <sheetName val="NLD_-_Assum1"/>
      <sheetName val="MR08'_Cost_Manag1"/>
      <sheetName val="Travel_Expense_Report(1week)1"/>
      <sheetName val="FINAL_SHEET1"/>
      <sheetName val="Wavg_RM1"/>
      <sheetName val="PARTY_DETAILS1"/>
      <sheetName val="AS21SchE_-_9M0708"/>
      <sheetName val="Occ,_Other_Rev,_Exp,_Dispo"/>
      <sheetName val="P1_RM"/>
      <sheetName val="LEGAL_GUJ"/>
      <sheetName val="61750000_Consultancy_Charges"/>
      <sheetName val="Labour_&amp;_Plant"/>
      <sheetName val="Annexure_B"/>
      <sheetName val="Input_Screen"/>
      <sheetName val="Grouping_TB"/>
      <sheetName val="Base_Info"/>
      <sheetName val="RCC,Ret__Wall"/>
      <sheetName val="Cash_Flow-WSL_Base_Fcst"/>
      <sheetName val="TB_Round"/>
      <sheetName val="Sales_&amp;Sale_Cost"/>
      <sheetName val="AP_RA99-0614"/>
      <sheetName val="HV_RA99-0614"/>
      <sheetName val="IN_RA99-0614"/>
      <sheetName val="CH_RA99-0614"/>
      <sheetName val="TH_RA99-0614"/>
      <sheetName val="HZ_RA99-0614"/>
      <sheetName val="Total_MG_13"/>
      <sheetName val="Op_Plan_Sales14"/>
      <sheetName val="IT_Only13"/>
      <sheetName val="Other_notes13"/>
      <sheetName val="Sales_&amp;_Marketing_Dashboard13"/>
      <sheetName val="TPM_Tot13"/>
      <sheetName val="Sept_'9913"/>
      <sheetName val="Trial_Balance13"/>
      <sheetName val="Input_schedule13"/>
      <sheetName val="M_B-QtyRecn14"/>
      <sheetName val="FBT_Full13"/>
      <sheetName val="Push_Diag_on_Premise10"/>
      <sheetName val="CChannel_Attract_Input10"/>
      <sheetName val="Chart_of_Accounts13"/>
      <sheetName val="Cash_Flow_710"/>
      <sheetName val="Opening_Balance10"/>
      <sheetName val="Price_Testing_-_Used_-_112"/>
      <sheetName val="5Y_v2_1410"/>
      <sheetName val="consolidated_Budget13"/>
      <sheetName val="New_form_3CD_A3"/>
      <sheetName val="P&amp;L_February2"/>
      <sheetName val="P&amp;L_Feb_2001_cumulative2"/>
      <sheetName val="AR_JAN'021"/>
      <sheetName val="NLD_-_Assum2"/>
      <sheetName val="MR08'_Cost_Manag2"/>
      <sheetName val="mar_rep_rev2"/>
      <sheetName val="CF_SALE_W_OFF_01-022"/>
      <sheetName val="stock_data2"/>
      <sheetName val="CLP_Value_Driver_(14)_Dec_Old1"/>
      <sheetName val="_2_Reserve3"/>
      <sheetName val="Maint_Def_Rev_03-043"/>
      <sheetName val="New-Growth_Def_Rev_03-043"/>
      <sheetName val="Perpetual_Def_Rev_03-043"/>
      <sheetName val="Renewal_Def_Rev_03-043"/>
      <sheetName val="Travel_Expense_Report(1week)2"/>
      <sheetName val="FINAL_SHEET2"/>
      <sheetName val="Wavg_RM2"/>
      <sheetName val="PARTY_DETAILS2"/>
      <sheetName val="AS21SchE_-_9M07081"/>
      <sheetName val="Occ,_Other_Rev,_Exp,_Dispo1"/>
      <sheetName val="P1_RM1"/>
      <sheetName val="LEGAL_GUJ1"/>
      <sheetName val="61750000_Consultancy_Charges1"/>
      <sheetName val="Labour_&amp;_Plant1"/>
      <sheetName val="Annexure_B1"/>
      <sheetName val="Input_Screen1"/>
      <sheetName val="Grouping_TB1"/>
      <sheetName val="Base_Info1"/>
      <sheetName val="RCC,Ret__Wall1"/>
      <sheetName val="Cash_Flow-WSL_Base_Fcst1"/>
      <sheetName val="TB_Round1"/>
      <sheetName val="Sales_&amp;Sale_Cost1"/>
      <sheetName val="Please_do_not_USE_or_DELETE"/>
      <sheetName val="M00100"/>
      <sheetName val="STAFFSCHED "/>
      <sheetName val="Reports List"/>
      <sheetName val="Query Results ALL"/>
      <sheetName val="BS-203"/>
      <sheetName val="BSPL"/>
      <sheetName val="Rayala"/>
      <sheetName val="OpTrack"/>
      <sheetName val="PropertyPreop-Budget"/>
      <sheetName val="stat C (2)"/>
      <sheetName val="Bal Sheet"/>
      <sheetName val="Lead"/>
      <sheetName val="AR_PL"/>
      <sheetName val="Info on Rupee Cost"/>
      <sheetName val="concrete"/>
      <sheetName val="Project Info"/>
      <sheetName val="1.2 HDFC Collection"/>
      <sheetName val="PopCache_Sheet1"/>
      <sheetName val="Consolidation _Rs"/>
      <sheetName val="Lookups"/>
      <sheetName val="P&amp;L"/>
      <sheetName val="SCH-A,B,C"/>
      <sheetName val="UK"/>
      <sheetName val="FORM-16"/>
      <sheetName val="11400&amp;11405-done"/>
      <sheetName val="TB-HK"/>
      <sheetName val="Non-Statistical Sampling Master"/>
      <sheetName val="Two Step Revenue Testing Master"/>
      <sheetName val="Global Data"/>
      <sheetName val="Employees"/>
      <sheetName val="U1.6"/>
      <sheetName val="LPERDAS"/>
      <sheetName val="Setup Variables"/>
      <sheetName val="Ipotesi"/>
      <sheetName val="OCCUR"/>
      <sheetName val="ANALYSIS(PACKING)"/>
      <sheetName val="TBPY"/>
      <sheetName val="TBCY"/>
      <sheetName val="SALES-BD"/>
      <sheetName val="sent to HO"/>
      <sheetName val="Addition Ist &amp; IInd Half"/>
      <sheetName val="SysNavigation"/>
      <sheetName val="Amb - Working"/>
      <sheetName val="Assumptions"/>
      <sheetName val="501frgmar"/>
      <sheetName val="Consumos"/>
      <sheetName val="line 운영안"/>
      <sheetName val="Dim_New"/>
      <sheetName val="PBCLIST"/>
      <sheetName val="May_093"/>
      <sheetName val="3_Yr_Revenue_Analysis(old)3"/>
      <sheetName val="Amortization_Table3"/>
      <sheetName val="riola_don't_know_9-26-993"/>
      <sheetName val="Listings_96-023"/>
      <sheetName val="All_Data3"/>
      <sheetName val="P_L3"/>
      <sheetName val="mdd_&amp;_co_Fdr_jan_02_3"/>
      <sheetName val="Project_Resource_Details3"/>
      <sheetName val="Balance_Sheet_3"/>
      <sheetName val="P&amp;L_Summary_Page3"/>
      <sheetName val="Axis_Bank_Cheques3"/>
      <sheetName val="Master_Sheet3"/>
      <sheetName val="12_04_093"/>
      <sheetName val="Debtors_Ageing3"/>
      <sheetName val="Excess_Calc3"/>
      <sheetName val="M_G_P-20103"/>
      <sheetName val="SAP_-_Rightpak3"/>
      <sheetName val="Cash_Flows3"/>
      <sheetName val="Val_&amp;_Multp3"/>
      <sheetName val="Heating_Div3"/>
      <sheetName val="All_other_Div's3"/>
      <sheetName val="Mkt_Mult3"/>
      <sheetName val="Trans_Mult3"/>
      <sheetName val="1_-_A_(Narrative)3"/>
      <sheetName val="Locked_cell1"/>
      <sheetName val="Base_Data1"/>
      <sheetName val="Q1_Bookings_-_Pers_-_Attainment"/>
      <sheetName val="Q1 Bookings - Pers - Attainment"/>
      <sheetName val="XLR_NoRangeSheet"/>
      <sheetName val="DATABASE"/>
      <sheetName val="Balance sheet"/>
      <sheetName val="LEAVEREC"/>
      <sheetName val="ORIGINAL"/>
      <sheetName val="EXPLOT AGUA PVC"/>
      <sheetName val="Asset_Data"/>
      <sheetName val="ADVTAX"/>
      <sheetName val="List Box"/>
      <sheetName val="Classification"/>
      <sheetName val="Sheet"/>
      <sheetName val="CAPEX'00"/>
      <sheetName val="HCCE01"/>
      <sheetName val="QTY-00-01 (2)"/>
      <sheetName val="E"/>
      <sheetName val="PLFM01"/>
      <sheetName val="NSWSAGasElec_Jan"/>
      <sheetName val="OriginXsell_jan11"/>
      <sheetName val="Sub-Cont Rev"/>
      <sheetName val="Sheet0"/>
      <sheetName val="(1)-PROFIT SUM."/>
      <sheetName val="recast tb - mar'11"/>
      <sheetName val="ALL"/>
      <sheetName val="telephone deposits written off"/>
      <sheetName val="Redelvery provision changed"/>
      <sheetName val="sum"/>
      <sheetName val="DET0900"/>
      <sheetName val="Presentation"/>
      <sheetName val="prg"/>
      <sheetName val="Clause16(b) PF"/>
      <sheetName val="Ann.VI.2"/>
      <sheetName val="Boq"/>
      <sheetName val="Information"/>
      <sheetName val="Forex Loss"/>
      <sheetName val="Detail Data"/>
      <sheetName val="PRICE (2)"/>
      <sheetName val="comet cur act"/>
      <sheetName val="Quantity"/>
      <sheetName val="KP_List"/>
      <sheetName val="Trial Bal"/>
      <sheetName val="STAFF "/>
      <sheetName val="Macro2"/>
      <sheetName val="Parameters"/>
      <sheetName val="Main Bs Cr"/>
      <sheetName val="Japan Reco"/>
      <sheetName val="TRIALBALANCE"/>
      <sheetName val="Sheet3"/>
      <sheetName val="Transaction_Inputs"/>
      <sheetName val="Verification "/>
      <sheetName val="F.Assets"/>
      <sheetName val="F_Assets"/>
      <sheetName val="15"/>
      <sheetName val="AP_RA99-0615"/>
      <sheetName val="HV_RA99-0615"/>
      <sheetName val="IN_RA99-0615"/>
      <sheetName val="CH_RA99-0615"/>
      <sheetName val="TH_RA99-0615"/>
      <sheetName val="HZ_RA99-0615"/>
      <sheetName val="Trial_Balance14"/>
      <sheetName val="Total_MG_14"/>
      <sheetName val="Op_Plan_Sales15"/>
      <sheetName val="IT_Only14"/>
      <sheetName val="May_094"/>
      <sheetName val="Price_Testing_-_Used_-_113"/>
      <sheetName val="M_B-QtyRecn15"/>
      <sheetName val="Input_schedule14"/>
      <sheetName val="Sales_&amp;_Marketing_Dashboard14"/>
      <sheetName val="TPM_Tot14"/>
      <sheetName val="Sept_'9914"/>
      <sheetName val="Chart_of_Accounts14"/>
      <sheetName val="Opening_Balance11"/>
      <sheetName val="3_Yr_Revenue_Analysis(old)4"/>
      <sheetName val="Cash_Flow_711"/>
      <sheetName val="FBT_Full14"/>
      <sheetName val="Other_notes14"/>
      <sheetName val="consolidated_Budget14"/>
      <sheetName val="Push_Diag_on_Premise11"/>
      <sheetName val="CChannel_Attract_Input11"/>
      <sheetName val="Amortization_Table4"/>
      <sheetName val="New_form_3CD_A4"/>
      <sheetName val="riola_don't_know_9-26-994"/>
      <sheetName val="_2_Reserve4"/>
      <sheetName val="Listings_96-024"/>
      <sheetName val="5Y_v2_1411"/>
      <sheetName val="All_Data4"/>
      <sheetName val="P_L4"/>
      <sheetName val="mdd_&amp;_co_Fdr_jan_02_4"/>
      <sheetName val="Project_Resource_Details4"/>
      <sheetName val="Balance_Sheet_4"/>
      <sheetName val="P&amp;L_Summary_Page4"/>
      <sheetName val="Axis_Bank_Cheques4"/>
      <sheetName val="Master_Sheet4"/>
      <sheetName val="12_04_094"/>
      <sheetName val="Debtors_Ageing4"/>
      <sheetName val="Excess_Calc4"/>
      <sheetName val="M_G_P-20104"/>
      <sheetName val="SAP_-_Rightpak4"/>
      <sheetName val="Cash_Flows4"/>
      <sheetName val="Val_&amp;_Multp4"/>
      <sheetName val="Heating_Div4"/>
      <sheetName val="All_other_Div's4"/>
      <sheetName val="Mkt_Mult4"/>
      <sheetName val="Trans_Mult4"/>
      <sheetName val="Maint_Def_Rev_03-044"/>
      <sheetName val="New-Growth_Def_Rev_03-044"/>
      <sheetName val="Perpetual_Def_Rev_03-044"/>
      <sheetName val="Renewal_Def_Rev_03-044"/>
      <sheetName val="1_-_A_(Narrative)4"/>
      <sheetName val="AR_JAN'022"/>
      <sheetName val="Locked_cell2"/>
      <sheetName val="Base_Data2"/>
      <sheetName val="BS face"/>
      <sheetName val="BS Notes"/>
      <sheetName val="PL face"/>
      <sheetName val="PL Notes"/>
      <sheetName val="CFS"/>
      <sheetName val="Grouping"/>
      <sheetName val="Fixed Assets"/>
      <sheetName val="Deferred tax"/>
      <sheetName val="MAT"/>
      <sheetName val="gp"/>
      <sheetName val="GP Ratio"/>
      <sheetName val="Input -B_Sheet"/>
      <sheetName val="Desgn(zone I)"/>
      <sheetName val="Sheet3 (2)"/>
      <sheetName val="Reports_List1"/>
      <sheetName val="Setup_Variables1"/>
      <sheetName val="Reports_List"/>
      <sheetName val="Setup_Variables"/>
      <sheetName val="Grouping_TB2"/>
      <sheetName val="Reports_List2"/>
      <sheetName val="Setup_Variables2"/>
      <sheetName val="Travel_Expense_Report(1week)3"/>
      <sheetName val="Grouping_TB3"/>
      <sheetName val="Reports_List3"/>
      <sheetName val="Setup_Variables3"/>
      <sheetName val="MR08'_Cost_Manag3"/>
      <sheetName val="Wavg_RM3"/>
      <sheetName val="General Information"/>
      <sheetName val="IIL_Payroll"/>
      <sheetName val="IIL_Payroll1"/>
      <sheetName val="Payment Register"/>
      <sheetName val="LOCAL RATES"/>
      <sheetName val="deductee details"/>
      <sheetName val="sept ytd"/>
      <sheetName val="cost centers"/>
      <sheetName val="Settings"/>
      <sheetName val="OC5-Push Diag"/>
      <sheetName val="Franchise Input"/>
      <sheetName val="BS01"/>
      <sheetName val="FINAL 2003"/>
      <sheetName val="Operating Statistics"/>
      <sheetName val="Select"/>
      <sheetName val="NLD_-_Assum3"/>
      <sheetName val="FINAL_SHEET3"/>
      <sheetName val="1_2_HDFC_Collection"/>
      <sheetName val="Fx_Rates"/>
      <sheetName val="AS21SchE_-_9M07082"/>
      <sheetName val="Consolidation__Rs"/>
      <sheetName val="Power_Cost_sheet"/>
      <sheetName val="Steam_Cost_Sheet"/>
      <sheetName val="Query_Results_ALL"/>
      <sheetName val="Year_2003-04_Plan1"/>
      <sheetName val="Lic_Rev_Account_Lookup_Table1"/>
      <sheetName val="Input_Screen2"/>
      <sheetName val="PARTY_DETAILS3"/>
      <sheetName val="mar_rep_rev3"/>
      <sheetName val="CF_SALE_W_OFF_01-023"/>
      <sheetName val="stock_data3"/>
      <sheetName val="P&amp;L_February3"/>
      <sheetName val="P&amp;L_Feb_2001_cumulative3"/>
      <sheetName val="Forex_Loss"/>
      <sheetName val="Cheops_BS"/>
      <sheetName val="Please_do_not_USE_or_DELETE1"/>
      <sheetName val="Détails_plans_d'actions"/>
      <sheetName val="Debraj_Sinha"/>
      <sheetName val="STAFFSCHED_"/>
      <sheetName val="Reclass_BS_11"/>
      <sheetName val="Reclass_PL_11"/>
      <sheetName val="QTY__PROV_LAB"/>
      <sheetName val="Base_Info2"/>
      <sheetName val="RCC,Ret__Wall2"/>
      <sheetName val="CLP_Value_Driver_(14)_Dec_Old2"/>
      <sheetName val="Info_on_Rupee_Cost"/>
      <sheetName val="Tools_Rev"/>
      <sheetName val="stat_C_(2)"/>
      <sheetName val="Bal_Sheet"/>
      <sheetName val="Cash_Flow-WSL_Base_Fcst2"/>
      <sheetName val="TB_Round2"/>
      <sheetName val="Sales_&amp;Sale_Cost2"/>
      <sheetName val="CABLE_DATA"/>
      <sheetName val="LINK_GAP"/>
      <sheetName val="License_Area"/>
      <sheetName val="Project_Info"/>
      <sheetName val="Non-Statistical_Sampling_Master"/>
      <sheetName val="Two_Step_Revenue_Testing_Master"/>
      <sheetName val="Global_Data"/>
      <sheetName val="Resource_Type"/>
      <sheetName val="PM_(F)"/>
      <sheetName val="BS_"/>
      <sheetName val="Occ,_Other_Rev,_Exp,_Dispo2"/>
      <sheetName val="P1_RM2"/>
      <sheetName val="LEGAL_GUJ2"/>
      <sheetName val="61750000_Consultancy_Charges2"/>
      <sheetName val="Labour_&amp;_Plant2"/>
      <sheetName val="Annexure_B2"/>
      <sheetName val="Year_2003-04_Plan"/>
      <sheetName val="Lic_Rev_Account_Lookup_Table"/>
      <sheetName val="AP_RA99-0617"/>
      <sheetName val="HV_RA99-0617"/>
      <sheetName val="IN_RA99-0617"/>
      <sheetName val="CH_RA99-0617"/>
      <sheetName val="TH_RA99-0617"/>
      <sheetName val="HZ_RA99-0617"/>
      <sheetName val="Trial_Balance16"/>
      <sheetName val="Total_MG_16"/>
      <sheetName val="Op_Plan_Sales17"/>
      <sheetName val="IT_Only16"/>
      <sheetName val="May_096"/>
      <sheetName val="Price_Testing_-_Used_-_115"/>
      <sheetName val="Chart_of_Accounts16"/>
      <sheetName val="M_B-QtyRecn17"/>
      <sheetName val="Input_schedule16"/>
      <sheetName val="Sales_&amp;_Marketing_Dashboard16"/>
      <sheetName val="TPM_Tot16"/>
      <sheetName val="Sept_'9916"/>
      <sheetName val="Opening_Balance13"/>
      <sheetName val="3_Yr_Revenue_Analysis(old)6"/>
      <sheetName val="Cash_Flow_713"/>
      <sheetName val="FBT_Full16"/>
      <sheetName val="Other_notes16"/>
      <sheetName val="consolidated_Budget16"/>
      <sheetName val="Push_Diag_on_Premise13"/>
      <sheetName val="CChannel_Attract_Input13"/>
      <sheetName val="Amortization_Table6"/>
      <sheetName val="New_form_3CD_A6"/>
      <sheetName val="riola_don't_know_9-26-996"/>
      <sheetName val="Listings_96-026"/>
      <sheetName val="_2_Reserve6"/>
      <sheetName val="SAP_-_Rightpak6"/>
      <sheetName val="All_Data6"/>
      <sheetName val="5Y_v2_1413"/>
      <sheetName val="Excess_Calc6"/>
      <sheetName val="Cash_Flows6"/>
      <sheetName val="Val_&amp;_Multp6"/>
      <sheetName val="Heating_Div6"/>
      <sheetName val="All_other_Div's6"/>
      <sheetName val="Mkt_Mult6"/>
      <sheetName val="Trans_Mult6"/>
      <sheetName val="Maint_Def_Rev_03-046"/>
      <sheetName val="New-Growth_Def_Rev_03-046"/>
      <sheetName val="Perpetual_Def_Rev_03-046"/>
      <sheetName val="Renewal_Def_Rev_03-046"/>
      <sheetName val="mdd_&amp;_co_Fdr_jan_02_6"/>
      <sheetName val="1_-_A_(Narrative)6"/>
      <sheetName val="P_L6"/>
      <sheetName val="Project_Resource_Details6"/>
      <sheetName val="Balance_Sheet_6"/>
      <sheetName val="P&amp;L_Summary_Page6"/>
      <sheetName val="Axis_Bank_Cheques6"/>
      <sheetName val="Master_Sheet6"/>
      <sheetName val="12_04_096"/>
      <sheetName val="Debtors_Ageing6"/>
      <sheetName val="M_G_P-20106"/>
      <sheetName val="P&amp;L_February4"/>
      <sheetName val="P&amp;L_Feb_2001_cumulative4"/>
      <sheetName val="AR_JAN'024"/>
      <sheetName val="NLD_-_Assum4"/>
      <sheetName val="Locked_cell4"/>
      <sheetName val="PARTY_DETAILS4"/>
      <sheetName val="FINAL_SHEET4"/>
      <sheetName val="Base_Data4"/>
      <sheetName val="Power_Cost_sheet1"/>
      <sheetName val="Steam_Cost_Sheet1"/>
      <sheetName val="Transaction_Inputs2"/>
      <sheetName val="Q1_Bookings_-_Pers_-_Attainmen2"/>
      <sheetName val="Verification_1"/>
      <sheetName val="F_Assets2"/>
      <sheetName val="Resource_Type1"/>
      <sheetName val="QTY__PROV_LAB1"/>
      <sheetName val="1_2_HDFC_Collection1"/>
      <sheetName val="Fx_Rates1"/>
      <sheetName val="Consolidation__Rs1"/>
      <sheetName val="Query_Results_ALL1"/>
      <sheetName val="Tools_Rev1"/>
      <sheetName val="Cheops_BS1"/>
      <sheetName val="STAFFSCHED_1"/>
      <sheetName val="Info_on_Rupee_Cost1"/>
      <sheetName val="stat_C_(2)1"/>
      <sheetName val="Bal_Sheet1"/>
      <sheetName val="Non-Statistical_Sampling_Maste1"/>
      <sheetName val="Two_Step_Revenue_Testing_Maste1"/>
      <sheetName val="Global_Data1"/>
      <sheetName val="Project_Info1"/>
      <sheetName val="Détails_plans_d'actions1"/>
      <sheetName val="Debraj_Sinha1"/>
      <sheetName val="License_Area1"/>
      <sheetName val="AP_RA99-0616"/>
      <sheetName val="HV_RA99-0616"/>
      <sheetName val="IN_RA99-0616"/>
      <sheetName val="CH_RA99-0616"/>
      <sheetName val="TH_RA99-0616"/>
      <sheetName val="HZ_RA99-0616"/>
      <sheetName val="Trial_Balance15"/>
      <sheetName val="Total_MG_15"/>
      <sheetName val="Op_Plan_Sales16"/>
      <sheetName val="IT_Only15"/>
      <sheetName val="May_095"/>
      <sheetName val="Price_Testing_-_Used_-_114"/>
      <sheetName val="Chart_of_Accounts15"/>
      <sheetName val="M_B-QtyRecn16"/>
      <sheetName val="Input_schedule15"/>
      <sheetName val="Sales_&amp;_Marketing_Dashboard15"/>
      <sheetName val="TPM_Tot15"/>
      <sheetName val="Sept_'9915"/>
      <sheetName val="Opening_Balance12"/>
      <sheetName val="3_Yr_Revenue_Analysis(old)5"/>
      <sheetName val="Cash_Flow_712"/>
      <sheetName val="FBT_Full15"/>
      <sheetName val="Other_notes15"/>
      <sheetName val="consolidated_Budget15"/>
      <sheetName val="Push_Diag_on_Premise12"/>
      <sheetName val="CChannel_Attract_Input12"/>
      <sheetName val="Amortization_Table5"/>
      <sheetName val="New_form_3CD_A5"/>
      <sheetName val="riola_don't_know_9-26-995"/>
      <sheetName val="Listings_96-025"/>
      <sheetName val="_2_Reserve5"/>
      <sheetName val="SAP_-_Rightpak5"/>
      <sheetName val="All_Data5"/>
      <sheetName val="5Y_v2_1412"/>
      <sheetName val="Excess_Calc5"/>
      <sheetName val="Cash_Flows5"/>
      <sheetName val="Val_&amp;_Multp5"/>
      <sheetName val="Heating_Div5"/>
      <sheetName val="All_other_Div's5"/>
      <sheetName val="Mkt_Mult5"/>
      <sheetName val="Trans_Mult5"/>
      <sheetName val="Maint_Def_Rev_03-045"/>
      <sheetName val="New-Growth_Def_Rev_03-045"/>
      <sheetName val="Perpetual_Def_Rev_03-045"/>
      <sheetName val="Renewal_Def_Rev_03-045"/>
      <sheetName val="mdd_&amp;_co_Fdr_jan_02_5"/>
      <sheetName val="1_-_A_(Narrative)5"/>
      <sheetName val="P_L5"/>
      <sheetName val="Project_Resource_Details5"/>
      <sheetName val="Balance_Sheet_5"/>
      <sheetName val="P&amp;L_Summary_Page5"/>
      <sheetName val="Axis_Bank_Cheques5"/>
      <sheetName val="Master_Sheet5"/>
      <sheetName val="12_04_095"/>
      <sheetName val="Debtors_Ageing5"/>
      <sheetName val="M_G_P-20105"/>
      <sheetName val="AR_JAN'023"/>
      <sheetName val="Locked_cell3"/>
      <sheetName val="Base_Data3"/>
      <sheetName val="Transaction_Inputs1"/>
      <sheetName val="Q1_Bookings_-_Pers_-_Attainmen1"/>
      <sheetName val="Verification_"/>
      <sheetName val="F_Assets1"/>
      <sheetName val="AP_RA99-0618"/>
      <sheetName val="HV_RA99-0618"/>
      <sheetName val="IN_RA99-0618"/>
      <sheetName val="CH_RA99-0618"/>
      <sheetName val="TH_RA99-0618"/>
      <sheetName val="HZ_RA99-0618"/>
      <sheetName val="Trial_Balance17"/>
      <sheetName val="Total_MG_17"/>
      <sheetName val="Op_Plan_Sales18"/>
      <sheetName val="IT_Only17"/>
      <sheetName val="May_097"/>
      <sheetName val="Price_Testing_-_Used_-_116"/>
      <sheetName val="Chart_of_Accounts17"/>
      <sheetName val="M_B-QtyRecn18"/>
      <sheetName val="Input_schedule17"/>
      <sheetName val="Sales_&amp;_Marketing_Dashboard17"/>
      <sheetName val="TPM_Tot17"/>
      <sheetName val="Sept_'9917"/>
      <sheetName val="Opening_Balance14"/>
      <sheetName val="3_Yr_Revenue_Analysis(old)7"/>
      <sheetName val="Cash_Flow_714"/>
      <sheetName val="FBT_Full17"/>
      <sheetName val="Other_notes17"/>
      <sheetName val="consolidated_Budget17"/>
      <sheetName val="Push_Diag_on_Premise14"/>
      <sheetName val="CChannel_Attract_Input14"/>
      <sheetName val="Amortization_Table7"/>
      <sheetName val="New_form_3CD_A7"/>
      <sheetName val="riola_don't_know_9-26-997"/>
      <sheetName val="Listings_96-027"/>
      <sheetName val="_2_Reserve7"/>
      <sheetName val="SAP_-_Rightpak7"/>
      <sheetName val="All_Data7"/>
      <sheetName val="5Y_v2_1414"/>
      <sheetName val="Excess_Calc7"/>
      <sheetName val="Cash_Flows7"/>
      <sheetName val="Val_&amp;_Multp7"/>
      <sheetName val="Heating_Div7"/>
      <sheetName val="All_other_Div's7"/>
      <sheetName val="Mkt_Mult7"/>
      <sheetName val="Trans_Mult7"/>
      <sheetName val="Maint_Def_Rev_03-047"/>
      <sheetName val="New-Growth_Def_Rev_03-047"/>
      <sheetName val="Perpetual_Def_Rev_03-047"/>
      <sheetName val="Renewal_Def_Rev_03-047"/>
      <sheetName val="mdd_&amp;_co_Fdr_jan_02_7"/>
      <sheetName val="1_-_A_(Narrative)7"/>
      <sheetName val="P_L7"/>
      <sheetName val="Project_Resource_Details7"/>
      <sheetName val="Balance_Sheet_7"/>
      <sheetName val="P&amp;L_Summary_Page7"/>
      <sheetName val="Axis_Bank_Cheques7"/>
      <sheetName val="Master_Sheet7"/>
      <sheetName val="12_04_097"/>
      <sheetName val="Debtors_Ageing7"/>
      <sheetName val="M_G_P-20107"/>
      <sheetName val="P&amp;L_February5"/>
      <sheetName val="P&amp;L_Feb_2001_cumulative5"/>
      <sheetName val="AR_JAN'025"/>
      <sheetName val="NLD_-_Assum5"/>
      <sheetName val="Locked_cell5"/>
      <sheetName val="PARTY_DETAILS5"/>
      <sheetName val="FINAL_SHEET5"/>
      <sheetName val="Base_Data5"/>
      <sheetName val="Transaction_Inputs3"/>
      <sheetName val="Q1_Bookings_-_Pers_-_Attainmen3"/>
      <sheetName val="Verification_2"/>
      <sheetName val="F_Assets3"/>
      <sheetName val="Please_do_not_USE_or_DELETE2"/>
      <sheetName val="Resource_Type2"/>
      <sheetName val="Year_2003-04_Plan2"/>
      <sheetName val="Lic_Rev_Account_Lookup_Table2"/>
      <sheetName val="QTY__PROV_LAB2"/>
      <sheetName val="1_2_HDFC_Collection2"/>
      <sheetName val="Fx_Rates2"/>
      <sheetName val="Consolidation__Rs2"/>
      <sheetName val="Power_Cost_sheet2"/>
      <sheetName val="Steam_Cost_Sheet2"/>
      <sheetName val="Query_Results_ALL2"/>
      <sheetName val="Tools_Rev2"/>
      <sheetName val="Cheops_BS2"/>
      <sheetName val="STAFFSCHED_2"/>
      <sheetName val="Info_on_Rupee_Cost2"/>
      <sheetName val="stat_C_(2)2"/>
      <sheetName val="Bal_Sheet2"/>
      <sheetName val="Non-Statistical_Sampling_Maste2"/>
      <sheetName val="Two_Step_Revenue_Testing_Maste2"/>
      <sheetName val="Global_Data2"/>
      <sheetName val="Project_Info2"/>
      <sheetName val="Détails_plans_d'actions2"/>
      <sheetName val="Debraj_Sinha2"/>
      <sheetName val="IIL_Payroll2"/>
      <sheetName val="License_Area2"/>
      <sheetName val="AP_RA99-0619"/>
      <sheetName val="HV_RA99-0619"/>
      <sheetName val="IN_RA99-0619"/>
      <sheetName val="CH_RA99-0619"/>
      <sheetName val="TH_RA99-0619"/>
      <sheetName val="HZ_RA99-0619"/>
      <sheetName val="Trial_Balance18"/>
      <sheetName val="Total_MG_18"/>
      <sheetName val="Op_Plan_Sales19"/>
      <sheetName val="IT_Only18"/>
      <sheetName val="May_098"/>
      <sheetName val="Price_Testing_-_Used_-_117"/>
      <sheetName val="Chart_of_Accounts18"/>
      <sheetName val="M_B-QtyRecn19"/>
      <sheetName val="Input_schedule18"/>
      <sheetName val="Sales_&amp;_Marketing_Dashboard18"/>
      <sheetName val="TPM_Tot18"/>
      <sheetName val="Sept_'9918"/>
      <sheetName val="Opening_Balance15"/>
      <sheetName val="3_Yr_Revenue_Analysis(old)8"/>
      <sheetName val="Cash_Flow_715"/>
      <sheetName val="FBT_Full18"/>
      <sheetName val="Other_notes18"/>
      <sheetName val="consolidated_Budget18"/>
      <sheetName val="Push_Diag_on_Premise15"/>
      <sheetName val="CChannel_Attract_Input15"/>
      <sheetName val="Amortization_Table8"/>
      <sheetName val="New_form_3CD_A8"/>
      <sheetName val="riola_don't_know_9-26-998"/>
      <sheetName val="Listings_96-028"/>
      <sheetName val="_2_Reserve8"/>
      <sheetName val="SAP_-_Rightpak8"/>
      <sheetName val="All_Data8"/>
      <sheetName val="5Y_v2_1415"/>
      <sheetName val="Excess_Calc8"/>
      <sheetName val="Cash_Flows8"/>
      <sheetName val="Val_&amp;_Multp8"/>
      <sheetName val="Heating_Div8"/>
      <sheetName val="All_other_Div's8"/>
      <sheetName val="Mkt_Mult8"/>
      <sheetName val="Trans_Mult8"/>
      <sheetName val="Maint_Def_Rev_03-048"/>
      <sheetName val="New-Growth_Def_Rev_03-048"/>
      <sheetName val="Perpetual_Def_Rev_03-048"/>
      <sheetName val="Renewal_Def_Rev_03-048"/>
      <sheetName val="mdd_&amp;_co_Fdr_jan_02_8"/>
      <sheetName val="1_-_A_(Narrative)8"/>
      <sheetName val="P_L8"/>
      <sheetName val="Project_Resource_Details8"/>
      <sheetName val="Balance_Sheet_8"/>
      <sheetName val="P&amp;L_Summary_Page8"/>
      <sheetName val="Axis_Bank_Cheques8"/>
      <sheetName val="Master_Sheet8"/>
      <sheetName val="12_04_098"/>
      <sheetName val="Debtors_Ageing8"/>
      <sheetName val="M_G_P-20108"/>
      <sheetName val="P&amp;L_February6"/>
      <sheetName val="P&amp;L_Feb_2001_cumulative6"/>
      <sheetName val="AR_JAN'026"/>
      <sheetName val="NLD_-_Assum6"/>
      <sheetName val="Locked_cell6"/>
      <sheetName val="PARTY_DETAILS6"/>
      <sheetName val="FINAL_SHEET6"/>
      <sheetName val="Base_Data6"/>
      <sheetName val="Transaction_Inputs4"/>
      <sheetName val="Q1_Bookings_-_Pers_-_Attainmen4"/>
      <sheetName val="Verification_3"/>
      <sheetName val="F_Assets4"/>
      <sheetName val="Please_do_not_USE_or_DELETE3"/>
      <sheetName val="Base_Info3"/>
      <sheetName val="RCC,Ret__Wall3"/>
      <sheetName val="Resource_Type3"/>
      <sheetName val="Year_2003-04_Plan3"/>
      <sheetName val="Lic_Rev_Account_Lookup_Table3"/>
      <sheetName val="Input_Screen3"/>
      <sheetName val="QTY__PROV_LAB3"/>
      <sheetName val="1_2_HDFC_Collection3"/>
      <sheetName val="Fx_Rates3"/>
      <sheetName val="AS21SchE_-_9M07083"/>
      <sheetName val="Consolidation__Rs3"/>
      <sheetName val="Power_Cost_sheet3"/>
      <sheetName val="Steam_Cost_Sheet3"/>
      <sheetName val="Query_Results_ALL3"/>
      <sheetName val="TB_Round3"/>
      <sheetName val="Sales_&amp;Sale_Cost3"/>
      <sheetName val="Cash_Flow-WSL_Base_Fcst3"/>
      <sheetName val="Tools_Rev3"/>
      <sheetName val="Cheops_BS3"/>
      <sheetName val="STAFFSCHED_3"/>
      <sheetName val="Info_on_Rupee_Cost3"/>
      <sheetName val="stat_C_(2)3"/>
      <sheetName val="Bal_Sheet3"/>
      <sheetName val="Non-Statistical_Sampling_Maste3"/>
      <sheetName val="Two_Step_Revenue_Testing_Maste3"/>
      <sheetName val="Global_Data3"/>
      <sheetName val="Project_Info3"/>
      <sheetName val="Détails_plans_d'actions3"/>
      <sheetName val="Debraj_Sinha3"/>
      <sheetName val="Occ,_Other_Rev,_Exp,_Dispo3"/>
      <sheetName val="P1_RM3"/>
      <sheetName val="LEGAL_GUJ3"/>
      <sheetName val="IIL_Payroll3"/>
      <sheetName val="License_Area3"/>
      <sheetName val="AP_RA99-0620"/>
      <sheetName val="HV_RA99-0620"/>
      <sheetName val="IN_RA99-0620"/>
      <sheetName val="CH_RA99-0620"/>
      <sheetName val="TH_RA99-0620"/>
      <sheetName val="HZ_RA99-0620"/>
      <sheetName val="Trial_Balance19"/>
      <sheetName val="Total_MG_19"/>
      <sheetName val="Op_Plan_Sales20"/>
      <sheetName val="IT_Only19"/>
      <sheetName val="May_099"/>
      <sheetName val="Price_Testing_-_Used_-_118"/>
      <sheetName val="Chart_of_Accounts19"/>
      <sheetName val="M_B-QtyRecn20"/>
      <sheetName val="Input_schedule19"/>
      <sheetName val="Sales_&amp;_Marketing_Dashboard19"/>
      <sheetName val="TPM_Tot19"/>
      <sheetName val="Sept_'9919"/>
      <sheetName val="Opening_Balance16"/>
      <sheetName val="3_Yr_Revenue_Analysis(old)9"/>
      <sheetName val="Cash_Flow_716"/>
      <sheetName val="FBT_Full19"/>
      <sheetName val="Other_notes19"/>
      <sheetName val="Push_Diag_on_Premise16"/>
      <sheetName val="CChannel_Attract_Input16"/>
      <sheetName val="consolidated_Budget19"/>
      <sheetName val="Amortization_Table9"/>
      <sheetName val="New_form_3CD_A9"/>
      <sheetName val="riola_don't_know_9-26-999"/>
      <sheetName val="_2_Reserve9"/>
      <sheetName val="Listings_96-029"/>
      <sheetName val="5Y_v2_1416"/>
      <sheetName val="All_Data9"/>
      <sheetName val="P_L9"/>
      <sheetName val="mdd_&amp;_co_Fdr_jan_02_9"/>
      <sheetName val="Project_Resource_Details9"/>
      <sheetName val="Balance_Sheet_9"/>
      <sheetName val="P&amp;L_Summary_Page9"/>
      <sheetName val="Axis_Bank_Cheques9"/>
      <sheetName val="Master_Sheet9"/>
      <sheetName val="12_04_099"/>
      <sheetName val="Debtors_Ageing9"/>
      <sheetName val="Excess_Calc9"/>
      <sheetName val="M_G_P-20109"/>
      <sheetName val="P&amp;L_February7"/>
      <sheetName val="P&amp;L_Feb_2001_cumulative7"/>
      <sheetName val="AR_JAN'027"/>
      <sheetName val="NLD_-_Assum7"/>
      <sheetName val="1_-_A_(Narrative)9"/>
      <sheetName val="Cash_Flows9"/>
      <sheetName val="Val_&amp;_Multp9"/>
      <sheetName val="Heating_Div9"/>
      <sheetName val="All_other_Div's9"/>
      <sheetName val="Mkt_Mult9"/>
      <sheetName val="Trans_Mult9"/>
      <sheetName val="Locked_cell7"/>
      <sheetName val="SAP_-_Rightpak9"/>
      <sheetName val="Maint_Def_Rev_03-049"/>
      <sheetName val="New-Growth_Def_Rev_03-049"/>
      <sheetName val="Perpetual_Def_Rev_03-049"/>
      <sheetName val="Renewal_Def_Rev_03-049"/>
      <sheetName val="FINAL_SHEET7"/>
      <sheetName val="Base_Data7"/>
      <sheetName val="PARTY_DETAILS7"/>
      <sheetName val="Transaction_Inputs5"/>
      <sheetName val="Q1_Bookings_-_Pers_-_Attainmen5"/>
      <sheetName val="Verification_4"/>
      <sheetName val="F_Assets5"/>
      <sheetName val="Please_do_not_USE_or_DELETE4"/>
      <sheetName val="Grouping_TB4"/>
      <sheetName val="Travel_Expense_Report(1week)4"/>
      <sheetName val="Base_Info4"/>
      <sheetName val="RCC,Ret__Wall4"/>
      <sheetName val="MR08'_Cost_Manag4"/>
      <sheetName val="Wavg_RM4"/>
      <sheetName val="Resource_Type4"/>
      <sheetName val="Year_2003-04_Plan4"/>
      <sheetName val="Lic_Rev_Account_Lookup_Table4"/>
      <sheetName val="Input_Screen4"/>
      <sheetName val="QTY__PROV_LAB4"/>
      <sheetName val="1_2_HDFC_Collection4"/>
      <sheetName val="Fx_Rates4"/>
      <sheetName val="AS21SchE_-_9M07084"/>
      <sheetName val="Consolidation__Rs4"/>
      <sheetName val="Power_Cost_sheet4"/>
      <sheetName val="Steam_Cost_Sheet4"/>
      <sheetName val="Query_Results_ALL4"/>
      <sheetName val="TB_Round4"/>
      <sheetName val="Sales_&amp;Sale_Cost4"/>
      <sheetName val="Cash_Flow-WSL_Base_Fcst4"/>
      <sheetName val="mar_rep_rev4"/>
      <sheetName val="CF_SALE_W_OFF_01-024"/>
      <sheetName val="stock_data4"/>
      <sheetName val="Tools_Rev4"/>
      <sheetName val="Cheops_BS4"/>
      <sheetName val="STAFFSCHED_4"/>
      <sheetName val="Info_on_Rupee_Cost4"/>
      <sheetName val="stat_C_(2)4"/>
      <sheetName val="Bal_Sheet4"/>
      <sheetName val="Non-Statistical_Sampling_Maste4"/>
      <sheetName val="Two_Step_Revenue_Testing_Maste4"/>
      <sheetName val="Global_Data4"/>
      <sheetName val="Project_Info4"/>
      <sheetName val="Détails_plans_d'actions4"/>
      <sheetName val="Debraj_Sinha4"/>
      <sheetName val="Occ,_Other_Rev,_Exp,_Dispo4"/>
      <sheetName val="P1_RM4"/>
      <sheetName val="LEGAL_GUJ4"/>
      <sheetName val="IIL_Payroll4"/>
      <sheetName val="License_Area4"/>
      <sheetName val="AP_RA99-0621"/>
      <sheetName val="HV_RA99-0621"/>
      <sheetName val="IN_RA99-0621"/>
      <sheetName val="CH_RA99-0621"/>
      <sheetName val="TH_RA99-0621"/>
      <sheetName val="HZ_RA99-0621"/>
      <sheetName val="Trial_Balance20"/>
      <sheetName val="Total_MG_20"/>
      <sheetName val="Op_Plan_Sales21"/>
      <sheetName val="IT_Only20"/>
      <sheetName val="May_0910"/>
      <sheetName val="Price_Testing_-_Used_-_119"/>
      <sheetName val="Chart_of_Accounts20"/>
      <sheetName val="M_B-QtyRecn21"/>
      <sheetName val="Input_schedule20"/>
      <sheetName val="Sales_&amp;_Marketing_Dashboard20"/>
      <sheetName val="TPM_Tot20"/>
      <sheetName val="Sept_'9920"/>
      <sheetName val="Opening_Balance17"/>
      <sheetName val="3_Yr_Revenue_Analysis(old)10"/>
      <sheetName val="Cash_Flow_717"/>
      <sheetName val="FBT_Full20"/>
      <sheetName val="Other_notes20"/>
      <sheetName val="Push_Diag_on_Premise17"/>
      <sheetName val="CChannel_Attract_Input17"/>
      <sheetName val="consolidated_Budget20"/>
      <sheetName val="Amortization_Table10"/>
      <sheetName val="New_form_3CD_A10"/>
      <sheetName val="riola_don't_know_9-26-9910"/>
      <sheetName val="_2_Reserve10"/>
      <sheetName val="Listings_96-0210"/>
      <sheetName val="5Y_v2_1417"/>
      <sheetName val="All_Data10"/>
      <sheetName val="P_L10"/>
      <sheetName val="mdd_&amp;_co_Fdr_jan_02_10"/>
      <sheetName val="Project_Resource_Details10"/>
      <sheetName val="Balance_Sheet_10"/>
      <sheetName val="P&amp;L_Summary_Page10"/>
      <sheetName val="Axis_Bank_Cheques10"/>
      <sheetName val="Master_Sheet10"/>
      <sheetName val="12_04_0910"/>
      <sheetName val="Debtors_Ageing10"/>
      <sheetName val="Excess_Calc10"/>
      <sheetName val="M_G_P-201010"/>
      <sheetName val="P&amp;L_February8"/>
      <sheetName val="P&amp;L_Feb_2001_cumulative8"/>
      <sheetName val="AR_JAN'028"/>
      <sheetName val="NLD_-_Assum8"/>
      <sheetName val="1_-_A_(Narrative)10"/>
      <sheetName val="Cash_Flows10"/>
      <sheetName val="Val_&amp;_Multp10"/>
      <sheetName val="Heating_Div10"/>
      <sheetName val="All_other_Div's10"/>
      <sheetName val="Mkt_Mult10"/>
      <sheetName val="Trans_Mult10"/>
      <sheetName val="Locked_cell8"/>
      <sheetName val="SAP_-_Rightpak10"/>
      <sheetName val="Maint_Def_Rev_03-0410"/>
      <sheetName val="New-Growth_Def_Rev_03-0410"/>
      <sheetName val="Perpetual_Def_Rev_03-0410"/>
      <sheetName val="Renewal_Def_Rev_03-0410"/>
      <sheetName val="FINAL_SHEET8"/>
      <sheetName val="Base_Data8"/>
      <sheetName val="PARTY_DETAILS8"/>
      <sheetName val="Transaction_Inputs6"/>
      <sheetName val="Q1_Bookings_-_Pers_-_Attainmen6"/>
      <sheetName val="Verification_5"/>
      <sheetName val="F_Assets6"/>
      <sheetName val="Please_do_not_USE_or_DELETE5"/>
      <sheetName val="Grouping_TB5"/>
      <sheetName val="Travel_Expense_Report(1week)5"/>
      <sheetName val="Base_Info5"/>
      <sheetName val="RCC,Ret__Wall5"/>
      <sheetName val="MR08'_Cost_Manag5"/>
      <sheetName val="Wavg_RM5"/>
      <sheetName val="Resource_Type5"/>
      <sheetName val="Year_2003-04_Plan5"/>
      <sheetName val="Lic_Rev_Account_Lookup_Table5"/>
      <sheetName val="Input_Screen5"/>
      <sheetName val="QTY__PROV_LAB5"/>
      <sheetName val="1_2_HDFC_Collection5"/>
      <sheetName val="Fx_Rates5"/>
      <sheetName val="AS21SchE_-_9M07085"/>
      <sheetName val="Consolidation__Rs5"/>
      <sheetName val="Power_Cost_sheet5"/>
      <sheetName val="Steam_Cost_Sheet5"/>
      <sheetName val="Query_Results_ALL5"/>
      <sheetName val="TB_Round5"/>
      <sheetName val="Sales_&amp;Sale_Cost5"/>
      <sheetName val="Cash_Flow-WSL_Base_Fcst5"/>
      <sheetName val="mar_rep_rev5"/>
      <sheetName val="CF_SALE_W_OFF_01-025"/>
      <sheetName val="stock_data5"/>
      <sheetName val="Tools_Rev5"/>
      <sheetName val="Cheops_BS5"/>
      <sheetName val="STAFFSCHED_5"/>
      <sheetName val="Info_on_Rupee_Cost5"/>
      <sheetName val="stat_C_(2)5"/>
      <sheetName val="Bal_Sheet5"/>
      <sheetName val="Non-Statistical_Sampling_Maste5"/>
      <sheetName val="Two_Step_Revenue_Testing_Maste5"/>
      <sheetName val="Global_Data5"/>
      <sheetName val="Project_Info5"/>
      <sheetName val="Détails_plans_d'actions5"/>
      <sheetName val="Debraj_Sinha5"/>
      <sheetName val="Occ,_Other_Rev,_Exp,_Dispo5"/>
      <sheetName val="P1_RM5"/>
      <sheetName val="LEGAL_GUJ5"/>
      <sheetName val="IIL_Payroll5"/>
      <sheetName val="License_Area5"/>
      <sheetName val="Output"/>
      <sheetName val="Cost assmpts"/>
      <sheetName val="(1)-PROFIT_SUM_"/>
      <sheetName val="Consolidate_Trial_Dec_06"/>
      <sheetName val="StatutoryApprovals"/>
      <sheetName val="Valeur"/>
      <sheetName val="p &amp;l stpwise"/>
      <sheetName val="Stores"/>
      <sheetName val="Financial Information"/>
      <sheetName val="Inventory Count Sheet "/>
      <sheetName val="유통망계획"/>
      <sheetName val="PAPER"/>
      <sheetName val="Cash Flow"/>
      <sheetName val="43b"/>
      <sheetName val="SCHD_WR"/>
      <sheetName val="CJAN"/>
      <sheetName val="Rising_Main"/>
      <sheetName val="Civil_Boq"/>
      <sheetName val="RAW MATERIAL"/>
      <sheetName val="RateTable"/>
      <sheetName val="Zielperiode"/>
      <sheetName val="comet_cur_act"/>
      <sheetName val="U-4_Investments &amp; FD"/>
      <sheetName val="entitlements"/>
      <sheetName val="Staatenbeispiel"/>
      <sheetName val="WORKINGS"/>
      <sheetName val="Assmp"/>
      <sheetName val="Seide Customer wise "/>
      <sheetName val="SignificantAcctsTemplate"/>
      <sheetName val="Configure"/>
      <sheetName val="CABLE_DATA3"/>
      <sheetName val="LINK_GAP3"/>
      <sheetName val="CLP_Value_Driver_(14)_Dec_Old3"/>
      <sheetName val="Consolidate_Trial_Dec_063"/>
      <sheetName val="Rising_Main3"/>
      <sheetName val="Civil_Boq3"/>
      <sheetName val="CABLE_DATA1"/>
      <sheetName val="LINK_GAP1"/>
      <sheetName val="Consolidate_Trial_Dec_061"/>
      <sheetName val="Rising_Main1"/>
      <sheetName val="Civil_Boq1"/>
      <sheetName val="CABLE_DATA2"/>
      <sheetName val="LINK_GAP2"/>
      <sheetName val="Consolidate_Trial_Dec_062"/>
      <sheetName val="Rising_Main2"/>
      <sheetName val="Civil_Boq2"/>
      <sheetName val="CABLE_DATA4"/>
      <sheetName val="LINK_GAP4"/>
      <sheetName val="CLP_Value_Driver_(14)_Dec_Old4"/>
      <sheetName val="Consolidate_Trial_Dec_064"/>
      <sheetName val="Rising_Main4"/>
      <sheetName val="Civil_Boq4"/>
      <sheetName val="Travel_Expense_Report(1week)6"/>
      <sheetName val="MR08'_Cost_Manag6"/>
      <sheetName val="Wavg_RM6"/>
      <sheetName val="mar_rep_rev6"/>
      <sheetName val="CF_SALE_W_OFF_01-026"/>
      <sheetName val="stock_data6"/>
      <sheetName val="CABLE_DATA5"/>
      <sheetName val="LINK_GAP5"/>
      <sheetName val="CLP_Value_Driver_(14)_Dec_Old5"/>
      <sheetName val="Consolidate_Trial_Dec_065"/>
      <sheetName val="Rising_Main5"/>
      <sheetName val="Civil_Boq5"/>
      <sheetName val="AP_RA99-0622"/>
      <sheetName val="HV_RA99-0622"/>
      <sheetName val="IN_RA99-0622"/>
      <sheetName val="CH_RA99-0622"/>
      <sheetName val="TH_RA99-0622"/>
      <sheetName val="HZ_RA99-0622"/>
      <sheetName val="Trial_Balance21"/>
      <sheetName val="Total_MG_21"/>
      <sheetName val="Op_Plan_Sales22"/>
      <sheetName val="IT_Only21"/>
      <sheetName val="May_0911"/>
      <sheetName val="Price_Testing_-_Used_-_120"/>
      <sheetName val="M_B-QtyRecn22"/>
      <sheetName val="Input_schedule21"/>
      <sheetName val="Sales_&amp;_Marketing_Dashboard21"/>
      <sheetName val="TPM_Tot21"/>
      <sheetName val="Sept_'9921"/>
      <sheetName val="Chart_of_Accounts21"/>
      <sheetName val="Opening_Balance18"/>
      <sheetName val="3_Yr_Revenue_Analysis(old)11"/>
      <sheetName val="Cash_Flow_718"/>
      <sheetName val="FBT_Full21"/>
      <sheetName val="Other_notes21"/>
      <sheetName val="consolidated_Budget21"/>
      <sheetName val="Push_Diag_on_Premise18"/>
      <sheetName val="CChannel_Attract_Input18"/>
      <sheetName val="Amortization_Table11"/>
      <sheetName val="New_form_3CD_A11"/>
      <sheetName val="riola_don't_know_9-26-9911"/>
      <sheetName val="_2_Reserve11"/>
      <sheetName val="Listings_96-0211"/>
      <sheetName val="5Y_v2_1418"/>
      <sheetName val="All_Data11"/>
      <sheetName val="P_L11"/>
      <sheetName val="mdd_&amp;_co_Fdr_jan_02_11"/>
      <sheetName val="Project_Resource_Details11"/>
      <sheetName val="Balance_Sheet_11"/>
      <sheetName val="P&amp;L_Summary_Page11"/>
      <sheetName val="Axis_Bank_Cheques11"/>
      <sheetName val="Master_Sheet11"/>
      <sheetName val="12_04_0911"/>
      <sheetName val="Debtors_Ageing11"/>
      <sheetName val="Excess_Calc11"/>
      <sheetName val="M_G_P-201011"/>
      <sheetName val="AR_JAN'029"/>
      <sheetName val="NLD_-_Assum9"/>
      <sheetName val="1_-_A_(Narrative)11"/>
      <sheetName val="Cash_Flows11"/>
      <sheetName val="Val_&amp;_Multp11"/>
      <sheetName val="Heating_Div11"/>
      <sheetName val="All_other_Div's11"/>
      <sheetName val="Mkt_Mult11"/>
      <sheetName val="Trans_Mult11"/>
      <sheetName val="Locked_cell9"/>
      <sheetName val="P&amp;L_February9"/>
      <sheetName val="P&amp;L_Feb_2001_cumulative9"/>
      <sheetName val="SAP_-_Rightpak11"/>
      <sheetName val="Maint_Def_Rev_03-0411"/>
      <sheetName val="New-Growth_Def_Rev_03-0411"/>
      <sheetName val="Perpetual_Def_Rev_03-0411"/>
      <sheetName val="Renewal_Def_Rev_03-0411"/>
      <sheetName val="FINAL_SHEET9"/>
      <sheetName val="Base_Data9"/>
      <sheetName val="PARTY_DETAILS9"/>
      <sheetName val="Transaction_Inputs7"/>
      <sheetName val="Q1_Bookings_-_Pers_-_Attainmen7"/>
      <sheetName val="Please_do_not_USE_or_DELETE6"/>
      <sheetName val="Grouping_TB6"/>
      <sheetName val="Travel_Expense_Report(1week)7"/>
      <sheetName val="Base_Info6"/>
      <sheetName val="RCC,Ret__Wall6"/>
      <sheetName val="MR08'_Cost_Manag7"/>
      <sheetName val="Wavg_RM7"/>
      <sheetName val="Resource_Type6"/>
      <sheetName val="Year_2003-04_Plan6"/>
      <sheetName val="Lic_Rev_Account_Lookup_Table6"/>
      <sheetName val="Input_Screen6"/>
      <sheetName val="Verification_6"/>
      <sheetName val="F_Assets7"/>
      <sheetName val="QTY__PROV_LAB6"/>
      <sheetName val="1_2_HDFC_Collection6"/>
      <sheetName val="Fx_Rates6"/>
      <sheetName val="AS21SchE_-_9M07086"/>
      <sheetName val="Consolidation__Rs6"/>
      <sheetName val="Power_Cost_sheet6"/>
      <sheetName val="Steam_Cost_Sheet6"/>
      <sheetName val="Query_Results_ALL6"/>
      <sheetName val="TB_Round6"/>
      <sheetName val="Sales_&amp;Sale_Cost6"/>
      <sheetName val="Cash_Flow-WSL_Base_Fcst6"/>
      <sheetName val="mar_rep_rev7"/>
      <sheetName val="CF_SALE_W_OFF_01-027"/>
      <sheetName val="stock_data7"/>
      <sheetName val="Tools_Rev6"/>
      <sheetName val="Cheops_BS6"/>
      <sheetName val="STAFFSCHED_6"/>
      <sheetName val="Info_on_Rupee_Cost6"/>
      <sheetName val="stat_C_(2)6"/>
      <sheetName val="Bal_Sheet6"/>
      <sheetName val="Non-Statistical_Sampling_Maste6"/>
      <sheetName val="Two_Step_Revenue_Testing_Maste6"/>
      <sheetName val="Global_Data6"/>
      <sheetName val="Project_Info6"/>
      <sheetName val="Détails_plans_d'actions6"/>
      <sheetName val="Debraj_Sinha6"/>
      <sheetName val="Occ,_Other_Rev,_Exp,_Dispo6"/>
      <sheetName val="P1_RM6"/>
      <sheetName val="LEGAL_GUJ6"/>
      <sheetName val="IIL_Payroll6"/>
      <sheetName val="License_Area6"/>
      <sheetName val="CABLE_DATA6"/>
      <sheetName val="LINK_GAP6"/>
      <sheetName val="CLP_Value_Driver_(14)_Dec_Old6"/>
      <sheetName val="Consolidate_Trial_Dec_066"/>
      <sheetName val="Rising_Main6"/>
      <sheetName val="Civil_Boq6"/>
      <sheetName val="AP_RA99-0623"/>
      <sheetName val="HV_RA99-0623"/>
      <sheetName val="IN_RA99-0623"/>
      <sheetName val="CH_RA99-0623"/>
      <sheetName val="TH_RA99-0623"/>
      <sheetName val="HZ_RA99-0623"/>
      <sheetName val="Trial_Balance22"/>
      <sheetName val="Total_MG_22"/>
      <sheetName val="Op_Plan_Sales23"/>
      <sheetName val="IT_Only22"/>
      <sheetName val="May_0912"/>
      <sheetName val="Price_Testing_-_Used_-_121"/>
      <sheetName val="M_B-QtyRecn23"/>
      <sheetName val="Input_schedule22"/>
      <sheetName val="Sales_&amp;_Marketing_Dashboard22"/>
      <sheetName val="TPM_Tot22"/>
      <sheetName val="Sept_'9922"/>
      <sheetName val="Chart_of_Accounts22"/>
      <sheetName val="Opening_Balance19"/>
      <sheetName val="3_Yr_Revenue_Analysis(old)12"/>
      <sheetName val="Cash_Flow_719"/>
      <sheetName val="FBT_Full22"/>
      <sheetName val="Other_notes22"/>
      <sheetName val="consolidated_Budget22"/>
      <sheetName val="Push_Diag_on_Premise19"/>
      <sheetName val="CChannel_Attract_Input19"/>
      <sheetName val="Amortization_Table12"/>
      <sheetName val="New_form_3CD_A12"/>
      <sheetName val="riola_don't_know_9-26-9912"/>
      <sheetName val="_2_Reserve12"/>
      <sheetName val="Listings_96-0212"/>
      <sheetName val="5Y_v2_1419"/>
      <sheetName val="All_Data12"/>
      <sheetName val="P_L12"/>
      <sheetName val="mdd_&amp;_co_Fdr_jan_02_12"/>
      <sheetName val="Project_Resource_Details12"/>
      <sheetName val="Balance_Sheet_12"/>
      <sheetName val="P&amp;L_Summary_Page12"/>
      <sheetName val="Axis_Bank_Cheques12"/>
      <sheetName val="Master_Sheet12"/>
      <sheetName val="12_04_0912"/>
      <sheetName val="Debtors_Ageing12"/>
      <sheetName val="Excess_Calc12"/>
      <sheetName val="M_G_P-201012"/>
      <sheetName val="AR_JAN'0210"/>
      <sheetName val="NLD_-_Assum10"/>
      <sheetName val="1_-_A_(Narrative)12"/>
      <sheetName val="Cash_Flows12"/>
      <sheetName val="Val_&amp;_Multp12"/>
      <sheetName val="Heating_Div12"/>
      <sheetName val="All_other_Div's12"/>
      <sheetName val="Mkt_Mult12"/>
      <sheetName val="Trans_Mult12"/>
      <sheetName val="Locked_cell10"/>
      <sheetName val="P&amp;L_February10"/>
      <sheetName val="P&amp;L_Feb_2001_cumulative10"/>
      <sheetName val="SAP_-_Rightpak12"/>
      <sheetName val="Maint_Def_Rev_03-0412"/>
      <sheetName val="New-Growth_Def_Rev_03-0412"/>
      <sheetName val="Perpetual_Def_Rev_03-0412"/>
      <sheetName val="Renewal_Def_Rev_03-0412"/>
      <sheetName val="FINAL_SHEET10"/>
      <sheetName val="Base_Data10"/>
      <sheetName val="PARTY_DETAILS10"/>
      <sheetName val="Transaction_Inputs8"/>
      <sheetName val="Q1_Bookings_-_Pers_-_Attainmen8"/>
      <sheetName val="Please_do_not_USE_or_DELETE7"/>
      <sheetName val="Grouping_TB7"/>
      <sheetName val="Travel_Expense_Report(1week)8"/>
      <sheetName val="Base_Info7"/>
      <sheetName val="RCC,Ret__Wall7"/>
      <sheetName val="MR08'_Cost_Manag8"/>
      <sheetName val="Wavg_RM8"/>
      <sheetName val="Resource_Type7"/>
      <sheetName val="Year_2003-04_Plan7"/>
      <sheetName val="Lic_Rev_Account_Lookup_Table7"/>
      <sheetName val="Input_Screen7"/>
      <sheetName val="Verification_7"/>
      <sheetName val="F_Assets8"/>
      <sheetName val="QTY__PROV_LAB7"/>
      <sheetName val="1_2_HDFC_Collection7"/>
      <sheetName val="Fx_Rates7"/>
      <sheetName val="AS21SchE_-_9M07087"/>
      <sheetName val="Consolidation__Rs7"/>
      <sheetName val="Power_Cost_sheet7"/>
      <sheetName val="Steam_Cost_Sheet7"/>
      <sheetName val="Query_Results_ALL7"/>
      <sheetName val="TB_Round7"/>
      <sheetName val="Sales_&amp;Sale_Cost7"/>
      <sheetName val="Cash_Flow-WSL_Base_Fcst7"/>
      <sheetName val="mar_rep_rev8"/>
      <sheetName val="CF_SALE_W_OFF_01-028"/>
      <sheetName val="stock_data8"/>
      <sheetName val="Tools_Rev7"/>
      <sheetName val="Cheops_BS7"/>
      <sheetName val="STAFFSCHED_7"/>
      <sheetName val="Info_on_Rupee_Cost7"/>
      <sheetName val="stat_C_(2)7"/>
      <sheetName val="Bal_Sheet7"/>
      <sheetName val="Non-Statistical_Sampling_Maste7"/>
      <sheetName val="Two_Step_Revenue_Testing_Maste7"/>
      <sheetName val="Global_Data7"/>
      <sheetName val="Project_Info7"/>
      <sheetName val="Détails_plans_d'actions7"/>
      <sheetName val="Debraj_Sinha7"/>
      <sheetName val="Occ,_Other_Rev,_Exp,_Dispo7"/>
      <sheetName val="P1_RM7"/>
      <sheetName val="LEGAL_GUJ7"/>
      <sheetName val="IIL_Payroll7"/>
      <sheetName val="License_Area7"/>
      <sheetName val="CABLE_DATA7"/>
      <sheetName val="LINK_GAP7"/>
      <sheetName val="CLP_Value_Driver_(14)_Dec_Old7"/>
      <sheetName val="Consolidate_Trial_Dec_067"/>
      <sheetName val="Rising_Main7"/>
      <sheetName val="Civil_Boq7"/>
      <sheetName val="AP_RA99-0624"/>
      <sheetName val="HV_RA99-0624"/>
      <sheetName val="IN_RA99-0624"/>
      <sheetName val="CH_RA99-0624"/>
      <sheetName val="TH_RA99-0624"/>
      <sheetName val="HZ_RA99-0624"/>
      <sheetName val="Trial_Balance23"/>
      <sheetName val="Total_MG_23"/>
      <sheetName val="Op_Plan_Sales24"/>
      <sheetName val="IT_Only23"/>
      <sheetName val="May_0913"/>
      <sheetName val="Price_Testing_-_Used_-_122"/>
      <sheetName val="M_B-QtyRecn24"/>
      <sheetName val="Input_schedule23"/>
      <sheetName val="Sales_&amp;_Marketing_Dashboard23"/>
      <sheetName val="TPM_Tot23"/>
      <sheetName val="Sept_'9923"/>
      <sheetName val="Chart_of_Accounts23"/>
      <sheetName val="Opening_Balance20"/>
      <sheetName val="3_Yr_Revenue_Analysis(old)13"/>
      <sheetName val="Cash_Flow_720"/>
      <sheetName val="FBT_Full23"/>
      <sheetName val="Other_notes23"/>
      <sheetName val="consolidated_Budget23"/>
      <sheetName val="Push_Diag_on_Premise20"/>
      <sheetName val="CChannel_Attract_Input20"/>
      <sheetName val="Amortization_Table13"/>
      <sheetName val="New_form_3CD_A13"/>
      <sheetName val="riola_don't_know_9-26-9913"/>
      <sheetName val="_2_Reserve13"/>
      <sheetName val="Listings_96-0213"/>
      <sheetName val="5Y_v2_1420"/>
      <sheetName val="All_Data13"/>
      <sheetName val="P_L13"/>
      <sheetName val="mdd_&amp;_co_Fdr_jan_02_13"/>
      <sheetName val="Project_Resource_Details13"/>
      <sheetName val="Balance_Sheet_13"/>
      <sheetName val="P&amp;L_Summary_Page13"/>
      <sheetName val="Axis_Bank_Cheques13"/>
      <sheetName val="Master_Sheet13"/>
      <sheetName val="12_04_0913"/>
      <sheetName val="Debtors_Ageing13"/>
      <sheetName val="Excess_Calc13"/>
      <sheetName val="M_G_P-201013"/>
      <sheetName val="AR_JAN'0211"/>
      <sheetName val="NLD_-_Assum11"/>
      <sheetName val="1_-_A_(Narrative)13"/>
      <sheetName val="Cash_Flows13"/>
      <sheetName val="Val_&amp;_Multp13"/>
      <sheetName val="Heating_Div13"/>
      <sheetName val="All_other_Div's13"/>
      <sheetName val="Mkt_Mult13"/>
      <sheetName val="Trans_Mult13"/>
      <sheetName val="Locked_cell11"/>
      <sheetName val="P&amp;L_February11"/>
      <sheetName val="P&amp;L_Feb_2001_cumulative11"/>
      <sheetName val="SAP_-_Rightpak13"/>
      <sheetName val="Maint_Def_Rev_03-0413"/>
      <sheetName val="New-Growth_Def_Rev_03-0413"/>
      <sheetName val="Perpetual_Def_Rev_03-0413"/>
      <sheetName val="Renewal_Def_Rev_03-0413"/>
      <sheetName val="FINAL_SHEET11"/>
      <sheetName val="Base_Data11"/>
      <sheetName val="PARTY_DETAILS11"/>
      <sheetName val="Transaction_Inputs9"/>
      <sheetName val="Q1_Bookings_-_Pers_-_Attainmen9"/>
      <sheetName val="Please_do_not_USE_or_DELETE8"/>
      <sheetName val="Grouping_TB8"/>
      <sheetName val="Travel_Expense_Report(1week)9"/>
      <sheetName val="Base_Info8"/>
      <sheetName val="RCC,Ret__Wall8"/>
      <sheetName val="MR08'_Cost_Manag9"/>
      <sheetName val="Wavg_RM9"/>
      <sheetName val="Resource_Type8"/>
      <sheetName val="Year_2003-04_Plan8"/>
      <sheetName val="Lic_Rev_Account_Lookup_Table8"/>
      <sheetName val="Input_Screen8"/>
      <sheetName val="Verification_8"/>
      <sheetName val="F_Assets9"/>
      <sheetName val="QTY__PROV_LAB8"/>
      <sheetName val="1_2_HDFC_Collection8"/>
      <sheetName val="Fx_Rates8"/>
      <sheetName val="AS21SchE_-_9M07088"/>
      <sheetName val="Consolidation__Rs8"/>
      <sheetName val="Power_Cost_sheet8"/>
      <sheetName val="Steam_Cost_Sheet8"/>
      <sheetName val="Query_Results_ALL8"/>
      <sheetName val="TB_Round8"/>
      <sheetName val="Sales_&amp;Sale_Cost8"/>
      <sheetName val="Cash_Flow-WSL_Base_Fcst8"/>
      <sheetName val="mar_rep_rev9"/>
      <sheetName val="CF_SALE_W_OFF_01-029"/>
      <sheetName val="stock_data9"/>
      <sheetName val="Tools_Rev8"/>
      <sheetName val="Cheops_BS8"/>
      <sheetName val="STAFFSCHED_8"/>
      <sheetName val="Info_on_Rupee_Cost8"/>
      <sheetName val="stat_C_(2)8"/>
      <sheetName val="Bal_Sheet8"/>
      <sheetName val="Non-Statistical_Sampling_Maste8"/>
      <sheetName val="Two_Step_Revenue_Testing_Maste8"/>
      <sheetName val="Global_Data8"/>
      <sheetName val="Project_Info8"/>
      <sheetName val="Détails_plans_d'actions8"/>
      <sheetName val="Debraj_Sinha8"/>
      <sheetName val="Occ,_Other_Rev,_Exp,_Dispo8"/>
      <sheetName val="P1_RM8"/>
      <sheetName val="LEGAL_GUJ8"/>
      <sheetName val="IIL_Payroll8"/>
      <sheetName val="License_Area8"/>
      <sheetName val="AP_RA99-0628"/>
      <sheetName val="HV_RA99-0628"/>
      <sheetName val="IN_RA99-0628"/>
      <sheetName val="CH_RA99-0628"/>
      <sheetName val="TH_RA99-0628"/>
      <sheetName val="HZ_RA99-0628"/>
      <sheetName val="Trial_Balance27"/>
      <sheetName val="Total_MG_27"/>
      <sheetName val="Op_Plan_Sales28"/>
      <sheetName val="IT_Only27"/>
      <sheetName val="May_0917"/>
      <sheetName val="Price_Testing_-_Used_-_126"/>
      <sheetName val="M_B-QtyRecn28"/>
      <sheetName val="Input_schedule27"/>
      <sheetName val="Sales_&amp;_Marketing_Dashboard27"/>
      <sheetName val="TPM_Tot27"/>
      <sheetName val="Sept_'9927"/>
      <sheetName val="Chart_of_Accounts27"/>
      <sheetName val="Opening_Balance24"/>
      <sheetName val="3_Yr_Revenue_Analysis(old)17"/>
      <sheetName val="Cash_Flow_724"/>
      <sheetName val="FBT_Full27"/>
      <sheetName val="Other_notes27"/>
      <sheetName val="consolidated_Budget27"/>
      <sheetName val="Push_Diag_on_Premise24"/>
      <sheetName val="CChannel_Attract_Input24"/>
      <sheetName val="Amortization_Table17"/>
      <sheetName val="New_form_3CD_A17"/>
      <sheetName val="riola_don't_know_9-26-9917"/>
      <sheetName val="_2_Reserve17"/>
      <sheetName val="Listings_96-0217"/>
      <sheetName val="5Y_v2_1424"/>
      <sheetName val="All_Data17"/>
      <sheetName val="P_L17"/>
      <sheetName val="mdd_&amp;_co_Fdr_jan_02_17"/>
      <sheetName val="Project_Resource_Details17"/>
      <sheetName val="Balance_Sheet_17"/>
      <sheetName val="P&amp;L_Summary_Page17"/>
      <sheetName val="Axis_Bank_Cheques17"/>
      <sheetName val="Master_Sheet17"/>
      <sheetName val="12_04_0917"/>
      <sheetName val="Debtors_Ageing17"/>
      <sheetName val="Excess_Calc17"/>
      <sheetName val="M_G_P-201017"/>
      <sheetName val="AR_JAN'0215"/>
      <sheetName val="NLD_-_Assum15"/>
      <sheetName val="1_-_A_(Narrative)17"/>
      <sheetName val="Cash_Flows17"/>
      <sheetName val="Val_&amp;_Multp17"/>
      <sheetName val="Heating_Div17"/>
      <sheetName val="All_other_Div's17"/>
      <sheetName val="Mkt_Mult17"/>
      <sheetName val="Trans_Mult17"/>
      <sheetName val="Locked_cell15"/>
      <sheetName val="P&amp;L_February15"/>
      <sheetName val="P&amp;L_Feb_2001_cumulative15"/>
      <sheetName val="SAP_-_Rightpak17"/>
      <sheetName val="Maint_Def_Rev_03-0417"/>
      <sheetName val="New-Growth_Def_Rev_03-0417"/>
      <sheetName val="Perpetual_Def_Rev_03-0417"/>
      <sheetName val="Renewal_Def_Rev_03-0417"/>
      <sheetName val="FINAL_SHEET15"/>
      <sheetName val="Base_Data15"/>
      <sheetName val="PARTY_DETAILS15"/>
      <sheetName val="Transaction_Inputs13"/>
      <sheetName val="Q1_Bookings_-_Pers_-_Attainme13"/>
      <sheetName val="Please_do_not_USE_or_DELETE12"/>
      <sheetName val="Grouping_TB12"/>
      <sheetName val="Travel_Expense_Report(1week)13"/>
      <sheetName val="Base_Info12"/>
      <sheetName val="RCC,Ret__Wall12"/>
      <sheetName val="MR08'_Cost_Manag13"/>
      <sheetName val="Wavg_RM13"/>
      <sheetName val="Resource_Type12"/>
      <sheetName val="Year_2003-04_Plan12"/>
      <sheetName val="Lic_Rev_Account_Lookup_Table12"/>
      <sheetName val="Input_Screen12"/>
      <sheetName val="Verification_12"/>
      <sheetName val="F_Assets13"/>
      <sheetName val="QTY__PROV_LAB12"/>
      <sheetName val="1_2_HDFC_Collection12"/>
      <sheetName val="Fx_Rates12"/>
      <sheetName val="AS21SchE_-_9M070812"/>
      <sheetName val="Consolidation__Rs12"/>
      <sheetName val="Power_Cost_sheet12"/>
      <sheetName val="Steam_Cost_Sheet12"/>
      <sheetName val="Query_Results_ALL12"/>
      <sheetName val="TB_Round12"/>
      <sheetName val="Sales_&amp;Sale_Cost12"/>
      <sheetName val="Cash_Flow-WSL_Base_Fcst12"/>
      <sheetName val="mar_rep_rev13"/>
      <sheetName val="CF_SALE_W_OFF_01-0213"/>
      <sheetName val="stock_data13"/>
      <sheetName val="Tools_Rev12"/>
      <sheetName val="Cheops_BS12"/>
      <sheetName val="STAFFSCHED_12"/>
      <sheetName val="Info_on_Rupee_Cost12"/>
      <sheetName val="stat_C_(2)12"/>
      <sheetName val="Bal_Sheet12"/>
      <sheetName val="Non-Statistical_Sampling_Mast12"/>
      <sheetName val="Two_Step_Revenue_Testing_Mast12"/>
      <sheetName val="Global_Data12"/>
      <sheetName val="Project_Info12"/>
      <sheetName val="Détails_plans_d'actions12"/>
      <sheetName val="Debraj_Sinha12"/>
      <sheetName val="Occ,_Other_Rev,_Exp,_Dispo12"/>
      <sheetName val="P1_RM12"/>
      <sheetName val="LEGAL_GUJ12"/>
      <sheetName val="IIL_Payroll12"/>
      <sheetName val="License_Area12"/>
      <sheetName val="CABLE_DATA11"/>
      <sheetName val="LINK_GAP11"/>
      <sheetName val="CLP_Value_Driver_(14)_Dec_Old11"/>
      <sheetName val="Consolidate_Trial_Dec_0611"/>
      <sheetName val="Rising_Main11"/>
      <sheetName val="Civil_Boq11"/>
      <sheetName val="AP_RA99-0627"/>
      <sheetName val="HV_RA99-0627"/>
      <sheetName val="IN_RA99-0627"/>
      <sheetName val="CH_RA99-0627"/>
      <sheetName val="TH_RA99-0627"/>
      <sheetName val="HZ_RA99-0627"/>
      <sheetName val="Trial_Balance26"/>
      <sheetName val="Total_MG_26"/>
      <sheetName val="Op_Plan_Sales27"/>
      <sheetName val="IT_Only26"/>
      <sheetName val="May_0916"/>
      <sheetName val="Price_Testing_-_Used_-_125"/>
      <sheetName val="M_B-QtyRecn27"/>
      <sheetName val="Input_schedule26"/>
      <sheetName val="Sales_&amp;_Marketing_Dashboard26"/>
      <sheetName val="TPM_Tot26"/>
      <sheetName val="Sept_'9926"/>
      <sheetName val="Chart_of_Accounts26"/>
      <sheetName val="Opening_Balance23"/>
      <sheetName val="3_Yr_Revenue_Analysis(old)16"/>
      <sheetName val="Cash_Flow_723"/>
      <sheetName val="FBT_Full26"/>
      <sheetName val="Other_notes26"/>
      <sheetName val="consolidated_Budget26"/>
      <sheetName val="Push_Diag_on_Premise23"/>
      <sheetName val="CChannel_Attract_Input23"/>
      <sheetName val="Amortization_Table16"/>
      <sheetName val="New_form_3CD_A16"/>
      <sheetName val="riola_don't_know_9-26-9916"/>
      <sheetName val="_2_Reserve16"/>
      <sheetName val="Listings_96-0216"/>
      <sheetName val="5Y_v2_1423"/>
      <sheetName val="All_Data16"/>
      <sheetName val="P_L16"/>
      <sheetName val="mdd_&amp;_co_Fdr_jan_02_16"/>
      <sheetName val="Project_Resource_Details16"/>
      <sheetName val="Balance_Sheet_16"/>
      <sheetName val="P&amp;L_Summary_Page16"/>
      <sheetName val="Axis_Bank_Cheques16"/>
      <sheetName val="Master_Sheet16"/>
      <sheetName val="12_04_0916"/>
      <sheetName val="Debtors_Ageing16"/>
      <sheetName val="Excess_Calc16"/>
      <sheetName val="M_G_P-201016"/>
      <sheetName val="AR_JAN'0214"/>
      <sheetName val="NLD_-_Assum14"/>
      <sheetName val="1_-_A_(Narrative)16"/>
      <sheetName val="Cash_Flows16"/>
      <sheetName val="Val_&amp;_Multp16"/>
      <sheetName val="Heating_Div16"/>
      <sheetName val="All_other_Div's16"/>
      <sheetName val="Mkt_Mult16"/>
      <sheetName val="Trans_Mult16"/>
      <sheetName val="Locked_cell14"/>
      <sheetName val="P&amp;L_February14"/>
      <sheetName val="P&amp;L_Feb_2001_cumulative14"/>
      <sheetName val="SAP_-_Rightpak16"/>
      <sheetName val="Maint_Def_Rev_03-0416"/>
      <sheetName val="New-Growth_Def_Rev_03-0416"/>
      <sheetName val="Perpetual_Def_Rev_03-0416"/>
      <sheetName val="Renewal_Def_Rev_03-0416"/>
      <sheetName val="FINAL_SHEET14"/>
      <sheetName val="Base_Data14"/>
      <sheetName val="PARTY_DETAILS14"/>
      <sheetName val="Transaction_Inputs12"/>
      <sheetName val="Q1_Bookings_-_Pers_-_Attainme12"/>
      <sheetName val="Please_do_not_USE_or_DELETE11"/>
      <sheetName val="Grouping_TB11"/>
      <sheetName val="Travel_Expense_Report(1week)12"/>
      <sheetName val="Base_Info11"/>
      <sheetName val="RCC,Ret__Wall11"/>
      <sheetName val="MR08'_Cost_Manag12"/>
      <sheetName val="Wavg_RM12"/>
      <sheetName val="Resource_Type11"/>
      <sheetName val="Year_2003-04_Plan11"/>
      <sheetName val="Lic_Rev_Account_Lookup_Table11"/>
      <sheetName val="Input_Screen11"/>
      <sheetName val="Verification_11"/>
      <sheetName val="F_Assets12"/>
      <sheetName val="QTY__PROV_LAB11"/>
      <sheetName val="1_2_HDFC_Collection11"/>
      <sheetName val="Fx_Rates11"/>
      <sheetName val="AS21SchE_-_9M070811"/>
      <sheetName val="Consolidation__Rs11"/>
      <sheetName val="Power_Cost_sheet11"/>
      <sheetName val="Steam_Cost_Sheet11"/>
      <sheetName val="Query_Results_ALL11"/>
      <sheetName val="TB_Round11"/>
      <sheetName val="Sales_&amp;Sale_Cost11"/>
      <sheetName val="Cash_Flow-WSL_Base_Fcst11"/>
      <sheetName val="mar_rep_rev12"/>
      <sheetName val="CF_SALE_W_OFF_01-0212"/>
      <sheetName val="stock_data12"/>
      <sheetName val="Tools_Rev11"/>
      <sheetName val="Cheops_BS11"/>
      <sheetName val="STAFFSCHED_11"/>
      <sheetName val="Info_on_Rupee_Cost11"/>
      <sheetName val="stat_C_(2)11"/>
      <sheetName val="Bal_Sheet11"/>
      <sheetName val="Non-Statistical_Sampling_Mast11"/>
      <sheetName val="Two_Step_Revenue_Testing_Mast11"/>
      <sheetName val="Global_Data11"/>
      <sheetName val="Project_Info11"/>
      <sheetName val="Détails_plans_d'actions11"/>
      <sheetName val="Debraj_Sinha11"/>
      <sheetName val="Occ,_Other_Rev,_Exp,_Dispo11"/>
      <sheetName val="P1_RM11"/>
      <sheetName val="LEGAL_GUJ11"/>
      <sheetName val="IIL_Payroll11"/>
      <sheetName val="License_Area11"/>
      <sheetName val="CABLE_DATA10"/>
      <sheetName val="LINK_GAP10"/>
      <sheetName val="CLP_Value_Driver_(14)_Dec_Old10"/>
      <sheetName val="Consolidate_Trial_Dec_0610"/>
      <sheetName val="Rising_Main10"/>
      <sheetName val="Civil_Boq10"/>
      <sheetName val="AP_RA99-0625"/>
      <sheetName val="HV_RA99-0625"/>
      <sheetName val="IN_RA99-0625"/>
      <sheetName val="CH_RA99-0625"/>
      <sheetName val="TH_RA99-0625"/>
      <sheetName val="HZ_RA99-0625"/>
      <sheetName val="Trial_Balance24"/>
      <sheetName val="Total_MG_24"/>
      <sheetName val="Op_Plan_Sales25"/>
      <sheetName val="IT_Only24"/>
      <sheetName val="May_0914"/>
      <sheetName val="Price_Testing_-_Used_-_123"/>
      <sheetName val="M_B-QtyRecn25"/>
      <sheetName val="Input_schedule24"/>
      <sheetName val="Sales_&amp;_Marketing_Dashboard24"/>
      <sheetName val="TPM_Tot24"/>
      <sheetName val="Sept_'9924"/>
      <sheetName val="Chart_of_Accounts24"/>
      <sheetName val="Opening_Balance21"/>
      <sheetName val="3_Yr_Revenue_Analysis(old)14"/>
      <sheetName val="Cash_Flow_721"/>
      <sheetName val="FBT_Full24"/>
      <sheetName val="Other_notes24"/>
      <sheetName val="consolidated_Budget24"/>
      <sheetName val="Push_Diag_on_Premise21"/>
      <sheetName val="CChannel_Attract_Input21"/>
      <sheetName val="Amortization_Table14"/>
      <sheetName val="New_form_3CD_A14"/>
      <sheetName val="riola_don't_know_9-26-9914"/>
      <sheetName val="_2_Reserve14"/>
      <sheetName val="Listings_96-0214"/>
      <sheetName val="5Y_v2_1421"/>
      <sheetName val="All_Data14"/>
      <sheetName val="P_L14"/>
      <sheetName val="mdd_&amp;_co_Fdr_jan_02_14"/>
      <sheetName val="Project_Resource_Details14"/>
      <sheetName val="Balance_Sheet_14"/>
      <sheetName val="P&amp;L_Summary_Page14"/>
      <sheetName val="Axis_Bank_Cheques14"/>
      <sheetName val="Master_Sheet14"/>
      <sheetName val="12_04_0914"/>
      <sheetName val="Debtors_Ageing14"/>
      <sheetName val="Excess_Calc14"/>
      <sheetName val="M_G_P-201014"/>
      <sheetName val="AR_JAN'0212"/>
      <sheetName val="NLD_-_Assum12"/>
      <sheetName val="1_-_A_(Narrative)14"/>
      <sheetName val="Cash_Flows14"/>
      <sheetName val="Val_&amp;_Multp14"/>
      <sheetName val="Heating_Div14"/>
      <sheetName val="All_other_Div's14"/>
      <sheetName val="Mkt_Mult14"/>
      <sheetName val="Trans_Mult14"/>
      <sheetName val="Locked_cell12"/>
      <sheetName val="P&amp;L_February12"/>
      <sheetName val="P&amp;L_Feb_2001_cumulative12"/>
      <sheetName val="SAP_-_Rightpak14"/>
      <sheetName val="Maint_Def_Rev_03-0414"/>
      <sheetName val="New-Growth_Def_Rev_03-0414"/>
      <sheetName val="Perpetual_Def_Rev_03-0414"/>
      <sheetName val="Renewal_Def_Rev_03-0414"/>
      <sheetName val="FINAL_SHEET12"/>
      <sheetName val="Base_Data12"/>
      <sheetName val="PARTY_DETAILS12"/>
      <sheetName val="Transaction_Inputs10"/>
      <sheetName val="Q1_Bookings_-_Pers_-_Attainme10"/>
      <sheetName val="Please_do_not_USE_or_DELETE9"/>
      <sheetName val="Grouping_TB9"/>
      <sheetName val="Travel_Expense_Report(1week)10"/>
      <sheetName val="Base_Info9"/>
      <sheetName val="RCC,Ret__Wall9"/>
      <sheetName val="MR08'_Cost_Manag10"/>
      <sheetName val="Wavg_RM10"/>
      <sheetName val="Resource_Type9"/>
      <sheetName val="Year_2003-04_Plan9"/>
      <sheetName val="Lic_Rev_Account_Lookup_Table9"/>
      <sheetName val="Input_Screen9"/>
      <sheetName val="Verification_9"/>
      <sheetName val="F_Assets10"/>
      <sheetName val="QTY__PROV_LAB9"/>
      <sheetName val="1_2_HDFC_Collection9"/>
      <sheetName val="Fx_Rates9"/>
      <sheetName val="AS21SchE_-_9M07089"/>
      <sheetName val="Consolidation__Rs9"/>
      <sheetName val="Power_Cost_sheet9"/>
      <sheetName val="Steam_Cost_Sheet9"/>
      <sheetName val="Query_Results_ALL9"/>
      <sheetName val="TB_Round9"/>
      <sheetName val="Sales_&amp;Sale_Cost9"/>
      <sheetName val="Cash_Flow-WSL_Base_Fcst9"/>
      <sheetName val="mar_rep_rev10"/>
      <sheetName val="CF_SALE_W_OFF_01-0210"/>
      <sheetName val="stock_data10"/>
      <sheetName val="Tools_Rev9"/>
      <sheetName val="Cheops_BS9"/>
      <sheetName val="STAFFSCHED_9"/>
      <sheetName val="Info_on_Rupee_Cost9"/>
      <sheetName val="stat_C_(2)9"/>
      <sheetName val="Bal_Sheet9"/>
      <sheetName val="Non-Statistical_Sampling_Maste9"/>
      <sheetName val="Two_Step_Revenue_Testing_Maste9"/>
      <sheetName val="Global_Data9"/>
      <sheetName val="Project_Info9"/>
      <sheetName val="Détails_plans_d'actions9"/>
      <sheetName val="Debraj_Sinha9"/>
      <sheetName val="Occ,_Other_Rev,_Exp,_Dispo9"/>
      <sheetName val="P1_RM9"/>
      <sheetName val="LEGAL_GUJ9"/>
      <sheetName val="IIL_Payroll9"/>
      <sheetName val="License_Area9"/>
      <sheetName val="CABLE_DATA8"/>
      <sheetName val="LINK_GAP8"/>
      <sheetName val="CLP_Value_Driver_(14)_Dec_Old8"/>
      <sheetName val="Consolidate_Trial_Dec_068"/>
      <sheetName val="Rising_Main8"/>
      <sheetName val="Civil_Boq8"/>
      <sheetName val="AP_RA99-0626"/>
      <sheetName val="HV_RA99-0626"/>
      <sheetName val="IN_RA99-0626"/>
      <sheetName val="CH_RA99-0626"/>
      <sheetName val="TH_RA99-0626"/>
      <sheetName val="HZ_RA99-0626"/>
      <sheetName val="Trial_Balance25"/>
      <sheetName val="Total_MG_25"/>
      <sheetName val="Op_Plan_Sales26"/>
      <sheetName val="IT_Only25"/>
      <sheetName val="May_0915"/>
      <sheetName val="Price_Testing_-_Used_-_124"/>
      <sheetName val="M_B-QtyRecn26"/>
      <sheetName val="Input_schedule25"/>
      <sheetName val="Sales_&amp;_Marketing_Dashboard25"/>
      <sheetName val="TPM_Tot25"/>
      <sheetName val="Sept_'9925"/>
      <sheetName val="Chart_of_Accounts25"/>
      <sheetName val="Opening_Balance22"/>
      <sheetName val="3_Yr_Revenue_Analysis(old)15"/>
      <sheetName val="Cash_Flow_722"/>
      <sheetName val="FBT_Full25"/>
      <sheetName val="Other_notes25"/>
      <sheetName val="consolidated_Budget25"/>
      <sheetName val="Push_Diag_on_Premise22"/>
      <sheetName val="CChannel_Attract_Input22"/>
      <sheetName val="Amortization_Table15"/>
      <sheetName val="New_form_3CD_A15"/>
      <sheetName val="riola_don't_know_9-26-9915"/>
      <sheetName val="_2_Reserve15"/>
      <sheetName val="Listings_96-0215"/>
      <sheetName val="5Y_v2_1422"/>
      <sheetName val="All_Data15"/>
      <sheetName val="P_L15"/>
      <sheetName val="mdd_&amp;_co_Fdr_jan_02_15"/>
      <sheetName val="Project_Resource_Details15"/>
      <sheetName val="Balance_Sheet_15"/>
      <sheetName val="P&amp;L_Summary_Page15"/>
      <sheetName val="Axis_Bank_Cheques15"/>
      <sheetName val="Master_Sheet15"/>
      <sheetName val="12_04_0915"/>
      <sheetName val="Debtors_Ageing15"/>
      <sheetName val="Excess_Calc15"/>
      <sheetName val="M_G_P-201015"/>
      <sheetName val="AR_JAN'0213"/>
      <sheetName val="NLD_-_Assum13"/>
      <sheetName val="1_-_A_(Narrative)15"/>
      <sheetName val="Cash_Flows15"/>
      <sheetName val="Val_&amp;_Multp15"/>
      <sheetName val="Heating_Div15"/>
      <sheetName val="All_other_Div's15"/>
      <sheetName val="Mkt_Mult15"/>
      <sheetName val="Trans_Mult15"/>
      <sheetName val="Locked_cell13"/>
      <sheetName val="P&amp;L_February13"/>
      <sheetName val="P&amp;L_Feb_2001_cumulative13"/>
      <sheetName val="SAP_-_Rightpak15"/>
      <sheetName val="Maint_Def_Rev_03-0415"/>
      <sheetName val="New-Growth_Def_Rev_03-0415"/>
      <sheetName val="Perpetual_Def_Rev_03-0415"/>
      <sheetName val="Renewal_Def_Rev_03-0415"/>
      <sheetName val="FINAL_SHEET13"/>
      <sheetName val="Base_Data13"/>
      <sheetName val="PARTY_DETAILS13"/>
      <sheetName val="Transaction_Inputs11"/>
      <sheetName val="Q1_Bookings_-_Pers_-_Attainme11"/>
      <sheetName val="Please_do_not_USE_or_DELETE10"/>
      <sheetName val="Grouping_TB10"/>
      <sheetName val="Travel_Expense_Report(1week)11"/>
      <sheetName val="Base_Info10"/>
      <sheetName val="RCC,Ret__Wall10"/>
      <sheetName val="MR08'_Cost_Manag11"/>
      <sheetName val="Wavg_RM11"/>
      <sheetName val="Resource_Type10"/>
      <sheetName val="Year_2003-04_Plan10"/>
      <sheetName val="Lic_Rev_Account_Lookup_Table10"/>
      <sheetName val="Input_Screen10"/>
      <sheetName val="Verification_10"/>
      <sheetName val="F_Assets11"/>
      <sheetName val="QTY__PROV_LAB10"/>
      <sheetName val="1_2_HDFC_Collection10"/>
      <sheetName val="Fx_Rates10"/>
      <sheetName val="AS21SchE_-_9M070810"/>
      <sheetName val="Consolidation__Rs10"/>
      <sheetName val="Power_Cost_sheet10"/>
      <sheetName val="Steam_Cost_Sheet10"/>
      <sheetName val="Query_Results_ALL10"/>
      <sheetName val="TB_Round10"/>
      <sheetName val="Sales_&amp;Sale_Cost10"/>
      <sheetName val="Cash_Flow-WSL_Base_Fcst10"/>
      <sheetName val="mar_rep_rev11"/>
      <sheetName val="CF_SALE_W_OFF_01-0211"/>
      <sheetName val="stock_data11"/>
      <sheetName val="Tools_Rev10"/>
      <sheetName val="Cheops_BS10"/>
      <sheetName val="STAFFSCHED_10"/>
      <sheetName val="Info_on_Rupee_Cost10"/>
      <sheetName val="stat_C_(2)10"/>
      <sheetName val="Bal_Sheet10"/>
      <sheetName val="Non-Statistical_Sampling_Mast10"/>
      <sheetName val="Two_Step_Revenue_Testing_Mast10"/>
      <sheetName val="Global_Data10"/>
      <sheetName val="Project_Info10"/>
      <sheetName val="Détails_plans_d'actions10"/>
      <sheetName val="Debraj_Sinha10"/>
      <sheetName val="Occ,_Other_Rev,_Exp,_Dispo10"/>
      <sheetName val="P1_RM10"/>
      <sheetName val="LEGAL_GUJ10"/>
      <sheetName val="IIL_Payroll10"/>
      <sheetName val="License_Area10"/>
      <sheetName val="CABLE_DATA9"/>
      <sheetName val="LINK_GAP9"/>
      <sheetName val="CLP_Value_Driver_(14)_Dec_Old9"/>
      <sheetName val="Consolidate_Trial_Dec_069"/>
      <sheetName val="Rising_Main9"/>
      <sheetName val="Civil_Boq9"/>
      <sheetName val="AP_RA99-0629"/>
      <sheetName val="HV_RA99-0629"/>
      <sheetName val="IN_RA99-0629"/>
      <sheetName val="CH_RA99-0629"/>
      <sheetName val="TH_RA99-0629"/>
      <sheetName val="HZ_RA99-0629"/>
      <sheetName val="Trial_Balance28"/>
      <sheetName val="Total_MG_28"/>
      <sheetName val="Op_Plan_Sales29"/>
      <sheetName val="IT_Only28"/>
      <sheetName val="May_0918"/>
      <sheetName val="Price_Testing_-_Used_-_127"/>
      <sheetName val="M_B-QtyRecn29"/>
      <sheetName val="Input_schedule28"/>
      <sheetName val="Sales_&amp;_Marketing_Dashboard28"/>
      <sheetName val="TPM_Tot28"/>
      <sheetName val="Sept_'9928"/>
      <sheetName val="Chart_of_Accounts28"/>
      <sheetName val="Opening_Balance25"/>
      <sheetName val="3_Yr_Revenue_Analysis(old)18"/>
      <sheetName val="Cash_Flow_725"/>
      <sheetName val="FBT_Full28"/>
      <sheetName val="Other_notes28"/>
      <sheetName val="consolidated_Budget28"/>
      <sheetName val="Push_Diag_on_Premise25"/>
      <sheetName val="CChannel_Attract_Input25"/>
      <sheetName val="Amortization_Table18"/>
      <sheetName val="New_form_3CD_A18"/>
      <sheetName val="riola_don't_know_9-26-9918"/>
      <sheetName val="_2_Reserve18"/>
      <sheetName val="Listings_96-0218"/>
      <sheetName val="5Y_v2_1425"/>
      <sheetName val="All_Data18"/>
      <sheetName val="P_L18"/>
      <sheetName val="mdd_&amp;_co_Fdr_jan_02_18"/>
      <sheetName val="Project_Resource_Details18"/>
      <sheetName val="Balance_Sheet_18"/>
      <sheetName val="P&amp;L_Summary_Page18"/>
      <sheetName val="Axis_Bank_Cheques18"/>
      <sheetName val="Master_Sheet18"/>
      <sheetName val="12_04_0918"/>
      <sheetName val="Debtors_Ageing18"/>
      <sheetName val="Excess_Calc18"/>
      <sheetName val="M_G_P-201018"/>
      <sheetName val="AR_JAN'0216"/>
      <sheetName val="NLD_-_Assum16"/>
      <sheetName val="1_-_A_(Narrative)18"/>
      <sheetName val="Cash_Flows18"/>
      <sheetName val="Val_&amp;_Multp18"/>
      <sheetName val="Heating_Div18"/>
      <sheetName val="All_other_Div's18"/>
      <sheetName val="Mkt_Mult18"/>
      <sheetName val="Trans_Mult18"/>
      <sheetName val="Locked_cell16"/>
      <sheetName val="P&amp;L_February16"/>
      <sheetName val="P&amp;L_Feb_2001_cumulative16"/>
      <sheetName val="SAP_-_Rightpak18"/>
      <sheetName val="Maint_Def_Rev_03-0418"/>
      <sheetName val="New-Growth_Def_Rev_03-0418"/>
      <sheetName val="Perpetual_Def_Rev_03-0418"/>
      <sheetName val="Renewal_Def_Rev_03-0418"/>
      <sheetName val="FINAL_SHEET16"/>
      <sheetName val="Base_Data16"/>
      <sheetName val="PARTY_DETAILS16"/>
      <sheetName val="Transaction_Inputs14"/>
      <sheetName val="Q1_Bookings_-_Pers_-_Attainme14"/>
      <sheetName val="Please_do_not_USE_or_DELETE13"/>
      <sheetName val="Grouping_TB13"/>
      <sheetName val="Travel_Expense_Report(1week)14"/>
      <sheetName val="Base_Info13"/>
      <sheetName val="RCC,Ret__Wall13"/>
      <sheetName val="MR08'_Cost_Manag14"/>
      <sheetName val="Wavg_RM14"/>
      <sheetName val="Resource_Type13"/>
      <sheetName val="Year_2003-04_Plan13"/>
      <sheetName val="Lic_Rev_Account_Lookup_Table13"/>
      <sheetName val="Input_Screen13"/>
      <sheetName val="Verification_13"/>
      <sheetName val="F_Assets14"/>
      <sheetName val="QTY__PROV_LAB13"/>
      <sheetName val="1_2_HDFC_Collection13"/>
      <sheetName val="Fx_Rates13"/>
      <sheetName val="AS21SchE_-_9M070813"/>
      <sheetName val="Consolidation__Rs13"/>
      <sheetName val="Power_Cost_sheet13"/>
      <sheetName val="Steam_Cost_Sheet13"/>
      <sheetName val="Query_Results_ALL13"/>
      <sheetName val="TB_Round13"/>
      <sheetName val="Sales_&amp;Sale_Cost13"/>
      <sheetName val="Cash_Flow-WSL_Base_Fcst13"/>
      <sheetName val="mar_rep_rev14"/>
      <sheetName val="CF_SALE_W_OFF_01-0214"/>
      <sheetName val="stock_data14"/>
      <sheetName val="Tools_Rev13"/>
      <sheetName val="Cheops_BS13"/>
      <sheetName val="STAFFSCHED_13"/>
      <sheetName val="Info_on_Rupee_Cost13"/>
      <sheetName val="stat_C_(2)13"/>
      <sheetName val="Bal_Sheet13"/>
      <sheetName val="Non-Statistical_Sampling_Mast13"/>
      <sheetName val="Two_Step_Revenue_Testing_Mast13"/>
      <sheetName val="Global_Data13"/>
      <sheetName val="Project_Info13"/>
      <sheetName val="Détails_plans_d'actions13"/>
      <sheetName val="Debraj_Sinha13"/>
      <sheetName val="Occ,_Other_Rev,_Exp,_Dispo13"/>
      <sheetName val="P1_RM13"/>
      <sheetName val="LEGAL_GUJ13"/>
      <sheetName val="IIL_Payroll13"/>
      <sheetName val="License_Area13"/>
      <sheetName val="CABLE_DATA12"/>
      <sheetName val="LINK_GAP12"/>
      <sheetName val="CLP_Value_Driver_(14)_Dec_Old12"/>
      <sheetName val="Consolidate_Trial_Dec_0612"/>
      <sheetName val="Rising_Main12"/>
      <sheetName val="Civil_Boq12"/>
      <sheetName val="AP_RA99-0630"/>
      <sheetName val="HV_RA99-0630"/>
      <sheetName val="IN_RA99-0630"/>
      <sheetName val="CH_RA99-0630"/>
      <sheetName val="TH_RA99-0630"/>
      <sheetName val="HZ_RA99-0630"/>
      <sheetName val="Trial_Balance29"/>
      <sheetName val="Total_MG_29"/>
      <sheetName val="Op_Plan_Sales30"/>
      <sheetName val="IT_Only29"/>
      <sheetName val="May_0919"/>
      <sheetName val="Price_Testing_-_Used_-_128"/>
      <sheetName val="M_B-QtyRecn30"/>
      <sheetName val="Input_schedule29"/>
      <sheetName val="Sales_&amp;_Marketing_Dashboard29"/>
      <sheetName val="TPM_Tot29"/>
      <sheetName val="Sept_'9929"/>
      <sheetName val="Chart_of_Accounts29"/>
      <sheetName val="Opening_Balance26"/>
      <sheetName val="3_Yr_Revenue_Analysis(old)19"/>
      <sheetName val="Cash_Flow_726"/>
      <sheetName val="FBT_Full29"/>
      <sheetName val="Other_notes29"/>
      <sheetName val="consolidated_Budget29"/>
      <sheetName val="Push_Diag_on_Premise26"/>
      <sheetName val="CChannel_Attract_Input26"/>
      <sheetName val="Amortization_Table19"/>
      <sheetName val="New_form_3CD_A19"/>
      <sheetName val="riola_don't_know_9-26-9919"/>
      <sheetName val="_2_Reserve19"/>
      <sheetName val="Listings_96-0219"/>
      <sheetName val="5Y_v2_1426"/>
      <sheetName val="All_Data19"/>
      <sheetName val="P_L19"/>
      <sheetName val="mdd_&amp;_co_Fdr_jan_02_19"/>
      <sheetName val="Project_Resource_Details19"/>
      <sheetName val="Balance_Sheet_19"/>
      <sheetName val="P&amp;L_Summary_Page19"/>
      <sheetName val="Axis_Bank_Cheques19"/>
      <sheetName val="Master_Sheet19"/>
      <sheetName val="12_04_0919"/>
      <sheetName val="Debtors_Ageing19"/>
      <sheetName val="Excess_Calc19"/>
      <sheetName val="M_G_P-201019"/>
      <sheetName val="AR_JAN'0217"/>
      <sheetName val="NLD_-_Assum17"/>
      <sheetName val="1_-_A_(Narrative)19"/>
      <sheetName val="Cash_Flows19"/>
      <sheetName val="Val_&amp;_Multp19"/>
      <sheetName val="Heating_Div19"/>
      <sheetName val="All_other_Div's19"/>
      <sheetName val="Mkt_Mult19"/>
      <sheetName val="Trans_Mult19"/>
      <sheetName val="Locked_cell17"/>
      <sheetName val="P&amp;L_February17"/>
      <sheetName val="P&amp;L_Feb_2001_cumulative17"/>
      <sheetName val="SAP_-_Rightpak19"/>
      <sheetName val="Maint_Def_Rev_03-0419"/>
      <sheetName val="New-Growth_Def_Rev_03-0419"/>
      <sheetName val="Perpetual_Def_Rev_03-0419"/>
      <sheetName val="Renewal_Def_Rev_03-0419"/>
      <sheetName val="FINAL_SHEET17"/>
      <sheetName val="Base_Data17"/>
      <sheetName val="PARTY_DETAILS17"/>
      <sheetName val="Transaction_Inputs15"/>
      <sheetName val="Q1_Bookings_-_Pers_-_Attainme15"/>
      <sheetName val="Please_do_not_USE_or_DELETE14"/>
      <sheetName val="Grouping_TB14"/>
      <sheetName val="Travel_Expense_Report(1week)15"/>
      <sheetName val="Base_Info14"/>
      <sheetName val="RCC,Ret__Wall14"/>
      <sheetName val="MR08'_Cost_Manag15"/>
      <sheetName val="Wavg_RM15"/>
      <sheetName val="Resource_Type14"/>
      <sheetName val="Year_2003-04_Plan14"/>
      <sheetName val="Lic_Rev_Account_Lookup_Table14"/>
      <sheetName val="Input_Screen14"/>
      <sheetName val="Verification_14"/>
      <sheetName val="F_Assets15"/>
      <sheetName val="QTY__PROV_LAB14"/>
      <sheetName val="1_2_HDFC_Collection14"/>
      <sheetName val="Fx_Rates14"/>
      <sheetName val="AS21SchE_-_9M070814"/>
      <sheetName val="Consolidation__Rs14"/>
      <sheetName val="Power_Cost_sheet14"/>
      <sheetName val="Steam_Cost_Sheet14"/>
      <sheetName val="Query_Results_ALL14"/>
      <sheetName val="TB_Round14"/>
      <sheetName val="Sales_&amp;Sale_Cost14"/>
      <sheetName val="Cash_Flow-WSL_Base_Fcst14"/>
      <sheetName val="mar_rep_rev15"/>
      <sheetName val="CF_SALE_W_OFF_01-0215"/>
      <sheetName val="stock_data15"/>
      <sheetName val="Tools_Rev14"/>
      <sheetName val="Cheops_BS14"/>
      <sheetName val="STAFFSCHED_14"/>
      <sheetName val="Info_on_Rupee_Cost14"/>
      <sheetName val="stat_C_(2)14"/>
      <sheetName val="Bal_Sheet14"/>
      <sheetName val="Non-Statistical_Sampling_Mast14"/>
      <sheetName val="Two_Step_Revenue_Testing_Mast14"/>
      <sheetName val="Global_Data14"/>
      <sheetName val="Project_Info14"/>
      <sheetName val="Détails_plans_d'actions14"/>
      <sheetName val="Debraj_Sinha14"/>
      <sheetName val="Occ,_Other_Rev,_Exp,_Dispo14"/>
      <sheetName val="P1_RM14"/>
      <sheetName val="LEGAL_GUJ14"/>
      <sheetName val="IIL_Payroll14"/>
      <sheetName val="License_Area14"/>
      <sheetName val="CABLE_DATA13"/>
      <sheetName val="LINK_GAP13"/>
      <sheetName val="CLP_Value_Driver_(14)_Dec_Old13"/>
      <sheetName val="Consolidate_Trial_Dec_0613"/>
      <sheetName val="Rising_Main13"/>
      <sheetName val="Civil_Boq13"/>
      <sheetName val="AP_RA99-0632"/>
      <sheetName val="HV_RA99-0632"/>
      <sheetName val="IN_RA99-0632"/>
      <sheetName val="CH_RA99-0632"/>
      <sheetName val="TH_RA99-0632"/>
      <sheetName val="HZ_RA99-0632"/>
      <sheetName val="Trial_Balance31"/>
      <sheetName val="Total_MG_31"/>
      <sheetName val="Op_Plan_Sales32"/>
      <sheetName val="IT_Only31"/>
      <sheetName val="May_0921"/>
      <sheetName val="Price_Testing_-_Used_-_130"/>
      <sheetName val="M_B-QtyRecn32"/>
      <sheetName val="Input_schedule31"/>
      <sheetName val="Sales_&amp;_Marketing_Dashboard31"/>
      <sheetName val="TPM_Tot31"/>
      <sheetName val="Sept_'9931"/>
      <sheetName val="Chart_of_Accounts31"/>
      <sheetName val="Opening_Balance28"/>
      <sheetName val="3_Yr_Revenue_Analysis(old)21"/>
      <sheetName val="Cash_Flow_728"/>
      <sheetName val="FBT_Full31"/>
      <sheetName val="Other_notes31"/>
      <sheetName val="consolidated_Budget31"/>
      <sheetName val="Push_Diag_on_Premise28"/>
      <sheetName val="CChannel_Attract_Input28"/>
      <sheetName val="Amortization_Table21"/>
      <sheetName val="New_form_3CD_A21"/>
      <sheetName val="riola_don't_know_9-26-9921"/>
      <sheetName val="_2_Reserve21"/>
      <sheetName val="Listings_96-0221"/>
      <sheetName val="5Y_v2_1428"/>
      <sheetName val="All_Data21"/>
      <sheetName val="P_L21"/>
      <sheetName val="mdd_&amp;_co_Fdr_jan_02_21"/>
      <sheetName val="Project_Resource_Details21"/>
      <sheetName val="Balance_Sheet_21"/>
      <sheetName val="P&amp;L_Summary_Page21"/>
      <sheetName val="Axis_Bank_Cheques21"/>
      <sheetName val="Master_Sheet21"/>
      <sheetName val="12_04_0921"/>
      <sheetName val="Debtors_Ageing21"/>
      <sheetName val="Excess_Calc21"/>
      <sheetName val="M_G_P-201021"/>
      <sheetName val="AR_JAN'0219"/>
      <sheetName val="NLD_-_Assum19"/>
      <sheetName val="1_-_A_(Narrative)21"/>
      <sheetName val="Cash_Flows21"/>
      <sheetName val="Val_&amp;_Multp21"/>
      <sheetName val="Heating_Div21"/>
      <sheetName val="All_other_Div's21"/>
      <sheetName val="Mkt_Mult21"/>
      <sheetName val="Trans_Mult21"/>
      <sheetName val="Locked_cell19"/>
      <sheetName val="P&amp;L_February19"/>
      <sheetName val="P&amp;L_Feb_2001_cumulative19"/>
      <sheetName val="SAP_-_Rightpak21"/>
      <sheetName val="Maint_Def_Rev_03-0421"/>
      <sheetName val="New-Growth_Def_Rev_03-0421"/>
      <sheetName val="Perpetual_Def_Rev_03-0421"/>
      <sheetName val="Renewal_Def_Rev_03-0421"/>
      <sheetName val="FINAL_SHEET19"/>
      <sheetName val="Base_Data19"/>
      <sheetName val="PARTY_DETAILS19"/>
      <sheetName val="Transaction_Inputs17"/>
      <sheetName val="Q1_Bookings_-_Pers_-_Attainme17"/>
      <sheetName val="Please_do_not_USE_or_DELETE16"/>
      <sheetName val="Grouping_TB16"/>
      <sheetName val="Travel_Expense_Report(1week)17"/>
      <sheetName val="Base_Info16"/>
      <sheetName val="RCC,Ret__Wall16"/>
      <sheetName val="MR08'_Cost_Manag17"/>
      <sheetName val="Wavg_RM17"/>
      <sheetName val="Resource_Type16"/>
      <sheetName val="Year_2003-04_Plan16"/>
      <sheetName val="Lic_Rev_Account_Lookup_Table16"/>
      <sheetName val="Input_Screen16"/>
      <sheetName val="Verification_16"/>
      <sheetName val="F_Assets17"/>
      <sheetName val="QTY__PROV_LAB16"/>
      <sheetName val="1_2_HDFC_Collection16"/>
      <sheetName val="Fx_Rates16"/>
      <sheetName val="AS21SchE_-_9M070816"/>
      <sheetName val="Consolidation__Rs16"/>
      <sheetName val="Power_Cost_sheet16"/>
      <sheetName val="Steam_Cost_Sheet16"/>
      <sheetName val="Query_Results_ALL16"/>
      <sheetName val="TB_Round16"/>
      <sheetName val="Sales_&amp;Sale_Cost16"/>
      <sheetName val="Cash_Flow-WSL_Base_Fcst16"/>
      <sheetName val="mar_rep_rev17"/>
      <sheetName val="CF_SALE_W_OFF_01-0217"/>
      <sheetName val="stock_data17"/>
      <sheetName val="Tools_Rev16"/>
      <sheetName val="Cheops_BS16"/>
      <sheetName val="STAFFSCHED_16"/>
      <sheetName val="Info_on_Rupee_Cost16"/>
      <sheetName val="stat_C_(2)16"/>
      <sheetName val="Bal_Sheet16"/>
      <sheetName val="Non-Statistical_Sampling_Mast16"/>
      <sheetName val="Two_Step_Revenue_Testing_Mast16"/>
      <sheetName val="Global_Data16"/>
      <sheetName val="Project_Info16"/>
      <sheetName val="Détails_plans_d'actions16"/>
      <sheetName val="Debraj_Sinha16"/>
      <sheetName val="Occ,_Other_Rev,_Exp,_Dispo16"/>
      <sheetName val="P1_RM16"/>
      <sheetName val="LEGAL_GUJ16"/>
      <sheetName val="IIL_Payroll16"/>
      <sheetName val="License_Area16"/>
      <sheetName val="CABLE_DATA15"/>
      <sheetName val="LINK_GAP15"/>
      <sheetName val="CLP_Value_Driver_(14)_Dec_Old15"/>
      <sheetName val="Consolidate_Trial_Dec_0615"/>
      <sheetName val="Rising_Main15"/>
      <sheetName val="Civil_Boq15"/>
      <sheetName val="comet_cur_act1"/>
      <sheetName val="AP_RA99-0631"/>
      <sheetName val="HV_RA99-0631"/>
      <sheetName val="IN_RA99-0631"/>
      <sheetName val="CH_RA99-0631"/>
      <sheetName val="TH_RA99-0631"/>
      <sheetName val="HZ_RA99-0631"/>
      <sheetName val="Trial_Balance30"/>
      <sheetName val="Total_MG_30"/>
      <sheetName val="Op_Plan_Sales31"/>
      <sheetName val="IT_Only30"/>
      <sheetName val="May_0920"/>
      <sheetName val="Price_Testing_-_Used_-_129"/>
      <sheetName val="M_B-QtyRecn31"/>
      <sheetName val="Input_schedule30"/>
      <sheetName val="Sales_&amp;_Marketing_Dashboard30"/>
      <sheetName val="TPM_Tot30"/>
      <sheetName val="Sept_'9930"/>
      <sheetName val="Chart_of_Accounts30"/>
      <sheetName val="Opening_Balance27"/>
      <sheetName val="3_Yr_Revenue_Analysis(old)20"/>
      <sheetName val="Cash_Flow_727"/>
      <sheetName val="FBT_Full30"/>
      <sheetName val="Other_notes30"/>
      <sheetName val="consolidated_Budget30"/>
      <sheetName val="Push_Diag_on_Premise27"/>
      <sheetName val="CChannel_Attract_Input27"/>
      <sheetName val="Amortization_Table20"/>
      <sheetName val="New_form_3CD_A20"/>
      <sheetName val="riola_don't_know_9-26-9920"/>
      <sheetName val="_2_Reserve20"/>
      <sheetName val="Listings_96-0220"/>
      <sheetName val="5Y_v2_1427"/>
      <sheetName val="All_Data20"/>
      <sheetName val="P_L20"/>
      <sheetName val="mdd_&amp;_co_Fdr_jan_02_20"/>
      <sheetName val="Project_Resource_Details20"/>
      <sheetName val="Balance_Sheet_20"/>
      <sheetName val="P&amp;L_Summary_Page20"/>
      <sheetName val="Axis_Bank_Cheques20"/>
      <sheetName val="Master_Sheet20"/>
      <sheetName val="12_04_0920"/>
      <sheetName val="Debtors_Ageing20"/>
      <sheetName val="Excess_Calc20"/>
      <sheetName val="M_G_P-201020"/>
      <sheetName val="AR_JAN'0218"/>
      <sheetName val="NLD_-_Assum18"/>
      <sheetName val="1_-_A_(Narrative)20"/>
      <sheetName val="Cash_Flows20"/>
      <sheetName val="Val_&amp;_Multp20"/>
      <sheetName val="Heating_Div20"/>
      <sheetName val="All_other_Div's20"/>
      <sheetName val="Mkt_Mult20"/>
      <sheetName val="Trans_Mult20"/>
      <sheetName val="Locked_cell18"/>
      <sheetName val="P&amp;L_February18"/>
      <sheetName val="P&amp;L_Feb_2001_cumulative18"/>
      <sheetName val="SAP_-_Rightpak20"/>
      <sheetName val="Maint_Def_Rev_03-0420"/>
      <sheetName val="New-Growth_Def_Rev_03-0420"/>
      <sheetName val="Perpetual_Def_Rev_03-0420"/>
      <sheetName val="Renewal_Def_Rev_03-0420"/>
      <sheetName val="FINAL_SHEET18"/>
      <sheetName val="Base_Data18"/>
      <sheetName val="PARTY_DETAILS18"/>
      <sheetName val="Transaction_Inputs16"/>
      <sheetName val="Q1_Bookings_-_Pers_-_Attainme16"/>
      <sheetName val="Please_do_not_USE_or_DELETE15"/>
      <sheetName val="Grouping_TB15"/>
      <sheetName val="Travel_Expense_Report(1week)16"/>
      <sheetName val="Base_Info15"/>
      <sheetName val="RCC,Ret__Wall15"/>
      <sheetName val="MR08'_Cost_Manag16"/>
      <sheetName val="Wavg_RM16"/>
      <sheetName val="Resource_Type15"/>
      <sheetName val="Year_2003-04_Plan15"/>
      <sheetName val="Lic_Rev_Account_Lookup_Table15"/>
      <sheetName val="Input_Screen15"/>
      <sheetName val="Verification_15"/>
      <sheetName val="F_Assets16"/>
      <sheetName val="QTY__PROV_LAB15"/>
      <sheetName val="1_2_HDFC_Collection15"/>
      <sheetName val="Fx_Rates15"/>
      <sheetName val="AS21SchE_-_9M070815"/>
      <sheetName val="Consolidation__Rs15"/>
      <sheetName val="Power_Cost_sheet15"/>
      <sheetName val="Steam_Cost_Sheet15"/>
      <sheetName val="Query_Results_ALL15"/>
      <sheetName val="TB_Round15"/>
      <sheetName val="Sales_&amp;Sale_Cost15"/>
      <sheetName val="Cash_Flow-WSL_Base_Fcst15"/>
      <sheetName val="mar_rep_rev16"/>
      <sheetName val="CF_SALE_W_OFF_01-0216"/>
      <sheetName val="stock_data16"/>
      <sheetName val="Tools_Rev15"/>
      <sheetName val="Cheops_BS15"/>
      <sheetName val="STAFFSCHED_15"/>
      <sheetName val="Info_on_Rupee_Cost15"/>
      <sheetName val="stat_C_(2)15"/>
      <sheetName val="Bal_Sheet15"/>
      <sheetName val="Non-Statistical_Sampling_Mast15"/>
      <sheetName val="Two_Step_Revenue_Testing_Mast15"/>
      <sheetName val="Global_Data15"/>
      <sheetName val="Project_Info15"/>
      <sheetName val="Détails_plans_d'actions15"/>
      <sheetName val="Debraj_Sinha15"/>
      <sheetName val="Occ,_Other_Rev,_Exp,_Dispo15"/>
      <sheetName val="P1_RM15"/>
      <sheetName val="LEGAL_GUJ15"/>
      <sheetName val="IIL_Payroll15"/>
      <sheetName val="License_Area15"/>
      <sheetName val="CABLE_DATA14"/>
      <sheetName val="LINK_GAP14"/>
      <sheetName val="CLP_Value_Driver_(14)_Dec_Old14"/>
      <sheetName val="Consolidate_Trial_Dec_0614"/>
      <sheetName val="Rising_Main14"/>
      <sheetName val="Civil_Boq14"/>
      <sheetName val="AP_RA99-0633"/>
      <sheetName val="HV_RA99-0633"/>
      <sheetName val="IN_RA99-0633"/>
      <sheetName val="CH_RA99-0633"/>
      <sheetName val="TH_RA99-0633"/>
      <sheetName val="HZ_RA99-0633"/>
      <sheetName val="Trial_Balance32"/>
      <sheetName val="Total_MG_32"/>
      <sheetName val="Op_Plan_Sales33"/>
      <sheetName val="IT_Only32"/>
      <sheetName val="May_0922"/>
      <sheetName val="Price_Testing_-_Used_-_131"/>
      <sheetName val="M_B-QtyRecn33"/>
      <sheetName val="Input_schedule32"/>
      <sheetName val="Sales_&amp;_Marketing_Dashboard32"/>
      <sheetName val="TPM_Tot32"/>
      <sheetName val="Sept_'9932"/>
      <sheetName val="Chart_of_Accounts32"/>
      <sheetName val="Opening_Balance29"/>
      <sheetName val="3_Yr_Revenue_Analysis(old)22"/>
      <sheetName val="Cash_Flow_729"/>
      <sheetName val="FBT_Full32"/>
      <sheetName val="Other_notes32"/>
      <sheetName val="consolidated_Budget32"/>
      <sheetName val="Push_Diag_on_Premise29"/>
      <sheetName val="CChannel_Attract_Input29"/>
      <sheetName val="Amortization_Table22"/>
      <sheetName val="New_form_3CD_A22"/>
      <sheetName val="riola_don't_know_9-26-9922"/>
      <sheetName val="_2_Reserve22"/>
      <sheetName val="Listings_96-0222"/>
      <sheetName val="5Y_v2_1429"/>
      <sheetName val="All_Data22"/>
      <sheetName val="P_L22"/>
      <sheetName val="mdd_&amp;_co_Fdr_jan_02_22"/>
      <sheetName val="Project_Resource_Details22"/>
      <sheetName val="Balance_Sheet_22"/>
      <sheetName val="P&amp;L_Summary_Page22"/>
      <sheetName val="Axis_Bank_Cheques22"/>
      <sheetName val="Master_Sheet22"/>
      <sheetName val="12_04_0922"/>
      <sheetName val="Debtors_Ageing22"/>
      <sheetName val="Excess_Calc22"/>
      <sheetName val="M_G_P-201022"/>
      <sheetName val="AR_JAN'0220"/>
      <sheetName val="NLD_-_Assum20"/>
      <sheetName val="1_-_A_(Narrative)22"/>
      <sheetName val="Cash_Flows22"/>
      <sheetName val="Val_&amp;_Multp22"/>
      <sheetName val="Heating_Div22"/>
      <sheetName val="All_other_Div's22"/>
      <sheetName val="Mkt_Mult22"/>
      <sheetName val="Trans_Mult22"/>
      <sheetName val="Locked_cell20"/>
      <sheetName val="P&amp;L_February20"/>
      <sheetName val="P&amp;L_Feb_2001_cumulative20"/>
      <sheetName val="SAP_-_Rightpak22"/>
      <sheetName val="Maint_Def_Rev_03-0422"/>
      <sheetName val="New-Growth_Def_Rev_03-0422"/>
      <sheetName val="Perpetual_Def_Rev_03-0422"/>
      <sheetName val="Renewal_Def_Rev_03-0422"/>
      <sheetName val="FINAL_SHEET20"/>
      <sheetName val="Base_Data20"/>
      <sheetName val="PARTY_DETAILS20"/>
      <sheetName val="Transaction_Inputs18"/>
      <sheetName val="Q1_Bookings_-_Pers_-_Attainme18"/>
      <sheetName val="Please_do_not_USE_or_DELETE17"/>
      <sheetName val="Grouping_TB17"/>
      <sheetName val="Travel_Expense_Report(1week)18"/>
      <sheetName val="Base_Info17"/>
      <sheetName val="RCC,Ret__Wall17"/>
      <sheetName val="MR08'_Cost_Manag18"/>
      <sheetName val="Wavg_RM18"/>
      <sheetName val="Resource_Type17"/>
      <sheetName val="Year_2003-04_Plan17"/>
      <sheetName val="Lic_Rev_Account_Lookup_Table17"/>
      <sheetName val="Input_Screen17"/>
      <sheetName val="Verification_17"/>
      <sheetName val="F_Assets18"/>
      <sheetName val="QTY__PROV_LAB17"/>
      <sheetName val="1_2_HDFC_Collection17"/>
      <sheetName val="Fx_Rates17"/>
      <sheetName val="AS21SchE_-_9M070817"/>
      <sheetName val="Consolidation__Rs17"/>
      <sheetName val="Power_Cost_sheet17"/>
      <sheetName val="Steam_Cost_Sheet17"/>
      <sheetName val="Query_Results_ALL17"/>
      <sheetName val="TB_Round17"/>
      <sheetName val="Sales_&amp;Sale_Cost17"/>
      <sheetName val="Cash_Flow-WSL_Base_Fcst17"/>
      <sheetName val="mar_rep_rev18"/>
      <sheetName val="CF_SALE_W_OFF_01-0218"/>
      <sheetName val="stock_data18"/>
      <sheetName val="Tools_Rev17"/>
      <sheetName val="Cheops_BS17"/>
      <sheetName val="STAFFSCHED_17"/>
      <sheetName val="Info_on_Rupee_Cost17"/>
      <sheetName val="stat_C_(2)17"/>
      <sheetName val="Bal_Sheet17"/>
      <sheetName val="Non-Statistical_Sampling_Mast17"/>
      <sheetName val="Two_Step_Revenue_Testing_Mast17"/>
      <sheetName val="Global_Data17"/>
      <sheetName val="Project_Info17"/>
      <sheetName val="Détails_plans_d'actions17"/>
      <sheetName val="Debraj_Sinha17"/>
      <sheetName val="Occ,_Other_Rev,_Exp,_Dispo17"/>
      <sheetName val="P1_RM17"/>
      <sheetName val="LEGAL_GUJ17"/>
      <sheetName val="IIL_Payroll17"/>
      <sheetName val="License_Area17"/>
      <sheetName val="CABLE_DATA16"/>
      <sheetName val="LINK_GAP16"/>
      <sheetName val="CLP_Value_Driver_(14)_Dec_Old16"/>
      <sheetName val="Consolidate_Trial_Dec_0616"/>
      <sheetName val="Rising_Main16"/>
      <sheetName val="Civil_Boq16"/>
      <sheetName val="comet_cur_act2"/>
      <sheetName val="AP_RA99-0634"/>
      <sheetName val="HV_RA99-0634"/>
      <sheetName val="IN_RA99-0634"/>
      <sheetName val="CH_RA99-0634"/>
      <sheetName val="TH_RA99-0634"/>
      <sheetName val="HZ_RA99-0634"/>
      <sheetName val="Trial_Balance33"/>
      <sheetName val="Total_MG_33"/>
      <sheetName val="Op_Plan_Sales34"/>
      <sheetName val="IT_Only33"/>
      <sheetName val="May_0923"/>
      <sheetName val="Price_Testing_-_Used_-_132"/>
      <sheetName val="M_B-QtyRecn34"/>
      <sheetName val="Input_schedule33"/>
      <sheetName val="Sales_&amp;_Marketing_Dashboard33"/>
      <sheetName val="TPM_Tot33"/>
      <sheetName val="Sept_'9933"/>
      <sheetName val="Chart_of_Accounts33"/>
      <sheetName val="Opening_Balance30"/>
      <sheetName val="3_Yr_Revenue_Analysis(old)23"/>
      <sheetName val="Cash_Flow_730"/>
      <sheetName val="FBT_Full33"/>
      <sheetName val="Other_notes33"/>
      <sheetName val="consolidated_Budget33"/>
      <sheetName val="Push_Diag_on_Premise30"/>
      <sheetName val="CChannel_Attract_Input30"/>
      <sheetName val="Amortization_Table23"/>
      <sheetName val="New_form_3CD_A23"/>
      <sheetName val="riola_don't_know_9-26-9923"/>
      <sheetName val="_2_Reserve23"/>
      <sheetName val="Listings_96-0223"/>
      <sheetName val="5Y_v2_1430"/>
      <sheetName val="All_Data23"/>
      <sheetName val="P_L23"/>
      <sheetName val="mdd_&amp;_co_Fdr_jan_02_23"/>
      <sheetName val="Project_Resource_Details23"/>
      <sheetName val="Balance_Sheet_23"/>
      <sheetName val="P&amp;L_Summary_Page23"/>
      <sheetName val="Axis_Bank_Cheques23"/>
      <sheetName val="Master_Sheet23"/>
      <sheetName val="12_04_0923"/>
      <sheetName val="Debtors_Ageing23"/>
      <sheetName val="Excess_Calc23"/>
      <sheetName val="M_G_P-201023"/>
      <sheetName val="AR_JAN'0221"/>
      <sheetName val="NLD_-_Assum21"/>
      <sheetName val="1_-_A_(Narrative)23"/>
      <sheetName val="Cash_Flows23"/>
      <sheetName val="Val_&amp;_Multp23"/>
      <sheetName val="Heating_Div23"/>
      <sheetName val="All_other_Div's23"/>
      <sheetName val="Mkt_Mult23"/>
      <sheetName val="Trans_Mult23"/>
      <sheetName val="Locked_cell21"/>
      <sheetName val="P&amp;L_February21"/>
      <sheetName val="P&amp;L_Feb_2001_cumulative21"/>
      <sheetName val="SAP_-_Rightpak23"/>
      <sheetName val="Maint_Def_Rev_03-0423"/>
      <sheetName val="New-Growth_Def_Rev_03-0423"/>
      <sheetName val="Perpetual_Def_Rev_03-0423"/>
      <sheetName val="Renewal_Def_Rev_03-0423"/>
      <sheetName val="FINAL_SHEET21"/>
      <sheetName val="Base_Data21"/>
      <sheetName val="PARTY_DETAILS21"/>
      <sheetName val="Transaction_Inputs19"/>
      <sheetName val="Q1_Bookings_-_Pers_-_Attainme19"/>
      <sheetName val="Please_do_not_USE_or_DELETE18"/>
      <sheetName val="Grouping_TB18"/>
      <sheetName val="Travel_Expense_Report(1week)19"/>
      <sheetName val="Base_Info18"/>
      <sheetName val="RCC,Ret__Wall18"/>
      <sheetName val="MR08'_Cost_Manag19"/>
      <sheetName val="Wavg_RM19"/>
      <sheetName val="Resource_Type18"/>
      <sheetName val="Year_2003-04_Plan18"/>
      <sheetName val="Lic_Rev_Account_Lookup_Table18"/>
      <sheetName val="Input_Screen18"/>
      <sheetName val="Verification_18"/>
      <sheetName val="F_Assets19"/>
      <sheetName val="QTY__PROV_LAB18"/>
      <sheetName val="1_2_HDFC_Collection18"/>
      <sheetName val="Fx_Rates18"/>
      <sheetName val="AS21SchE_-_9M070818"/>
      <sheetName val="Consolidation__Rs18"/>
      <sheetName val="Power_Cost_sheet18"/>
      <sheetName val="Steam_Cost_Sheet18"/>
      <sheetName val="Query_Results_ALL18"/>
      <sheetName val="TB_Round18"/>
      <sheetName val="Sales_&amp;Sale_Cost18"/>
      <sheetName val="Cash_Flow-WSL_Base_Fcst18"/>
      <sheetName val="mar_rep_rev19"/>
      <sheetName val="CF_SALE_W_OFF_01-0219"/>
      <sheetName val="stock_data19"/>
      <sheetName val="Tools_Rev18"/>
      <sheetName val="Cheops_BS18"/>
      <sheetName val="STAFFSCHED_18"/>
      <sheetName val="Info_on_Rupee_Cost18"/>
      <sheetName val="stat_C_(2)18"/>
      <sheetName val="Bal_Sheet18"/>
      <sheetName val="Non-Statistical_Sampling_Mast18"/>
      <sheetName val="Two_Step_Revenue_Testing_Mast18"/>
      <sheetName val="Global_Data18"/>
      <sheetName val="Project_Info18"/>
      <sheetName val="Détails_plans_d'actions18"/>
      <sheetName val="Debraj_Sinha18"/>
      <sheetName val="Occ,_Other_Rev,_Exp,_Dispo18"/>
      <sheetName val="P1_RM18"/>
      <sheetName val="LEGAL_GUJ18"/>
      <sheetName val="IIL_Payroll18"/>
      <sheetName val="License_Area18"/>
      <sheetName val="CABLE_DATA17"/>
      <sheetName val="LINK_GAP17"/>
      <sheetName val="CLP_Value_Driver_(14)_Dec_Old17"/>
      <sheetName val="Consolidate_Trial_Dec_0617"/>
      <sheetName val="Rising_Main17"/>
      <sheetName val="Civil_Boq17"/>
      <sheetName val="comet_cur_act3"/>
      <sheetName val="AP_RA99-0638"/>
      <sheetName val="HV_RA99-0638"/>
      <sheetName val="IN_RA99-0638"/>
      <sheetName val="CH_RA99-0638"/>
      <sheetName val="TH_RA99-0638"/>
      <sheetName val="HZ_RA99-0638"/>
      <sheetName val="Trial_Balance37"/>
      <sheetName val="Total_MG_37"/>
      <sheetName val="Op_Plan_Sales38"/>
      <sheetName val="IT_Only37"/>
      <sheetName val="May_0927"/>
      <sheetName val="Price_Testing_-_Used_-_136"/>
      <sheetName val="M_B-QtyRecn38"/>
      <sheetName val="Input_schedule37"/>
      <sheetName val="Sales_&amp;_Marketing_Dashboard37"/>
      <sheetName val="TPM_Tot37"/>
      <sheetName val="Sept_'9937"/>
      <sheetName val="Chart_of_Accounts37"/>
      <sheetName val="Opening_Balance34"/>
      <sheetName val="3_Yr_Revenue_Analysis(old)27"/>
      <sheetName val="Cash_Flow_734"/>
      <sheetName val="FBT_Full37"/>
      <sheetName val="Other_notes37"/>
      <sheetName val="consolidated_Budget37"/>
      <sheetName val="Push_Diag_on_Premise34"/>
      <sheetName val="CChannel_Attract_Input34"/>
      <sheetName val="Amortization_Table27"/>
      <sheetName val="New_form_3CD_A27"/>
      <sheetName val="riola_don't_know_9-26-9927"/>
      <sheetName val="_2_Reserve27"/>
      <sheetName val="Listings_96-0227"/>
      <sheetName val="5Y_v2_1434"/>
      <sheetName val="All_Data27"/>
      <sheetName val="P_L27"/>
      <sheetName val="mdd_&amp;_co_Fdr_jan_02_27"/>
      <sheetName val="Project_Resource_Details27"/>
      <sheetName val="Balance_Sheet_27"/>
      <sheetName val="P&amp;L_Summary_Page27"/>
      <sheetName val="Axis_Bank_Cheques27"/>
      <sheetName val="Master_Sheet27"/>
      <sheetName val="12_04_0927"/>
      <sheetName val="Debtors_Ageing27"/>
      <sheetName val="Excess_Calc27"/>
      <sheetName val="M_G_P-201027"/>
      <sheetName val="AR_JAN'0225"/>
      <sheetName val="NLD_-_Assum25"/>
      <sheetName val="1_-_A_(Narrative)27"/>
      <sheetName val="Cash_Flows27"/>
      <sheetName val="Val_&amp;_Multp27"/>
      <sheetName val="Heating_Div27"/>
      <sheetName val="All_other_Div's27"/>
      <sheetName val="Mkt_Mult27"/>
      <sheetName val="Trans_Mult27"/>
      <sheetName val="Locked_cell25"/>
      <sheetName val="P&amp;L_February25"/>
      <sheetName val="P&amp;L_Feb_2001_cumulative25"/>
      <sheetName val="SAP_-_Rightpak27"/>
      <sheetName val="Maint_Def_Rev_03-0427"/>
      <sheetName val="New-Growth_Def_Rev_03-0427"/>
      <sheetName val="Perpetual_Def_Rev_03-0427"/>
      <sheetName val="Renewal_Def_Rev_03-0427"/>
      <sheetName val="FINAL_SHEET25"/>
      <sheetName val="Base_Data25"/>
      <sheetName val="PARTY_DETAILS25"/>
      <sheetName val="Transaction_Inputs23"/>
      <sheetName val="Q1_Bookings_-_Pers_-_Attainme23"/>
      <sheetName val="Please_do_not_USE_or_DELETE22"/>
      <sheetName val="Grouping_TB22"/>
      <sheetName val="Travel_Expense_Report(1week)23"/>
      <sheetName val="Base_Info22"/>
      <sheetName val="RCC,Ret__Wall22"/>
      <sheetName val="MR08'_Cost_Manag23"/>
      <sheetName val="Wavg_RM23"/>
      <sheetName val="Resource_Type22"/>
      <sheetName val="Year_2003-04_Plan22"/>
      <sheetName val="Lic_Rev_Account_Lookup_Table22"/>
      <sheetName val="Input_Screen22"/>
      <sheetName val="Verification_22"/>
      <sheetName val="F_Assets23"/>
      <sheetName val="QTY__PROV_LAB22"/>
      <sheetName val="1_2_HDFC_Collection22"/>
      <sheetName val="Fx_Rates22"/>
      <sheetName val="AS21SchE_-_9M070822"/>
      <sheetName val="Consolidation__Rs22"/>
      <sheetName val="Power_Cost_sheet22"/>
      <sheetName val="Steam_Cost_Sheet22"/>
      <sheetName val="Query_Results_ALL22"/>
      <sheetName val="TB_Round22"/>
      <sheetName val="Sales_&amp;Sale_Cost22"/>
      <sheetName val="Cash_Flow-WSL_Base_Fcst22"/>
      <sheetName val="mar_rep_rev23"/>
      <sheetName val="CF_SALE_W_OFF_01-0223"/>
      <sheetName val="stock_data23"/>
      <sheetName val="Tools_Rev22"/>
      <sheetName val="Cheops_BS22"/>
      <sheetName val="STAFFSCHED_22"/>
      <sheetName val="Info_on_Rupee_Cost22"/>
      <sheetName val="stat_C_(2)22"/>
      <sheetName val="Bal_Sheet22"/>
      <sheetName val="Non-Statistical_Sampling_Mast22"/>
      <sheetName val="Two_Step_Revenue_Testing_Mast22"/>
      <sheetName val="Global_Data22"/>
      <sheetName val="Project_Info22"/>
      <sheetName val="Détails_plans_d'actions22"/>
      <sheetName val="Debraj_Sinha22"/>
      <sheetName val="Occ,_Other_Rev,_Exp,_Dispo22"/>
      <sheetName val="P1_RM22"/>
      <sheetName val="LEGAL_GUJ22"/>
      <sheetName val="IIL_Payroll22"/>
      <sheetName val="License_Area22"/>
      <sheetName val="CABLE_DATA21"/>
      <sheetName val="LINK_GAP21"/>
      <sheetName val="CLP_Value_Driver_(14)_Dec_Old21"/>
      <sheetName val="Consolidate_Trial_Dec_0621"/>
      <sheetName val="Rising_Main21"/>
      <sheetName val="Civil_Boq21"/>
      <sheetName val="comet_cur_act7"/>
      <sheetName val="Reports_List7"/>
      <sheetName val="Setup_Variables7"/>
      <sheetName val="AP_RA99-0636"/>
      <sheetName val="HV_RA99-0636"/>
      <sheetName val="IN_RA99-0636"/>
      <sheetName val="CH_RA99-0636"/>
      <sheetName val="TH_RA99-0636"/>
      <sheetName val="HZ_RA99-0636"/>
      <sheetName val="Trial_Balance35"/>
      <sheetName val="Total_MG_35"/>
      <sheetName val="Op_Plan_Sales36"/>
      <sheetName val="IT_Only35"/>
      <sheetName val="May_0925"/>
      <sheetName val="Price_Testing_-_Used_-_134"/>
      <sheetName val="M_B-QtyRecn36"/>
      <sheetName val="Input_schedule35"/>
      <sheetName val="Sales_&amp;_Marketing_Dashboard35"/>
      <sheetName val="TPM_Tot35"/>
      <sheetName val="Sept_'9935"/>
      <sheetName val="Chart_of_Accounts35"/>
      <sheetName val="Opening_Balance32"/>
      <sheetName val="3_Yr_Revenue_Analysis(old)25"/>
      <sheetName val="Cash_Flow_732"/>
      <sheetName val="FBT_Full35"/>
      <sheetName val="Other_notes35"/>
      <sheetName val="consolidated_Budget35"/>
      <sheetName val="Push_Diag_on_Premise32"/>
      <sheetName val="CChannel_Attract_Input32"/>
      <sheetName val="Amortization_Table25"/>
      <sheetName val="New_form_3CD_A25"/>
      <sheetName val="riola_don't_know_9-26-9925"/>
      <sheetName val="_2_Reserve25"/>
      <sheetName val="Listings_96-0225"/>
      <sheetName val="5Y_v2_1432"/>
      <sheetName val="All_Data25"/>
      <sheetName val="P_L25"/>
      <sheetName val="mdd_&amp;_co_Fdr_jan_02_25"/>
      <sheetName val="Project_Resource_Details25"/>
      <sheetName val="Balance_Sheet_25"/>
      <sheetName val="P&amp;L_Summary_Page25"/>
      <sheetName val="Axis_Bank_Cheques25"/>
      <sheetName val="Master_Sheet25"/>
      <sheetName val="12_04_0925"/>
      <sheetName val="Debtors_Ageing25"/>
      <sheetName val="Excess_Calc25"/>
      <sheetName val="M_G_P-201025"/>
      <sheetName val="AR_JAN'0223"/>
      <sheetName val="NLD_-_Assum23"/>
      <sheetName val="1_-_A_(Narrative)25"/>
      <sheetName val="Cash_Flows25"/>
      <sheetName val="Val_&amp;_Multp25"/>
      <sheetName val="Heating_Div25"/>
      <sheetName val="All_other_Div's25"/>
      <sheetName val="Mkt_Mult25"/>
      <sheetName val="Trans_Mult25"/>
      <sheetName val="Locked_cell23"/>
      <sheetName val="P&amp;L_February23"/>
      <sheetName val="P&amp;L_Feb_2001_cumulative23"/>
      <sheetName val="SAP_-_Rightpak25"/>
      <sheetName val="Maint_Def_Rev_03-0425"/>
      <sheetName val="New-Growth_Def_Rev_03-0425"/>
      <sheetName val="Perpetual_Def_Rev_03-0425"/>
      <sheetName val="Renewal_Def_Rev_03-0425"/>
      <sheetName val="FINAL_SHEET23"/>
      <sheetName val="Base_Data23"/>
      <sheetName val="PARTY_DETAILS23"/>
      <sheetName val="Transaction_Inputs21"/>
      <sheetName val="Q1_Bookings_-_Pers_-_Attainme21"/>
      <sheetName val="Please_do_not_USE_or_DELETE20"/>
      <sheetName val="Grouping_TB20"/>
      <sheetName val="Travel_Expense_Report(1week)21"/>
      <sheetName val="Base_Info20"/>
      <sheetName val="RCC,Ret__Wall20"/>
      <sheetName val="MR08'_Cost_Manag21"/>
      <sheetName val="Wavg_RM21"/>
      <sheetName val="Resource_Type20"/>
      <sheetName val="Year_2003-04_Plan20"/>
      <sheetName val="Lic_Rev_Account_Lookup_Table20"/>
      <sheetName val="Input_Screen20"/>
      <sheetName val="Verification_20"/>
      <sheetName val="F_Assets21"/>
      <sheetName val="QTY__PROV_LAB20"/>
      <sheetName val="1_2_HDFC_Collection20"/>
      <sheetName val="Fx_Rates20"/>
      <sheetName val="AS21SchE_-_9M070820"/>
      <sheetName val="Consolidation__Rs20"/>
      <sheetName val="Power_Cost_sheet20"/>
      <sheetName val="Steam_Cost_Sheet20"/>
      <sheetName val="Query_Results_ALL20"/>
      <sheetName val="TB_Round20"/>
      <sheetName val="Sales_&amp;Sale_Cost20"/>
      <sheetName val="Cash_Flow-WSL_Base_Fcst20"/>
      <sheetName val="mar_rep_rev21"/>
      <sheetName val="CF_SALE_W_OFF_01-0221"/>
      <sheetName val="stock_data21"/>
      <sheetName val="Tools_Rev20"/>
      <sheetName val="Cheops_BS20"/>
      <sheetName val="STAFFSCHED_20"/>
      <sheetName val="Info_on_Rupee_Cost20"/>
      <sheetName val="stat_C_(2)20"/>
      <sheetName val="Bal_Sheet20"/>
      <sheetName val="Non-Statistical_Sampling_Mast20"/>
      <sheetName val="Two_Step_Revenue_Testing_Mast20"/>
      <sheetName val="Global_Data20"/>
      <sheetName val="Project_Info20"/>
      <sheetName val="Détails_plans_d'actions20"/>
      <sheetName val="Debraj_Sinha20"/>
      <sheetName val="Occ,_Other_Rev,_Exp,_Dispo20"/>
      <sheetName val="P1_RM20"/>
      <sheetName val="LEGAL_GUJ20"/>
      <sheetName val="IIL_Payroll20"/>
      <sheetName val="License_Area20"/>
      <sheetName val="CABLE_DATA19"/>
      <sheetName val="LINK_GAP19"/>
      <sheetName val="CLP_Value_Driver_(14)_Dec_Old19"/>
      <sheetName val="Consolidate_Trial_Dec_0619"/>
      <sheetName val="Rising_Main19"/>
      <sheetName val="Civil_Boq19"/>
      <sheetName val="comet_cur_act5"/>
      <sheetName val="Reports_List5"/>
      <sheetName val="Setup_Variables5"/>
      <sheetName val="AP_RA99-0635"/>
      <sheetName val="HV_RA99-0635"/>
      <sheetName val="IN_RA99-0635"/>
      <sheetName val="CH_RA99-0635"/>
      <sheetName val="TH_RA99-0635"/>
      <sheetName val="HZ_RA99-0635"/>
      <sheetName val="Trial_Balance34"/>
      <sheetName val="Total_MG_34"/>
      <sheetName val="Op_Plan_Sales35"/>
      <sheetName val="IT_Only34"/>
      <sheetName val="May_0924"/>
      <sheetName val="Price_Testing_-_Used_-_133"/>
      <sheetName val="M_B-QtyRecn35"/>
      <sheetName val="Input_schedule34"/>
      <sheetName val="Sales_&amp;_Marketing_Dashboard34"/>
      <sheetName val="TPM_Tot34"/>
      <sheetName val="Sept_'9934"/>
      <sheetName val="Chart_of_Accounts34"/>
      <sheetName val="Opening_Balance31"/>
      <sheetName val="3_Yr_Revenue_Analysis(old)24"/>
      <sheetName val="Cash_Flow_731"/>
      <sheetName val="FBT_Full34"/>
      <sheetName val="Other_notes34"/>
      <sheetName val="consolidated_Budget34"/>
      <sheetName val="Push_Diag_on_Premise31"/>
      <sheetName val="CChannel_Attract_Input31"/>
      <sheetName val="Amortization_Table24"/>
      <sheetName val="New_form_3CD_A24"/>
      <sheetName val="riola_don't_know_9-26-9924"/>
      <sheetName val="_2_Reserve24"/>
      <sheetName val="Listings_96-0224"/>
      <sheetName val="5Y_v2_1431"/>
      <sheetName val="All_Data24"/>
      <sheetName val="P_L24"/>
      <sheetName val="mdd_&amp;_co_Fdr_jan_02_24"/>
      <sheetName val="Project_Resource_Details24"/>
      <sheetName val="Balance_Sheet_24"/>
      <sheetName val="P&amp;L_Summary_Page24"/>
      <sheetName val="Axis_Bank_Cheques24"/>
      <sheetName val="Master_Sheet24"/>
      <sheetName val="12_04_0924"/>
      <sheetName val="Debtors_Ageing24"/>
      <sheetName val="Excess_Calc24"/>
      <sheetName val="M_G_P-201024"/>
      <sheetName val="AR_JAN'0222"/>
      <sheetName val="NLD_-_Assum22"/>
      <sheetName val="1_-_A_(Narrative)24"/>
      <sheetName val="Cash_Flows24"/>
      <sheetName val="Val_&amp;_Multp24"/>
      <sheetName val="Heating_Div24"/>
      <sheetName val="All_other_Div's24"/>
      <sheetName val="Mkt_Mult24"/>
      <sheetName val="Trans_Mult24"/>
      <sheetName val="Locked_cell22"/>
      <sheetName val="P&amp;L_February22"/>
      <sheetName val="P&amp;L_Feb_2001_cumulative22"/>
      <sheetName val="SAP_-_Rightpak24"/>
      <sheetName val="Maint_Def_Rev_03-0424"/>
      <sheetName val="New-Growth_Def_Rev_03-0424"/>
      <sheetName val="Perpetual_Def_Rev_03-0424"/>
      <sheetName val="Renewal_Def_Rev_03-0424"/>
      <sheetName val="FINAL_SHEET22"/>
      <sheetName val="Base_Data22"/>
      <sheetName val="PARTY_DETAILS22"/>
      <sheetName val="Transaction_Inputs20"/>
      <sheetName val="Q1_Bookings_-_Pers_-_Attainme20"/>
      <sheetName val="Please_do_not_USE_or_DELETE19"/>
      <sheetName val="Grouping_TB19"/>
      <sheetName val="Travel_Expense_Report(1week)20"/>
      <sheetName val="Base_Info19"/>
      <sheetName val="RCC,Ret__Wall19"/>
      <sheetName val="MR08'_Cost_Manag20"/>
      <sheetName val="Wavg_RM20"/>
      <sheetName val="Resource_Type19"/>
      <sheetName val="Year_2003-04_Plan19"/>
      <sheetName val="Lic_Rev_Account_Lookup_Table19"/>
      <sheetName val="Input_Screen19"/>
      <sheetName val="Verification_19"/>
      <sheetName val="F_Assets20"/>
      <sheetName val="QTY__PROV_LAB19"/>
      <sheetName val="1_2_HDFC_Collection19"/>
      <sheetName val="Fx_Rates19"/>
      <sheetName val="AS21SchE_-_9M070819"/>
      <sheetName val="Consolidation__Rs19"/>
      <sheetName val="Power_Cost_sheet19"/>
      <sheetName val="Steam_Cost_Sheet19"/>
      <sheetName val="Query_Results_ALL19"/>
      <sheetName val="TB_Round19"/>
      <sheetName val="Sales_&amp;Sale_Cost19"/>
      <sheetName val="Cash_Flow-WSL_Base_Fcst19"/>
      <sheetName val="mar_rep_rev20"/>
      <sheetName val="CF_SALE_W_OFF_01-0220"/>
      <sheetName val="stock_data20"/>
      <sheetName val="Tools_Rev19"/>
      <sheetName val="Cheops_BS19"/>
      <sheetName val="STAFFSCHED_19"/>
      <sheetName val="Info_on_Rupee_Cost19"/>
      <sheetName val="stat_C_(2)19"/>
      <sheetName val="Bal_Sheet19"/>
      <sheetName val="Non-Statistical_Sampling_Mast19"/>
      <sheetName val="Two_Step_Revenue_Testing_Mast19"/>
      <sheetName val="Global_Data19"/>
      <sheetName val="Project_Info19"/>
      <sheetName val="Détails_plans_d'actions19"/>
      <sheetName val="Debraj_Sinha19"/>
      <sheetName val="Occ,_Other_Rev,_Exp,_Dispo19"/>
      <sheetName val="P1_RM19"/>
      <sheetName val="LEGAL_GUJ19"/>
      <sheetName val="IIL_Payroll19"/>
      <sheetName val="License_Area19"/>
      <sheetName val="CABLE_DATA18"/>
      <sheetName val="LINK_GAP18"/>
      <sheetName val="CLP_Value_Driver_(14)_Dec_Old18"/>
      <sheetName val="Consolidate_Trial_Dec_0618"/>
      <sheetName val="Rising_Main18"/>
      <sheetName val="Civil_Boq18"/>
      <sheetName val="comet_cur_act4"/>
      <sheetName val="Reports_List4"/>
      <sheetName val="Setup_Variables4"/>
      <sheetName val="AP_RA99-0637"/>
      <sheetName val="HV_RA99-0637"/>
      <sheetName val="IN_RA99-0637"/>
      <sheetName val="CH_RA99-0637"/>
      <sheetName val="TH_RA99-0637"/>
      <sheetName val="HZ_RA99-0637"/>
      <sheetName val="Trial_Balance36"/>
      <sheetName val="Total_MG_36"/>
      <sheetName val="Op_Plan_Sales37"/>
      <sheetName val="IT_Only36"/>
      <sheetName val="May_0926"/>
      <sheetName val="Price_Testing_-_Used_-_135"/>
      <sheetName val="M_B-QtyRecn37"/>
      <sheetName val="Input_schedule36"/>
      <sheetName val="Sales_&amp;_Marketing_Dashboard36"/>
      <sheetName val="TPM_Tot36"/>
      <sheetName val="Sept_'9936"/>
      <sheetName val="Chart_of_Accounts36"/>
      <sheetName val="Opening_Balance33"/>
      <sheetName val="3_Yr_Revenue_Analysis(old)26"/>
      <sheetName val="Cash_Flow_733"/>
      <sheetName val="FBT_Full36"/>
      <sheetName val="Other_notes36"/>
      <sheetName val="consolidated_Budget36"/>
      <sheetName val="Push_Diag_on_Premise33"/>
      <sheetName val="CChannel_Attract_Input33"/>
      <sheetName val="Amortization_Table26"/>
      <sheetName val="New_form_3CD_A26"/>
      <sheetName val="riola_don't_know_9-26-9926"/>
      <sheetName val="_2_Reserve26"/>
      <sheetName val="Listings_96-0226"/>
      <sheetName val="5Y_v2_1433"/>
      <sheetName val="All_Data26"/>
      <sheetName val="P_L26"/>
      <sheetName val="mdd_&amp;_co_Fdr_jan_02_26"/>
      <sheetName val="Project_Resource_Details26"/>
      <sheetName val="Balance_Sheet_26"/>
      <sheetName val="P&amp;L_Summary_Page26"/>
      <sheetName val="Axis_Bank_Cheques26"/>
      <sheetName val="Master_Sheet26"/>
      <sheetName val="12_04_0926"/>
      <sheetName val="Debtors_Ageing26"/>
      <sheetName val="Excess_Calc26"/>
      <sheetName val="M_G_P-201026"/>
      <sheetName val="AR_JAN'0224"/>
      <sheetName val="NLD_-_Assum24"/>
      <sheetName val="1_-_A_(Narrative)26"/>
      <sheetName val="Cash_Flows26"/>
      <sheetName val="Val_&amp;_Multp26"/>
      <sheetName val="Heating_Div26"/>
      <sheetName val="All_other_Div's26"/>
      <sheetName val="Mkt_Mult26"/>
      <sheetName val="Trans_Mult26"/>
      <sheetName val="Locked_cell24"/>
      <sheetName val="P&amp;L_February24"/>
      <sheetName val="P&amp;L_Feb_2001_cumulative24"/>
      <sheetName val="SAP_-_Rightpak26"/>
      <sheetName val="Maint_Def_Rev_03-0426"/>
      <sheetName val="New-Growth_Def_Rev_03-0426"/>
      <sheetName val="Perpetual_Def_Rev_03-0426"/>
      <sheetName val="Renewal_Def_Rev_03-0426"/>
      <sheetName val="FINAL_SHEET24"/>
      <sheetName val="Base_Data24"/>
      <sheetName val="PARTY_DETAILS24"/>
      <sheetName val="Transaction_Inputs22"/>
      <sheetName val="Q1_Bookings_-_Pers_-_Attainme22"/>
      <sheetName val="Please_do_not_USE_or_DELETE21"/>
      <sheetName val="Grouping_TB21"/>
      <sheetName val="Travel_Expense_Report(1week)22"/>
      <sheetName val="Base_Info21"/>
      <sheetName val="RCC,Ret__Wall21"/>
      <sheetName val="MR08'_Cost_Manag22"/>
      <sheetName val="Wavg_RM22"/>
      <sheetName val="Resource_Type21"/>
      <sheetName val="Year_2003-04_Plan21"/>
      <sheetName val="Lic_Rev_Account_Lookup_Table21"/>
      <sheetName val="Input_Screen21"/>
      <sheetName val="Verification_21"/>
      <sheetName val="F_Assets22"/>
      <sheetName val="QTY__PROV_LAB21"/>
      <sheetName val="1_2_HDFC_Collection21"/>
      <sheetName val="Fx_Rates21"/>
      <sheetName val="AS21SchE_-_9M070821"/>
      <sheetName val="Consolidation__Rs21"/>
      <sheetName val="Power_Cost_sheet21"/>
      <sheetName val="Steam_Cost_Sheet21"/>
      <sheetName val="Query_Results_ALL21"/>
      <sheetName val="TB_Round21"/>
      <sheetName val="Sales_&amp;Sale_Cost21"/>
      <sheetName val="Cash_Flow-WSL_Base_Fcst21"/>
      <sheetName val="mar_rep_rev22"/>
      <sheetName val="CF_SALE_W_OFF_01-0222"/>
      <sheetName val="stock_data22"/>
      <sheetName val="Tools_Rev21"/>
      <sheetName val="Cheops_BS21"/>
      <sheetName val="STAFFSCHED_21"/>
      <sheetName val="Info_on_Rupee_Cost21"/>
      <sheetName val="stat_C_(2)21"/>
      <sheetName val="Bal_Sheet21"/>
      <sheetName val="Non-Statistical_Sampling_Mast21"/>
      <sheetName val="Two_Step_Revenue_Testing_Mast21"/>
      <sheetName val="Global_Data21"/>
      <sheetName val="Project_Info21"/>
      <sheetName val="Détails_plans_d'actions21"/>
      <sheetName val="Debraj_Sinha21"/>
      <sheetName val="Occ,_Other_Rev,_Exp,_Dispo21"/>
      <sheetName val="P1_RM21"/>
      <sheetName val="LEGAL_GUJ21"/>
      <sheetName val="IIL_Payroll21"/>
      <sheetName val="License_Area21"/>
      <sheetName val="CABLE_DATA20"/>
      <sheetName val="LINK_GAP20"/>
      <sheetName val="CLP_Value_Driver_(14)_Dec_Old20"/>
      <sheetName val="Consolidate_Trial_Dec_0620"/>
      <sheetName val="Rising_Main20"/>
      <sheetName val="Civil_Boq20"/>
      <sheetName val="comet_cur_act6"/>
      <sheetName val="Reports_List6"/>
      <sheetName val="Setup_Variables6"/>
      <sheetName val="AP_RA99-0639"/>
      <sheetName val="HV_RA99-0639"/>
      <sheetName val="IN_RA99-0639"/>
      <sheetName val="CH_RA99-0639"/>
      <sheetName val="TH_RA99-0639"/>
      <sheetName val="HZ_RA99-0639"/>
      <sheetName val="Trial_Balance38"/>
      <sheetName val="Total_MG_38"/>
      <sheetName val="Op_Plan_Sales39"/>
      <sheetName val="IT_Only38"/>
      <sheetName val="May_0928"/>
      <sheetName val="Price_Testing_-_Used_-_137"/>
      <sheetName val="M_B-QtyRecn39"/>
      <sheetName val="Input_schedule38"/>
      <sheetName val="Sales_&amp;_Marketing_Dashboard38"/>
      <sheetName val="TPM_Tot38"/>
      <sheetName val="Sept_'9938"/>
      <sheetName val="Chart_of_Accounts38"/>
      <sheetName val="Opening_Balance35"/>
      <sheetName val="3_Yr_Revenue_Analysis(old)28"/>
      <sheetName val="Cash_Flow_735"/>
      <sheetName val="FBT_Full38"/>
      <sheetName val="Other_notes38"/>
      <sheetName val="consolidated_Budget38"/>
      <sheetName val="Push_Diag_on_Premise35"/>
      <sheetName val="CChannel_Attract_Input35"/>
      <sheetName val="Amortization_Table28"/>
      <sheetName val="New_form_3CD_A28"/>
      <sheetName val="riola_don't_know_9-26-9928"/>
      <sheetName val="_2_Reserve28"/>
      <sheetName val="Listings_96-0228"/>
      <sheetName val="5Y_v2_1435"/>
      <sheetName val="All_Data28"/>
      <sheetName val="P_L28"/>
      <sheetName val="mdd_&amp;_co_Fdr_jan_02_28"/>
      <sheetName val="Project_Resource_Details28"/>
      <sheetName val="Balance_Sheet_28"/>
      <sheetName val="P&amp;L_Summary_Page28"/>
      <sheetName val="Axis_Bank_Cheques28"/>
      <sheetName val="Master_Sheet28"/>
      <sheetName val="12_04_0928"/>
      <sheetName val="Debtors_Ageing28"/>
      <sheetName val="Excess_Calc28"/>
      <sheetName val="M_G_P-201028"/>
      <sheetName val="AR_JAN'0226"/>
      <sheetName val="NLD_-_Assum26"/>
      <sheetName val="1_-_A_(Narrative)28"/>
      <sheetName val="Cash_Flows28"/>
      <sheetName val="Val_&amp;_Multp28"/>
      <sheetName val="Heating_Div28"/>
      <sheetName val="All_other_Div's28"/>
      <sheetName val="Mkt_Mult28"/>
      <sheetName val="Trans_Mult28"/>
      <sheetName val="Locked_cell26"/>
      <sheetName val="P&amp;L_February26"/>
      <sheetName val="P&amp;L_Feb_2001_cumulative26"/>
      <sheetName val="SAP_-_Rightpak28"/>
      <sheetName val="Maint_Def_Rev_03-0428"/>
      <sheetName val="New-Growth_Def_Rev_03-0428"/>
      <sheetName val="Perpetual_Def_Rev_03-0428"/>
      <sheetName val="Renewal_Def_Rev_03-0428"/>
      <sheetName val="FINAL_SHEET26"/>
      <sheetName val="Base_Data26"/>
      <sheetName val="PARTY_DETAILS26"/>
      <sheetName val="Transaction_Inputs24"/>
      <sheetName val="Q1_Bookings_-_Pers_-_Attainme24"/>
      <sheetName val="Please_do_not_USE_or_DELETE23"/>
      <sheetName val="Grouping_TB23"/>
      <sheetName val="Travel_Expense_Report(1week)24"/>
      <sheetName val="Base_Info23"/>
      <sheetName val="RCC,Ret__Wall23"/>
      <sheetName val="MR08'_Cost_Manag24"/>
      <sheetName val="Wavg_RM24"/>
      <sheetName val="Resource_Type23"/>
      <sheetName val="Year_2003-04_Plan23"/>
      <sheetName val="Lic_Rev_Account_Lookup_Table23"/>
      <sheetName val="Input_Screen23"/>
      <sheetName val="Verification_23"/>
      <sheetName val="F_Assets24"/>
      <sheetName val="QTY__PROV_LAB23"/>
      <sheetName val="1_2_HDFC_Collection23"/>
      <sheetName val="Fx_Rates23"/>
      <sheetName val="AS21SchE_-_9M070823"/>
      <sheetName val="Consolidation__Rs23"/>
      <sheetName val="Power_Cost_sheet23"/>
      <sheetName val="Steam_Cost_Sheet23"/>
      <sheetName val="Query_Results_ALL23"/>
      <sheetName val="TB_Round23"/>
      <sheetName val="Sales_&amp;Sale_Cost23"/>
      <sheetName val="Cash_Flow-WSL_Base_Fcst23"/>
      <sheetName val="mar_rep_rev24"/>
      <sheetName val="CF_SALE_W_OFF_01-0224"/>
      <sheetName val="stock_data24"/>
      <sheetName val="Tools_Rev23"/>
      <sheetName val="Cheops_BS23"/>
      <sheetName val="STAFFSCHED_23"/>
      <sheetName val="Info_on_Rupee_Cost23"/>
      <sheetName val="stat_C_(2)23"/>
      <sheetName val="Bal_Sheet23"/>
      <sheetName val="Non-Statistical_Sampling_Mast23"/>
      <sheetName val="Two_Step_Revenue_Testing_Mast23"/>
      <sheetName val="Global_Data23"/>
      <sheetName val="Project_Info23"/>
      <sheetName val="Détails_plans_d'actions23"/>
      <sheetName val="Debraj_Sinha23"/>
      <sheetName val="Occ,_Other_Rev,_Exp,_Dispo23"/>
      <sheetName val="P1_RM23"/>
      <sheetName val="LEGAL_GUJ23"/>
      <sheetName val="IIL_Payroll23"/>
      <sheetName val="License_Area23"/>
      <sheetName val="CABLE_DATA22"/>
      <sheetName val="LINK_GAP22"/>
      <sheetName val="CLP_Value_Driver_(14)_Dec_Old22"/>
      <sheetName val="Consolidate_Trial_Dec_0622"/>
      <sheetName val="Rising_Main22"/>
      <sheetName val="Civil_Boq22"/>
      <sheetName val="comet_cur_act8"/>
      <sheetName val="Reports_List8"/>
      <sheetName val="Setup_Variables8"/>
      <sheetName val="A-2 MODULE"/>
      <sheetName val="A-3 MODULE"/>
      <sheetName val="SITE-RAMAGUNDAM"/>
      <sheetName val="MD'S RESI"/>
      <sheetName val="JAPANESE ACCM"/>
      <sheetName val="INDIAN GUEST HOUSE"/>
      <sheetName val="ANPARA-SITE "/>
      <sheetName val="A-1 MODULE"/>
      <sheetName val="Factor_Sheet"/>
      <sheetName val="MSU"/>
      <sheetName val="Conditions"/>
      <sheetName val="Liability Mgmt"/>
      <sheetName val="AP_RA99-0641"/>
      <sheetName val="HV_RA99-0641"/>
      <sheetName val="IN_RA99-0641"/>
      <sheetName val="CH_RA99-0641"/>
      <sheetName val="TH_RA99-0641"/>
      <sheetName val="HZ_RA99-0641"/>
      <sheetName val="Trial_Balance40"/>
      <sheetName val="Total_MG_40"/>
      <sheetName val="Op_Plan_Sales41"/>
      <sheetName val="IT_Only40"/>
      <sheetName val="May_0930"/>
      <sheetName val="Price_Testing_-_Used_-_139"/>
      <sheetName val="M_B-QtyRecn41"/>
      <sheetName val="Input_schedule40"/>
      <sheetName val="Sales_&amp;_Marketing_Dashboard40"/>
      <sheetName val="TPM_Tot40"/>
      <sheetName val="Sept_'9940"/>
      <sheetName val="Chart_of_Accounts40"/>
      <sheetName val="Opening_Balance37"/>
      <sheetName val="3_Yr_Revenue_Analysis(old)30"/>
      <sheetName val="Cash_Flow_737"/>
      <sheetName val="FBT_Full40"/>
      <sheetName val="Other_notes40"/>
      <sheetName val="consolidated_Budget40"/>
      <sheetName val="Push_Diag_on_Premise37"/>
      <sheetName val="CChannel_Attract_Input37"/>
      <sheetName val="Amortization_Table30"/>
      <sheetName val="New_form_3CD_A30"/>
      <sheetName val="riola_don't_know_9-26-9930"/>
      <sheetName val="_2_Reserve30"/>
      <sheetName val="Listings_96-0230"/>
      <sheetName val="5Y_v2_1437"/>
      <sheetName val="All_Data30"/>
      <sheetName val="P_L30"/>
      <sheetName val="mdd_&amp;_co_Fdr_jan_02_30"/>
      <sheetName val="Project_Resource_Details30"/>
      <sheetName val="Balance_Sheet_30"/>
      <sheetName val="P&amp;L_Summary_Page30"/>
      <sheetName val="Axis_Bank_Cheques30"/>
      <sheetName val="Master_Sheet30"/>
      <sheetName val="12_04_0930"/>
      <sheetName val="Debtors_Ageing30"/>
      <sheetName val="Excess_Calc30"/>
      <sheetName val="M_G_P-201030"/>
      <sheetName val="AR_JAN'0228"/>
      <sheetName val="NLD_-_Assum28"/>
      <sheetName val="1_-_A_(Narrative)30"/>
      <sheetName val="Cash_Flows30"/>
      <sheetName val="Val_&amp;_Multp30"/>
      <sheetName val="Heating_Div30"/>
      <sheetName val="All_other_Div's30"/>
      <sheetName val="Mkt_Mult30"/>
      <sheetName val="Trans_Mult30"/>
      <sheetName val="Locked_cell28"/>
      <sheetName val="P&amp;L_February28"/>
      <sheetName val="P&amp;L_Feb_2001_cumulative28"/>
      <sheetName val="SAP_-_Rightpak30"/>
      <sheetName val="Maint_Def_Rev_03-0430"/>
      <sheetName val="New-Growth_Def_Rev_03-0430"/>
      <sheetName val="Perpetual_Def_Rev_03-0430"/>
      <sheetName val="Renewal_Def_Rev_03-0430"/>
      <sheetName val="FINAL_SHEET28"/>
      <sheetName val="Base_Data28"/>
      <sheetName val="PARTY_DETAILS28"/>
      <sheetName val="Transaction_Inputs26"/>
      <sheetName val="Q1_Bookings_-_Pers_-_Attainme26"/>
      <sheetName val="Please_do_not_USE_or_DELETE25"/>
      <sheetName val="Grouping_TB25"/>
      <sheetName val="Travel_Expense_Report(1week)26"/>
      <sheetName val="Base_Info25"/>
      <sheetName val="RCC,Ret__Wall25"/>
      <sheetName val="MR08'_Cost_Manag26"/>
      <sheetName val="Wavg_RM26"/>
      <sheetName val="Resource_Type25"/>
      <sheetName val="Year_2003-04_Plan25"/>
      <sheetName val="Lic_Rev_Account_Lookup_Table25"/>
      <sheetName val="Input_Screen25"/>
      <sheetName val="Verification_25"/>
      <sheetName val="F_Assets26"/>
      <sheetName val="QTY__PROV_LAB25"/>
      <sheetName val="1_2_HDFC_Collection25"/>
      <sheetName val="Fx_Rates25"/>
      <sheetName val="AS21SchE_-_9M070825"/>
      <sheetName val="Consolidation__Rs25"/>
      <sheetName val="Power_Cost_sheet25"/>
      <sheetName val="Steam_Cost_Sheet25"/>
      <sheetName val="Query_Results_ALL25"/>
      <sheetName val="TB_Round25"/>
      <sheetName val="Sales_&amp;Sale_Cost25"/>
      <sheetName val="Cash_Flow-WSL_Base_Fcst25"/>
      <sheetName val="mar_rep_rev26"/>
      <sheetName val="CF_SALE_W_OFF_01-0226"/>
      <sheetName val="stock_data26"/>
      <sheetName val="Tools_Rev25"/>
      <sheetName val="Cheops_BS25"/>
      <sheetName val="STAFFSCHED_25"/>
      <sheetName val="Info_on_Rupee_Cost25"/>
      <sheetName val="stat_C_(2)25"/>
      <sheetName val="Bal_Sheet25"/>
      <sheetName val="Non-Statistical_Sampling_Mast25"/>
      <sheetName val="Two_Step_Revenue_Testing_Mast25"/>
      <sheetName val="Global_Data25"/>
      <sheetName val="Project_Info25"/>
      <sheetName val="Détails_plans_d'actions25"/>
      <sheetName val="Debraj_Sinha25"/>
      <sheetName val="Occ,_Other_Rev,_Exp,_Dispo25"/>
      <sheetName val="P1_RM25"/>
      <sheetName val="LEGAL_GUJ25"/>
      <sheetName val="IIL_Payroll25"/>
      <sheetName val="License_Area25"/>
      <sheetName val="CABLE_DATA24"/>
      <sheetName val="LINK_GAP24"/>
      <sheetName val="CLP_Value_Driver_(14)_Dec_Old24"/>
      <sheetName val="Consolidate_Trial_Dec_0624"/>
      <sheetName val="Rising_Main24"/>
      <sheetName val="Civil_Boq24"/>
      <sheetName val="comet_cur_act10"/>
      <sheetName val="Reports_List10"/>
      <sheetName val="Setup_Variables10"/>
      <sheetName val="AP_RA99-0640"/>
      <sheetName val="HV_RA99-0640"/>
      <sheetName val="IN_RA99-0640"/>
      <sheetName val="CH_RA99-0640"/>
      <sheetName val="TH_RA99-0640"/>
      <sheetName val="HZ_RA99-0640"/>
      <sheetName val="Trial_Balance39"/>
      <sheetName val="Total_MG_39"/>
      <sheetName val="Op_Plan_Sales40"/>
      <sheetName val="IT_Only39"/>
      <sheetName val="May_0929"/>
      <sheetName val="Price_Testing_-_Used_-_138"/>
      <sheetName val="M_B-QtyRecn40"/>
      <sheetName val="Input_schedule39"/>
      <sheetName val="Sales_&amp;_Marketing_Dashboard39"/>
      <sheetName val="TPM_Tot39"/>
      <sheetName val="Sept_'9939"/>
      <sheetName val="Chart_of_Accounts39"/>
      <sheetName val="Opening_Balance36"/>
      <sheetName val="3_Yr_Revenue_Analysis(old)29"/>
      <sheetName val="Cash_Flow_736"/>
      <sheetName val="FBT_Full39"/>
      <sheetName val="Other_notes39"/>
      <sheetName val="consolidated_Budget39"/>
      <sheetName val="Push_Diag_on_Premise36"/>
      <sheetName val="CChannel_Attract_Input36"/>
      <sheetName val="Amortization_Table29"/>
      <sheetName val="New_form_3CD_A29"/>
      <sheetName val="riola_don't_know_9-26-9929"/>
      <sheetName val="_2_Reserve29"/>
      <sheetName val="Listings_96-0229"/>
      <sheetName val="5Y_v2_1436"/>
      <sheetName val="All_Data29"/>
      <sheetName val="P_L29"/>
      <sheetName val="mdd_&amp;_co_Fdr_jan_02_29"/>
      <sheetName val="Project_Resource_Details29"/>
      <sheetName val="Balance_Sheet_29"/>
      <sheetName val="P&amp;L_Summary_Page29"/>
      <sheetName val="Axis_Bank_Cheques29"/>
      <sheetName val="Master_Sheet29"/>
      <sheetName val="12_04_0929"/>
      <sheetName val="Debtors_Ageing29"/>
      <sheetName val="Excess_Calc29"/>
      <sheetName val="M_G_P-201029"/>
      <sheetName val="AR_JAN'0227"/>
      <sheetName val="NLD_-_Assum27"/>
      <sheetName val="1_-_A_(Narrative)29"/>
      <sheetName val="Cash_Flows29"/>
      <sheetName val="Val_&amp;_Multp29"/>
      <sheetName val="Heating_Div29"/>
      <sheetName val="All_other_Div's29"/>
      <sheetName val="Mkt_Mult29"/>
      <sheetName val="Trans_Mult29"/>
      <sheetName val="Locked_cell27"/>
      <sheetName val="P&amp;L_February27"/>
      <sheetName val="P&amp;L_Feb_2001_cumulative27"/>
      <sheetName val="SAP_-_Rightpak29"/>
      <sheetName val="Maint_Def_Rev_03-0429"/>
      <sheetName val="New-Growth_Def_Rev_03-0429"/>
      <sheetName val="Perpetual_Def_Rev_03-0429"/>
      <sheetName val="Renewal_Def_Rev_03-0429"/>
      <sheetName val="FINAL_SHEET27"/>
      <sheetName val="Base_Data27"/>
      <sheetName val="PARTY_DETAILS27"/>
      <sheetName val="Transaction_Inputs25"/>
      <sheetName val="Q1_Bookings_-_Pers_-_Attainme25"/>
      <sheetName val="Please_do_not_USE_or_DELETE24"/>
      <sheetName val="Grouping_TB24"/>
      <sheetName val="Travel_Expense_Report(1week)25"/>
      <sheetName val="Base_Info24"/>
      <sheetName val="RCC,Ret__Wall24"/>
      <sheetName val="MR08'_Cost_Manag25"/>
      <sheetName val="Wavg_RM25"/>
      <sheetName val="Resource_Type24"/>
      <sheetName val="Year_2003-04_Plan24"/>
      <sheetName val="Lic_Rev_Account_Lookup_Table24"/>
      <sheetName val="Input_Screen24"/>
      <sheetName val="Verification_24"/>
      <sheetName val="F_Assets25"/>
      <sheetName val="QTY__PROV_LAB24"/>
      <sheetName val="1_2_HDFC_Collection24"/>
      <sheetName val="Fx_Rates24"/>
      <sheetName val="AS21SchE_-_9M070824"/>
      <sheetName val="Consolidation__Rs24"/>
      <sheetName val="Power_Cost_sheet24"/>
      <sheetName val="Steam_Cost_Sheet24"/>
      <sheetName val="Query_Results_ALL24"/>
      <sheetName val="TB_Round24"/>
      <sheetName val="Sales_&amp;Sale_Cost24"/>
      <sheetName val="Cash_Flow-WSL_Base_Fcst24"/>
      <sheetName val="mar_rep_rev25"/>
      <sheetName val="CF_SALE_W_OFF_01-0225"/>
      <sheetName val="stock_data25"/>
      <sheetName val="Tools_Rev24"/>
      <sheetName val="Cheops_BS24"/>
      <sheetName val="STAFFSCHED_24"/>
      <sheetName val="Info_on_Rupee_Cost24"/>
      <sheetName val="stat_C_(2)24"/>
      <sheetName val="Bal_Sheet24"/>
      <sheetName val="Non-Statistical_Sampling_Mast24"/>
      <sheetName val="Two_Step_Revenue_Testing_Mast24"/>
      <sheetName val="Global_Data24"/>
      <sheetName val="Project_Info24"/>
      <sheetName val="Détails_plans_d'actions24"/>
      <sheetName val="Debraj_Sinha24"/>
      <sheetName val="Occ,_Other_Rev,_Exp,_Dispo24"/>
      <sheetName val="P1_RM24"/>
      <sheetName val="LEGAL_GUJ24"/>
      <sheetName val="IIL_Payroll24"/>
      <sheetName val="License_Area24"/>
      <sheetName val="CABLE_DATA23"/>
      <sheetName val="LINK_GAP23"/>
      <sheetName val="CLP_Value_Driver_(14)_Dec_Old23"/>
      <sheetName val="Consolidate_Trial_Dec_0623"/>
      <sheetName val="Rising_Main23"/>
      <sheetName val="Civil_Boq23"/>
      <sheetName val="comet_cur_act9"/>
      <sheetName val="Reports_List9"/>
      <sheetName val="Setup_Variables9"/>
      <sheetName val="AP_RA99-0642"/>
      <sheetName val="HV_RA99-0642"/>
      <sheetName val="IN_RA99-0642"/>
      <sheetName val="CH_RA99-0642"/>
      <sheetName val="TH_RA99-0642"/>
      <sheetName val="HZ_RA99-0642"/>
      <sheetName val="Trial_Balance41"/>
      <sheetName val="Total_MG_41"/>
      <sheetName val="Op_Plan_Sales42"/>
      <sheetName val="IT_Only41"/>
      <sheetName val="May_0931"/>
      <sheetName val="Price_Testing_-_Used_-_140"/>
      <sheetName val="M_B-QtyRecn42"/>
      <sheetName val="Input_schedule41"/>
      <sheetName val="Sales_&amp;_Marketing_Dashboard41"/>
      <sheetName val="TPM_Tot41"/>
      <sheetName val="Sept_'9941"/>
      <sheetName val="Chart_of_Accounts41"/>
      <sheetName val="Opening_Balance38"/>
      <sheetName val="3_Yr_Revenue_Analysis(old)31"/>
      <sheetName val="Cash_Flow_738"/>
      <sheetName val="FBT_Full41"/>
      <sheetName val="Other_notes41"/>
      <sheetName val="consolidated_Budget41"/>
      <sheetName val="Push_Diag_on_Premise38"/>
      <sheetName val="CChannel_Attract_Input38"/>
      <sheetName val="Amortization_Table31"/>
      <sheetName val="New_form_3CD_A31"/>
      <sheetName val="riola_don't_know_9-26-9931"/>
      <sheetName val="_2_Reserve31"/>
      <sheetName val="Listings_96-0231"/>
      <sheetName val="5Y_v2_1438"/>
      <sheetName val="All_Data31"/>
      <sheetName val="P_L31"/>
      <sheetName val="mdd_&amp;_co_Fdr_jan_02_31"/>
      <sheetName val="Project_Resource_Details31"/>
      <sheetName val="Balance_Sheet_31"/>
      <sheetName val="P&amp;L_Summary_Page31"/>
      <sheetName val="Axis_Bank_Cheques31"/>
      <sheetName val="Master_Sheet31"/>
      <sheetName val="12_04_0931"/>
      <sheetName val="Debtors_Ageing31"/>
      <sheetName val="Excess_Calc31"/>
      <sheetName val="M_G_P-201031"/>
      <sheetName val="AR_JAN'0229"/>
      <sheetName val="NLD_-_Assum29"/>
      <sheetName val="1_-_A_(Narrative)31"/>
      <sheetName val="Cash_Flows31"/>
      <sheetName val="Val_&amp;_Multp31"/>
      <sheetName val="Heating_Div31"/>
      <sheetName val="All_other_Div's31"/>
      <sheetName val="Mkt_Mult31"/>
      <sheetName val="Trans_Mult31"/>
      <sheetName val="Locked_cell29"/>
      <sheetName val="P&amp;L_February29"/>
      <sheetName val="P&amp;L_Feb_2001_cumulative29"/>
      <sheetName val="SAP_-_Rightpak31"/>
      <sheetName val="Maint_Def_Rev_03-0431"/>
      <sheetName val="New-Growth_Def_Rev_03-0431"/>
      <sheetName val="Perpetual_Def_Rev_03-0431"/>
      <sheetName val="Renewal_Def_Rev_03-0431"/>
      <sheetName val="FINAL_SHEET29"/>
      <sheetName val="Base_Data29"/>
      <sheetName val="PARTY_DETAILS29"/>
      <sheetName val="Transaction_Inputs27"/>
      <sheetName val="Q1_Bookings_-_Pers_-_Attainme27"/>
      <sheetName val="Please_do_not_USE_or_DELETE26"/>
      <sheetName val="Grouping_TB26"/>
      <sheetName val="Travel_Expense_Report(1week)27"/>
      <sheetName val="Base_Info26"/>
      <sheetName val="RCC,Ret__Wall26"/>
      <sheetName val="MR08'_Cost_Manag27"/>
      <sheetName val="Wavg_RM27"/>
      <sheetName val="Resource_Type26"/>
      <sheetName val="Year_2003-04_Plan26"/>
      <sheetName val="Lic_Rev_Account_Lookup_Table26"/>
      <sheetName val="Input_Screen26"/>
      <sheetName val="Verification_26"/>
      <sheetName val="F_Assets27"/>
      <sheetName val="QTY__PROV_LAB26"/>
      <sheetName val="1_2_HDFC_Collection26"/>
      <sheetName val="Fx_Rates26"/>
      <sheetName val="AS21SchE_-_9M070826"/>
      <sheetName val="Consolidation__Rs26"/>
      <sheetName val="Power_Cost_sheet26"/>
      <sheetName val="Steam_Cost_Sheet26"/>
      <sheetName val="Query_Results_ALL26"/>
      <sheetName val="TB_Round26"/>
      <sheetName val="Sales_&amp;Sale_Cost26"/>
      <sheetName val="Cash_Flow-WSL_Base_Fcst26"/>
      <sheetName val="mar_rep_rev27"/>
      <sheetName val="CF_SALE_W_OFF_01-0227"/>
      <sheetName val="stock_data27"/>
      <sheetName val="Tools_Rev26"/>
      <sheetName val="Cheops_BS26"/>
      <sheetName val="STAFFSCHED_26"/>
      <sheetName val="Info_on_Rupee_Cost26"/>
      <sheetName val="stat_C_(2)26"/>
      <sheetName val="Bal_Sheet26"/>
      <sheetName val="Non-Statistical_Sampling_Mast26"/>
      <sheetName val="Two_Step_Revenue_Testing_Mast26"/>
      <sheetName val="Global_Data26"/>
      <sheetName val="Project_Info26"/>
      <sheetName val="Détails_plans_d'actions26"/>
      <sheetName val="Debraj_Sinha26"/>
      <sheetName val="Occ,_Other_Rev,_Exp,_Dispo26"/>
      <sheetName val="P1_RM26"/>
      <sheetName val="LEGAL_GUJ26"/>
      <sheetName val="IIL_Payroll26"/>
      <sheetName val="License_Area26"/>
      <sheetName val="CABLE_DATA25"/>
      <sheetName val="LINK_GAP25"/>
      <sheetName val="CLP_Value_Driver_(14)_Dec_Old25"/>
      <sheetName val="Consolidate_Trial_Dec_0625"/>
      <sheetName val="Rising_Main25"/>
      <sheetName val="Civil_Boq25"/>
      <sheetName val="comet_cur_act11"/>
      <sheetName val="Reports_List11"/>
      <sheetName val="Setup_Variables11"/>
      <sheetName val="AP_RA99-0643"/>
      <sheetName val="HV_RA99-0643"/>
      <sheetName val="IN_RA99-0643"/>
      <sheetName val="CH_RA99-0643"/>
      <sheetName val="TH_RA99-0643"/>
      <sheetName val="HZ_RA99-0643"/>
      <sheetName val="Trial_Balance42"/>
      <sheetName val="Total_MG_42"/>
      <sheetName val="Op_Plan_Sales43"/>
      <sheetName val="IT_Only42"/>
      <sheetName val="May_0932"/>
      <sheetName val="Price_Testing_-_Used_-_141"/>
      <sheetName val="M_B-QtyRecn43"/>
      <sheetName val="Input_schedule42"/>
      <sheetName val="Sales_&amp;_Marketing_Dashboard42"/>
      <sheetName val="TPM_Tot42"/>
      <sheetName val="Sept_'9942"/>
      <sheetName val="Chart_of_Accounts42"/>
      <sheetName val="Opening_Balance39"/>
      <sheetName val="3_Yr_Revenue_Analysis(old)32"/>
      <sheetName val="Cash_Flow_739"/>
      <sheetName val="FBT_Full42"/>
      <sheetName val="Other_notes42"/>
      <sheetName val="consolidated_Budget42"/>
      <sheetName val="Push_Diag_on_Premise39"/>
      <sheetName val="CChannel_Attract_Input39"/>
      <sheetName val="Amortization_Table32"/>
      <sheetName val="New_form_3CD_A32"/>
      <sheetName val="riola_don't_know_9-26-9932"/>
      <sheetName val="_2_Reserve32"/>
      <sheetName val="Listings_96-0232"/>
      <sheetName val="5Y_v2_1439"/>
      <sheetName val="All_Data32"/>
      <sheetName val="P_L32"/>
      <sheetName val="mdd_&amp;_co_Fdr_jan_02_32"/>
      <sheetName val="Project_Resource_Details32"/>
      <sheetName val="Balance_Sheet_32"/>
      <sheetName val="P&amp;L_Summary_Page32"/>
      <sheetName val="Axis_Bank_Cheques32"/>
      <sheetName val="Master_Sheet32"/>
      <sheetName val="12_04_0932"/>
      <sheetName val="Debtors_Ageing32"/>
      <sheetName val="Excess_Calc32"/>
      <sheetName val="M_G_P-201032"/>
      <sheetName val="AR_JAN'0230"/>
      <sheetName val="NLD_-_Assum30"/>
      <sheetName val="1_-_A_(Narrative)32"/>
      <sheetName val="Cash_Flows32"/>
      <sheetName val="Val_&amp;_Multp32"/>
      <sheetName val="Heating_Div32"/>
      <sheetName val="All_other_Div's32"/>
      <sheetName val="Mkt_Mult32"/>
      <sheetName val="Trans_Mult32"/>
      <sheetName val="Locked_cell30"/>
      <sheetName val="P&amp;L_February30"/>
      <sheetName val="P&amp;L_Feb_2001_cumulative30"/>
      <sheetName val="SAP_-_Rightpak32"/>
      <sheetName val="Maint_Def_Rev_03-0432"/>
      <sheetName val="New-Growth_Def_Rev_03-0432"/>
      <sheetName val="Perpetual_Def_Rev_03-0432"/>
      <sheetName val="Renewal_Def_Rev_03-0432"/>
      <sheetName val="FINAL_SHEET30"/>
      <sheetName val="Base_Data30"/>
      <sheetName val="PARTY_DETAILS30"/>
      <sheetName val="Transaction_Inputs28"/>
      <sheetName val="Q1_Bookings_-_Pers_-_Attainme28"/>
      <sheetName val="Please_do_not_USE_or_DELETE27"/>
      <sheetName val="Grouping_TB27"/>
      <sheetName val="Travel_Expense_Report(1week)28"/>
      <sheetName val="Base_Info27"/>
      <sheetName val="RCC,Ret__Wall27"/>
      <sheetName val="MR08'_Cost_Manag28"/>
      <sheetName val="Wavg_RM28"/>
      <sheetName val="Resource_Type27"/>
      <sheetName val="Year_2003-04_Plan27"/>
      <sheetName val="Lic_Rev_Account_Lookup_Table27"/>
      <sheetName val="Input_Screen27"/>
      <sheetName val="Verification_27"/>
      <sheetName val="F_Assets28"/>
      <sheetName val="QTY__PROV_LAB27"/>
      <sheetName val="1_2_HDFC_Collection27"/>
      <sheetName val="Fx_Rates27"/>
      <sheetName val="AS21SchE_-_9M070827"/>
      <sheetName val="Consolidation__Rs27"/>
      <sheetName val="Power_Cost_sheet27"/>
      <sheetName val="Steam_Cost_Sheet27"/>
      <sheetName val="Query_Results_ALL27"/>
      <sheetName val="TB_Round27"/>
      <sheetName val="Sales_&amp;Sale_Cost27"/>
      <sheetName val="Cash_Flow-WSL_Base_Fcst27"/>
      <sheetName val="mar_rep_rev28"/>
      <sheetName val="CF_SALE_W_OFF_01-0228"/>
      <sheetName val="stock_data28"/>
      <sheetName val="Tools_Rev27"/>
      <sheetName val="Cheops_BS27"/>
      <sheetName val="STAFFSCHED_27"/>
      <sheetName val="Info_on_Rupee_Cost27"/>
      <sheetName val="stat_C_(2)27"/>
      <sheetName val="Bal_Sheet27"/>
      <sheetName val="Non-Statistical_Sampling_Mast27"/>
      <sheetName val="Two_Step_Revenue_Testing_Mast27"/>
      <sheetName val="Global_Data27"/>
      <sheetName val="Project_Info27"/>
      <sheetName val="Détails_plans_d'actions27"/>
      <sheetName val="Debraj_Sinha27"/>
      <sheetName val="Occ,_Other_Rev,_Exp,_Dispo27"/>
      <sheetName val="P1_RM27"/>
      <sheetName val="LEGAL_GUJ27"/>
      <sheetName val="IIL_Payroll27"/>
      <sheetName val="License_Area27"/>
      <sheetName val="CABLE_DATA26"/>
      <sheetName val="LINK_GAP26"/>
      <sheetName val="CLP_Value_Driver_(14)_Dec_Old26"/>
      <sheetName val="Consolidate_Trial_Dec_0626"/>
      <sheetName val="Rising_Main26"/>
      <sheetName val="Civil_Boq26"/>
      <sheetName val="comet_cur_act12"/>
      <sheetName val="Reports_List12"/>
      <sheetName val="Setup_Variables12"/>
      <sheetName val="AP_RA99-0645"/>
      <sheetName val="HV_RA99-0645"/>
      <sheetName val="IN_RA99-0645"/>
      <sheetName val="CH_RA99-0645"/>
      <sheetName val="TH_RA99-0645"/>
      <sheetName val="HZ_RA99-0645"/>
      <sheetName val="Trial_Balance44"/>
      <sheetName val="Total_MG_44"/>
      <sheetName val="Op_Plan_Sales45"/>
      <sheetName val="IT_Only44"/>
      <sheetName val="May_0934"/>
      <sheetName val="Price_Testing_-_Used_-_143"/>
      <sheetName val="M_B-QtyRecn45"/>
      <sheetName val="Input_schedule44"/>
      <sheetName val="Sales_&amp;_Marketing_Dashboard44"/>
      <sheetName val="TPM_Tot44"/>
      <sheetName val="Sept_'9944"/>
      <sheetName val="Chart_of_Accounts44"/>
      <sheetName val="Opening_Balance41"/>
      <sheetName val="3_Yr_Revenue_Analysis(old)34"/>
      <sheetName val="Cash_Flow_741"/>
      <sheetName val="FBT_Full44"/>
      <sheetName val="Other_notes44"/>
      <sheetName val="consolidated_Budget44"/>
      <sheetName val="Push_Diag_on_Premise41"/>
      <sheetName val="CChannel_Attract_Input41"/>
      <sheetName val="Amortization_Table34"/>
      <sheetName val="New_form_3CD_A34"/>
      <sheetName val="riola_don't_know_9-26-9934"/>
      <sheetName val="_2_Reserve34"/>
      <sheetName val="Listings_96-0234"/>
      <sheetName val="5Y_v2_1441"/>
      <sheetName val="All_Data34"/>
      <sheetName val="P_L34"/>
      <sheetName val="mdd_&amp;_co_Fdr_jan_02_34"/>
      <sheetName val="Project_Resource_Details34"/>
      <sheetName val="Balance_Sheet_34"/>
      <sheetName val="P&amp;L_Summary_Page34"/>
      <sheetName val="Axis_Bank_Cheques34"/>
      <sheetName val="Master_Sheet34"/>
      <sheetName val="12_04_0934"/>
      <sheetName val="Debtors_Ageing34"/>
      <sheetName val="Excess_Calc34"/>
      <sheetName val="M_G_P-201034"/>
      <sheetName val="AR_JAN'0232"/>
      <sheetName val="NLD_-_Assum32"/>
      <sheetName val="1_-_A_(Narrative)34"/>
      <sheetName val="Cash_Flows34"/>
      <sheetName val="Val_&amp;_Multp34"/>
      <sheetName val="Heating_Div34"/>
      <sheetName val="All_other_Div's34"/>
      <sheetName val="Mkt_Mult34"/>
      <sheetName val="Trans_Mult34"/>
      <sheetName val="Locked_cell32"/>
      <sheetName val="P&amp;L_February32"/>
      <sheetName val="P&amp;L_Feb_2001_cumulative32"/>
      <sheetName val="SAP_-_Rightpak34"/>
      <sheetName val="Maint_Def_Rev_03-0434"/>
      <sheetName val="New-Growth_Def_Rev_03-0434"/>
      <sheetName val="Perpetual_Def_Rev_03-0434"/>
      <sheetName val="Renewal_Def_Rev_03-0434"/>
      <sheetName val="FINAL_SHEET32"/>
      <sheetName val="Base_Data32"/>
      <sheetName val="PARTY_DETAILS32"/>
      <sheetName val="Transaction_Inputs30"/>
      <sheetName val="Q1_Bookings_-_Pers_-_Attainme30"/>
      <sheetName val="Please_do_not_USE_or_DELETE29"/>
      <sheetName val="Grouping_TB29"/>
      <sheetName val="Travel_Expense_Report(1week)30"/>
      <sheetName val="Base_Info29"/>
      <sheetName val="RCC,Ret__Wall29"/>
      <sheetName val="MR08'_Cost_Manag30"/>
      <sheetName val="Wavg_RM30"/>
      <sheetName val="Resource_Type29"/>
      <sheetName val="Year_2003-04_Plan29"/>
      <sheetName val="Lic_Rev_Account_Lookup_Table29"/>
      <sheetName val="Input_Screen29"/>
      <sheetName val="Verification_29"/>
      <sheetName val="F_Assets30"/>
      <sheetName val="QTY__PROV_LAB29"/>
      <sheetName val="1_2_HDFC_Collection29"/>
      <sheetName val="Fx_Rates29"/>
      <sheetName val="AS21SchE_-_9M070829"/>
      <sheetName val="Consolidation__Rs29"/>
      <sheetName val="Power_Cost_sheet29"/>
      <sheetName val="Steam_Cost_Sheet29"/>
      <sheetName val="Query_Results_ALL29"/>
      <sheetName val="TB_Round29"/>
      <sheetName val="Sales_&amp;Sale_Cost29"/>
      <sheetName val="Cash_Flow-WSL_Base_Fcst29"/>
      <sheetName val="mar_rep_rev30"/>
      <sheetName val="CF_SALE_W_OFF_01-0230"/>
      <sheetName val="stock_data30"/>
      <sheetName val="Tools_Rev29"/>
      <sheetName val="Cheops_BS29"/>
      <sheetName val="STAFFSCHED_29"/>
      <sheetName val="Info_on_Rupee_Cost29"/>
      <sheetName val="stat_C_(2)29"/>
      <sheetName val="Bal_Sheet29"/>
      <sheetName val="Non-Statistical_Sampling_Mast29"/>
      <sheetName val="Two_Step_Revenue_Testing_Mast29"/>
      <sheetName val="Global_Data29"/>
      <sheetName val="Project_Info29"/>
      <sheetName val="Détails_plans_d'actions29"/>
      <sheetName val="Debraj_Sinha29"/>
      <sheetName val="Occ,_Other_Rev,_Exp,_Dispo29"/>
      <sheetName val="P1_RM29"/>
      <sheetName val="LEGAL_GUJ29"/>
      <sheetName val="IIL_Payroll29"/>
      <sheetName val="License_Area29"/>
      <sheetName val="CABLE_DATA28"/>
      <sheetName val="LINK_GAP28"/>
      <sheetName val="CLP_Value_Driver_(14)_Dec_Old28"/>
      <sheetName val="Consolidate_Trial_Dec_0628"/>
      <sheetName val="Rising_Main28"/>
      <sheetName val="Civil_Boq28"/>
      <sheetName val="comet_cur_act14"/>
      <sheetName val="Reports_List14"/>
      <sheetName val="Setup_Variables14"/>
      <sheetName val="AP_RA99-0644"/>
      <sheetName val="HV_RA99-0644"/>
      <sheetName val="IN_RA99-0644"/>
      <sheetName val="CH_RA99-0644"/>
      <sheetName val="TH_RA99-0644"/>
      <sheetName val="HZ_RA99-0644"/>
      <sheetName val="Trial_Balance43"/>
      <sheetName val="Total_MG_43"/>
      <sheetName val="Op_Plan_Sales44"/>
      <sheetName val="IT_Only43"/>
      <sheetName val="May_0933"/>
      <sheetName val="Price_Testing_-_Used_-_142"/>
      <sheetName val="M_B-QtyRecn44"/>
      <sheetName val="Input_schedule43"/>
      <sheetName val="Sales_&amp;_Marketing_Dashboard43"/>
      <sheetName val="TPM_Tot43"/>
      <sheetName val="Sept_'9943"/>
      <sheetName val="Chart_of_Accounts43"/>
      <sheetName val="Opening_Balance40"/>
      <sheetName val="3_Yr_Revenue_Analysis(old)33"/>
      <sheetName val="Cash_Flow_740"/>
      <sheetName val="FBT_Full43"/>
      <sheetName val="Other_notes43"/>
      <sheetName val="consolidated_Budget43"/>
      <sheetName val="Push_Diag_on_Premise40"/>
      <sheetName val="CChannel_Attract_Input40"/>
      <sheetName val="Amortization_Table33"/>
      <sheetName val="New_form_3CD_A33"/>
      <sheetName val="riola_don't_know_9-26-9933"/>
      <sheetName val="_2_Reserve33"/>
      <sheetName val="Listings_96-0233"/>
      <sheetName val="5Y_v2_1440"/>
      <sheetName val="All_Data33"/>
      <sheetName val="P_L33"/>
      <sheetName val="mdd_&amp;_co_Fdr_jan_02_33"/>
      <sheetName val="Project_Resource_Details33"/>
      <sheetName val="Balance_Sheet_33"/>
      <sheetName val="P&amp;L_Summary_Page33"/>
      <sheetName val="Axis_Bank_Cheques33"/>
      <sheetName val="Master_Sheet33"/>
      <sheetName val="12_04_0933"/>
      <sheetName val="Debtors_Ageing33"/>
      <sheetName val="Excess_Calc33"/>
      <sheetName val="M_G_P-201033"/>
      <sheetName val="AR_JAN'0231"/>
      <sheetName val="NLD_-_Assum31"/>
      <sheetName val="1_-_A_(Narrative)33"/>
      <sheetName val="Cash_Flows33"/>
      <sheetName val="Val_&amp;_Multp33"/>
      <sheetName val="Heating_Div33"/>
      <sheetName val="All_other_Div's33"/>
      <sheetName val="Mkt_Mult33"/>
      <sheetName val="Trans_Mult33"/>
      <sheetName val="Locked_cell31"/>
      <sheetName val="P&amp;L_February31"/>
      <sheetName val="P&amp;L_Feb_2001_cumulative31"/>
      <sheetName val="SAP_-_Rightpak33"/>
      <sheetName val="Maint_Def_Rev_03-0433"/>
      <sheetName val="New-Growth_Def_Rev_03-0433"/>
      <sheetName val="Perpetual_Def_Rev_03-0433"/>
      <sheetName val="Renewal_Def_Rev_03-0433"/>
      <sheetName val="FINAL_SHEET31"/>
      <sheetName val="Base_Data31"/>
      <sheetName val="PARTY_DETAILS31"/>
      <sheetName val="Transaction_Inputs29"/>
      <sheetName val="Q1_Bookings_-_Pers_-_Attainme29"/>
      <sheetName val="Please_do_not_USE_or_DELETE28"/>
      <sheetName val="Grouping_TB28"/>
      <sheetName val="Travel_Expense_Report(1week)29"/>
      <sheetName val="Base_Info28"/>
      <sheetName val="RCC,Ret__Wall28"/>
      <sheetName val="MR08'_Cost_Manag29"/>
      <sheetName val="Wavg_RM29"/>
      <sheetName val="Resource_Type28"/>
      <sheetName val="Year_2003-04_Plan28"/>
      <sheetName val="Lic_Rev_Account_Lookup_Table28"/>
      <sheetName val="Input_Screen28"/>
      <sheetName val="Verification_28"/>
      <sheetName val="F_Assets29"/>
      <sheetName val="QTY__PROV_LAB28"/>
      <sheetName val="1_2_HDFC_Collection28"/>
      <sheetName val="Fx_Rates28"/>
      <sheetName val="AS21SchE_-_9M070828"/>
      <sheetName val="Consolidation__Rs28"/>
      <sheetName val="Power_Cost_sheet28"/>
      <sheetName val="Steam_Cost_Sheet28"/>
      <sheetName val="Query_Results_ALL28"/>
      <sheetName val="TB_Round28"/>
      <sheetName val="Sales_&amp;Sale_Cost28"/>
      <sheetName val="Cash_Flow-WSL_Base_Fcst28"/>
      <sheetName val="mar_rep_rev29"/>
      <sheetName val="CF_SALE_W_OFF_01-0229"/>
      <sheetName val="stock_data29"/>
      <sheetName val="Tools_Rev28"/>
      <sheetName val="Cheops_BS28"/>
      <sheetName val="STAFFSCHED_28"/>
      <sheetName val="Info_on_Rupee_Cost28"/>
      <sheetName val="stat_C_(2)28"/>
      <sheetName val="Bal_Sheet28"/>
      <sheetName val="Non-Statistical_Sampling_Mast28"/>
      <sheetName val="Two_Step_Revenue_Testing_Mast28"/>
      <sheetName val="Global_Data28"/>
      <sheetName val="Project_Info28"/>
      <sheetName val="Détails_plans_d'actions28"/>
      <sheetName val="Debraj_Sinha28"/>
      <sheetName val="Occ,_Other_Rev,_Exp,_Dispo28"/>
      <sheetName val="P1_RM28"/>
      <sheetName val="LEGAL_GUJ28"/>
      <sheetName val="IIL_Payroll28"/>
      <sheetName val="License_Area28"/>
      <sheetName val="CABLE_DATA27"/>
      <sheetName val="LINK_GAP27"/>
      <sheetName val="CLP_Value_Driver_(14)_Dec_Old27"/>
      <sheetName val="Consolidate_Trial_Dec_0627"/>
      <sheetName val="Rising_Main27"/>
      <sheetName val="Civil_Boq27"/>
      <sheetName val="comet_cur_act13"/>
      <sheetName val="Reports_List13"/>
      <sheetName val="Setup_Variables13"/>
      <sheetName val="AP_RA99-0647"/>
      <sheetName val="HV_RA99-0647"/>
      <sheetName val="IN_RA99-0647"/>
      <sheetName val="CH_RA99-0647"/>
      <sheetName val="TH_RA99-0647"/>
      <sheetName val="HZ_RA99-0647"/>
      <sheetName val="Trial_Balance46"/>
      <sheetName val="Total_MG_46"/>
      <sheetName val="Op_Plan_Sales47"/>
      <sheetName val="IT_Only46"/>
      <sheetName val="May_0936"/>
      <sheetName val="Price_Testing_-_Used_-_145"/>
      <sheetName val="M_B-QtyRecn47"/>
      <sheetName val="Input_schedule46"/>
      <sheetName val="Sales_&amp;_Marketing_Dashboard46"/>
      <sheetName val="TPM_Tot46"/>
      <sheetName val="Sept_'9946"/>
      <sheetName val="Chart_of_Accounts46"/>
      <sheetName val="Opening_Balance43"/>
      <sheetName val="3_Yr_Revenue_Analysis(old)36"/>
      <sheetName val="Cash_Flow_743"/>
      <sheetName val="FBT_Full46"/>
      <sheetName val="Other_notes46"/>
      <sheetName val="consolidated_Budget46"/>
      <sheetName val="Push_Diag_on_Premise43"/>
      <sheetName val="CChannel_Attract_Input43"/>
      <sheetName val="Amortization_Table36"/>
      <sheetName val="New_form_3CD_A36"/>
      <sheetName val="riola_don't_know_9-26-9936"/>
      <sheetName val="_2_Reserve36"/>
      <sheetName val="Listings_96-0236"/>
      <sheetName val="5Y_v2_1443"/>
      <sheetName val="All_Data36"/>
      <sheetName val="P_L36"/>
      <sheetName val="mdd_&amp;_co_Fdr_jan_02_36"/>
      <sheetName val="Project_Resource_Details36"/>
      <sheetName val="Balance_Sheet_36"/>
      <sheetName val="P&amp;L_Summary_Page36"/>
      <sheetName val="Axis_Bank_Cheques36"/>
      <sheetName val="Master_Sheet36"/>
      <sheetName val="12_04_0936"/>
      <sheetName val="Debtors_Ageing36"/>
      <sheetName val="Excess_Calc36"/>
      <sheetName val="M_G_P-201036"/>
      <sheetName val="AR_JAN'0234"/>
      <sheetName val="NLD_-_Assum34"/>
      <sheetName val="1_-_A_(Narrative)36"/>
      <sheetName val="Cash_Flows36"/>
      <sheetName val="Val_&amp;_Multp36"/>
      <sheetName val="Heating_Div36"/>
      <sheetName val="All_other_Div's36"/>
      <sheetName val="Mkt_Mult36"/>
      <sheetName val="Trans_Mult36"/>
      <sheetName val="Locked_cell34"/>
      <sheetName val="P&amp;L_February34"/>
      <sheetName val="P&amp;L_Feb_2001_cumulative34"/>
      <sheetName val="SAP_-_Rightpak36"/>
      <sheetName val="Maint_Def_Rev_03-0436"/>
      <sheetName val="New-Growth_Def_Rev_03-0436"/>
      <sheetName val="Perpetual_Def_Rev_03-0436"/>
      <sheetName val="Renewal_Def_Rev_03-0436"/>
      <sheetName val="FINAL_SHEET34"/>
      <sheetName val="Base_Data34"/>
      <sheetName val="PARTY_DETAILS34"/>
      <sheetName val="Transaction_Inputs32"/>
      <sheetName val="Q1_Bookings_-_Pers_-_Attainme32"/>
      <sheetName val="Please_do_not_USE_or_DELETE31"/>
      <sheetName val="Grouping_TB31"/>
      <sheetName val="Travel_Expense_Report(1week)32"/>
      <sheetName val="Base_Info31"/>
      <sheetName val="RCC,Ret__Wall31"/>
      <sheetName val="MR08'_Cost_Manag32"/>
      <sheetName val="Wavg_RM32"/>
      <sheetName val="Resource_Type31"/>
      <sheetName val="Year_2003-04_Plan31"/>
      <sheetName val="Lic_Rev_Account_Lookup_Table31"/>
      <sheetName val="Input_Screen31"/>
      <sheetName val="Verification_31"/>
      <sheetName val="F_Assets32"/>
      <sheetName val="QTY__PROV_LAB31"/>
      <sheetName val="1_2_HDFC_Collection31"/>
      <sheetName val="Fx_Rates31"/>
      <sheetName val="AS21SchE_-_9M070831"/>
      <sheetName val="Consolidation__Rs31"/>
      <sheetName val="Power_Cost_sheet31"/>
      <sheetName val="Steam_Cost_Sheet31"/>
      <sheetName val="Query_Results_ALL31"/>
      <sheetName val="TB_Round31"/>
      <sheetName val="Sales_&amp;Sale_Cost31"/>
      <sheetName val="Cash_Flow-WSL_Base_Fcst31"/>
      <sheetName val="mar_rep_rev32"/>
      <sheetName val="CF_SALE_W_OFF_01-0232"/>
      <sheetName val="stock_data32"/>
      <sheetName val="Tools_Rev31"/>
      <sheetName val="Cheops_BS31"/>
      <sheetName val="STAFFSCHED_31"/>
      <sheetName val="Info_on_Rupee_Cost31"/>
      <sheetName val="stat_C_(2)31"/>
      <sheetName val="Bal_Sheet31"/>
      <sheetName val="Non-Statistical_Sampling_Mast31"/>
      <sheetName val="Two_Step_Revenue_Testing_Mast31"/>
      <sheetName val="Global_Data31"/>
      <sheetName val="Project_Info31"/>
      <sheetName val="Détails_plans_d'actions31"/>
      <sheetName val="Debraj_Sinha31"/>
      <sheetName val="Occ,_Other_Rev,_Exp,_Dispo31"/>
      <sheetName val="P1_RM31"/>
      <sheetName val="LEGAL_GUJ31"/>
      <sheetName val="IIL_Payroll31"/>
      <sheetName val="License_Area31"/>
      <sheetName val="CABLE_DATA30"/>
      <sheetName val="LINK_GAP30"/>
      <sheetName val="CLP_Value_Driver_(14)_Dec_Old30"/>
      <sheetName val="Consolidate_Trial_Dec_0630"/>
      <sheetName val="Rising_Main30"/>
      <sheetName val="Civil_Boq30"/>
      <sheetName val="comet_cur_act16"/>
      <sheetName val="Reports_List16"/>
      <sheetName val="Setup_Variables16"/>
      <sheetName val="AP_RA99-0646"/>
      <sheetName val="HV_RA99-0646"/>
      <sheetName val="IN_RA99-0646"/>
      <sheetName val="CH_RA99-0646"/>
      <sheetName val="TH_RA99-0646"/>
      <sheetName val="HZ_RA99-0646"/>
      <sheetName val="Trial_Balance45"/>
      <sheetName val="Total_MG_45"/>
      <sheetName val="Op_Plan_Sales46"/>
      <sheetName val="IT_Only45"/>
      <sheetName val="May_0935"/>
      <sheetName val="Price_Testing_-_Used_-_144"/>
      <sheetName val="M_B-QtyRecn46"/>
      <sheetName val="Input_schedule45"/>
      <sheetName val="Sales_&amp;_Marketing_Dashboard45"/>
      <sheetName val="TPM_Tot45"/>
      <sheetName val="Sept_'9945"/>
      <sheetName val="Chart_of_Accounts45"/>
      <sheetName val="Opening_Balance42"/>
      <sheetName val="3_Yr_Revenue_Analysis(old)35"/>
      <sheetName val="Cash_Flow_742"/>
      <sheetName val="FBT_Full45"/>
      <sheetName val="Other_notes45"/>
      <sheetName val="consolidated_Budget45"/>
      <sheetName val="Push_Diag_on_Premise42"/>
      <sheetName val="CChannel_Attract_Input42"/>
      <sheetName val="Amortization_Table35"/>
      <sheetName val="New_form_3CD_A35"/>
      <sheetName val="riola_don't_know_9-26-9935"/>
      <sheetName val="_2_Reserve35"/>
      <sheetName val="Listings_96-0235"/>
      <sheetName val="5Y_v2_1442"/>
      <sheetName val="All_Data35"/>
      <sheetName val="P_L35"/>
      <sheetName val="mdd_&amp;_co_Fdr_jan_02_35"/>
      <sheetName val="Project_Resource_Details35"/>
      <sheetName val="Balance_Sheet_35"/>
      <sheetName val="P&amp;L_Summary_Page35"/>
      <sheetName val="Axis_Bank_Cheques35"/>
      <sheetName val="Master_Sheet35"/>
      <sheetName val="12_04_0935"/>
      <sheetName val="Debtors_Ageing35"/>
      <sheetName val="Excess_Calc35"/>
      <sheetName val="M_G_P-201035"/>
      <sheetName val="AR_JAN'0233"/>
      <sheetName val="NLD_-_Assum33"/>
      <sheetName val="1_-_A_(Narrative)35"/>
      <sheetName val="Cash_Flows35"/>
      <sheetName val="Val_&amp;_Multp35"/>
      <sheetName val="Heating_Div35"/>
      <sheetName val="All_other_Div's35"/>
      <sheetName val="Mkt_Mult35"/>
      <sheetName val="Trans_Mult35"/>
      <sheetName val="Locked_cell33"/>
      <sheetName val="P&amp;L_February33"/>
      <sheetName val="P&amp;L_Feb_2001_cumulative33"/>
      <sheetName val="SAP_-_Rightpak35"/>
      <sheetName val="Maint_Def_Rev_03-0435"/>
      <sheetName val="New-Growth_Def_Rev_03-0435"/>
      <sheetName val="Perpetual_Def_Rev_03-0435"/>
      <sheetName val="Renewal_Def_Rev_03-0435"/>
      <sheetName val="FINAL_SHEET33"/>
      <sheetName val="Base_Data33"/>
      <sheetName val="PARTY_DETAILS33"/>
      <sheetName val="Transaction_Inputs31"/>
      <sheetName val="Q1_Bookings_-_Pers_-_Attainme31"/>
      <sheetName val="Please_do_not_USE_or_DELETE30"/>
      <sheetName val="Grouping_TB30"/>
      <sheetName val="Travel_Expense_Report(1week)31"/>
      <sheetName val="Base_Info30"/>
      <sheetName val="RCC,Ret__Wall30"/>
      <sheetName val="MR08'_Cost_Manag31"/>
      <sheetName val="Wavg_RM31"/>
      <sheetName val="Resource_Type30"/>
      <sheetName val="Year_2003-04_Plan30"/>
      <sheetName val="Lic_Rev_Account_Lookup_Table30"/>
      <sheetName val="Input_Screen30"/>
      <sheetName val="Verification_30"/>
      <sheetName val="F_Assets31"/>
      <sheetName val="QTY__PROV_LAB30"/>
      <sheetName val="1_2_HDFC_Collection30"/>
      <sheetName val="Fx_Rates30"/>
      <sheetName val="AS21SchE_-_9M070830"/>
      <sheetName val="Consolidation__Rs30"/>
      <sheetName val="Power_Cost_sheet30"/>
      <sheetName val="Steam_Cost_Sheet30"/>
      <sheetName val="Query_Results_ALL30"/>
      <sheetName val="TB_Round30"/>
      <sheetName val="Sales_&amp;Sale_Cost30"/>
      <sheetName val="Cash_Flow-WSL_Base_Fcst30"/>
      <sheetName val="mar_rep_rev31"/>
      <sheetName val="CF_SALE_W_OFF_01-0231"/>
      <sheetName val="stock_data31"/>
      <sheetName val="Tools_Rev30"/>
      <sheetName val="Cheops_BS30"/>
      <sheetName val="STAFFSCHED_30"/>
      <sheetName val="Info_on_Rupee_Cost30"/>
      <sheetName val="stat_C_(2)30"/>
      <sheetName val="Bal_Sheet30"/>
      <sheetName val="Non-Statistical_Sampling_Mast30"/>
      <sheetName val="Two_Step_Revenue_Testing_Mast30"/>
      <sheetName val="Global_Data30"/>
      <sheetName val="Project_Info30"/>
      <sheetName val="Détails_plans_d'actions30"/>
      <sheetName val="Debraj_Sinha30"/>
      <sheetName val="Occ,_Other_Rev,_Exp,_Dispo30"/>
      <sheetName val="P1_RM30"/>
      <sheetName val="LEGAL_GUJ30"/>
      <sheetName val="IIL_Payroll30"/>
      <sheetName val="License_Area30"/>
      <sheetName val="CABLE_DATA29"/>
      <sheetName val="LINK_GAP29"/>
      <sheetName val="CLP_Value_Driver_(14)_Dec_Old29"/>
      <sheetName val="Consolidate_Trial_Dec_0629"/>
      <sheetName val="Rising_Main29"/>
      <sheetName val="Civil_Boq29"/>
      <sheetName val="comet_cur_act15"/>
      <sheetName val="Reports_List15"/>
      <sheetName val="Setup_Variables15"/>
      <sheetName val="AP_RA99-0648"/>
      <sheetName val="HV_RA99-0648"/>
      <sheetName val="IN_RA99-0648"/>
      <sheetName val="CH_RA99-0648"/>
      <sheetName val="TH_RA99-0648"/>
      <sheetName val="HZ_RA99-0648"/>
      <sheetName val="Trial_Balance47"/>
      <sheetName val="Total_MG_47"/>
      <sheetName val="Op_Plan_Sales48"/>
      <sheetName val="IT_Only47"/>
      <sheetName val="May_0937"/>
      <sheetName val="Price_Testing_-_Used_-_146"/>
      <sheetName val="M_B-QtyRecn48"/>
      <sheetName val="Input_schedule47"/>
      <sheetName val="Sales_&amp;_Marketing_Dashboard47"/>
      <sheetName val="TPM_Tot47"/>
      <sheetName val="Sept_'9947"/>
      <sheetName val="Chart_of_Accounts47"/>
      <sheetName val="Opening_Balance44"/>
      <sheetName val="3_Yr_Revenue_Analysis(old)37"/>
      <sheetName val="Cash_Flow_744"/>
      <sheetName val="FBT_Full47"/>
      <sheetName val="Other_notes47"/>
      <sheetName val="consolidated_Budget47"/>
      <sheetName val="Push_Diag_on_Premise44"/>
      <sheetName val="CChannel_Attract_Input44"/>
      <sheetName val="Amortization_Table37"/>
      <sheetName val="New_form_3CD_A37"/>
      <sheetName val="riola_don't_know_9-26-9937"/>
      <sheetName val="_2_Reserve37"/>
      <sheetName val="Listings_96-0237"/>
      <sheetName val="5Y_v2_1444"/>
      <sheetName val="All_Data37"/>
      <sheetName val="P_L37"/>
      <sheetName val="mdd_&amp;_co_Fdr_jan_02_37"/>
      <sheetName val="Project_Resource_Details37"/>
      <sheetName val="Balance_Sheet_37"/>
      <sheetName val="P&amp;L_Summary_Page37"/>
      <sheetName val="Axis_Bank_Cheques37"/>
      <sheetName val="Master_Sheet37"/>
      <sheetName val="12_04_0937"/>
      <sheetName val="Debtors_Ageing37"/>
      <sheetName val="Excess_Calc37"/>
      <sheetName val="M_G_P-201037"/>
      <sheetName val="AR_JAN'0235"/>
      <sheetName val="NLD_-_Assum35"/>
      <sheetName val="1_-_A_(Narrative)37"/>
      <sheetName val="Cash_Flows37"/>
      <sheetName val="Val_&amp;_Multp37"/>
      <sheetName val="Heating_Div37"/>
      <sheetName val="All_other_Div's37"/>
      <sheetName val="Mkt_Mult37"/>
      <sheetName val="Trans_Mult37"/>
      <sheetName val="Locked_cell35"/>
      <sheetName val="P&amp;L_February35"/>
      <sheetName val="P&amp;L_Feb_2001_cumulative35"/>
      <sheetName val="SAP_-_Rightpak37"/>
      <sheetName val="Maint_Def_Rev_03-0437"/>
      <sheetName val="New-Growth_Def_Rev_03-0437"/>
      <sheetName val="Perpetual_Def_Rev_03-0437"/>
      <sheetName val="Renewal_Def_Rev_03-0437"/>
      <sheetName val="FINAL_SHEET35"/>
      <sheetName val="Base_Data35"/>
      <sheetName val="PARTY_DETAILS35"/>
      <sheetName val="Transaction_Inputs33"/>
      <sheetName val="Q1_Bookings_-_Pers_-_Attainme33"/>
      <sheetName val="Please_do_not_USE_or_DELETE32"/>
      <sheetName val="Grouping_TB32"/>
      <sheetName val="Travel_Expense_Report(1week)33"/>
      <sheetName val="Base_Info32"/>
      <sheetName val="RCC,Ret__Wall32"/>
      <sheetName val="MR08'_Cost_Manag33"/>
      <sheetName val="Wavg_RM33"/>
      <sheetName val="Resource_Type32"/>
      <sheetName val="Year_2003-04_Plan32"/>
      <sheetName val="Lic_Rev_Account_Lookup_Table32"/>
      <sheetName val="Input_Screen32"/>
      <sheetName val="Verification_32"/>
      <sheetName val="F_Assets33"/>
      <sheetName val="QTY__PROV_LAB32"/>
      <sheetName val="1_2_HDFC_Collection32"/>
      <sheetName val="Fx_Rates32"/>
      <sheetName val="AS21SchE_-_9M070832"/>
      <sheetName val="Consolidation__Rs32"/>
      <sheetName val="Power_Cost_sheet32"/>
      <sheetName val="Steam_Cost_Sheet32"/>
      <sheetName val="Query_Results_ALL32"/>
      <sheetName val="TB_Round32"/>
      <sheetName val="Sales_&amp;Sale_Cost32"/>
      <sheetName val="Cash_Flow-WSL_Base_Fcst32"/>
      <sheetName val="mar_rep_rev33"/>
      <sheetName val="CF_SALE_W_OFF_01-0233"/>
      <sheetName val="stock_data33"/>
      <sheetName val="Tools_Rev32"/>
      <sheetName val="Cheops_BS32"/>
      <sheetName val="STAFFSCHED_32"/>
      <sheetName val="Info_on_Rupee_Cost32"/>
      <sheetName val="stat_C_(2)32"/>
      <sheetName val="Bal_Sheet32"/>
      <sheetName val="Non-Statistical_Sampling_Mast32"/>
      <sheetName val="Two_Step_Revenue_Testing_Mast32"/>
      <sheetName val="Global_Data32"/>
      <sheetName val="Project_Info32"/>
      <sheetName val="Détails_plans_d'actions32"/>
      <sheetName val="Debraj_Sinha32"/>
      <sheetName val="Occ,_Other_Rev,_Exp,_Dispo32"/>
      <sheetName val="P1_RM32"/>
      <sheetName val="LEGAL_GUJ32"/>
      <sheetName val="IIL_Payroll32"/>
      <sheetName val="License_Area32"/>
      <sheetName val="CABLE_DATA31"/>
      <sheetName val="LINK_GAP31"/>
      <sheetName val="CLP_Value_Driver_(14)_Dec_Old31"/>
      <sheetName val="Consolidate_Trial_Dec_0631"/>
      <sheetName val="Rising_Main31"/>
      <sheetName val="Civil_Boq31"/>
      <sheetName val="comet_cur_act17"/>
      <sheetName val="Reports_List17"/>
      <sheetName val="Setup_Variables17"/>
      <sheetName val="AP_RA99-0649"/>
      <sheetName val="HV_RA99-0649"/>
      <sheetName val="IN_RA99-0649"/>
      <sheetName val="CH_RA99-0649"/>
      <sheetName val="TH_RA99-0649"/>
      <sheetName val="HZ_RA99-0649"/>
      <sheetName val="Trial_Balance48"/>
      <sheetName val="Total_MG_48"/>
      <sheetName val="Op_Plan_Sales49"/>
      <sheetName val="IT_Only48"/>
      <sheetName val="May_0938"/>
      <sheetName val="Price_Testing_-_Used_-_147"/>
      <sheetName val="M_B-QtyRecn49"/>
      <sheetName val="Input_schedule48"/>
      <sheetName val="Sales_&amp;_Marketing_Dashboard48"/>
      <sheetName val="TPM_Tot48"/>
      <sheetName val="Sept_'9948"/>
      <sheetName val="Chart_of_Accounts48"/>
      <sheetName val="Opening_Balance45"/>
      <sheetName val="3_Yr_Revenue_Analysis(old)38"/>
      <sheetName val="Cash_Flow_745"/>
      <sheetName val="FBT_Full48"/>
      <sheetName val="Other_notes48"/>
      <sheetName val="consolidated_Budget48"/>
      <sheetName val="Push_Diag_on_Premise45"/>
      <sheetName val="CChannel_Attract_Input45"/>
      <sheetName val="Amortization_Table38"/>
      <sheetName val="New_form_3CD_A38"/>
      <sheetName val="riola_don't_know_9-26-9938"/>
      <sheetName val="_2_Reserve38"/>
      <sheetName val="Listings_96-0238"/>
      <sheetName val="5Y_v2_1445"/>
      <sheetName val="All_Data38"/>
      <sheetName val="P_L38"/>
      <sheetName val="mdd_&amp;_co_Fdr_jan_02_38"/>
      <sheetName val="Project_Resource_Details38"/>
      <sheetName val="Balance_Sheet_38"/>
      <sheetName val="P&amp;L_Summary_Page38"/>
      <sheetName val="Axis_Bank_Cheques38"/>
      <sheetName val="Master_Sheet38"/>
      <sheetName val="12_04_0938"/>
      <sheetName val="Debtors_Ageing38"/>
      <sheetName val="Excess_Calc38"/>
      <sheetName val="M_G_P-201038"/>
      <sheetName val="AR_JAN'0236"/>
      <sheetName val="NLD_-_Assum36"/>
      <sheetName val="1_-_A_(Narrative)38"/>
      <sheetName val="Cash_Flows38"/>
      <sheetName val="Val_&amp;_Multp38"/>
      <sheetName val="Heating_Div38"/>
      <sheetName val="All_other_Div's38"/>
      <sheetName val="Mkt_Mult38"/>
      <sheetName val="Trans_Mult38"/>
      <sheetName val="Locked_cell36"/>
      <sheetName val="P&amp;L_February36"/>
      <sheetName val="P&amp;L_Feb_2001_cumulative36"/>
      <sheetName val="SAP_-_Rightpak38"/>
      <sheetName val="Maint_Def_Rev_03-0438"/>
      <sheetName val="New-Growth_Def_Rev_03-0438"/>
      <sheetName val="Perpetual_Def_Rev_03-0438"/>
      <sheetName val="Renewal_Def_Rev_03-0438"/>
      <sheetName val="FINAL_SHEET36"/>
      <sheetName val="Base_Data36"/>
      <sheetName val="PARTY_DETAILS36"/>
      <sheetName val="Transaction_Inputs34"/>
      <sheetName val="Q1_Bookings_-_Pers_-_Attainme34"/>
      <sheetName val="Please_do_not_USE_or_DELETE33"/>
      <sheetName val="Grouping_TB33"/>
      <sheetName val="Travel_Expense_Report(1week)34"/>
      <sheetName val="Base_Info33"/>
      <sheetName val="RCC,Ret__Wall33"/>
      <sheetName val="MR08'_Cost_Manag34"/>
      <sheetName val="Wavg_RM34"/>
      <sheetName val="Resource_Type33"/>
      <sheetName val="Year_2003-04_Plan33"/>
      <sheetName val="Lic_Rev_Account_Lookup_Table33"/>
      <sheetName val="Input_Screen33"/>
      <sheetName val="Verification_33"/>
      <sheetName val="F_Assets34"/>
      <sheetName val="QTY__PROV_LAB33"/>
      <sheetName val="1_2_HDFC_Collection33"/>
      <sheetName val="Fx_Rates33"/>
      <sheetName val="AS21SchE_-_9M070833"/>
      <sheetName val="Consolidation__Rs33"/>
      <sheetName val="Power_Cost_sheet33"/>
      <sheetName val="Steam_Cost_Sheet33"/>
      <sheetName val="Query_Results_ALL33"/>
      <sheetName val="TB_Round33"/>
      <sheetName val="Sales_&amp;Sale_Cost33"/>
      <sheetName val="Cash_Flow-WSL_Base_Fcst33"/>
      <sheetName val="mar_rep_rev34"/>
      <sheetName val="CF_SALE_W_OFF_01-0234"/>
      <sheetName val="stock_data34"/>
      <sheetName val="Tools_Rev33"/>
      <sheetName val="Cheops_BS33"/>
      <sheetName val="STAFFSCHED_33"/>
      <sheetName val="Info_on_Rupee_Cost33"/>
      <sheetName val="stat_C_(2)33"/>
      <sheetName val="Bal_Sheet33"/>
      <sheetName val="Non-Statistical_Sampling_Mast33"/>
      <sheetName val="Two_Step_Revenue_Testing_Mast33"/>
      <sheetName val="Global_Data33"/>
      <sheetName val="Project_Info33"/>
      <sheetName val="Détails_plans_d'actions33"/>
      <sheetName val="Debraj_Sinha33"/>
      <sheetName val="Occ,_Other_Rev,_Exp,_Dispo33"/>
      <sheetName val="P1_RM33"/>
      <sheetName val="LEGAL_GUJ33"/>
      <sheetName val="IIL_Payroll33"/>
      <sheetName val="License_Area33"/>
      <sheetName val="CABLE_DATA32"/>
      <sheetName val="LINK_GAP32"/>
      <sheetName val="CLP_Value_Driver_(14)_Dec_Old32"/>
      <sheetName val="Consolidate_Trial_Dec_0632"/>
      <sheetName val="Rising_Main32"/>
      <sheetName val="Civil_Boq32"/>
      <sheetName val="comet_cur_act18"/>
      <sheetName val="Reports_List18"/>
      <sheetName val="Setup_Variables18"/>
      <sheetName val="AP_RA99-0650"/>
      <sheetName val="HV_RA99-0650"/>
      <sheetName val="IN_RA99-0650"/>
      <sheetName val="CH_RA99-0650"/>
      <sheetName val="TH_RA99-0650"/>
      <sheetName val="HZ_RA99-0650"/>
      <sheetName val="Trial_Balance49"/>
      <sheetName val="Total_MG_49"/>
      <sheetName val="Op_Plan_Sales50"/>
      <sheetName val="IT_Only49"/>
      <sheetName val="May_0939"/>
      <sheetName val="Price_Testing_-_Used_-_148"/>
      <sheetName val="M_B-QtyRecn50"/>
      <sheetName val="Input_schedule49"/>
      <sheetName val="Sales_&amp;_Marketing_Dashboard49"/>
      <sheetName val="TPM_Tot49"/>
      <sheetName val="Sept_'9949"/>
      <sheetName val="Chart_of_Accounts49"/>
      <sheetName val="Opening_Balance46"/>
      <sheetName val="3_Yr_Revenue_Analysis(old)39"/>
      <sheetName val="Cash_Flow_746"/>
      <sheetName val="FBT_Full49"/>
      <sheetName val="Other_notes49"/>
      <sheetName val="consolidated_Budget49"/>
      <sheetName val="Push_Diag_on_Premise46"/>
      <sheetName val="CChannel_Attract_Input46"/>
      <sheetName val="Amortization_Table39"/>
      <sheetName val="New_form_3CD_A39"/>
      <sheetName val="riola_don't_know_9-26-9939"/>
      <sheetName val="_2_Reserve39"/>
      <sheetName val="Listings_96-0239"/>
      <sheetName val="5Y_v2_1446"/>
      <sheetName val="All_Data39"/>
      <sheetName val="P_L39"/>
      <sheetName val="mdd_&amp;_co_Fdr_jan_02_39"/>
      <sheetName val="Project_Resource_Details39"/>
      <sheetName val="Balance_Sheet_39"/>
      <sheetName val="P&amp;L_Summary_Page39"/>
      <sheetName val="Axis_Bank_Cheques39"/>
      <sheetName val="Master_Sheet39"/>
      <sheetName val="12_04_0939"/>
      <sheetName val="Debtors_Ageing39"/>
      <sheetName val="Excess_Calc39"/>
      <sheetName val="M_G_P-201039"/>
      <sheetName val="AR_JAN'0237"/>
      <sheetName val="NLD_-_Assum37"/>
      <sheetName val="1_-_A_(Narrative)39"/>
      <sheetName val="Cash_Flows39"/>
      <sheetName val="Val_&amp;_Multp39"/>
      <sheetName val="Heating_Div39"/>
      <sheetName val="All_other_Div's39"/>
      <sheetName val="Mkt_Mult39"/>
      <sheetName val="Trans_Mult39"/>
      <sheetName val="Locked_cell37"/>
      <sheetName val="P&amp;L_February37"/>
      <sheetName val="P&amp;L_Feb_2001_cumulative37"/>
      <sheetName val="SAP_-_Rightpak39"/>
      <sheetName val="Maint_Def_Rev_03-0439"/>
      <sheetName val="New-Growth_Def_Rev_03-0439"/>
      <sheetName val="Perpetual_Def_Rev_03-0439"/>
      <sheetName val="Renewal_Def_Rev_03-0439"/>
      <sheetName val="FINAL_SHEET37"/>
      <sheetName val="Base_Data37"/>
      <sheetName val="PARTY_DETAILS37"/>
      <sheetName val="Transaction_Inputs35"/>
      <sheetName val="Q1_Bookings_-_Pers_-_Attainme35"/>
      <sheetName val="Please_do_not_USE_or_DELETE34"/>
      <sheetName val="Grouping_TB34"/>
      <sheetName val="Travel_Expense_Report(1week)35"/>
      <sheetName val="Base_Info34"/>
      <sheetName val="RCC,Ret__Wall34"/>
      <sheetName val="MR08'_Cost_Manag35"/>
      <sheetName val="Wavg_RM35"/>
      <sheetName val="Resource_Type34"/>
      <sheetName val="Year_2003-04_Plan34"/>
      <sheetName val="Lic_Rev_Account_Lookup_Table34"/>
      <sheetName val="Input_Screen34"/>
      <sheetName val="Verification_34"/>
      <sheetName val="F_Assets35"/>
      <sheetName val="QTY__PROV_LAB34"/>
      <sheetName val="1_2_HDFC_Collection34"/>
      <sheetName val="Fx_Rates34"/>
      <sheetName val="AS21SchE_-_9M070834"/>
      <sheetName val="Consolidation__Rs34"/>
      <sheetName val="Power_Cost_sheet34"/>
      <sheetName val="Steam_Cost_Sheet34"/>
      <sheetName val="Query_Results_ALL34"/>
      <sheetName val="TB_Round34"/>
      <sheetName val="Sales_&amp;Sale_Cost34"/>
      <sheetName val="Cash_Flow-WSL_Base_Fcst34"/>
      <sheetName val="mar_rep_rev35"/>
      <sheetName val="CF_SALE_W_OFF_01-0235"/>
      <sheetName val="stock_data35"/>
      <sheetName val="Tools_Rev34"/>
      <sheetName val="Cheops_BS34"/>
      <sheetName val="STAFFSCHED_34"/>
      <sheetName val="Info_on_Rupee_Cost34"/>
      <sheetName val="stat_C_(2)34"/>
      <sheetName val="Bal_Sheet34"/>
      <sheetName val="Non-Statistical_Sampling_Mast34"/>
      <sheetName val="Two_Step_Revenue_Testing_Mast34"/>
      <sheetName val="Global_Data34"/>
      <sheetName val="Project_Info34"/>
      <sheetName val="Détails_plans_d'actions34"/>
      <sheetName val="Debraj_Sinha34"/>
      <sheetName val="Occ,_Other_Rev,_Exp,_Dispo34"/>
      <sheetName val="P1_RM34"/>
      <sheetName val="LEGAL_GUJ34"/>
      <sheetName val="IIL_Payroll34"/>
      <sheetName val="License_Area34"/>
      <sheetName val="CABLE_DATA33"/>
      <sheetName val="LINK_GAP33"/>
      <sheetName val="CLP_Value_Driver_(14)_Dec_Old33"/>
      <sheetName val="Consolidate_Trial_Dec_0633"/>
      <sheetName val="Rising_Main33"/>
      <sheetName val="Civil_Boq33"/>
      <sheetName val="comet_cur_act19"/>
      <sheetName val="Reports_List19"/>
      <sheetName val="Setup_Variables19"/>
      <sheetName val="AP_RA99-0652"/>
      <sheetName val="HV_RA99-0652"/>
      <sheetName val="IN_RA99-0652"/>
      <sheetName val="CH_RA99-0652"/>
      <sheetName val="TH_RA99-0652"/>
      <sheetName val="HZ_RA99-0652"/>
      <sheetName val="Trial_Balance51"/>
      <sheetName val="Total_MG_51"/>
      <sheetName val="Op_Plan_Sales52"/>
      <sheetName val="IT_Only51"/>
      <sheetName val="May_0941"/>
      <sheetName val="Price_Testing_-_Used_-_150"/>
      <sheetName val="M_B-QtyRecn52"/>
      <sheetName val="Input_schedule51"/>
      <sheetName val="Sales_&amp;_Marketing_Dashboard51"/>
      <sheetName val="TPM_Tot51"/>
      <sheetName val="Sept_'9951"/>
      <sheetName val="Chart_of_Accounts51"/>
      <sheetName val="Opening_Balance48"/>
      <sheetName val="3_Yr_Revenue_Analysis(old)41"/>
      <sheetName val="Cash_Flow_748"/>
      <sheetName val="FBT_Full51"/>
      <sheetName val="Other_notes51"/>
      <sheetName val="consolidated_Budget51"/>
      <sheetName val="Push_Diag_on_Premise48"/>
      <sheetName val="CChannel_Attract_Input48"/>
      <sheetName val="Amortization_Table41"/>
      <sheetName val="New_form_3CD_A41"/>
      <sheetName val="riola_don't_know_9-26-9941"/>
      <sheetName val="_2_Reserve41"/>
      <sheetName val="Listings_96-0241"/>
      <sheetName val="5Y_v2_1448"/>
      <sheetName val="All_Data41"/>
      <sheetName val="P_L41"/>
      <sheetName val="mdd_&amp;_co_Fdr_jan_02_41"/>
      <sheetName val="Project_Resource_Details41"/>
      <sheetName val="Balance_Sheet_41"/>
      <sheetName val="P&amp;L_Summary_Page41"/>
      <sheetName val="Axis_Bank_Cheques41"/>
      <sheetName val="Master_Sheet41"/>
      <sheetName val="12_04_0941"/>
      <sheetName val="Debtors_Ageing41"/>
      <sheetName val="Excess_Calc41"/>
      <sheetName val="M_G_P-201041"/>
      <sheetName val="AR_JAN'0239"/>
      <sheetName val="NLD_-_Assum39"/>
      <sheetName val="1_-_A_(Narrative)41"/>
      <sheetName val="Cash_Flows41"/>
      <sheetName val="Val_&amp;_Multp41"/>
      <sheetName val="Heating_Div41"/>
      <sheetName val="All_other_Div's41"/>
      <sheetName val="Mkt_Mult41"/>
      <sheetName val="Trans_Mult41"/>
      <sheetName val="Locked_cell39"/>
      <sheetName val="P&amp;L_February39"/>
      <sheetName val="P&amp;L_Feb_2001_cumulative39"/>
      <sheetName val="SAP_-_Rightpak41"/>
      <sheetName val="Maint_Def_Rev_03-0441"/>
      <sheetName val="New-Growth_Def_Rev_03-0441"/>
      <sheetName val="Perpetual_Def_Rev_03-0441"/>
      <sheetName val="Renewal_Def_Rev_03-0441"/>
      <sheetName val="FINAL_SHEET39"/>
      <sheetName val="Base_Data39"/>
      <sheetName val="PARTY_DETAILS39"/>
      <sheetName val="Transaction_Inputs37"/>
      <sheetName val="Q1_Bookings_-_Pers_-_Attainme37"/>
      <sheetName val="Please_do_not_USE_or_DELETE36"/>
      <sheetName val="Grouping_TB36"/>
      <sheetName val="Travel_Expense_Report(1week)37"/>
      <sheetName val="Base_Info36"/>
      <sheetName val="RCC,Ret__Wall36"/>
      <sheetName val="MR08'_Cost_Manag37"/>
      <sheetName val="Wavg_RM37"/>
      <sheetName val="Resource_Type36"/>
      <sheetName val="Year_2003-04_Plan36"/>
      <sheetName val="Lic_Rev_Account_Lookup_Table36"/>
      <sheetName val="Input_Screen36"/>
      <sheetName val="Verification_36"/>
      <sheetName val="F_Assets37"/>
      <sheetName val="QTY__PROV_LAB36"/>
      <sheetName val="1_2_HDFC_Collection36"/>
      <sheetName val="Fx_Rates36"/>
      <sheetName val="AS21SchE_-_9M070836"/>
      <sheetName val="Consolidation__Rs36"/>
      <sheetName val="Power_Cost_sheet36"/>
      <sheetName val="Steam_Cost_Sheet36"/>
      <sheetName val="Query_Results_ALL36"/>
      <sheetName val="TB_Round36"/>
      <sheetName val="Sales_&amp;Sale_Cost36"/>
      <sheetName val="Cash_Flow-WSL_Base_Fcst36"/>
      <sheetName val="mar_rep_rev37"/>
      <sheetName val="CF_SALE_W_OFF_01-0237"/>
      <sheetName val="stock_data37"/>
      <sheetName val="Tools_Rev36"/>
      <sheetName val="Cheops_BS36"/>
      <sheetName val="STAFFSCHED_36"/>
      <sheetName val="Info_on_Rupee_Cost36"/>
      <sheetName val="stat_C_(2)36"/>
      <sheetName val="Bal_Sheet36"/>
      <sheetName val="Non-Statistical_Sampling_Mast36"/>
      <sheetName val="Two_Step_Revenue_Testing_Mast36"/>
      <sheetName val="Global_Data36"/>
      <sheetName val="Project_Info36"/>
      <sheetName val="Détails_plans_d'actions36"/>
      <sheetName val="Debraj_Sinha36"/>
      <sheetName val="Occ,_Other_Rev,_Exp,_Dispo36"/>
      <sheetName val="P1_RM36"/>
      <sheetName val="LEGAL_GUJ36"/>
      <sheetName val="IIL_Payroll36"/>
      <sheetName val="License_Area36"/>
      <sheetName val="CABLE_DATA35"/>
      <sheetName val="LINK_GAP35"/>
      <sheetName val="CLP_Value_Driver_(14)_Dec_Old35"/>
      <sheetName val="Consolidate_Trial_Dec_0635"/>
      <sheetName val="Rising_Main35"/>
      <sheetName val="Civil_Boq35"/>
      <sheetName val="comet_cur_act21"/>
      <sheetName val="Reports_List21"/>
      <sheetName val="Setup_Variables21"/>
      <sheetName val="AP_RA99-0651"/>
      <sheetName val="HV_RA99-0651"/>
      <sheetName val="IN_RA99-0651"/>
      <sheetName val="CH_RA99-0651"/>
      <sheetName val="TH_RA99-0651"/>
      <sheetName val="HZ_RA99-0651"/>
      <sheetName val="Trial_Balance50"/>
      <sheetName val="Total_MG_50"/>
      <sheetName val="Op_Plan_Sales51"/>
      <sheetName val="IT_Only50"/>
      <sheetName val="May_0940"/>
      <sheetName val="Price_Testing_-_Used_-_149"/>
      <sheetName val="M_B-QtyRecn51"/>
      <sheetName val="Input_schedule50"/>
      <sheetName val="Sales_&amp;_Marketing_Dashboard50"/>
      <sheetName val="TPM_Tot50"/>
      <sheetName val="Sept_'9950"/>
      <sheetName val="Chart_of_Accounts50"/>
      <sheetName val="Opening_Balance47"/>
      <sheetName val="3_Yr_Revenue_Analysis(old)40"/>
      <sheetName val="Cash_Flow_747"/>
      <sheetName val="FBT_Full50"/>
      <sheetName val="Other_notes50"/>
      <sheetName val="consolidated_Budget50"/>
      <sheetName val="Push_Diag_on_Premise47"/>
      <sheetName val="CChannel_Attract_Input47"/>
      <sheetName val="Amortization_Table40"/>
      <sheetName val="New_form_3CD_A40"/>
      <sheetName val="riola_don't_know_9-26-9940"/>
      <sheetName val="_2_Reserve40"/>
      <sheetName val="Listings_96-0240"/>
      <sheetName val="5Y_v2_1447"/>
      <sheetName val="All_Data40"/>
      <sheetName val="P_L40"/>
      <sheetName val="mdd_&amp;_co_Fdr_jan_02_40"/>
      <sheetName val="Project_Resource_Details40"/>
      <sheetName val="Balance_Sheet_40"/>
      <sheetName val="P&amp;L_Summary_Page40"/>
      <sheetName val="Axis_Bank_Cheques40"/>
      <sheetName val="Master_Sheet40"/>
      <sheetName val="12_04_0940"/>
      <sheetName val="Debtors_Ageing40"/>
      <sheetName val="Excess_Calc40"/>
      <sheetName val="M_G_P-201040"/>
      <sheetName val="AR_JAN'0238"/>
      <sheetName val="NLD_-_Assum38"/>
      <sheetName val="1_-_A_(Narrative)40"/>
      <sheetName val="Cash_Flows40"/>
      <sheetName val="Val_&amp;_Multp40"/>
      <sheetName val="Heating_Div40"/>
      <sheetName val="All_other_Div's40"/>
      <sheetName val="Mkt_Mult40"/>
      <sheetName val="Trans_Mult40"/>
      <sheetName val="Locked_cell38"/>
      <sheetName val="P&amp;L_February38"/>
      <sheetName val="P&amp;L_Feb_2001_cumulative38"/>
      <sheetName val="SAP_-_Rightpak40"/>
      <sheetName val="Maint_Def_Rev_03-0440"/>
      <sheetName val="New-Growth_Def_Rev_03-0440"/>
      <sheetName val="Perpetual_Def_Rev_03-0440"/>
      <sheetName val="Renewal_Def_Rev_03-0440"/>
      <sheetName val="FINAL_SHEET38"/>
      <sheetName val="Base_Data38"/>
      <sheetName val="PARTY_DETAILS38"/>
      <sheetName val="Transaction_Inputs36"/>
      <sheetName val="Q1_Bookings_-_Pers_-_Attainme36"/>
      <sheetName val="Please_do_not_USE_or_DELETE35"/>
      <sheetName val="Grouping_TB35"/>
      <sheetName val="Travel_Expense_Report(1week)36"/>
      <sheetName val="Base_Info35"/>
      <sheetName val="RCC,Ret__Wall35"/>
      <sheetName val="MR08'_Cost_Manag36"/>
      <sheetName val="Wavg_RM36"/>
      <sheetName val="Resource_Type35"/>
      <sheetName val="Year_2003-04_Plan35"/>
      <sheetName val="Lic_Rev_Account_Lookup_Table35"/>
      <sheetName val="Input_Screen35"/>
      <sheetName val="Verification_35"/>
      <sheetName val="F_Assets36"/>
      <sheetName val="QTY__PROV_LAB35"/>
      <sheetName val="1_2_HDFC_Collection35"/>
      <sheetName val="Fx_Rates35"/>
      <sheetName val="AS21SchE_-_9M070835"/>
      <sheetName val="Consolidation__Rs35"/>
      <sheetName val="Power_Cost_sheet35"/>
      <sheetName val="Steam_Cost_Sheet35"/>
      <sheetName val="Query_Results_ALL35"/>
      <sheetName val="TB_Round35"/>
      <sheetName val="Sales_&amp;Sale_Cost35"/>
      <sheetName val="Cash_Flow-WSL_Base_Fcst35"/>
      <sheetName val="mar_rep_rev36"/>
      <sheetName val="CF_SALE_W_OFF_01-0236"/>
      <sheetName val="stock_data36"/>
      <sheetName val="Tools_Rev35"/>
      <sheetName val="Cheops_BS35"/>
      <sheetName val="STAFFSCHED_35"/>
      <sheetName val="Info_on_Rupee_Cost35"/>
      <sheetName val="stat_C_(2)35"/>
      <sheetName val="Bal_Sheet35"/>
      <sheetName val="Non-Statistical_Sampling_Mast35"/>
      <sheetName val="Two_Step_Revenue_Testing_Mast35"/>
      <sheetName val="Global_Data35"/>
      <sheetName val="Project_Info35"/>
      <sheetName val="Détails_plans_d'actions35"/>
      <sheetName val="Debraj_Sinha35"/>
      <sheetName val="Occ,_Other_Rev,_Exp,_Dispo35"/>
      <sheetName val="P1_RM35"/>
      <sheetName val="LEGAL_GUJ35"/>
      <sheetName val="IIL_Payroll35"/>
      <sheetName val="License_Area35"/>
      <sheetName val="CABLE_DATA34"/>
      <sheetName val="LINK_GAP34"/>
      <sheetName val="CLP_Value_Driver_(14)_Dec_Old34"/>
      <sheetName val="Consolidate_Trial_Dec_0634"/>
      <sheetName val="Rising_Main34"/>
      <sheetName val="Civil_Boq34"/>
      <sheetName val="comet_cur_act20"/>
      <sheetName val="Reports_List20"/>
      <sheetName val="Setup_Variables20"/>
      <sheetName val="AP_RA99-0653"/>
      <sheetName val="HV_RA99-0653"/>
      <sheetName val="IN_RA99-0653"/>
      <sheetName val="CH_RA99-0653"/>
      <sheetName val="TH_RA99-0653"/>
      <sheetName val="HZ_RA99-0653"/>
      <sheetName val="Trial_Balance52"/>
      <sheetName val="Total_MG_52"/>
      <sheetName val="Op_Plan_Sales53"/>
      <sheetName val="IT_Only52"/>
      <sheetName val="May_0942"/>
      <sheetName val="Price_Testing_-_Used_-_151"/>
      <sheetName val="M_B-QtyRecn53"/>
      <sheetName val="Input_schedule52"/>
      <sheetName val="Sales_&amp;_Marketing_Dashboard52"/>
      <sheetName val="TPM_Tot52"/>
      <sheetName val="Sept_'9952"/>
      <sheetName val="Chart_of_Accounts52"/>
      <sheetName val="Opening_Balance49"/>
      <sheetName val="3_Yr_Revenue_Analysis(old)42"/>
      <sheetName val="Cash_Flow_749"/>
      <sheetName val="FBT_Full52"/>
      <sheetName val="Other_notes52"/>
      <sheetName val="consolidated_Budget52"/>
      <sheetName val="Push_Diag_on_Premise49"/>
      <sheetName val="CChannel_Attract_Input49"/>
      <sheetName val="Amortization_Table42"/>
      <sheetName val="New_form_3CD_A42"/>
      <sheetName val="riola_don't_know_9-26-9942"/>
      <sheetName val="_2_Reserve42"/>
      <sheetName val="Listings_96-0242"/>
      <sheetName val="5Y_v2_1449"/>
      <sheetName val="All_Data42"/>
      <sheetName val="P_L42"/>
      <sheetName val="mdd_&amp;_co_Fdr_jan_02_42"/>
      <sheetName val="Project_Resource_Details42"/>
      <sheetName val="Balance_Sheet_42"/>
      <sheetName val="P&amp;L_Summary_Page42"/>
      <sheetName val="Axis_Bank_Cheques42"/>
      <sheetName val="Master_Sheet42"/>
      <sheetName val="12_04_0942"/>
      <sheetName val="Debtors_Ageing42"/>
      <sheetName val="Excess_Calc42"/>
      <sheetName val="M_G_P-201042"/>
      <sheetName val="AR_JAN'0240"/>
      <sheetName val="NLD_-_Assum40"/>
      <sheetName val="1_-_A_(Narrative)42"/>
      <sheetName val="Cash_Flows42"/>
      <sheetName val="Val_&amp;_Multp42"/>
      <sheetName val="Heating_Div42"/>
      <sheetName val="All_other_Div's42"/>
      <sheetName val="Mkt_Mult42"/>
      <sheetName val="Trans_Mult42"/>
      <sheetName val="Locked_cell40"/>
      <sheetName val="P&amp;L_February40"/>
      <sheetName val="P&amp;L_Feb_2001_cumulative40"/>
      <sheetName val="SAP_-_Rightpak42"/>
      <sheetName val="Maint_Def_Rev_03-0442"/>
      <sheetName val="New-Growth_Def_Rev_03-0442"/>
      <sheetName val="Perpetual_Def_Rev_03-0442"/>
      <sheetName val="Renewal_Def_Rev_03-0442"/>
      <sheetName val="FINAL_SHEET40"/>
      <sheetName val="Base_Data40"/>
      <sheetName val="PARTY_DETAILS40"/>
      <sheetName val="Transaction_Inputs38"/>
      <sheetName val="Q1_Bookings_-_Pers_-_Attainme38"/>
      <sheetName val="Please_do_not_USE_or_DELETE37"/>
      <sheetName val="Grouping_TB37"/>
      <sheetName val="Travel_Expense_Report(1week)38"/>
      <sheetName val="Base_Info37"/>
      <sheetName val="RCC,Ret__Wall37"/>
      <sheetName val="MR08'_Cost_Manag38"/>
      <sheetName val="Wavg_RM38"/>
      <sheetName val="Resource_Type37"/>
      <sheetName val="Year_2003-04_Plan37"/>
      <sheetName val="Lic_Rev_Account_Lookup_Table37"/>
      <sheetName val="Input_Screen37"/>
      <sheetName val="Verification_37"/>
      <sheetName val="F_Assets38"/>
      <sheetName val="QTY__PROV_LAB37"/>
      <sheetName val="1_2_HDFC_Collection37"/>
      <sheetName val="Fx_Rates37"/>
      <sheetName val="AS21SchE_-_9M070837"/>
      <sheetName val="Consolidation__Rs37"/>
      <sheetName val="Power_Cost_sheet37"/>
      <sheetName val="Steam_Cost_Sheet37"/>
      <sheetName val="Query_Results_ALL37"/>
      <sheetName val="TB_Round37"/>
      <sheetName val="Sales_&amp;Sale_Cost37"/>
      <sheetName val="Cash_Flow-WSL_Base_Fcst37"/>
      <sheetName val="mar_rep_rev38"/>
      <sheetName val="CF_SALE_W_OFF_01-0238"/>
      <sheetName val="stock_data38"/>
      <sheetName val="Tools_Rev37"/>
      <sheetName val="Cheops_BS37"/>
      <sheetName val="STAFFSCHED_37"/>
      <sheetName val="Info_on_Rupee_Cost37"/>
      <sheetName val="stat_C_(2)37"/>
      <sheetName val="Bal_Sheet37"/>
      <sheetName val="Non-Statistical_Sampling_Mast37"/>
      <sheetName val="Two_Step_Revenue_Testing_Mast37"/>
      <sheetName val="Global_Data37"/>
      <sheetName val="Project_Info37"/>
      <sheetName val="Détails_plans_d'actions37"/>
      <sheetName val="Debraj_Sinha37"/>
      <sheetName val="Occ,_Other_Rev,_Exp,_Dispo37"/>
      <sheetName val="P1_RM37"/>
      <sheetName val="LEGAL_GUJ37"/>
      <sheetName val="IIL_Payroll37"/>
      <sheetName val="License_Area37"/>
      <sheetName val="CABLE_DATA36"/>
      <sheetName val="LINK_GAP36"/>
      <sheetName val="CLP_Value_Driver_(14)_Dec_Old36"/>
      <sheetName val="Consolidate_Trial_Dec_0636"/>
      <sheetName val="Rising_Main36"/>
      <sheetName val="Civil_Boq36"/>
      <sheetName val="comet_cur_act22"/>
      <sheetName val="Reports_List22"/>
      <sheetName val="Setup_Variables22"/>
      <sheetName val="1998"/>
      <sheetName val="PM2"/>
      <sheetName val="QTY-00-01_(2)"/>
      <sheetName val="schedulesAR"/>
      <sheetName val="Cntmrs-Recruit"/>
      <sheetName val="1956 Rates"/>
      <sheetName val="2013 Rates"/>
      <sheetName val="WDV_Illustration"/>
      <sheetName val="SLM_Illustration"/>
      <sheetName val="WDV_Schedule"/>
      <sheetName val="SLM_Schedule"/>
      <sheetName val="Additions_WDV"/>
      <sheetName val="Additions_SLM"/>
      <sheetName val="Sch 13 Notes 13-16"/>
      <sheetName val="OpRes"/>
      <sheetName val="INI"/>
      <sheetName val="Tickmarks"/>
      <sheetName val="Fin"/>
      <sheetName val="Area"/>
      <sheetName val="Revcom"/>
      <sheetName val="PRODUCTS"/>
      <sheetName val="Year_End"/>
      <sheetName val="Instruction Sheet"/>
      <sheetName val="Narrative"/>
      <sheetName val="List Data"/>
      <sheetName val="LTA"/>
      <sheetName val="PRODPLAN"/>
      <sheetName val="Phy-4301"/>
      <sheetName val="SPARE2"/>
      <sheetName val="SPARE1"/>
      <sheetName val="Sept-03"/>
      <sheetName val="Emp Reward"/>
      <sheetName val="発注書"/>
      <sheetName val="Capital Surplus"/>
      <sheetName val="Actual Work Progress"/>
      <sheetName val="Planned Work Schedule"/>
      <sheetName val="wip FG"/>
      <sheetName val="Vendors"/>
      <sheetName val="Modele_RES1"/>
      <sheetName val="Purchasing Plan"/>
      <sheetName val="Goodwill"/>
      <sheetName val="ROACE"/>
      <sheetName val="Report"/>
      <sheetName val="NKEL O&amp;M"/>
      <sheetName val="Sens"/>
      <sheetName val="AR"/>
      <sheetName val="Kalk_Software und Systemtest"/>
      <sheetName val="Overheads01"/>
      <sheetName val="Dados"/>
      <sheetName val="debt"/>
      <sheetName val="projections"/>
      <sheetName val="chems"/>
      <sheetName val="r&amp;m"/>
      <sheetName val="GAS"/>
      <sheetName val="LPG"/>
      <sheetName val="row"/>
      <sheetName val="LatAm"/>
      <sheetName val="NAf, MEast"/>
      <sheetName val="group E&amp;P"/>
      <sheetName val="AKPSJU~1"/>
      <sheetName val="REPV2002"/>
      <sheetName val="hoexp"/>
      <sheetName val="DCF"/>
      <sheetName val="RM Cost"/>
      <sheetName val="CONSO"/>
      <sheetName val="Front"/>
      <sheetName val="Plano de Contas"/>
      <sheetName val="Mat. Rates"/>
      <sheetName val="YTD Revenue"/>
      <sheetName val="Payment modes"/>
      <sheetName val="Bajaj OS"/>
      <sheetName val="Combo lists"/>
      <sheetName val="Names"/>
      <sheetName val="tb2002 linked"/>
      <sheetName val="269T(final)"/>
      <sheetName val="Vleela"/>
      <sheetName val="Cover Page"/>
      <sheetName val="Cost Element Roll-up"/>
      <sheetName val="Fixed asstes Additions"/>
      <sheetName val="Fixed assets Disposal"/>
      <sheetName val="tbl"/>
      <sheetName val="TB  Rupees  $"/>
      <sheetName val="GPIN-KEY"/>
      <sheetName val="forecast"/>
      <sheetName val="Clause16(b)_PF"/>
      <sheetName val="STAFF_"/>
      <sheetName val="Net adv.-2015"/>
      <sheetName val="guest charges"/>
      <sheetName val="HideSheet"/>
      <sheetName val="chemkol"/>
      <sheetName val="Asset Detail"/>
      <sheetName val="PYCurMthTB"/>
      <sheetName val="Product List"/>
      <sheetName val="data-list"/>
      <sheetName val="Query4"/>
      <sheetName val="PDN"/>
      <sheetName val="Slides"/>
      <sheetName val="April"/>
      <sheetName val="Hosur"/>
      <sheetName val="MISforgeforging"/>
      <sheetName val="Countries"/>
      <sheetName val="ANX V"/>
      <sheetName val="Assumption"/>
      <sheetName val="Results PL"/>
      <sheetName val="Liste MOAR (Recalss Payable)"/>
      <sheetName val="Table"/>
      <sheetName val="Labour"/>
      <sheetName val="Material"/>
      <sheetName val="Plant &amp;  Machinery"/>
      <sheetName val="Ageing0305"/>
      <sheetName val="Variables"/>
      <sheetName val="Investment Details"/>
      <sheetName val="HBI NCD"/>
      <sheetName val="Reclass_BS_111"/>
      <sheetName val="Reclass_PL_111"/>
      <sheetName val="Reclass_BS_112"/>
      <sheetName val="Reclass_PL_112"/>
      <sheetName val="Austria"/>
      <sheetName val="Puerto Rico"/>
      <sheetName val="."/>
      <sheetName val="Main - Input"/>
      <sheetName val="Inter unit set off"/>
      <sheetName val="Grouping-Financial Position"/>
      <sheetName val="CID_LIKE"/>
      <sheetName val="設定"/>
      <sheetName val="Sch-BS"/>
      <sheetName val="BS_Details_992000"/>
      <sheetName val="VALUE2_5"/>
      <sheetName val="Detail_Data"/>
      <sheetName val="U1_6"/>
      <sheetName val="Sub-Cont_Rev"/>
      <sheetName val="sent_to_HO"/>
      <sheetName val="Margin Amortisation"/>
      <sheetName val="Revised Elimination"/>
      <sheetName val="Margin Year Wise Breakup"/>
      <sheetName val="Margin Amortisation_BREPL"/>
      <sheetName val="Trial_Bal"/>
      <sheetName val="Balance Life"/>
      <sheetName val="cashbackup"/>
      <sheetName val="Carat Parameters"/>
      <sheetName val="BS India"/>
    </sheetNames>
    <sheetDataSet>
      <sheetData sheetId="0" refreshError="1"/>
      <sheetData sheetId="1" refreshError="1"/>
      <sheetData sheetId="2" refreshError="1"/>
      <sheetData sheetId="3" refreshError="1"/>
      <sheetData sheetId="4" refreshError="1">
        <row r="10">
          <cell r="D10">
            <v>8.3000000000000007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refreshError="1"/>
      <sheetData sheetId="129"/>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refreshError="1"/>
      <sheetData sheetId="404" refreshError="1"/>
      <sheetData sheetId="405" refreshError="1"/>
      <sheetData sheetId="406" refreshError="1"/>
      <sheetData sheetId="407" refreshError="1"/>
      <sheetData sheetId="408" refreshError="1"/>
      <sheetData sheetId="409"/>
      <sheetData sheetId="410" refreshError="1"/>
      <sheetData sheetId="411" refreshError="1"/>
      <sheetData sheetId="412" refreshError="1"/>
      <sheetData sheetId="413" refreshError="1"/>
      <sheetData sheetId="414" refreshError="1"/>
      <sheetData sheetId="415"/>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sheetData sheetId="620">
        <row r="10">
          <cell r="D10">
            <v>0</v>
          </cell>
        </row>
      </sheetData>
      <sheetData sheetId="621">
        <row r="10">
          <cell r="D10">
            <v>0</v>
          </cell>
        </row>
      </sheetData>
      <sheetData sheetId="622"/>
      <sheetData sheetId="623"/>
      <sheetData sheetId="624"/>
      <sheetData sheetId="625">
        <row r="10">
          <cell r="D10">
            <v>0</v>
          </cell>
        </row>
      </sheetData>
      <sheetData sheetId="626">
        <row r="10">
          <cell r="D10">
            <v>0</v>
          </cell>
        </row>
      </sheetData>
      <sheetData sheetId="627">
        <row r="10">
          <cell r="D10">
            <v>0</v>
          </cell>
        </row>
      </sheetData>
      <sheetData sheetId="628">
        <row r="10">
          <cell r="D10">
            <v>0</v>
          </cell>
        </row>
      </sheetData>
      <sheetData sheetId="629">
        <row r="10">
          <cell r="D10">
            <v>0</v>
          </cell>
        </row>
      </sheetData>
      <sheetData sheetId="630">
        <row r="10">
          <cell r="D10">
            <v>0</v>
          </cell>
        </row>
      </sheetData>
      <sheetData sheetId="631"/>
      <sheetData sheetId="632"/>
      <sheetData sheetId="633"/>
      <sheetData sheetId="634"/>
      <sheetData sheetId="635"/>
      <sheetData sheetId="636">
        <row r="10">
          <cell r="D10">
            <v>0</v>
          </cell>
        </row>
      </sheetData>
      <sheetData sheetId="637"/>
      <sheetData sheetId="638"/>
      <sheetData sheetId="639">
        <row r="10">
          <cell r="D10">
            <v>0</v>
          </cell>
        </row>
      </sheetData>
      <sheetData sheetId="640">
        <row r="10">
          <cell r="D10">
            <v>0</v>
          </cell>
        </row>
      </sheetData>
      <sheetData sheetId="641">
        <row r="10">
          <cell r="D10">
            <v>0</v>
          </cell>
        </row>
      </sheetData>
      <sheetData sheetId="642">
        <row r="10">
          <cell r="D10">
            <v>0</v>
          </cell>
        </row>
      </sheetData>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sheetData sheetId="704"/>
      <sheetData sheetId="705"/>
      <sheetData sheetId="706"/>
      <sheetData sheetId="707"/>
      <sheetData sheetId="708"/>
      <sheetData sheetId="709"/>
      <sheetData sheetId="710"/>
      <sheetData sheetId="711"/>
      <sheetData sheetId="712">
        <row r="10">
          <cell r="D10">
            <v>0</v>
          </cell>
        </row>
      </sheetData>
      <sheetData sheetId="713"/>
      <sheetData sheetId="714"/>
      <sheetData sheetId="715"/>
      <sheetData sheetId="716">
        <row r="10">
          <cell r="D10">
            <v>0</v>
          </cell>
        </row>
      </sheetData>
      <sheetData sheetId="717">
        <row r="10">
          <cell r="D10">
            <v>0</v>
          </cell>
        </row>
      </sheetData>
      <sheetData sheetId="718">
        <row r="10">
          <cell r="D10">
            <v>0</v>
          </cell>
        </row>
      </sheetData>
      <sheetData sheetId="719">
        <row r="10">
          <cell r="D10">
            <v>0</v>
          </cell>
        </row>
      </sheetData>
      <sheetData sheetId="720">
        <row r="10">
          <cell r="D10">
            <v>0</v>
          </cell>
        </row>
      </sheetData>
      <sheetData sheetId="721">
        <row r="10">
          <cell r="D10">
            <v>0</v>
          </cell>
        </row>
      </sheetData>
      <sheetData sheetId="722">
        <row r="10">
          <cell r="D10">
            <v>0</v>
          </cell>
        </row>
      </sheetData>
      <sheetData sheetId="723" refreshError="1"/>
      <sheetData sheetId="724">
        <row r="10">
          <cell r="D10">
            <v>0</v>
          </cell>
        </row>
      </sheetData>
      <sheetData sheetId="725">
        <row r="10">
          <cell r="D10">
            <v>0</v>
          </cell>
        </row>
      </sheetData>
      <sheetData sheetId="726">
        <row r="10">
          <cell r="D10">
            <v>0</v>
          </cell>
        </row>
      </sheetData>
      <sheetData sheetId="727"/>
      <sheetData sheetId="728">
        <row r="10">
          <cell r="D10">
            <v>0</v>
          </cell>
        </row>
      </sheetData>
      <sheetData sheetId="729"/>
      <sheetData sheetId="730"/>
      <sheetData sheetId="731"/>
      <sheetData sheetId="732"/>
      <sheetData sheetId="733">
        <row r="10">
          <cell r="D10">
            <v>0</v>
          </cell>
        </row>
      </sheetData>
      <sheetData sheetId="734">
        <row r="10">
          <cell r="D10">
            <v>0</v>
          </cell>
        </row>
      </sheetData>
      <sheetData sheetId="735">
        <row r="10">
          <cell r="D10">
            <v>0</v>
          </cell>
        </row>
      </sheetData>
      <sheetData sheetId="736">
        <row r="10">
          <cell r="D10">
            <v>0</v>
          </cell>
        </row>
      </sheetData>
      <sheetData sheetId="737">
        <row r="10">
          <cell r="D10">
            <v>0</v>
          </cell>
        </row>
      </sheetData>
      <sheetData sheetId="738">
        <row r="10">
          <cell r="D10">
            <v>0</v>
          </cell>
        </row>
      </sheetData>
      <sheetData sheetId="739">
        <row r="10">
          <cell r="D10">
            <v>0</v>
          </cell>
        </row>
      </sheetData>
      <sheetData sheetId="740">
        <row r="10">
          <cell r="D10">
            <v>0</v>
          </cell>
        </row>
      </sheetData>
      <sheetData sheetId="741"/>
      <sheetData sheetId="742">
        <row r="10">
          <cell r="D10">
            <v>0</v>
          </cell>
        </row>
      </sheetData>
      <sheetData sheetId="743">
        <row r="10">
          <cell r="D10">
            <v>0</v>
          </cell>
        </row>
      </sheetData>
      <sheetData sheetId="744">
        <row r="10">
          <cell r="D10">
            <v>0</v>
          </cell>
        </row>
      </sheetData>
      <sheetData sheetId="745"/>
      <sheetData sheetId="746">
        <row r="10">
          <cell r="D10">
            <v>0</v>
          </cell>
        </row>
      </sheetData>
      <sheetData sheetId="747">
        <row r="10">
          <cell r="D10">
            <v>0</v>
          </cell>
        </row>
      </sheetData>
      <sheetData sheetId="748"/>
      <sheetData sheetId="749"/>
      <sheetData sheetId="750"/>
      <sheetData sheetId="751"/>
      <sheetData sheetId="752">
        <row r="10">
          <cell r="D10">
            <v>0</v>
          </cell>
        </row>
      </sheetData>
      <sheetData sheetId="753">
        <row r="10">
          <cell r="D10">
            <v>0</v>
          </cell>
        </row>
      </sheetData>
      <sheetData sheetId="754"/>
      <sheetData sheetId="755">
        <row r="10">
          <cell r="D10">
            <v>0</v>
          </cell>
        </row>
      </sheetData>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row r="10">
          <cell r="D10">
            <v>0</v>
          </cell>
        </row>
      </sheetData>
      <sheetData sheetId="780">
        <row r="10">
          <cell r="D10">
            <v>0</v>
          </cell>
        </row>
      </sheetData>
      <sheetData sheetId="781"/>
      <sheetData sheetId="782"/>
      <sheetData sheetId="783"/>
      <sheetData sheetId="784"/>
      <sheetData sheetId="785"/>
      <sheetData sheetId="786"/>
      <sheetData sheetId="787"/>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ow r="10">
          <cell r="D10">
            <v>0</v>
          </cell>
        </row>
      </sheetData>
      <sheetData sheetId="919">
        <row r="10">
          <cell r="D10">
            <v>0</v>
          </cell>
        </row>
      </sheetData>
      <sheetData sheetId="920">
        <row r="10">
          <cell r="D10">
            <v>0</v>
          </cell>
        </row>
      </sheetData>
      <sheetData sheetId="921">
        <row r="10">
          <cell r="D10">
            <v>0</v>
          </cell>
        </row>
      </sheetData>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row r="10">
          <cell r="D10">
            <v>0</v>
          </cell>
        </row>
      </sheetData>
      <sheetData sheetId="968">
        <row r="10">
          <cell r="D10">
            <v>0</v>
          </cell>
        </row>
      </sheetData>
      <sheetData sheetId="969">
        <row r="10">
          <cell r="D10">
            <v>0</v>
          </cell>
        </row>
      </sheetData>
      <sheetData sheetId="970">
        <row r="10">
          <cell r="D10">
            <v>0</v>
          </cell>
        </row>
      </sheetData>
      <sheetData sheetId="971">
        <row r="10">
          <cell r="D10">
            <v>0</v>
          </cell>
        </row>
      </sheetData>
      <sheetData sheetId="972">
        <row r="10">
          <cell r="D10">
            <v>0</v>
          </cell>
        </row>
      </sheetData>
      <sheetData sheetId="973">
        <row r="10">
          <cell r="D10">
            <v>0</v>
          </cell>
        </row>
      </sheetData>
      <sheetData sheetId="974"/>
      <sheetData sheetId="975"/>
      <sheetData sheetId="976"/>
      <sheetData sheetId="977">
        <row r="10">
          <cell r="D10">
            <v>0</v>
          </cell>
        </row>
      </sheetData>
      <sheetData sheetId="978">
        <row r="10">
          <cell r="D10">
            <v>0</v>
          </cell>
        </row>
      </sheetData>
      <sheetData sheetId="979">
        <row r="10">
          <cell r="D10">
            <v>0</v>
          </cell>
        </row>
      </sheetData>
      <sheetData sheetId="980">
        <row r="10">
          <cell r="D10">
            <v>0</v>
          </cell>
        </row>
      </sheetData>
      <sheetData sheetId="981">
        <row r="10">
          <cell r="D10">
            <v>0</v>
          </cell>
        </row>
      </sheetData>
      <sheetData sheetId="982">
        <row r="10">
          <cell r="D10">
            <v>0</v>
          </cell>
        </row>
      </sheetData>
      <sheetData sheetId="983">
        <row r="10">
          <cell r="D10">
            <v>0</v>
          </cell>
        </row>
      </sheetData>
      <sheetData sheetId="984"/>
      <sheetData sheetId="985"/>
      <sheetData sheetId="986"/>
      <sheetData sheetId="987">
        <row r="10">
          <cell r="D10">
            <v>0</v>
          </cell>
        </row>
      </sheetData>
      <sheetData sheetId="988" refreshError="1"/>
      <sheetData sheetId="989" refreshError="1"/>
      <sheetData sheetId="990" refreshError="1"/>
      <sheetData sheetId="991"/>
      <sheetData sheetId="992"/>
      <sheetData sheetId="993" refreshError="1"/>
      <sheetData sheetId="994" refreshError="1"/>
      <sheetData sheetId="995"/>
      <sheetData sheetId="996"/>
      <sheetData sheetId="997"/>
      <sheetData sheetId="998"/>
      <sheetData sheetId="999"/>
      <sheetData sheetId="1000"/>
      <sheetData sheetId="1001"/>
      <sheetData sheetId="1002"/>
      <sheetData sheetId="1003"/>
      <sheetData sheetId="1004" refreshError="1"/>
      <sheetData sheetId="1005">
        <row r="10">
          <cell r="D10">
            <v>0</v>
          </cell>
        </row>
      </sheetData>
      <sheetData sheetId="1006">
        <row r="10">
          <cell r="D10">
            <v>0</v>
          </cell>
        </row>
      </sheetData>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row r="10">
          <cell r="D10">
            <v>0</v>
          </cell>
        </row>
      </sheetData>
      <sheetData sheetId="1042"/>
      <sheetData sheetId="1043"/>
      <sheetData sheetId="1044"/>
      <sheetData sheetId="1045"/>
      <sheetData sheetId="1046"/>
      <sheetData sheetId="1047"/>
      <sheetData sheetId="1048"/>
      <sheetData sheetId="1049"/>
      <sheetData sheetId="1050">
        <row r="10">
          <cell r="D10">
            <v>0</v>
          </cell>
        </row>
      </sheetData>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refreshError="1"/>
      <sheetData sheetId="1065"/>
      <sheetData sheetId="1066"/>
      <sheetData sheetId="1067"/>
      <sheetData sheetId="1068"/>
      <sheetData sheetId="1069"/>
      <sheetData sheetId="1070"/>
      <sheetData sheetId="1071"/>
      <sheetData sheetId="1072">
        <row r="10">
          <cell r="D10">
            <v>0</v>
          </cell>
        </row>
      </sheetData>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efreshError="1"/>
      <sheetData sheetId="1643" refreshError="1"/>
      <sheetData sheetId="1644"/>
      <sheetData sheetId="1645">
        <row r="10">
          <cell r="D10">
            <v>0</v>
          </cell>
        </row>
      </sheetData>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sheetData sheetId="1659"/>
      <sheetData sheetId="1660" refreshError="1"/>
      <sheetData sheetId="1661" refreshError="1"/>
      <sheetData sheetId="1662" refreshError="1"/>
      <sheetData sheetId="1663"/>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refreshError="1"/>
      <sheetData sheetId="5485" refreshError="1"/>
      <sheetData sheetId="5486"/>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sheetData sheetId="5569"/>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sheetData sheetId="5598"/>
      <sheetData sheetId="5599"/>
      <sheetData sheetId="5600"/>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ow r="10">
          <cell r="D10">
            <v>0.34404198450400031</v>
          </cell>
        </row>
      </sheetData>
      <sheetData sheetId="5617"/>
      <sheetData sheetId="5618"/>
      <sheetData sheetId="5619"/>
      <sheetData sheetId="5620"/>
      <sheetData sheetId="5621" refreshError="1"/>
      <sheetData sheetId="5622" refreshError="1"/>
      <sheetData sheetId="5623" refreshError="1"/>
      <sheetData sheetId="5624"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4-15"/>
      <sheetName val="pending points"/>
      <sheetName val="Tax Provision (2)"/>
      <sheetName val="Instruction Sheet"/>
      <sheetName val="Pivot of TB"/>
      <sheetName val="TB CY"/>
      <sheetName val="3.CF (New)"/>
      <sheetName val="Sheet1"/>
      <sheetName val="Sheet2"/>
      <sheetName val="Sheet3"/>
      <sheetName val="Sheet5"/>
      <sheetName val="Tally TB"/>
      <sheetName val="GSPC Gas Dec 15"/>
      <sheetName val="Deleted"/>
      <sheetName val="Ind AS Mapping (2)"/>
      <sheetName val="TB Sheet"/>
      <sheetName val="1. Bal Sheet"/>
      <sheetName val="Tax Provision"/>
      <sheetName val="2. Prof &amp;L"/>
      <sheetName val="Sheet4"/>
      <sheetName val="3.CF "/>
      <sheetName val="Equity"/>
      <sheetName val="5.BS Notes"/>
      <sheetName val="4.1 LTBorrowings1"/>
      <sheetName val="4.2 MTBorrowings2"/>
      <sheetName val="12 FA Sch in Crores"/>
      <sheetName val="6.PL Notes"/>
      <sheetName val="12 FA Sch Jun15"/>
      <sheetName val="12.1 CWIP"/>
      <sheetName val="CF working"/>
      <sheetName val="GSPC Borrowing sch"/>
      <sheetName val="5.2 31.12.15"/>
      <sheetName val="Note 13.1"/>
      <sheetName val="Note 16"/>
      <sheetName val="NOTE 34 QTY"/>
      <sheetName val="Other notes 35 to 40"/>
      <sheetName val="Note 41 EB"/>
      <sheetName val="Note 42 ESOP"/>
      <sheetName val="43 Related Parties"/>
      <sheetName val="Other notes 44 to 49"/>
      <sheetName val="Merger no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III, IV"/>
      <sheetName val="HBI,HRC&amp;CORP SUMM"/>
      <sheetName val="corp"/>
      <sheetName val="HBI NCD"/>
      <sheetName val="HBI RTL"/>
      <sheetName val="HBI WC"/>
      <sheetName val="HRC - NCD, RTL, WCDL"/>
      <sheetName val="ncd14%"/>
      <sheetName val="HBI &amp; HRC - FCL"/>
      <sheetName val="HBI &amp; HRC - FCL (2)"/>
      <sheetName val="HBI WC (2)"/>
      <sheetName val="Cons"/>
      <sheetName val="Sheet2"/>
      <sheetName val="Int testing"/>
      <sheetName val="sch_III,_IV"/>
      <sheetName val="HBI,HRC&amp;CORP_SUMM"/>
      <sheetName val="HBI_NCD"/>
      <sheetName val="HBI_RTL"/>
      <sheetName val="HBI_WC"/>
      <sheetName val="HRC_-_NCD,_RTL,_WCDL"/>
      <sheetName val="HBI_&amp;_HRC_-_FCL"/>
      <sheetName val="HBI_&amp;_HRC_-_FCL_(2)"/>
      <sheetName val="HBI_WC_(2)"/>
      <sheetName val="Int_tes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III, IV"/>
      <sheetName val="HBI,HRC&amp;CORP SUMM"/>
      <sheetName val="corp"/>
      <sheetName val="HBI NCD"/>
      <sheetName val="HBI RTL"/>
      <sheetName val="HBI WC"/>
      <sheetName val="HRC - NCD, RTL, WCDL"/>
      <sheetName val="ncd14%"/>
      <sheetName val="HBI &amp; HRC - FCL"/>
      <sheetName val="HBI &amp; HRC - FCL (2)"/>
      <sheetName val="HBI WC (2)"/>
      <sheetName val="Price Testing - Used -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III, IV"/>
      <sheetName val="HBI,HRC&amp;CORP SUMM"/>
      <sheetName val="corp"/>
      <sheetName val="HBI NCD"/>
      <sheetName val="HBI RTL"/>
      <sheetName val="HBI WC"/>
      <sheetName val="HRC - NCD, RTL, WCDL"/>
      <sheetName val="ncd14%"/>
      <sheetName val="HBI &amp; HRC - FCL"/>
      <sheetName val="HBI &amp; HRC - FCL (2)"/>
      <sheetName val="HBI WC (2)"/>
      <sheetName val="x-rate"/>
      <sheetName val="PG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COC"/>
      <sheetName val="Lead OPEX"/>
      <sheetName val="TAB A CMA"/>
      <sheetName val="TAB B TOD"/>
      <sheetName val="TAB C Subcontractor"/>
      <sheetName val="TAB D TOD Credit Entries"/>
      <sheetName val="TAB E Deduction of WTDS"/>
      <sheetName val="XREF"/>
      <sheetName val="Sheet1"/>
      <sheetName val="Tickmarks"/>
      <sheetName val="HBI NCD"/>
      <sheetName val="PL"/>
      <sheetName val="BS"/>
      <sheetName val="Sch 6 Intangible"/>
      <sheetName val="SCH IV"/>
      <sheetName val="SCH VIII"/>
      <sheetName val="PGW"/>
      <sheetName val="Power &amp; Fuel(new)"/>
      <sheetName val="ORIGINAL"/>
      <sheetName val="RA-markate"/>
      <sheetName val="Current tax"/>
      <sheetName val="Lead"/>
      <sheetName val="BudgetVsActualFY2014"/>
      <sheetName val="Inventory Count Sheet "/>
      <sheetName val="FORM-16"/>
      <sheetName val="Template4444"/>
      <sheetName val="Labour"/>
      <sheetName val="YOEMAGUM"/>
      <sheetName val="230002"/>
      <sheetName val="Worksheet in 8440VA Operating E"/>
      <sheetName val="3.Grouping - Profit &amp; Loss(mio)"/>
      <sheetName val="Cash Flow - CY Workings"/>
      <sheetName val="Page 5"/>
      <sheetName val="KEY INPUTS"/>
      <sheetName val="Front Sheet"/>
      <sheetName val="PL Groupings"/>
      <sheetName val="Challan"/>
      <sheetName val="BS Schedule"/>
      <sheetName val="PrintSetup"/>
      <sheetName val="Grouping TB"/>
      <sheetName val="entitlements"/>
      <sheetName val="DS_ca1"/>
      <sheetName val="5.Crs. 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ries"/>
      <sheetName val="DHS Exp Analysis"/>
      <sheetName val="Lead"/>
      <sheetName val="Links"/>
      <sheetName val="Tickmarks"/>
      <sheetName val="Data"/>
      <sheetName val="Main B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JV'2004 (Final)"/>
      <sheetName val="Source &amp; Application"/>
      <sheetName val="Page 9-11"/>
      <sheetName val="Sch.B1"/>
      <sheetName val="Sch-B 2"/>
      <sheetName val="APSUMM"/>
      <sheetName val="ARSUM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
      <sheetName val="Working of Prop Div"/>
      <sheetName val="Instruction Sheet"/>
      <sheetName val="AJV Sheet Current Year"/>
      <sheetName val="AJV Sheet Previous Year"/>
      <sheetName val="re-schedule balancesheet"/>
      <sheetName val="cash flow tb"/>
      <sheetName val="Revised cash flow"/>
      <sheetName val="TB CY"/>
      <sheetName val="TB PY"/>
      <sheetName val="TB PPY"/>
      <sheetName val="cash flow working "/>
      <sheetName val="cash flow assets"/>
      <sheetName val="Pivot of TB"/>
      <sheetName val="TB Sheet"/>
      <sheetName val="CF Assets"/>
      <sheetName val="Loan Sch PY"/>
      <sheetName val="1A .Ratio Analysis"/>
      <sheetName val="Deposit Regroup CY"/>
      <sheetName val="1. Bal Sheet"/>
      <sheetName val="2. Prof &amp;L"/>
      <sheetName val="3.CF (New)"/>
      <sheetName val="4.BS SHARE"/>
      <sheetName val="5.BS Notes"/>
      <sheetName val="5.1 31.03.13"/>
      <sheetName val="6.PL Notes"/>
      <sheetName val="4.1 31.03.14"/>
      <sheetName val="4.2 31.03.14"/>
      <sheetName val="5.2 31.03.13"/>
      <sheetName val="7.1 31.03.14"/>
      <sheetName val="FA Working Not to use"/>
      <sheetName val="FA Working"/>
      <sheetName val="FA Sch 11"/>
      <sheetName val="11.3 to11.10"/>
      <sheetName val="12.2"/>
      <sheetName val=" 40.1 "/>
      <sheetName val="OTH NOTE 1"/>
      <sheetName val="Oth Notes 2 "/>
      <sheetName val="Ret Report CY"/>
      <sheetName val="Ret Report PY"/>
      <sheetName val="rent current year"/>
      <sheetName val="Term loan 31.03.2014"/>
      <sheetName val="Rent-previous year"/>
      <sheetName val="7.Term Loan 31.03.2013"/>
      <sheetName val="Loans to Emp-CY"/>
      <sheetName val="Loans to Emp"/>
      <sheetName val="Cenvat CY"/>
      <sheetName val="Cenvat PY"/>
      <sheetName val="Qty details Previous Year"/>
      <sheetName val="Qty details Current Year"/>
      <sheetName val="Excise current year (2)"/>
      <sheetName val="Excise current year"/>
      <sheetName val="Excise Previous Year"/>
      <sheetName val="vendor regroup current year "/>
      <sheetName val="Vendor Regroup Previous Year"/>
      <sheetName val="Prio Period-PY"/>
      <sheetName val="Prior Period-CY"/>
      <sheetName val="Vendor Bifurcation PY"/>
      <sheetName val="Adv Against Exp PY"/>
      <sheetName val="Adv Against Exp CY"/>
      <sheetName val="Loan to Emp PY"/>
      <sheetName val="Debtor Ageing 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deb (2)"/>
      <sheetName val="deb"/>
      <sheetName val="rtl"/>
      <sheetName val="fcl"/>
      <sheetName val="guar comm"/>
      <sheetName val="commitment "/>
      <sheetName val="cmc adv"/>
      <sheetName val="SCH"/>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A.General"/>
      <sheetName val="PartA.HoldingCoInfo"/>
      <sheetName val="PartA.SubsidiaryCoInfo"/>
      <sheetName val="PartA.KeyPersonsInfo"/>
      <sheetName val="PartA.ShareHoldersInfo"/>
      <sheetName val="PartA.BalanceSheet"/>
      <sheetName val="PartA-P&amp;L"/>
      <sheetName val="PartA-OthInfo"/>
      <sheetName val="PartA-QD"/>
      <sheetName val="PartB-ComputeTotalIncome"/>
      <sheetName val="PartB-ComputeTax"/>
      <sheetName val="PartC-FBT"/>
      <sheetName val="Sch-BankAccount"/>
      <sheetName val="Sch-HouseProp"/>
      <sheetName val="Sch-BusinessProfession"/>
      <sheetName val="Sch-DepreciationPlantMachinery"/>
      <sheetName val="Sch-DepreciationOtherAssets"/>
      <sheetName val="Sch-Depreciation"/>
      <sheetName val="Sch-DeemedCapitalGains"/>
      <sheetName val="Sch-ESR"/>
      <sheetName val="Sch-CapitalGains"/>
      <sheetName val="Sch-OtherSources"/>
      <sheetName val="Sch-CurrentLossAdj"/>
      <sheetName val="Sch-BroughtForwardLossAdj"/>
      <sheetName val="Sch-CarryForwardLosses"/>
      <sheetName val="Sch-10A"/>
      <sheetName val="Sch-10AA_10B_10BA"/>
      <sheetName val="Sch-80G"/>
      <sheetName val="Sch-80IA"/>
      <sheetName val="Sch-80IB"/>
      <sheetName val="Sch-80IC"/>
      <sheetName val="Sch-ChapVIA"/>
      <sheetName val="Sch-STTC"/>
      <sheetName val="Sch-SpecialRates"/>
      <sheetName val="Sch-ExemptIncome"/>
      <sheetName val="Sch-MAT"/>
      <sheetName val="Sch-MATC"/>
      <sheetName val="Sch-DDT"/>
      <sheetName val="Sch-FringeBenefitInfo"/>
      <sheetName val="Sch-FringeBenefitCompute"/>
      <sheetName val="Sch-IT"/>
      <sheetName val="Sch-TDS2"/>
      <sheetName val="Sch-TCS"/>
      <sheetName val="Sch-FBT"/>
      <sheetName val="Sch-DDTP"/>
      <sheetName val="ACKNOWLEDGEMENT"/>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
      <sheetName val="WC0102 DS"/>
      <sheetName val="Sheet1"/>
      <sheetName val="WC0102"/>
      <sheetName val="hp cp add"/>
      <sheetName val="PLANT"/>
      <sheetName val="MTL-TRANS"/>
      <sheetName val="TEMP"/>
      <sheetName val="wip FG"/>
      <sheetName val="stk qty"/>
      <sheetName val="MCG STK"/>
      <sheetName val="STKST"/>
      <sheetName val="canara bank paper 1"/>
      <sheetName val="canara bank paper 2"/>
      <sheetName val="canara bank paper3 front"/>
      <sheetName val="canara bank paper 3 back"/>
      <sheetName val="raugh"/>
      <sheetName val="rate mxn"/>
      <sheetName val="rate mtl"/>
      <sheetName val="file 0401 for ref  MXN"/>
      <sheetName val="sumsheet"/>
      <sheetName val="Codes"/>
      <sheetName val="Lead"/>
      <sheetName val=""/>
      <sheetName val="WC0102_DS"/>
      <sheetName val="hp_cp_add"/>
      <sheetName val="wip_FG"/>
      <sheetName val="stk_qty"/>
      <sheetName val="MCG_STK"/>
      <sheetName val="canara_bank_paper_1"/>
      <sheetName val="canara_bank_paper_2"/>
      <sheetName val="canara_bank_paper3_front"/>
      <sheetName val="canara_bank_paper_3_back"/>
      <sheetName val="rate_mxn"/>
      <sheetName val="rate_mtl"/>
      <sheetName val="file_0401_for_ref__MXN"/>
      <sheetName val="deb"/>
      <sheetName val="WC0102_DS1"/>
      <sheetName val="hp_cp_add1"/>
      <sheetName val="wip_FG1"/>
      <sheetName val="stk_qty1"/>
      <sheetName val="MCG_STK1"/>
      <sheetName val="canara_bank_paper_11"/>
      <sheetName val="canara_bank_paper_21"/>
      <sheetName val="canara_bank_paper3_front1"/>
      <sheetName val="canara_bank_paper_3_back1"/>
      <sheetName val="rate_mxn1"/>
      <sheetName val="rate_mtl1"/>
      <sheetName val="file_0401_for_ref__MXN1"/>
      <sheetName val="#REF"/>
      <sheetName val="PyrllDeduc"/>
      <sheetName val="accs"/>
      <sheetName val="PlantStatusData"/>
      <sheetName val="STD2001"/>
      <sheetName val="Data"/>
      <sheetName val="Lists"/>
      <sheetName val="Part A General"/>
      <sheetName val="00 Income Statement"/>
      <sheetName val="IS Mo"/>
      <sheetName val="Master Support 3"/>
      <sheetName val="DataSheet"/>
      <sheetName val="AnnexIII"/>
      <sheetName val="COMPUTATION"/>
      <sheetName val="BS Schdl- 1 &amp; 2"/>
      <sheetName val="co lease rental"/>
      <sheetName val="comm_list15"/>
      <sheetName val="GGC OP DATA"/>
      <sheetName val="Consolidation _Rs"/>
      <sheetName val="Stores"/>
      <sheetName val="Index"/>
      <sheetName val="master"/>
      <sheetName val="Fruit - Year 2006"/>
      <sheetName val="TAX INCOME"/>
      <sheetName val="Extract"/>
      <sheetName val="CapEx"/>
      <sheetName val="Rates"/>
      <sheetName val="Emp detail"/>
      <sheetName val="HOUSE RENT DEPO."/>
      <sheetName val="STIPEND"/>
      <sheetName val="PART A - 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pretation"/>
      <sheetName val="Sheet1"/>
      <sheetName val="variance"/>
      <sheetName val="PAP VALUE"/>
      <sheetName val="Summary P&amp;L"/>
      <sheetName val="Variance Analysis"/>
      <sheetName val="BOM"/>
      <sheetName val="SCH1"/>
      <sheetName val="sch2"/>
      <sheetName val="sch3"/>
      <sheetName val="Stock Mov"/>
      <sheetName val="Monthwise"/>
      <sheetName val="RECO"/>
      <sheetName val="TB WORK-PAP"/>
      <sheetName val="FINALBS"/>
      <sheetName val="TRIALBALANCE"/>
      <sheetName val="CIF ROCK"/>
      <sheetName val="ABSTRACT"/>
      <sheetName val="Production basis"/>
      <sheetName val="fi"/>
      <sheetName val="MASTER"/>
      <sheetName val="PHPL valuation "/>
      <sheetName val="FORWARD PREMIUM"/>
      <sheetName val="Forex fluctuation"/>
      <sheetName val="LC Interest provision"/>
      <sheetName val="Interest"/>
      <sheetName val="Debt"/>
      <sheetName val="Quantity"/>
      <sheetName val="ManPower"/>
      <sheetName val="Expenses"/>
      <sheetName val="PL"/>
      <sheetName val="BS"/>
      <sheetName val="WC"/>
      <sheetName val="Capex "/>
      <sheetName val="OUTSIDE ENTRY"/>
      <sheetName val="Reconci"/>
      <sheetName val="Ref"/>
      <sheetName val="Lead"/>
      <sheetName val="Cons"/>
      <sheetName val="SCH"/>
      <sheetName val="Input"/>
      <sheetName val="Investment"/>
      <sheetName val="a-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atedParty-Summry"/>
      <sheetName val="Sheet2"/>
      <sheetName val="Main (2)"/>
      <sheetName val="1001 Pivot"/>
      <sheetName val="1001 Ven."/>
      <sheetName val="Pivot-Ven."/>
      <sheetName val="Sheet1"/>
      <sheetName val="Pivot -Cust."/>
      <sheetName val="Vendors"/>
      <sheetName val="Cust."/>
      <sheetName val="Debtors"/>
      <sheetName val="Non Trade"/>
      <sheetName val="Loans &amp; Adv."/>
      <sheetName val="Deposit-1"/>
      <sheetName val="Deposit-2"/>
      <sheetName val="Deposit-3"/>
      <sheetName val="S. Creditors"/>
      <sheetName val="Capex Creditors"/>
      <sheetName val="LC- Opex"/>
      <sheetName val="LC -Capex"/>
      <sheetName val="Adv. from Cust."/>
      <sheetName val="Bal"/>
      <sheetName val="Capital Advance"/>
      <sheetName val="Director sitting fees"/>
      <sheetName val="Guarante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1. Capital Commitments"/>
      <sheetName val="2.1. Claimed Not Ack as debts"/>
      <sheetName val="2.2. Unitech Contingent"/>
      <sheetName val="2.3. Bank Guanrantees"/>
      <sheetName val="2.4. Service Tax Contingent"/>
      <sheetName val="2.5. Sales Tax"/>
      <sheetName val="2.6. Income Tax "/>
      <sheetName val="2.7. Bills Discounted"/>
      <sheetName val="5. MR"/>
      <sheetName val="5. Effective Capital"/>
      <sheetName val="6. Auditor Payment"/>
      <sheetName val="7. Pauling Joint Venture"/>
      <sheetName val="8. Non Provision"/>
      <sheetName val="9. Invst Dimunitions"/>
      <sheetName val="12. FA Taken on Lease"/>
      <sheetName val="13. Finance Lease"/>
      <sheetName val="6. Auditor Payment - donotrefer"/>
      <sheetName val="16. EXP IN FOREIGN CURRENCY"/>
      <sheetName val="16. EXP IN FORE CURRENCY"/>
      <sheetName val="17. CIF Value Imports - Capital"/>
      <sheetName val="17. CIF - Consumables"/>
      <sheetName val="10. Earnings Forex"/>
      <sheetName val="18. Earnings"/>
      <sheetName val="19. SSI"/>
      <sheetName val="20. Segment Reporting"/>
      <sheetName val="20. Segment Working"/>
      <sheetName val="21. Related Party"/>
      <sheetName val="21. RP Disclosure"/>
      <sheetName val="22. Repairs Capitalised"/>
      <sheetName val="23. Deffered Tax"/>
      <sheetName val="24. Unbilled Revenue"/>
      <sheetName val="25. Arbiteration Debtors"/>
      <sheetName val="26. Interest cal Revised"/>
      <sheetName val="27. Derivatives Instruments"/>
      <sheetName val="28. JV Disclosure"/>
      <sheetName val="29. Amalgamation"/>
      <sheetName val="30. AS 7 Disclosure"/>
      <sheetName val="31. EPS"/>
      <sheetName val="Floreat Pattern"/>
      <sheetName val="XREF"/>
      <sheetName val="Tickmarks"/>
      <sheetName val="Vendors"/>
      <sheetName val="sep01"/>
      <sheetName val="sa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amp; cash equ"/>
      <sheetName val="p&amp;l asset"/>
      <sheetName val="vlist"/>
      <sheetName val="TRIAL-BALANCE"/>
      <sheetName val="1612.01A - Balance-Sheet"/>
      <sheetName val="1612.01B - TRFDIVS"/>
      <sheetName val="1612.01D - TERMLOANS  REV"/>
      <sheetName val="TERM LOAN (2)"/>
      <sheetName val="1612.01D - TERMLOANS final"/>
      <sheetName val="FAC STPG NOT PAYABLE (2)"/>
      <sheetName val="FAC STPG NOT PAYABLE"/>
      <sheetName val="1612.01L - loans_adv"/>
      <sheetName val="CASHFLOW"/>
      <sheetName val="INTER DIV AJ"/>
      <sheetName val="1612.01E - UN_SECU.LOANS"/>
      <sheetName val="TERM LOAN"/>
      <sheetName val="1612.01C - LOAN_SUM"/>
      <sheetName val="depsch"/>
      <sheetName val="1612.01F - fixassets"/>
      <sheetName val="1612.01G - CWIP-SUMM"/>
      <sheetName val="1612.01H - CWIP"/>
      <sheetName val="1612.01J - INVEST"/>
      <sheetName val="1612.01I - EDC"/>
      <sheetName val="1612.01AD - depreciation"/>
      <sheetName val="1612.01P - tech_fee"/>
      <sheetName val="1612.01K - cur. assets"/>
      <sheetName val="1612.01O - land_dvp"/>
      <sheetName val="1612.01M - cur lia &amp; prov"/>
      <sheetName val="1612.01N - MISC.EXP"/>
      <sheetName val="1612.01Q - pyt_emp"/>
      <sheetName val="1612.01R - travel"/>
      <sheetName val="1612.01S - commn."/>
      <sheetName val="1612.01T - printing"/>
      <sheetName val="1612.01U - pro_fee"/>
      <sheetName val="1612.01V - rent"/>
      <sheetName val="1612.01W - rate_tax"/>
      <sheetName val="1612.01X - repair"/>
      <sheetName val="1612.01Y - advt"/>
      <sheetName val="1612.01Z - veh_hire"/>
      <sheetName val="1612.01AB - insurance"/>
      <sheetName val="1612.01AC - sundry_exp"/>
      <sheetName val="1612.01AE - audit_fee"/>
      <sheetName val="1612.01AF - INT&amp;MISC INC"/>
      <sheetName val="1612.01AG - staff_loan_adv"/>
      <sheetName val="1612.01AA - fin_cha"/>
      <sheetName val="1612.01AH - deposit&amp;grcomp"/>
      <sheetName val="sort"/>
      <sheetName val="ORG"/>
      <sheetName val="REVERSAL"/>
      <sheetName val="CHART"/>
      <sheetName val="1612.01AI -Main (CONTINGENCY) "/>
      <sheetName val="WELFARE"/>
      <sheetName val="EDC - RECLASSIFIED"/>
      <sheetName val="TBNOV41"/>
      <sheetName val="TBHEMANT"/>
      <sheetName val="FNLTB11"/>
      <sheetName val="Dec03Tb_Oct04TB"/>
      <sheetName val="tb1104Dt07Dec"/>
      <sheetName val="1612.01AL - INT AM&amp;NIEP"/>
      <sheetName val="1612.01AN(1) lgvintt "/>
      <sheetName val="1612.01AN(2) lcm-intt "/>
      <sheetName val="1612.01AN(3) lcl-int"/>
      <sheetName val="1612.01AN(4) Amex "/>
      <sheetName val="1612.01AN(5) -  amb amro"/>
      <sheetName val="1612.01AN(6) - NIEP"/>
      <sheetName val="1612.01AN(7) - Niep Tds Summary"/>
      <sheetName val="1612.01AN(8) - NIEP TDS DETAIL"/>
      <sheetName val="1612.01AO - SHAWGRP"/>
      <sheetName val="1612.01AO - SHAWGRP  rev"/>
      <sheetName val="FEin CWIP"/>
      <sheetName val="1612.01AP - frn bill"/>
      <sheetName val="Reco Acc code 622625"/>
      <sheetName val="Reco Acc code 622626"/>
      <sheetName val="FE reco (2)"/>
      <sheetName val="Sheet1"/>
      <sheetName val="SERVICE "/>
      <sheetName val="process licenser"/>
      <sheetName val="622630 (04-05)"/>
      <sheetName val="security clause"/>
      <sheetName val="SECURITY"/>
      <sheetName val="summ_reclassification"/>
      <sheetName val="edc 6"/>
      <sheetName val="EDC 9 MONTHS"/>
      <sheetName val="edc 9"/>
      <sheetName val="DETAILED SCHEDUL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og - proj. rate"/>
      <sheetName val="po-log - curr. rate"/>
      <sheetName val="Attm. # 3"/>
      <sheetName val="x-rate"/>
      <sheetName val="2.7 - PA"/>
      <sheetName val="NP"/>
      <sheetName val="bh-recon"/>
      <sheetName val="FE Variation - VPCL"/>
      <sheetName val="Main Bs Cr"/>
      <sheetName val="deb"/>
      <sheetName val="CMA Calculations"/>
      <sheetName val="Sheet2"/>
      <sheetName val="Interest 30-11-01 not PA 7%"/>
      <sheetName val="po-log_-_proj__rate"/>
      <sheetName val="po-log_-_curr__rate"/>
      <sheetName val="Attm__#_3"/>
      <sheetName val="2_7_-_PA"/>
      <sheetName val="FE_Variation_-_VPCL"/>
      <sheetName val="Main_Bs_Cr"/>
      <sheetName val="po-log_-_proj__rate1"/>
      <sheetName val="po-log_-_curr__rate1"/>
      <sheetName val="Attm__#_31"/>
      <sheetName val="2_7_-_PA1"/>
      <sheetName val="FE_Variation_-_VPCL1"/>
      <sheetName val="Main_Bs_Cr1"/>
      <sheetName val="CMA_Calculations"/>
      <sheetName val="Interest_30-11-01_not_PA_7%"/>
      <sheetName val="TB"/>
      <sheetName val="PO LOG Exposure"/>
      <sheetName val="po-log_-_proj__rate2"/>
      <sheetName val="po-log_-_curr__rate2"/>
      <sheetName val="Attm__#_32"/>
      <sheetName val="2_7_-_PA2"/>
      <sheetName val="FE_Variation_-_VPCL2"/>
      <sheetName val="Main_Bs_Cr2"/>
      <sheetName val="CMA_Calculations1"/>
      <sheetName val="Interest_30-11-01_not_PA_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ermination of Threshold"/>
      <sheetName val="Data Sheet"/>
      <sheetName val="Threshold Table"/>
      <sheetName val="Tickmarks"/>
      <sheetName val="Liability Mgmt"/>
      <sheetName val="Sheet1"/>
      <sheetName val="po-log - curr. rate"/>
      <sheetName val="TRIALBALANCE"/>
      <sheetName val="Links"/>
      <sheetName val="Rev Working"/>
      <sheetName val="SC revtrgt"/>
      <sheetName val="sum"/>
      <sheetName val="East Lobe 3"/>
      <sheetName val="GT1 RD"/>
      <sheetName val="QOS9900"/>
      <sheetName val="Company"/>
      <sheetName val="Input"/>
      <sheetName val="Proj PL"/>
      <sheetName val="Bal Sheet"/>
      <sheetName val="SIEVE"/>
      <sheetName val="variables"/>
      <sheetName val="CapexHORUS-YTD"/>
      <sheetName val="Agency BS"/>
      <sheetName val="Fruit Pending Order"/>
      <sheetName val="Inventory Count Sheet "/>
      <sheetName val="Activity Codes"/>
      <sheetName val="1612.01AL - INT AM&amp;NIEP"/>
      <sheetName val="START"/>
      <sheetName val="NAGAR"/>
      <sheetName val="Unit Rate"/>
      <sheetName val="Summary year Plan"/>
      <sheetName val="Attributes"/>
      <sheetName val="STEEL STRUCTURE"/>
      <sheetName val="Data"/>
      <sheetName val="Controls"/>
      <sheetName val="sch"/>
      <sheetName val="1.2"/>
      <sheetName val="Caption List"/>
      <sheetName val="Index"/>
      <sheetName val="LC6"/>
      <sheetName val="Basic"/>
      <sheetName val="Trial Balance"/>
      <sheetName val="BS-203"/>
      <sheetName val="Quote Sheet"/>
      <sheetName val="DEP WORKING"/>
      <sheetName val="Bank control chart"/>
      <sheetName val="wwww"/>
      <sheetName val="PRODN&amp;SALES-CHART"/>
      <sheetName val="Ref"/>
      <sheetName val="KPIs"/>
      <sheetName val="trial bal"/>
      <sheetName val="Cover sheet"/>
      <sheetName val="P20"/>
      <sheetName val="Challan"/>
      <sheetName val="Update Macro"/>
      <sheetName val="Setting"/>
      <sheetName val="Input Sheet"/>
      <sheetName val="Output Sheet"/>
      <sheetName val="Drivers"/>
      <sheetName val="5"/>
      <sheetName val="allocation"/>
      <sheetName val="P87-SL98"/>
      <sheetName val="p &amp;l stpwise"/>
      <sheetName val="XREF"/>
      <sheetName val="tdint"/>
      <sheetName val="BS"/>
      <sheetName val="9-13"/>
      <sheetName val="P&amp;L"/>
      <sheetName val="14-15"/>
      <sheetName val="5-8"/>
      <sheetName val="Cash flow details"/>
      <sheetName val="USD"/>
      <sheetName val="Summary"/>
      <sheetName val="Modifed"/>
      <sheetName val="Pivot"/>
      <sheetName val="SAP ITC"/>
      <sheetName val="Tax Code-1"/>
      <sheetName val="Dont Alter"/>
      <sheetName val="Grouping"/>
      <sheetName val="Cost-Dist"/>
      <sheetName val="11. B-17"/>
      <sheetName val="Lead"/>
      <sheetName val="Fact Trial"/>
      <sheetName val="Lists"/>
      <sheetName val="MF NAV&amp;MARKET VALUE 31.03.2006"/>
      <sheetName val="MAR EX"/>
      <sheetName val="F.2.4.1_HALB"/>
      <sheetName val="BS Schdl-3-Fixed Assets"/>
      <sheetName val="co lease rental"/>
      <sheetName val="UNNEGOED"/>
      <sheetName val="Vendors"/>
      <sheetName val="#REF"/>
      <sheetName val="Primary Detail"/>
      <sheetName val="tables"/>
      <sheetName val="iQB Equity-Custom"/>
      <sheetName val="Customers"/>
      <sheetName val="Company Codes"/>
      <sheetName val="Misc"/>
      <sheetName val="Product Codes"/>
      <sheetName val="Global Data"/>
      <sheetName val="contest"/>
      <sheetName val="301 RTI"/>
      <sheetName val="현금흐름표"/>
      <sheetName val="Demand"/>
    </sheetNames>
    <sheetDataSet>
      <sheetData sheetId="0" refreshError="1">
        <row r="3">
          <cell r="B3">
            <v>79000000</v>
          </cell>
        </row>
        <row r="4">
          <cell r="B4">
            <v>75000000</v>
          </cell>
        </row>
        <row r="15">
          <cell r="B15">
            <v>3080000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3">
          <cell r="B3">
            <v>190028198</v>
          </cell>
        </row>
      </sheetData>
      <sheetData sheetId="73">
        <row r="3">
          <cell r="B3">
            <v>190028198</v>
          </cell>
        </row>
      </sheetData>
      <sheetData sheetId="74">
        <row r="3">
          <cell r="B3">
            <v>190028198</v>
          </cell>
        </row>
      </sheetData>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ory Count Sheet "/>
      <sheetName val="Tickmarks"/>
      <sheetName val="Scope"/>
      <sheetName val="XREF"/>
      <sheetName val="QTY. PROV.LAB"/>
      <sheetName val="PGW-ACCOUNT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1. Instructions"/>
      <sheetName val="2.Control Sheet"/>
      <sheetName val="TAB 1"/>
      <sheetName val="TAB 2"/>
      <sheetName val="TAB 3"/>
      <sheetName val="TAB 4"/>
      <sheetName val="TAB 5"/>
      <sheetName val="TAB 6"/>
      <sheetName val="TAB 7"/>
      <sheetName val="TAB 8"/>
      <sheetName val="TAB 9"/>
      <sheetName val="TAB 10"/>
      <sheetName val="TAB 11"/>
      <sheetName val="TAB 12"/>
      <sheetName val="TAB 13"/>
      <sheetName val="TAB 14"/>
      <sheetName val="TAB 15"/>
      <sheetName val="TAB 16"/>
      <sheetName val="TAB 17"/>
      <sheetName val="TAB 18"/>
      <sheetName val="19. Decentralised Sites"/>
      <sheetName val="Tickmarks"/>
      <sheetName val="TAB 19"/>
      <sheetName val="TAB 20"/>
      <sheetName val="TAB 21"/>
      <sheetName val="TAB 22"/>
      <sheetName val="TAB 23"/>
      <sheetName val="Decentralised Sites"/>
      <sheetName val="XREF"/>
      <sheetName val="20. Listing"/>
      <sheetName val="P &amp; l"/>
      <sheetName val="Inventory Count Sheet "/>
      <sheetName val="wip FG"/>
      <sheetName val="pa-mtly"/>
      <sheetName val="Links"/>
      <sheetName val="Lead"/>
      <sheetName val="Commerica"/>
      <sheetName val="Power &amp; Fuel (S)"/>
      <sheetName val="FA Schedule"/>
      <sheetName val="Analytical"/>
      <sheetName val="Additions"/>
      <sheetName val="Top Sheet"/>
      <sheetName val="Adjustments"/>
      <sheetName val="Company"/>
      <sheetName val="xSeries255"/>
      <sheetName val="Cash Flow Statement"/>
      <sheetName val="Instructions"/>
      <sheetName val="WDV Workings"/>
      <sheetName val="Seide Customer wise "/>
      <sheetName val="Filati Customer wise"/>
      <sheetName val="Consl LS"/>
      <sheetName val="Seide LS"/>
      <sheetName val="Filati LS"/>
      <sheetName val="Resignation"/>
      <sheetName val="Leasehold mprovements"/>
      <sheetName val="Assmp_Ahmd"/>
      <sheetName val="Assmp_Bang"/>
      <sheetName val="Assmp_Baroda"/>
      <sheetName val="Assmp_Chennai"/>
      <sheetName val="Assmp_Gurgaon"/>
      <sheetName val="Assmp_Hybd"/>
      <sheetName val="Assmp_Mumbai"/>
      <sheetName val="Assmp_NCR"/>
      <sheetName val="Assmp_Pune"/>
      <sheetName val="Assmp_Surat"/>
      <sheetName val="Assmp_Vizag"/>
      <sheetName val="Consolidated"/>
      <sheetName val="Cash Flow Statement in mln"/>
      <sheetName val="SCH4 to 6"/>
      <sheetName val="PL"/>
      <sheetName val="Sch - 13"/>
      <sheetName val="Sch 10 to 12"/>
      <sheetName val="B S"/>
      <sheetName val="SCH 7 to 9"/>
      <sheetName val="SC1,2"/>
      <sheetName val="TopSheet"/>
      <sheetName val="Int on STDeposit"/>
      <sheetName val="GL"/>
      <sheetName val="ecc_res"/>
      <sheetName val="WS 8C"/>
      <sheetName val="WS 8B"/>
      <sheetName val="Lead Sheet"/>
      <sheetName val="Cash Flow Statement in millions"/>
      <sheetName val="1__Instructions"/>
      <sheetName val="2_Control_Sheet"/>
      <sheetName val="TAB_1"/>
      <sheetName val="TAB_2"/>
      <sheetName val="TAB_3"/>
      <sheetName val="TAB_4"/>
      <sheetName val="TAB_5"/>
      <sheetName val="TAB_6"/>
      <sheetName val="TAB_7"/>
      <sheetName val="TAB_8"/>
      <sheetName val="TAB_9"/>
      <sheetName val="TAB_10"/>
      <sheetName val="TAB_11"/>
      <sheetName val="TAB_12"/>
      <sheetName val="TAB_13"/>
      <sheetName val="TAB_14"/>
      <sheetName val="TAB_15"/>
      <sheetName val="TAB_16"/>
      <sheetName val="TAB_17"/>
      <sheetName val="TAB_18"/>
      <sheetName val="19__Decentralised_Sites"/>
      <sheetName val="TAB_19"/>
      <sheetName val="TAB_20"/>
      <sheetName val="TAB_21"/>
      <sheetName val="TAB_22"/>
      <sheetName val="TAB_23"/>
      <sheetName val="Decentralised_Sites"/>
      <sheetName val="20__Listing"/>
      <sheetName val="P_&amp;_l"/>
      <sheetName val="Inventory_Count_Sheet_"/>
      <sheetName val="wip_FG"/>
      <sheetName val="Power_&amp;_Fuel_(S)"/>
      <sheetName val="FA_Schedule"/>
      <sheetName val="Cash_Flow_Statement_in_millions"/>
      <sheetName val="gratuity expense"/>
      <sheetName val="PF ARP"/>
      <sheetName val="ESIC ARP"/>
      <sheetName val="leave salary- expense"/>
      <sheetName val="SCH 10"/>
      <sheetName val="Sheet1"/>
      <sheetName val="Monthly Variance Sheet"/>
      <sheetName val="Service Tax payable"/>
      <sheetName val="Balance Sheet"/>
      <sheetName val="P&amp;L"/>
      <sheetName val="Schedule"/>
      <sheetName val="MASTER"/>
      <sheetName val="encl to 21(ii)(B)"/>
      <sheetName val="Option Modification"/>
      <sheetName val="Price Testing - Used - 1"/>
      <sheetName val="Title"/>
      <sheetName val="Summary"/>
      <sheetName val="factor"/>
      <sheetName val="Adv towards Equity"/>
      <sheetName val="PT II"/>
      <sheetName val="P.F."/>
      <sheetName val="Data"/>
      <sheetName val="Ann VII"/>
      <sheetName val="Ann VIII"/>
      <sheetName val="Final Accounts"/>
      <sheetName val="CF"/>
      <sheetName val="Modality"/>
      <sheetName val="Martyn Apr"/>
      <sheetName val="Tax Provision"/>
      <sheetName val="DEP"/>
      <sheetName val="Provision for Tax"/>
      <sheetName val="ADVANCE EQUITY"/>
      <sheetName val="Trial Balance - MARCH 2006"/>
      <sheetName val="Tax Details"/>
      <sheetName val="XLR_NoRangeSheet"/>
      <sheetName val="PlantControl"/>
      <sheetName val="Page 2"/>
      <sheetName val="Cash flow details"/>
      <sheetName val="BS"/>
      <sheetName val="9-13"/>
      <sheetName val="14-15"/>
      <sheetName val="5-8"/>
      <sheetName val="Intelenet"/>
      <sheetName val="worksheet"/>
      <sheetName val="Leadsheet"/>
      <sheetName val="5-F-PAR"/>
      <sheetName val="1612.01AL - INT AM&amp;NIEP"/>
      <sheetName val="INTER"/>
      <sheetName val="5.Crs. TB"/>
      <sheetName val="DCF"/>
      <sheetName val="DJ1"/>
      <sheetName val="Final Schedule"/>
      <sheetName val="Rate Reco"/>
      <sheetName val="SCHD_WR"/>
      <sheetName val="P L "/>
      <sheetName val="Cash Flow-Reportable"/>
      <sheetName val="Purchase Consideration"/>
      <sheetName val="Interest"/>
      <sheetName val="Forward contracts"/>
      <sheetName val="Share Capital"/>
      <sheetName val="Reserves &amp; Surplus"/>
      <sheetName val="Taxes Paid"/>
      <sheetName val="Investments"/>
      <sheetName val="Fixed Assets"/>
      <sheetName val="Samples Selected"/>
      <sheetName val="validation rules"/>
      <sheetName val="5 Other assets"/>
      <sheetName val="ASSETMST"/>
      <sheetName val="25. ASSUMPTIONS"/>
      <sheetName val="Subleadsheet"/>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1. Instructions"/>
      <sheetName val="2.Testing of Crs."/>
      <sheetName val="3. Breakup"/>
      <sheetName val="4.CMA"/>
      <sheetName val="5.Crs. TB"/>
      <sheetName val="6. Confirmation"/>
      <sheetName val="7.Dr balance"/>
      <sheetName val="8. TB-Control chart"/>
      <sheetName val="9. Artist TB"/>
      <sheetName val="10. cameramen TB"/>
      <sheetName val="11. contract emp TB"/>
      <sheetName val="12. control accounts TB"/>
      <sheetName val="13. directors TB"/>
      <sheetName val="14. employee TB"/>
      <sheetName val="15. loc hire TB"/>
      <sheetName val="16. rent TB"/>
      <sheetName val="17. technicians TB"/>
      <sheetName val="18. telecasting fess TB"/>
      <sheetName val="19. Purchases TB"/>
      <sheetName val="20. Films TB"/>
      <sheetName val="XREF"/>
      <sheetName val="Tickmarks"/>
      <sheetName val="2.1. Claimed Not Ack as debts"/>
      <sheetName val="2.2. Unitech Contingent"/>
      <sheetName val="2.4. Service Tax Contingent"/>
      <sheetName val="6. Auditor Payment"/>
      <sheetName val="7. Pauling Joint Venture"/>
      <sheetName val="8. Non Provision"/>
      <sheetName val="5. MR"/>
      <sheetName val="31. EPS"/>
      <sheetName val="13. Finance Lease"/>
      <sheetName val="18. Earnings"/>
      <sheetName val="Inventory Count Sheet "/>
      <sheetName val="HBI NCD"/>
      <sheetName val="6120 Creditors Analysis workbo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_SUM"/>
      <sheetName val="TERMLOANS "/>
      <sheetName val="UN_SECU.LOANS"/>
      <sheetName val="cur lia &amp; prov"/>
      <sheetName val="1611A.01 Overall Position (PBC)"/>
      <sheetName val="1611A.01a DHS op bal.-DUE"/>
      <sheetName val="1611A.01b DHS op bal - not due"/>
      <sheetName val="1611A.02 IDBI-FCL"/>
      <sheetName val="1611A.02a IDBI -FCL RATES comp "/>
      <sheetName val="1611A.03 IDBI_RTL"/>
      <sheetName val="1611A.03a IDBIRTL - Recomp DHS"/>
      <sheetName val="Summary ICICI - DHS"/>
      <sheetName val="icici fcl- dhs - "/>
      <sheetName val="1611A.04 ICICI-FCL"/>
      <sheetName val="icici con rtl - dhs"/>
      <sheetName val="1611A.05 ICICI conv.rtl"/>
      <sheetName val="icicifitl 30.09.04"/>
      <sheetName val="icici rtl - dhs"/>
      <sheetName val="ICICI_RTL"/>
      <sheetName val="icici stl - dhs"/>
      <sheetName val="icici- stl(niep)"/>
      <sheetName val="icici fitl"/>
      <sheetName val="IFCI_RTL"/>
      <sheetName val="IFCI-FCL"/>
      <sheetName val="IFCI_FITL"/>
      <sheetName val="lic"/>
      <sheetName val="oic rtl"/>
      <sheetName val="nic rtl "/>
      <sheetName val="nia rtl "/>
      <sheetName val="UII RTL"/>
      <sheetName val="gic rtl"/>
      <sheetName val="BANKS"/>
      <sheetName val="coffee-break"/>
      <sheetName val="libor"/>
      <sheetName val="oic rtl "/>
      <sheetName val="icici -fitl"/>
      <sheetName val="TOTAL INTT"/>
      <sheetName val="prov"/>
      <sheetName val="fitl -ifci dtl"/>
      <sheetName val="gic rtl paid 31_12_01"/>
      <sheetName val="gic rtl 31_12_01"/>
      <sheetName val="oic rtl apr'00"/>
      <sheetName val="oic rtl Mar'02 "/>
      <sheetName val="UII PAID 31.3.00"/>
      <sheetName val="repaid"/>
      <sheetName val="Sheet4"/>
      <sheetName val="edc reco"/>
      <sheetName val="Edc-reco"/>
      <sheetName val="Sheet1"/>
      <sheetName val="Sheet2"/>
      <sheetName val="Sheet3"/>
      <sheetName val="total- intt"/>
      <sheetName val="Intt accrued &amp; due "/>
      <sheetName val="intt accrued - not due"/>
      <sheetName val="total- intt (InstwISE)"/>
      <sheetName val="ICICI-FCL old"/>
      <sheetName val="conv.rtl (old)"/>
      <sheetName val="conv.rtl (22.10)"/>
      <sheetName val="NIEP-FCL"/>
      <sheetName val="aNALATICAL"/>
      <sheetName val="icici-reco"/>
      <sheetName val="icicifitl dhs (2)"/>
      <sheetName val="XREF"/>
      <sheetName val="Tickmarks"/>
      <sheetName val="TERMLOANS_"/>
      <sheetName val="UN_SECU_LOANS"/>
      <sheetName val="cur_lia_&amp;_prov"/>
      <sheetName val="1611A_01_Overall_Position_(PBC)"/>
      <sheetName val="1611A_01a_DHS_op_bal_-DUE"/>
      <sheetName val="1611A_01b_DHS_op_bal_-_not_due"/>
      <sheetName val="1611A_02_IDBI-FCL"/>
      <sheetName val="1611A_02a_IDBI_-FCL_RATES_comp_"/>
      <sheetName val="1611A_03_IDBI_RTL"/>
      <sheetName val="1611A_03a_IDBIRTL_-_Recomp_DHS"/>
      <sheetName val="Summary_ICICI_-_DHS"/>
      <sheetName val="icici_fcl-_dhs_-_"/>
      <sheetName val="1611A_04_ICICI-FCL"/>
      <sheetName val="icici_con_rtl_-_dhs"/>
      <sheetName val="1611A_05_ICICI_conv_rtl"/>
      <sheetName val="icicifitl_30_09_04"/>
      <sheetName val="icici_rtl_-_dhs"/>
      <sheetName val="icici_stl_-_dhs"/>
      <sheetName val="icici-_stl(niep)"/>
      <sheetName val="icici_fitl"/>
      <sheetName val="oic_rtl"/>
      <sheetName val="nic_rtl_"/>
      <sheetName val="nia_rtl_"/>
      <sheetName val="UII_RTL"/>
      <sheetName val="gic_rtl"/>
      <sheetName val="oic_rtl_"/>
      <sheetName val="icici_-fitl"/>
      <sheetName val="TOTAL_INTT"/>
      <sheetName val="fitl_-ifci_dtl"/>
      <sheetName val="gic_rtl_paid_31_12_01"/>
      <sheetName val="gic_rtl_31_12_01"/>
      <sheetName val="oic_rtl_apr'00"/>
      <sheetName val="oic_rtl_Mar'02_"/>
      <sheetName val="UII_PAID_31_3_00"/>
      <sheetName val="edc_reco"/>
      <sheetName val="total-_intt"/>
      <sheetName val="Intt_accrued_&amp;_due_"/>
      <sheetName val="intt_accrued_-_not_due"/>
      <sheetName val="total-_intt_(InstwISE)"/>
      <sheetName val="ICICI-FCL_old"/>
      <sheetName val="conv_rtl_(old)"/>
      <sheetName val="conv_rtl_(22_10)"/>
      <sheetName val="icicifitl_dhs_(2)"/>
      <sheetName val="SCH IV"/>
      <sheetName val="SCH VIII"/>
      <sheetName val="TERMLOANS_1"/>
      <sheetName val="UN_SECU_LOANS1"/>
      <sheetName val="cur_lia_&amp;_prov1"/>
      <sheetName val="1611A_01_Overall_Position_(PBC1"/>
      <sheetName val="1611A_01a_DHS_op_bal_-DUE1"/>
      <sheetName val="1611A_01b_DHS_op_bal_-_not_due1"/>
      <sheetName val="1611A_02_IDBI-FCL1"/>
      <sheetName val="1611A_02a_IDBI_-FCL_RATES_comp1"/>
      <sheetName val="1611A_03_IDBI_RTL1"/>
      <sheetName val="1611A_03a_IDBIRTL_-_Recomp_DHS1"/>
      <sheetName val="Summary_ICICI_-_DHS1"/>
      <sheetName val="icici_fcl-_dhs_-_1"/>
      <sheetName val="1611A_04_ICICI-FCL1"/>
      <sheetName val="icici_con_rtl_-_dhs1"/>
      <sheetName val="1611A_05_ICICI_conv_rtl1"/>
      <sheetName val="icicifitl_30_09_041"/>
      <sheetName val="icici_rtl_-_dhs1"/>
      <sheetName val="icici_stl_-_dhs1"/>
      <sheetName val="icici-_stl(niep)1"/>
      <sheetName val="icici_fitl1"/>
      <sheetName val="oic_rtl1"/>
      <sheetName val="nic_rtl_1"/>
      <sheetName val="nia_rtl_1"/>
      <sheetName val="UII_RTL1"/>
      <sheetName val="gic_rtl1"/>
      <sheetName val="oic_rtl_1"/>
      <sheetName val="icici_-fitl1"/>
      <sheetName val="TOTAL_INTT1"/>
      <sheetName val="fitl_-ifci_dtl1"/>
      <sheetName val="gic_rtl_paid_31_12_011"/>
      <sheetName val="gic_rtl_31_12_011"/>
      <sheetName val="oic_rtl_apr'001"/>
      <sheetName val="oic_rtl_Mar'02_1"/>
      <sheetName val="UII_PAID_31_3_001"/>
      <sheetName val="edc_reco1"/>
      <sheetName val="total-_intt1"/>
      <sheetName val="Intt_accrued_&amp;_due_1"/>
      <sheetName val="intt_accrued_-_not_due1"/>
      <sheetName val="total-_intt_(InstwISE)1"/>
      <sheetName val="ICICI-FCL_old1"/>
      <sheetName val="conv_rtl_(old)1"/>
      <sheetName val="conv_rtl_(22_10)1"/>
      <sheetName val="icicifitl_dhs_(2)1"/>
      <sheetName val="SCH_IV"/>
      <sheetName val="SCH_VIII"/>
      <sheetName val="TERMLOANS_2"/>
      <sheetName val="UN_SECU_LOANS2"/>
      <sheetName val="cur_lia_&amp;_prov2"/>
      <sheetName val="1611A_01_Overall_Position_(PBC2"/>
      <sheetName val="1611A_01a_DHS_op_bal_-DUE2"/>
      <sheetName val="1611A_01b_DHS_op_bal_-_not_due2"/>
      <sheetName val="1611A_02_IDBI-FCL2"/>
      <sheetName val="1611A_02a_IDBI_-FCL_RATES_comp2"/>
      <sheetName val="1611A_03_IDBI_RTL2"/>
      <sheetName val="1611A_03a_IDBIRTL_-_Recomp_DHS2"/>
      <sheetName val="Summary_ICICI_-_DHS2"/>
      <sheetName val="icici_fcl-_dhs_-_2"/>
      <sheetName val="1611A_04_ICICI-FCL2"/>
      <sheetName val="icici_con_rtl_-_dhs2"/>
      <sheetName val="1611A_05_ICICI_conv_rtl2"/>
      <sheetName val="icicifitl_30_09_042"/>
      <sheetName val="icici_rtl_-_dhs2"/>
      <sheetName val="icici_stl_-_dhs2"/>
      <sheetName val="icici-_stl(niep)2"/>
      <sheetName val="icici_fitl2"/>
      <sheetName val="oic_rtl2"/>
      <sheetName val="nic_rtl_2"/>
      <sheetName val="nia_rtl_2"/>
      <sheetName val="UII_RTL2"/>
      <sheetName val="gic_rtl2"/>
      <sheetName val="oic_rtl_2"/>
      <sheetName val="icici_-fitl2"/>
      <sheetName val="TOTAL_INTT2"/>
      <sheetName val="fitl_-ifci_dtl2"/>
      <sheetName val="gic_rtl_paid_31_12_012"/>
      <sheetName val="gic_rtl_31_12_012"/>
      <sheetName val="oic_rtl_apr'002"/>
      <sheetName val="oic_rtl_Mar'02_2"/>
      <sheetName val="UII_PAID_31_3_002"/>
      <sheetName val="edc_reco2"/>
      <sheetName val="total-_intt2"/>
      <sheetName val="Intt_accrued_&amp;_due_2"/>
      <sheetName val="intt_accrued_-_not_due2"/>
      <sheetName val="total-_intt_(InstwISE)2"/>
      <sheetName val="ICICI-FCL_old2"/>
      <sheetName val="conv_rtl_(old)2"/>
      <sheetName val="conv_rtl_(22_10)2"/>
      <sheetName val="icicifitl_dhs_(2)2"/>
      <sheetName val="SCH_IV1"/>
      <sheetName val="SCH_VIII1"/>
      <sheetName val="1612.01AL - INT AM&amp;NIEP"/>
      <sheetName val="Commerica"/>
      <sheetName val="Adjustments"/>
      <sheetName val="PGW"/>
      <sheetName val="1611A INTEREST ACCRUED ON LOANS"/>
      <sheetName val="TAB 1"/>
      <sheetName val="5.Crs. TB"/>
      <sheetName val="TERMLOANS_3"/>
      <sheetName val="UN_SECU_LOANS3"/>
      <sheetName val="cur_lia_&amp;_prov3"/>
      <sheetName val="1611A_01_Overall_Position_(PBC3"/>
      <sheetName val="1611A_01a_DHS_op_bal_-DUE3"/>
      <sheetName val="1611A_01b_DHS_op_bal_-_not_due3"/>
      <sheetName val="1611A_02_IDBI-FCL3"/>
      <sheetName val="1611A_02a_IDBI_-FCL_RATES_comp3"/>
      <sheetName val="1611A_03_IDBI_RTL3"/>
      <sheetName val="1611A_03a_IDBIRTL_-_Recomp_DHS3"/>
      <sheetName val="Summary_ICICI_-_DHS3"/>
      <sheetName val="icici_fcl-_dhs_-_3"/>
      <sheetName val="1611A_04_ICICI-FCL3"/>
      <sheetName val="icici_con_rtl_-_dhs3"/>
      <sheetName val="1611A_05_ICICI_conv_rtl3"/>
      <sheetName val="icicifitl_30_09_043"/>
      <sheetName val="icici_rtl_-_dhs3"/>
      <sheetName val="icici_stl_-_dhs3"/>
      <sheetName val="icici-_stl(niep)3"/>
      <sheetName val="icici_fitl3"/>
      <sheetName val="oic_rtl3"/>
      <sheetName val="nic_rtl_3"/>
      <sheetName val="nia_rtl_3"/>
      <sheetName val="UII_RTL3"/>
      <sheetName val="gic_rtl3"/>
      <sheetName val="oic_rtl_3"/>
      <sheetName val="icici_-fitl3"/>
      <sheetName val="TOTAL_INTT3"/>
      <sheetName val="fitl_-ifci_dtl3"/>
      <sheetName val="gic_rtl_paid_31_12_013"/>
      <sheetName val="gic_rtl_31_12_013"/>
      <sheetName val="oic_rtl_apr'003"/>
      <sheetName val="oic_rtl_Mar'02_3"/>
      <sheetName val="UII_PAID_31_3_003"/>
      <sheetName val="edc_reco3"/>
      <sheetName val="total-_intt3"/>
      <sheetName val="Intt_accrued_&amp;_due_3"/>
      <sheetName val="intt_accrued_-_not_due3"/>
      <sheetName val="total-_intt_(InstwISE)3"/>
      <sheetName val="ICICI-FCL_old3"/>
      <sheetName val="conv_rtl_(old)3"/>
      <sheetName val="conv_rtl_(22_10)3"/>
      <sheetName val="icicifitl_dhs_(2)3"/>
      <sheetName val="SCH_IV2"/>
      <sheetName val="SCH_VIII2"/>
      <sheetName val="1612_01AL_-_INT_AM&amp;NIEP"/>
      <sheetName val="1611A_INTEREST_ACCRUED_ON_LOANS"/>
      <sheetName val="Sheet3 (2)"/>
      <sheetName val="TERMLOANS_4"/>
      <sheetName val="UN_SECU_LOANS4"/>
      <sheetName val="cur_lia_&amp;_prov4"/>
      <sheetName val="1611A_01_Overall_Position_(PBC4"/>
      <sheetName val="1611A_01a_DHS_op_bal_-DUE4"/>
      <sheetName val="1611A_01b_DHS_op_bal_-_not_due4"/>
      <sheetName val="1611A_02_IDBI-FCL4"/>
      <sheetName val="1611A_02a_IDBI_-FCL_RATES_comp4"/>
      <sheetName val="1611A_03_IDBI_RTL4"/>
      <sheetName val="1611A_03a_IDBIRTL_-_Recomp_DHS4"/>
      <sheetName val="Summary_ICICI_-_DHS4"/>
      <sheetName val="icici_fcl-_dhs_-_4"/>
      <sheetName val="1611A_04_ICICI-FCL4"/>
      <sheetName val="icici_con_rtl_-_dhs4"/>
      <sheetName val="1611A_05_ICICI_conv_rtl4"/>
      <sheetName val="icicifitl_30_09_044"/>
      <sheetName val="icici_rtl_-_dhs4"/>
      <sheetName val="icici_stl_-_dhs4"/>
      <sheetName val="icici-_stl(niep)4"/>
      <sheetName val="icici_fitl4"/>
      <sheetName val="oic_rtl4"/>
      <sheetName val="nic_rtl_4"/>
      <sheetName val="nia_rtl_4"/>
      <sheetName val="UII_RTL4"/>
      <sheetName val="gic_rtl4"/>
      <sheetName val="oic_rtl_4"/>
      <sheetName val="icici_-fitl4"/>
      <sheetName val="TOTAL_INTT4"/>
      <sheetName val="fitl_-ifci_dtl4"/>
      <sheetName val="gic_rtl_paid_31_12_014"/>
      <sheetName val="gic_rtl_31_12_014"/>
      <sheetName val="oic_rtl_apr'004"/>
      <sheetName val="oic_rtl_Mar'02_4"/>
      <sheetName val="UII_PAID_31_3_004"/>
      <sheetName val="edc_reco4"/>
      <sheetName val="total-_intt4"/>
      <sheetName val="Intt_accrued_&amp;_due_4"/>
      <sheetName val="intt_accrued_-_not_due4"/>
      <sheetName val="total-_intt_(InstwISE)4"/>
      <sheetName val="ICICI-FCL_old4"/>
      <sheetName val="conv_rtl_(old)4"/>
      <sheetName val="conv_rtl_(22_10)4"/>
      <sheetName val="icicifitl_dhs_(2)4"/>
      <sheetName val="SCH_IV3"/>
      <sheetName val="SCH_VIII3"/>
      <sheetName val="1612_01AL_-_INT_AM&amp;NIEP1"/>
      <sheetName val="1611A_INTEREST_ACCRUED_ON_LOAN1"/>
      <sheetName val="TAB_1"/>
      <sheetName val="5_Crs__TB"/>
      <sheetName val="TERMLOANS_5"/>
      <sheetName val="UN_SECU_LOANS5"/>
      <sheetName val="cur_lia_&amp;_prov5"/>
      <sheetName val="1611A_01_Overall_Position_(PBC5"/>
      <sheetName val="1611A_01a_DHS_op_bal_-DUE5"/>
      <sheetName val="1611A_01b_DHS_op_bal_-_not_due5"/>
      <sheetName val="1611A_02_IDBI-FCL5"/>
      <sheetName val="1611A_02a_IDBI_-FCL_RATES_comp5"/>
      <sheetName val="1611A_03_IDBI_RTL5"/>
      <sheetName val="1611A_03a_IDBIRTL_-_Recomp_DHS5"/>
      <sheetName val="Summary_ICICI_-_DHS5"/>
      <sheetName val="icici_fcl-_dhs_-_5"/>
      <sheetName val="1611A_04_ICICI-FCL5"/>
      <sheetName val="icici_con_rtl_-_dhs5"/>
      <sheetName val="1611A_05_ICICI_conv_rtl5"/>
      <sheetName val="icicifitl_30_09_045"/>
      <sheetName val="icici_rtl_-_dhs5"/>
      <sheetName val="icici_stl_-_dhs5"/>
      <sheetName val="icici-_stl(niep)5"/>
      <sheetName val="icici_fitl5"/>
      <sheetName val="oic_rtl5"/>
      <sheetName val="nic_rtl_5"/>
      <sheetName val="nia_rtl_5"/>
      <sheetName val="UII_RTL5"/>
      <sheetName val="gic_rtl5"/>
      <sheetName val="oic_rtl_5"/>
      <sheetName val="icici_-fitl5"/>
      <sheetName val="TOTAL_INTT5"/>
      <sheetName val="fitl_-ifci_dtl5"/>
      <sheetName val="gic_rtl_paid_31_12_015"/>
      <sheetName val="gic_rtl_31_12_015"/>
      <sheetName val="oic_rtl_apr'005"/>
      <sheetName val="oic_rtl_Mar'02_5"/>
      <sheetName val="UII_PAID_31_3_005"/>
      <sheetName val="edc_reco5"/>
      <sheetName val="total-_intt5"/>
      <sheetName val="Intt_accrued_&amp;_due_5"/>
      <sheetName val="intt_accrued_-_not_due5"/>
      <sheetName val="total-_intt_(InstwISE)5"/>
      <sheetName val="ICICI-FCL_old5"/>
      <sheetName val="conv_rtl_(old)5"/>
      <sheetName val="conv_rtl_(22_10)5"/>
      <sheetName val="icicifitl_dhs_(2)5"/>
      <sheetName val="SCH_IV4"/>
      <sheetName val="SCH_VIII4"/>
      <sheetName val="1612_01AL_-_INT_AM&amp;NIEP2"/>
      <sheetName val="1611A_INTEREST_ACCRUED_ON_LOAN2"/>
      <sheetName val="TAB_11"/>
      <sheetName val="5_Crs__TB1"/>
      <sheetName val="GL Bal."/>
      <sheetName val="2.Control Sheet"/>
      <sheetName val="Sept 06"/>
      <sheetName val="Current tax"/>
      <sheetName val="Deprn IT"/>
      <sheetName val="3.Summary"/>
      <sheetName val="Oustanding Balances"/>
      <sheetName val="Inventory Count Sheet "/>
      <sheetName val="1. Procedure"/>
      <sheetName val="TERMLOANS_6"/>
      <sheetName val="UN_SECU_LOANS6"/>
      <sheetName val="cur_lia_&amp;_prov6"/>
      <sheetName val="1611A_01_Overall_Position_(PBC6"/>
      <sheetName val="1611A_01a_DHS_op_bal_-DUE6"/>
      <sheetName val="1611A_01b_DHS_op_bal_-_not_due6"/>
      <sheetName val="1611A_02_IDBI-FCL6"/>
      <sheetName val="1611A_02a_IDBI_-FCL_RATES_comp6"/>
      <sheetName val="1611A_03_IDBI_RTL6"/>
      <sheetName val="1611A_03a_IDBIRTL_-_Recomp_DHS6"/>
      <sheetName val="Summary_ICICI_-_DHS6"/>
      <sheetName val="icici_fcl-_dhs_-_6"/>
      <sheetName val="1611A_04_ICICI-FCL6"/>
      <sheetName val="icici_con_rtl_-_dhs6"/>
      <sheetName val="1611A_05_ICICI_conv_rtl6"/>
      <sheetName val="icicifitl_30_09_046"/>
      <sheetName val="icici_rtl_-_dhs6"/>
      <sheetName val="icici_stl_-_dhs6"/>
      <sheetName val="icici-_stl(niep)6"/>
      <sheetName val="icici_fitl6"/>
      <sheetName val="oic_rtl6"/>
      <sheetName val="nic_rtl_6"/>
      <sheetName val="nia_rtl_6"/>
      <sheetName val="UII_RTL6"/>
      <sheetName val="gic_rtl6"/>
      <sheetName val="oic_rtl_6"/>
      <sheetName val="icici_-fitl6"/>
      <sheetName val="TOTAL_INTT6"/>
      <sheetName val="fitl_-ifci_dtl6"/>
      <sheetName val="gic_rtl_paid_31_12_016"/>
      <sheetName val="gic_rtl_31_12_016"/>
      <sheetName val="oic_rtl_apr'006"/>
      <sheetName val="oic_rtl_Mar'02_6"/>
      <sheetName val="UII_PAID_31_3_006"/>
      <sheetName val="edc_reco6"/>
      <sheetName val="total-_intt6"/>
      <sheetName val="Intt_accrued_&amp;_due_6"/>
      <sheetName val="intt_accrued_-_not_due6"/>
      <sheetName val="total-_intt_(InstwISE)6"/>
      <sheetName val="ICICI-FCL_old6"/>
      <sheetName val="conv_rtl_(old)6"/>
      <sheetName val="conv_rtl_(22_10)6"/>
      <sheetName val="icicifitl_dhs_(2)6"/>
      <sheetName val="SCH_IV5"/>
      <sheetName val="SCH_VIII5"/>
      <sheetName val="1612_01AL_-_INT_AM&amp;NIEP3"/>
      <sheetName val="1611A_INTEREST_ACCRUED_ON_LOAN3"/>
      <sheetName val="TAB_12"/>
      <sheetName val="5_Crs__TB2"/>
      <sheetName val="Sheet3_(2)"/>
      <sheetName val="Cash flow details"/>
      <sheetName val="Cash Flow Statement in millions"/>
      <sheetName val="PyrllDeduc"/>
      <sheetName val="Instruction Sheet"/>
      <sheetName val="Spese Viaggio"/>
      <sheetName val="Data"/>
      <sheetName val="Sales"/>
      <sheetName val="LS"/>
      <sheetName val="Trial Balance - MARCH 2006"/>
      <sheetName val="#REF"/>
      <sheetName val="BS Schedule"/>
      <sheetName val="HBI NCD"/>
      <sheetName val="Clause 9"/>
      <sheetName val="230002"/>
      <sheetName val="Summary 30-09-09"/>
      <sheetName val="MASTER"/>
      <sheetName val="MASTER SCHEDULE F"/>
      <sheetName val="3.Grouping - Profit &amp; Loss(mio)"/>
      <sheetName val="deferred taxes"/>
      <sheetName val="TERMLOANS_7"/>
      <sheetName val="UN_SECU_LOANS7"/>
      <sheetName val="cur_lia_&amp;_prov7"/>
      <sheetName val="1611A_01_Overall_Position_(PBC7"/>
      <sheetName val="1611A_01a_DHS_op_bal_-DUE7"/>
      <sheetName val="1611A_01b_DHS_op_bal_-_not_due7"/>
      <sheetName val="1611A_02_IDBI-FCL7"/>
      <sheetName val="1611A_02a_IDBI_-FCL_RATES_comp7"/>
      <sheetName val="1611A_03_IDBI_RTL7"/>
      <sheetName val="1611A_03a_IDBIRTL_-_Recomp_DHS7"/>
      <sheetName val="Summary_ICICI_-_DHS7"/>
      <sheetName val="Fixed asset regi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1. Instructions"/>
      <sheetName val="2. Testing"/>
      <sheetName val="3. CMA"/>
      <sheetName val="4. TB"/>
      <sheetName val="5. Ageing "/>
      <sheetName val="6. Dful"/>
      <sheetName val="7. Confirmation"/>
      <sheetName val="XREF"/>
      <sheetName val="Tickmarks"/>
      <sheetName val="Service Center"/>
      <sheetName val="dfrdtxtn"/>
      <sheetName val="TAB 1"/>
      <sheetName val="2.Control Sheet"/>
      <sheetName val="PGW"/>
      <sheetName val="HBI NC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612.01A Balance-Sheet"/>
      <sheetName val="1612.01B TRFDIVS"/>
      <sheetName val="1612.01C LOAN_SUM"/>
      <sheetName val="1612.01D TERMLOANS "/>
      <sheetName val="1612.01E UN_SECU.LOANS"/>
      <sheetName val="1612.01F fixassets"/>
      <sheetName val="1612.01 G CWIP-SUMM"/>
      <sheetName val="1612.01H CWIP"/>
      <sheetName val="1612.01H{1} IMP EQPT"/>
      <sheetName val="1612.01H {2} 273515"/>
      <sheetName val="1612.01I EDC"/>
      <sheetName val="1612.01J INVEST"/>
      <sheetName val="1612.01K cur. assets"/>
      <sheetName val="1612.01L loans_adv"/>
      <sheetName val="1612.01M cur lia &amp; prov"/>
      <sheetName val="1612.01N MISC.EXP"/>
      <sheetName val="1612.01O land_dvp"/>
      <sheetName val="1612.01P tech_fee"/>
      <sheetName val="DHS 1612.01P PROCESS"/>
      <sheetName val="DHS 1612.01P - PMC-F"/>
      <sheetName val="DHS 1612.01P - PMC-I"/>
      <sheetName val="1612.01Q pyt_emp"/>
      <sheetName val="DHS - 1612.01Q pyt_emp"/>
      <sheetName val="1612.01Q{1} SALARIES ANALYSIS"/>
      <sheetName val="1612.01S travel"/>
      <sheetName val="1612.01T commn."/>
      <sheetName val="1612.01U printing"/>
      <sheetName val="1612.01V pro_fee"/>
      <sheetName val="1612.01W rent"/>
      <sheetName val="1612.01X rate_tax"/>
      <sheetName val="1612.01Y repair"/>
      <sheetName val="1612.01Z advt"/>
      <sheetName val="1612.01AA veh_hire"/>
      <sheetName val="1612.01AB fin_cha"/>
      <sheetName val="1612.01AC insurance"/>
      <sheetName val="1612.01AD sundry_exp"/>
      <sheetName val="1612.01AE depreciation"/>
      <sheetName val="1612.01AF audit_fee"/>
      <sheetName val="1612.01AG INT&amp;MISC INC"/>
      <sheetName val="1612.01AH staff_loan_adv"/>
      <sheetName val="1612.01AI deposit&amp;grcomp"/>
      <sheetName val="WELFARE"/>
      <sheetName val="EDC - RECLASSIFIED"/>
      <sheetName val="1612.01AJ MANUAL ENTRY"/>
      <sheetName val="TB101004"/>
      <sheetName val="1612.01AK FEin CWIP "/>
      <sheetName val="1612.01AL last vou"/>
      <sheetName val="311203"/>
      <sheetName val="RJVEI054"/>
      <sheetName val="1612.01AM CONT Main sheet"/>
      <sheetName val="top"/>
      <sheetName val="security clause"/>
      <sheetName val="SECURITY"/>
      <sheetName val="summ_reclassification"/>
      <sheetName val="edc 6"/>
      <sheetName val="CWIp (comparison)"/>
      <sheetName val="DHS 1612.01AN contingent DEC'03"/>
      <sheetName val="DHS 1612.01AO contingent OCT'04"/>
      <sheetName val="1612.01AP - DEB INT Contingency"/>
      <sheetName val="1612.01AQ - intt_abb Contingecy"/>
      <sheetName val="1612.01AQ(1) lcm-intt "/>
      <sheetName val="1612.01AQ(2) lcl-int"/>
      <sheetName val="1612.01AQ(3) lgvintt "/>
      <sheetName val="1612.01AR - INT (ECB)"/>
      <sheetName val="1612.01AS - frn bill"/>
      <sheetName val="1612.01AT Amex "/>
      <sheetName val="1612.01AU amb amro"/>
      <sheetName val="1612.01AV NIEP"/>
      <sheetName val="1612.01AW Niep Tds Summary"/>
      <sheetName val="XREF"/>
      <sheetName val="Tickmarks"/>
      <sheetName val="TRIAL-BALANCE"/>
      <sheetName val="EDC 9 MONTHS"/>
      <sheetName val="edc 9"/>
      <sheetName val="DETAILED SCHEDULE LIST"/>
      <sheetName val="HBI NCD"/>
      <sheetName val="Scope"/>
      <sheetName val="5.Crs. TB"/>
      <sheetName val="519012"/>
      <sheetName val="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ated Parties"/>
      <sheetName val="Pl-EXCL"/>
      <sheetName val="pL-iNCL"/>
      <sheetName val="Sheet3"/>
      <sheetName val="P&amp;L"/>
      <sheetName val="BS"/>
      <sheetName val="VARIANCE ANALYSIS "/>
      <sheetName val="cash flow"/>
      <sheetName val="Sch 1-4"/>
      <sheetName val="Sch-5"/>
      <sheetName val="Sch-6-11"/>
      <sheetName val="Sch 12 &amp;13"/>
      <sheetName val="P&amp;L Sch 14-16"/>
      <sheetName val="P&amp;L Sch 17-19"/>
      <sheetName val="Data Entry"/>
      <sheetName val="TRIAL BALANCE (2)"/>
      <sheetName val="TRIAL BALANCE"/>
      <sheetName val="TB Download"/>
      <sheetName val="TBdownload-2002"/>
      <sheetName val="CC wise Download"/>
      <sheetName val="SIFGROUPINGS"/>
      <sheetName val="SIF P&amp;L BS"/>
      <sheetName val="SIF P&amp;L"/>
      <sheetName val="SIF Workings"/>
      <sheetName val="SIF Results Back up"/>
      <sheetName val="PROVISIONS"/>
      <sheetName val="P &amp; L Approach(OB)"/>
      <sheetName val="P &amp; L Approach(CB) "/>
      <sheetName val="AS-22"/>
      <sheetName val="Nagar provisions"/>
      <sheetName val="CL PROVISION"/>
      <sheetName val="SIF R20&amp;R30 "/>
      <sheetName val="SIF-Sent to France"/>
      <sheetName val="sch-IV"/>
      <sheetName val="TBM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rans_Letter"/>
      <sheetName val="Index"/>
      <sheetName val="Abbreviations"/>
      <sheetName val="Lead_Index"/>
      <sheetName val="Lead PL"/>
      <sheetName val="Lead CF"/>
      <sheetName val="Lead BS"/>
      <sheetName val="PL_Index"/>
      <sheetName val="PL1"/>
      <sheetName val="PL2"/>
      <sheetName val="PL3"/>
      <sheetName val="PL4"/>
      <sheetName val="PL5"/>
      <sheetName val="PL6-Revenue Bridge"/>
      <sheetName val="PL7"/>
      <sheetName val="PL8"/>
      <sheetName val="PL9"/>
      <sheetName val="PL10"/>
      <sheetName val="PL11"/>
      <sheetName val="PL12"/>
      <sheetName val="PL13"/>
      <sheetName val="PL14"/>
      <sheetName val="PL15"/>
      <sheetName val="PL16"/>
      <sheetName val="PL17"/>
      <sheetName val="PL18"/>
      <sheetName val="PL19"/>
      <sheetName val="PL20"/>
      <sheetName val="PL21"/>
      <sheetName val="PL22"/>
      <sheetName val="PL23"/>
      <sheetName val="PL24"/>
      <sheetName val="BS_Index"/>
      <sheetName val="BS1"/>
      <sheetName val="BS2"/>
      <sheetName val="BS3"/>
      <sheetName val="BS4"/>
      <sheetName val="BS5"/>
      <sheetName val="BS6"/>
      <sheetName val="BS7"/>
      <sheetName val="BS8"/>
      <sheetName val="BS9"/>
      <sheetName val="BS10"/>
      <sheetName val="BS11"/>
      <sheetName val="BS12"/>
      <sheetName val="BS13"/>
      <sheetName val="BS14"/>
      <sheetName val="BS15"/>
      <sheetName val="BS16"/>
      <sheetName val="BS17"/>
      <sheetName val="BS18"/>
      <sheetName val="BS19"/>
      <sheetName val="BS20"/>
      <sheetName val="BS21"/>
      <sheetName val="BS22"/>
      <sheetName val="BS23"/>
      <sheetName val="BS24"/>
      <sheetName val="WC_Index"/>
      <sheetName val="WC1"/>
      <sheetName val="WC2"/>
      <sheetName val="FC_Index"/>
      <sheetName val="FC1"/>
      <sheetName val="FC2"/>
      <sheetName val="AG_Index"/>
      <sheetName val="AG1"/>
      <sheetName val="AG2"/>
      <sheetName val="AG3"/>
      <sheetName val="AG4"/>
      <sheetName val="AG5"/>
      <sheetName val="AG6"/>
      <sheetName val="Sheet8S"/>
      <sheetName val="Sheet4S"/>
      <sheetName val="Sheet01S"/>
      <sheetName val="Sheet12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ople Soft to Nessie to IRIS"/>
      <sheetName val="Balance"/>
      <sheetName val="CoA"/>
    </sheetNames>
    <sheetDataSet>
      <sheetData sheetId="0">
        <row r="1">
          <cell r="A1" t="str">
            <v>E119</v>
          </cell>
        </row>
      </sheetData>
      <sheetData sheetId="1"/>
      <sheetData sheetId="2"/>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s>
    <sheetDataSet>
      <sheetData sheetId="0" refreshError="1">
        <row r="149">
          <cell r="C149">
            <v>3137764.5</v>
          </cell>
        </row>
        <row r="163">
          <cell r="C163">
            <v>43812772.549999997</v>
          </cell>
        </row>
      </sheetData>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Materials"/>
      <sheetName val="WMS"/>
      <sheetName val="GPOP"/>
      <sheetName val="mktgfin"/>
      <sheetName val="Canadasystems"/>
      <sheetName val="Headcount Addition"/>
      <sheetName val="Headcount_Addition"/>
    </sheetNames>
    <sheetDataSet>
      <sheetData sheetId="0" refreshError="1">
        <row r="30">
          <cell r="B30">
            <v>1385971</v>
          </cell>
        </row>
        <row r="35">
          <cell r="B35">
            <v>0.21</v>
          </cell>
        </row>
        <row r="37">
          <cell r="B37">
            <v>0.24</v>
          </cell>
        </row>
      </sheetData>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BS St"/>
      <sheetName val="IncStat"/>
      <sheetName val="PL"/>
      <sheetName val="CFlow"/>
      <sheetName val="Equity"/>
      <sheetName val="Sch"/>
      <sheetName val="notes check"/>
      <sheetName val="CF Working"/>
      <sheetName val="checks"/>
      <sheetName val="Statement of Income (USGAAP)"/>
      <sheetName val="Wght Avg "/>
      <sheetName val="SL Pref"/>
      <sheetName val="PL Gr KPMG"/>
      <sheetName val="BS Gr KPMG"/>
      <sheetName val="BS COA"/>
      <sheetName val="PL COA"/>
      <sheetName val="Adjustment"/>
      <sheetName val="FIN 48"/>
      <sheetName val="P&amp;L - Nvision"/>
      <sheetName val="AnnexurePL"/>
      <sheetName val="AnnexureBS"/>
      <sheetName val="FBT reversal from April-July 09"/>
      <sheetName val="TB"/>
      <sheetName val="Entries"/>
      <sheetName val="Inv Equity adj"/>
      <sheetName val="Leasehold La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 AS BS"/>
      <sheetName val="Ind AS PL"/>
      <sheetName val="Statement of change in equity"/>
      <sheetName val="Ind AS entries"/>
      <sheetName val="BS"/>
      <sheetName val="PL"/>
      <sheetName val="CF"/>
      <sheetName val="CF working"/>
      <sheetName val="CF Working contd"/>
      <sheetName val="BS notes"/>
      <sheetName val="BS - FA notes"/>
      <sheetName val="PL notes"/>
      <sheetName val="notes 23-32"/>
      <sheetName val="Note 33-35 end"/>
      <sheetName val="Note 34(end)"/>
      <sheetName val="Pl Gr"/>
      <sheetName val="master sheet"/>
      <sheetName val="BS Gr"/>
      <sheetName val="checks"/>
      <sheetName val="Annexure"/>
      <sheetName val="entries - FY 15-16"/>
      <sheetName val="Regrouping entries - FY 12-13"/>
      <sheetName val="psoft download"/>
      <sheetName val="Pending"/>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List of employees"/>
      <sheetName val="SGA Template"/>
      <sheetName val="List_of_employees"/>
      <sheetName val="SGA_Template"/>
    </sheetNames>
    <sheetDataSet>
      <sheetData sheetId="0"/>
      <sheetData sheetId="1"/>
      <sheetData sheetId="2" refreshError="1">
        <row r="102">
          <cell r="A102" t="str">
            <v>Syntel Ltd, India</v>
          </cell>
        </row>
        <row r="103">
          <cell r="A103" t="str">
            <v>Syntel International Pvt Ltd India</v>
          </cell>
        </row>
      </sheetData>
      <sheetData sheetId="3"/>
      <sheetData sheetId="4">
        <row r="102">
          <cell r="A102" t="str">
            <v>Syntel Ltd, India</v>
          </cell>
        </row>
      </sheetData>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sheetName val="Cover page"/>
      <sheetName val="Index"/>
      <sheetName val="Restatement"/>
      <sheetName val="BS"/>
      <sheetName val="Sch - BS"/>
      <sheetName val="BS Gr"/>
      <sheetName val="PL"/>
      <sheetName val="PL Gr"/>
      <sheetName val="Macro1"/>
      <sheetName val="Sch - PL"/>
      <sheetName val="CF"/>
      <sheetName val="Significant Accounting Poli New"/>
      <sheetName val="CF Working"/>
      <sheetName val="Statement of Equity "/>
      <sheetName val="Signi Acc Policy New"/>
      <sheetName val="Note 3 - 4"/>
      <sheetName val="Note 5-9"/>
      <sheetName val="Note 8 - Current Investment"/>
      <sheetName val="Note 10 - 17"/>
      <sheetName val="Note 18-26"/>
      <sheetName val="Note 27 Segment Reporting"/>
      <sheetName val="Notes 28-35"/>
      <sheetName val="Ratio Working"/>
      <sheetName val="Entries' 22-23"/>
      <sheetName val="TB for financial"/>
      <sheetName val="People Soft to Nessie to IRIS"/>
      <sheetName val="OCI"/>
      <sheetName val="Sch - FA"/>
      <sheetName val="FA Working 21-22"/>
      <sheetName val="FA Working_20-21"/>
      <sheetName val="TB Download"/>
      <sheetName val="SAP TB"/>
      <sheetName val="BSPL Grouping"/>
      <sheetName val="IND AS entries 22-23"/>
      <sheetName val="IND AS_TB18-19"/>
    </sheetNames>
    <sheetDataSet>
      <sheetData sheetId="0" refreshError="1">
        <row r="23">
          <cell r="B23">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row r="1">
          <cell r="A1" t="str">
            <v>Syntel Solutions (India) Private Limited</v>
          </cell>
        </row>
        <row r="2">
          <cell r="A2" t="str">
            <v>Annexure to Grouping 31st March 2023</v>
          </cell>
        </row>
        <row r="4">
          <cell r="A4" t="str">
            <v>GL Code</v>
          </cell>
          <cell r="B4" t="str">
            <v>Particulars</v>
          </cell>
        </row>
        <row r="5">
          <cell r="A5">
            <v>100000</v>
          </cell>
          <cell r="B5" t="str">
            <v>TDR reclassed &gt; 3 months</v>
          </cell>
        </row>
        <row r="6">
          <cell r="A6">
            <v>100001</v>
          </cell>
          <cell r="B6" t="str">
            <v>TDR above 1 year - Non current ass</v>
          </cell>
        </row>
        <row r="7">
          <cell r="A7">
            <v>100300</v>
          </cell>
          <cell r="B7" t="str">
            <v>Bank-Dean Witter</v>
          </cell>
        </row>
        <row r="8">
          <cell r="A8">
            <v>100301</v>
          </cell>
          <cell r="B8" t="str">
            <v>JP Morgan - CAD Bank Account</v>
          </cell>
        </row>
        <row r="9">
          <cell r="A9">
            <v>100302</v>
          </cell>
          <cell r="B9" t="str">
            <v>Barclays Bank PLC - Wealth</v>
          </cell>
        </row>
        <row r="10">
          <cell r="A10">
            <v>100303</v>
          </cell>
          <cell r="B10" t="str">
            <v>Barclays Bank PLC - USD EEFC</v>
          </cell>
        </row>
        <row r="11">
          <cell r="A11">
            <v>100304</v>
          </cell>
          <cell r="B11" t="str">
            <v>Barclays Bank PLC - USD FC</v>
          </cell>
        </row>
        <row r="12">
          <cell r="A12">
            <v>100305</v>
          </cell>
          <cell r="B12" t="str">
            <v>Bank One Canada-Syntel Inc</v>
          </cell>
        </row>
        <row r="13">
          <cell r="A13">
            <v>100314</v>
          </cell>
          <cell r="B13" t="str">
            <v>Axis Bank - USD FCY</v>
          </cell>
        </row>
        <row r="14">
          <cell r="A14">
            <v>100320</v>
          </cell>
          <cell r="B14" t="str">
            <v>HDFC Bank -USD EEFC</v>
          </cell>
        </row>
        <row r="15">
          <cell r="A15">
            <v>100325</v>
          </cell>
          <cell r="B15" t="str">
            <v xml:space="preserve">HDFC Bank -USD FC </v>
          </cell>
        </row>
        <row r="16">
          <cell r="A16">
            <v>100327</v>
          </cell>
          <cell r="B16" t="str">
            <v>Standard Chartered -USD FC</v>
          </cell>
        </row>
        <row r="17">
          <cell r="A17">
            <v>100400</v>
          </cell>
          <cell r="B17" t="str">
            <v>Bank-NBD (Old)</v>
          </cell>
        </row>
        <row r="18">
          <cell r="A18">
            <v>100440</v>
          </cell>
          <cell r="B18" t="str">
            <v>Bank-NBD Deposit Account</v>
          </cell>
        </row>
        <row r="19">
          <cell r="A19">
            <v>100441</v>
          </cell>
          <cell r="B19" t="str">
            <v>Bank of America</v>
          </cell>
        </row>
        <row r="20">
          <cell r="A20">
            <v>100450</v>
          </cell>
          <cell r="B20" t="str">
            <v>Bank-NBD A/P Checks</v>
          </cell>
        </row>
        <row r="21">
          <cell r="A21">
            <v>100451</v>
          </cell>
          <cell r="B21" t="str">
            <v>JPMorgan Chase Bank N.A. Curre</v>
          </cell>
        </row>
        <row r="22">
          <cell r="A22">
            <v>100452</v>
          </cell>
          <cell r="B22" t="str">
            <v>JPMorgan Chase Bank N.A. Payro</v>
          </cell>
        </row>
        <row r="23">
          <cell r="A23">
            <v>100454</v>
          </cell>
          <cell r="B23" t="str">
            <v>JPMorgan Chase Bank N.A. FCY A</v>
          </cell>
        </row>
        <row r="24">
          <cell r="A24">
            <v>100460</v>
          </cell>
          <cell r="B24" t="str">
            <v>Bank-NBD Expense Checks</v>
          </cell>
        </row>
        <row r="25">
          <cell r="A25">
            <v>100470</v>
          </cell>
          <cell r="B25" t="str">
            <v>Bank-NBD Flexible Spending Ckg</v>
          </cell>
        </row>
        <row r="26">
          <cell r="A26">
            <v>100480</v>
          </cell>
          <cell r="B26" t="str">
            <v>Bank-NBD Escrow Checking Acct</v>
          </cell>
        </row>
        <row r="27">
          <cell r="A27">
            <v>100490</v>
          </cell>
          <cell r="B27" t="str">
            <v>Syntel Earthquake Relief Fund</v>
          </cell>
        </row>
        <row r="28">
          <cell r="A28">
            <v>100491</v>
          </cell>
          <cell r="B28" t="str">
            <v>Bank Of India - USD FCY</v>
          </cell>
        </row>
        <row r="29">
          <cell r="A29">
            <v>100492</v>
          </cell>
          <cell r="B29" t="str">
            <v>Allahabad Bank FD A/c</v>
          </cell>
        </row>
        <row r="30">
          <cell r="A30">
            <v>100493</v>
          </cell>
          <cell r="B30" t="str">
            <v>Yes Bank  Limited – FD  A/c</v>
          </cell>
        </row>
        <row r="31">
          <cell r="A31">
            <v>100500</v>
          </cell>
          <cell r="B31" t="str">
            <v>Metier Checking</v>
          </cell>
        </row>
        <row r="32">
          <cell r="A32">
            <v>100501</v>
          </cell>
          <cell r="B32" t="str">
            <v xml:space="preserve">Credit Agricole Indosuez INR </v>
          </cell>
        </row>
        <row r="33">
          <cell r="A33">
            <v>100502</v>
          </cell>
          <cell r="B33" t="str">
            <v>Bank of India - INR</v>
          </cell>
        </row>
        <row r="34">
          <cell r="A34">
            <v>100503</v>
          </cell>
          <cell r="B34" t="str">
            <v>State Bank of India - INR</v>
          </cell>
        </row>
        <row r="35">
          <cell r="A35">
            <v>100504</v>
          </cell>
          <cell r="B35" t="str">
            <v>Standard Chartered - INR Mumbai</v>
          </cell>
        </row>
        <row r="36">
          <cell r="A36">
            <v>100505</v>
          </cell>
          <cell r="B36" t="str">
            <v>American Express Bank - INR</v>
          </cell>
        </row>
        <row r="37">
          <cell r="A37">
            <v>100506</v>
          </cell>
          <cell r="B37" t="str">
            <v>ICICI Bank - INR</v>
          </cell>
        </row>
        <row r="38">
          <cell r="A38">
            <v>100507</v>
          </cell>
          <cell r="B38" t="str">
            <v>UCO Bank - INR</v>
          </cell>
        </row>
        <row r="39">
          <cell r="A39">
            <v>100508</v>
          </cell>
          <cell r="B39" t="str">
            <v>Credit Agricole Indosuez EEFC</v>
          </cell>
        </row>
        <row r="40">
          <cell r="A40">
            <v>100509</v>
          </cell>
          <cell r="B40" t="str">
            <v xml:space="preserve">Bank of India - EEFC </v>
          </cell>
        </row>
        <row r="41">
          <cell r="A41">
            <v>100510</v>
          </cell>
          <cell r="B41" t="str">
            <v>Metier Payroll</v>
          </cell>
        </row>
        <row r="42">
          <cell r="A42">
            <v>100511</v>
          </cell>
          <cell r="B42" t="str">
            <v>Bank One - USA CA</v>
          </cell>
        </row>
        <row r="43">
          <cell r="A43">
            <v>100513</v>
          </cell>
          <cell r="B43" t="str">
            <v>HDFC Bank Limited - INR</v>
          </cell>
        </row>
        <row r="44">
          <cell r="A44">
            <v>100514</v>
          </cell>
          <cell r="B44" t="str">
            <v>Kotak Bank- Current A/c</v>
          </cell>
        </row>
        <row r="45">
          <cell r="A45">
            <v>100515</v>
          </cell>
          <cell r="B45" t="str">
            <v>Kotak Bank-Fixed Deposits</v>
          </cell>
        </row>
        <row r="46">
          <cell r="A46">
            <v>100516</v>
          </cell>
          <cell r="B46" t="str">
            <v>PNB - Current A/c</v>
          </cell>
        </row>
        <row r="47">
          <cell r="A47">
            <v>100519</v>
          </cell>
          <cell r="B47" t="str">
            <v>Citibank</v>
          </cell>
        </row>
        <row r="48">
          <cell r="A48">
            <v>100520</v>
          </cell>
          <cell r="B48" t="str">
            <v>Metier Investments</v>
          </cell>
        </row>
        <row r="49">
          <cell r="A49">
            <v>100517</v>
          </cell>
          <cell r="B49" t="str">
            <v>PNB-Fixed Deposits</v>
          </cell>
        </row>
        <row r="50">
          <cell r="A50">
            <v>100521</v>
          </cell>
          <cell r="B50" t="str">
            <v>Bank of India - TDR</v>
          </cell>
        </row>
        <row r="51">
          <cell r="A51">
            <v>100522</v>
          </cell>
          <cell r="B51" t="str">
            <v>State Bank of India - TDR</v>
          </cell>
        </row>
        <row r="52">
          <cell r="A52">
            <v>100523</v>
          </cell>
          <cell r="B52" t="str">
            <v>Credit Agricole Indosuez - TDR</v>
          </cell>
        </row>
        <row r="53">
          <cell r="A53">
            <v>100524</v>
          </cell>
          <cell r="B53" t="str">
            <v>UCO Bank - TDR</v>
          </cell>
        </row>
        <row r="54">
          <cell r="A54">
            <v>100525</v>
          </cell>
          <cell r="B54" t="str">
            <v>Standard Chartered - INR Chennai</v>
          </cell>
        </row>
        <row r="55">
          <cell r="A55">
            <v>100526</v>
          </cell>
          <cell r="B55" t="str">
            <v>ICICI Bank - TDR</v>
          </cell>
        </row>
        <row r="56">
          <cell r="A56">
            <v>100527</v>
          </cell>
          <cell r="B56" t="str">
            <v>Bank of India - USD TDR</v>
          </cell>
        </row>
        <row r="57">
          <cell r="A57">
            <v>100528</v>
          </cell>
          <cell r="B57" t="str">
            <v>ICICI Bank - TDR - OBU</v>
          </cell>
        </row>
        <row r="58">
          <cell r="A58">
            <v>100529</v>
          </cell>
          <cell r="B58" t="str">
            <v>Reliance Floating Rate Fund</v>
          </cell>
        </row>
        <row r="59">
          <cell r="A59">
            <v>100530</v>
          </cell>
          <cell r="B59" t="str">
            <v>Punjab National Bank - USD TDR</v>
          </cell>
        </row>
        <row r="60">
          <cell r="A60">
            <v>100531</v>
          </cell>
          <cell r="B60" t="str">
            <v>Punjab National Bank</v>
          </cell>
        </row>
        <row r="61">
          <cell r="A61">
            <v>100533</v>
          </cell>
          <cell r="B61" t="str">
            <v>Standard Chartered Bank - TDR</v>
          </cell>
        </row>
        <row r="62">
          <cell r="A62">
            <v>100534</v>
          </cell>
          <cell r="B62" t="str">
            <v>HDFC Bank Limited -INR TDR</v>
          </cell>
        </row>
        <row r="63">
          <cell r="A63">
            <v>100535</v>
          </cell>
          <cell r="B63" t="str">
            <v>Corporation Bank - INR</v>
          </cell>
        </row>
        <row r="64">
          <cell r="A64">
            <v>100536</v>
          </cell>
          <cell r="B64" t="str">
            <v>Corporation Bank - INR TDR</v>
          </cell>
        </row>
        <row r="65">
          <cell r="A65">
            <v>100539</v>
          </cell>
          <cell r="B65" t="str">
            <v>Axis Bank - INR</v>
          </cell>
        </row>
        <row r="66">
          <cell r="A66">
            <v>100545</v>
          </cell>
          <cell r="B66" t="str">
            <v>Kotak Mahindra Bank-USD EEFC</v>
          </cell>
        </row>
        <row r="67">
          <cell r="A67">
            <v>100546</v>
          </cell>
          <cell r="B67" t="str">
            <v>Kotak Mahindra Bank-USD FCY</v>
          </cell>
        </row>
        <row r="68">
          <cell r="A68">
            <v>100540</v>
          </cell>
          <cell r="B68" t="str">
            <v>Axis Bank - INR TDR</v>
          </cell>
        </row>
        <row r="69">
          <cell r="A69">
            <v>100541</v>
          </cell>
          <cell r="B69" t="str">
            <v>Canara Bank TDR INR</v>
          </cell>
        </row>
        <row r="70">
          <cell r="A70">
            <v>100542</v>
          </cell>
          <cell r="B70" t="str">
            <v>Bank of Baroda-INR TDR A/c</v>
          </cell>
        </row>
        <row r="71">
          <cell r="A71">
            <v>100543</v>
          </cell>
          <cell r="B71" t="str">
            <v>Axis Mutual Fund</v>
          </cell>
        </row>
        <row r="72">
          <cell r="A72">
            <v>100547</v>
          </cell>
          <cell r="B72" t="str">
            <v>Peerlees Mutual Fund</v>
          </cell>
        </row>
        <row r="73">
          <cell r="A73">
            <v>100548</v>
          </cell>
          <cell r="B73" t="str">
            <v>L &amp; T Mutual Fund</v>
          </cell>
        </row>
        <row r="74">
          <cell r="A74">
            <v>100549</v>
          </cell>
          <cell r="B74" t="str">
            <v>Canara Robeco Mutual Fund</v>
          </cell>
        </row>
        <row r="75">
          <cell r="A75">
            <v>100550</v>
          </cell>
          <cell r="B75" t="str">
            <v>Baroda Pioneer Mutual Fund</v>
          </cell>
        </row>
        <row r="76">
          <cell r="A76">
            <v>100518</v>
          </cell>
          <cell r="B76" t="str">
            <v>Taurus Mutual Fund</v>
          </cell>
        </row>
        <row r="77">
          <cell r="A77">
            <v>100551</v>
          </cell>
          <cell r="B77" t="str">
            <v>HDFC High Int. Fund - Reg. Gr</v>
          </cell>
        </row>
        <row r="78">
          <cell r="A78">
            <v>100552</v>
          </cell>
          <cell r="B78" t="str">
            <v>Templeton India Inc. Fund - Gr</v>
          </cell>
        </row>
        <row r="79">
          <cell r="A79">
            <v>100553</v>
          </cell>
          <cell r="B79" t="str">
            <v>Templeton Floating Fund - ST</v>
          </cell>
        </row>
        <row r="80">
          <cell r="A80">
            <v>100554</v>
          </cell>
          <cell r="B80" t="str">
            <v>DSP ML - Bond Fund - Gr.</v>
          </cell>
        </row>
        <row r="81">
          <cell r="A81">
            <v>100555</v>
          </cell>
          <cell r="B81" t="str">
            <v>DSP ML Liquidity Fund - Gr</v>
          </cell>
        </row>
        <row r="82">
          <cell r="A82">
            <v>100556</v>
          </cell>
          <cell r="B82" t="str">
            <v>DSP ML Floating Fund - Gr</v>
          </cell>
        </row>
        <row r="83">
          <cell r="A83">
            <v>100557</v>
          </cell>
          <cell r="B83" t="str">
            <v>Prudential ICICI Floating - Gr</v>
          </cell>
        </row>
        <row r="84">
          <cell r="A84">
            <v>100558</v>
          </cell>
          <cell r="B84" t="str">
            <v>Grindlays Cash Fund - IP - Gr</v>
          </cell>
        </row>
        <row r="85">
          <cell r="A85">
            <v>100559</v>
          </cell>
          <cell r="B85" t="str">
            <v>HSBC Cash Fund - Growth</v>
          </cell>
        </row>
        <row r="86">
          <cell r="A86">
            <v>100560</v>
          </cell>
          <cell r="B86" t="str">
            <v>Reliance Treasury - IP - Gr</v>
          </cell>
        </row>
        <row r="87">
          <cell r="A87">
            <v>100561</v>
          </cell>
          <cell r="B87" t="str">
            <v>Reliance STerm Fund - Gr</v>
          </cell>
        </row>
        <row r="88">
          <cell r="A88">
            <v>100562</v>
          </cell>
          <cell r="B88" t="str">
            <v>TLHG TATA Liquid HIF - Gr</v>
          </cell>
        </row>
        <row r="89">
          <cell r="A89">
            <v>100563</v>
          </cell>
          <cell r="B89" t="str">
            <v>Kotak Liquid IP - Growth</v>
          </cell>
        </row>
        <row r="90">
          <cell r="A90">
            <v>100564</v>
          </cell>
          <cell r="B90" t="str">
            <v>Principal Cash Mgmt Fund</v>
          </cell>
        </row>
        <row r="91">
          <cell r="A91">
            <v>100565</v>
          </cell>
          <cell r="B91" t="str">
            <v>JM Short Term Fund - IP</v>
          </cell>
        </row>
        <row r="92">
          <cell r="A92">
            <v>100566</v>
          </cell>
          <cell r="B92" t="str">
            <v>Birla Bond Plus IP - Gr</v>
          </cell>
        </row>
        <row r="93">
          <cell r="A93">
            <v>100567</v>
          </cell>
          <cell r="B93" t="str">
            <v>Birla Cash Plus - IP - Gr</v>
          </cell>
        </row>
        <row r="94">
          <cell r="A94">
            <v>100568</v>
          </cell>
          <cell r="B94" t="str">
            <v>DSP ML ST Fund - Gr</v>
          </cell>
        </row>
        <row r="95">
          <cell r="A95">
            <v>100569</v>
          </cell>
          <cell r="B95" t="str">
            <v>Kotak KMMF - K Floater</v>
          </cell>
        </row>
        <row r="96">
          <cell r="A96">
            <v>100570</v>
          </cell>
          <cell r="B96" t="str">
            <v>Grindlays Floating Rate Fund - IP - Gr</v>
          </cell>
        </row>
        <row r="97">
          <cell r="A97">
            <v>100571</v>
          </cell>
          <cell r="B97" t="str">
            <v>Prudential ICICI Liquid - Gr</v>
          </cell>
        </row>
        <row r="98">
          <cell r="A98">
            <v>100572</v>
          </cell>
          <cell r="B98" t="str">
            <v>Templeton India Tresury Management</v>
          </cell>
        </row>
        <row r="99">
          <cell r="A99">
            <v>100573</v>
          </cell>
          <cell r="B99" t="str">
            <v>HDFC Floating Rate Income Fund</v>
          </cell>
        </row>
        <row r="100">
          <cell r="A100">
            <v>100574</v>
          </cell>
          <cell r="B100" t="str">
            <v>Birla Floating Rate Fund</v>
          </cell>
        </row>
        <row r="101">
          <cell r="A101">
            <v>100575</v>
          </cell>
          <cell r="B101" t="str">
            <v>Deutsche Insta Cash Plus Fund</v>
          </cell>
        </row>
        <row r="102">
          <cell r="A102">
            <v>100576</v>
          </cell>
          <cell r="B102" t="str">
            <v>Templeton Floating Rate Income</v>
          </cell>
        </row>
        <row r="103">
          <cell r="A103">
            <v>100577</v>
          </cell>
          <cell r="B103" t="str">
            <v>Kotak Long Term Floater</v>
          </cell>
        </row>
        <row r="104">
          <cell r="A104">
            <v>100578</v>
          </cell>
          <cell r="B104" t="str">
            <v>Deutsche InstaCash Instit Plan</v>
          </cell>
        </row>
        <row r="105">
          <cell r="A105">
            <v>100579</v>
          </cell>
          <cell r="B105" t="str">
            <v>Birla Floating Rate Fund Long</v>
          </cell>
        </row>
        <row r="106">
          <cell r="A106">
            <v>100580</v>
          </cell>
          <cell r="B106" t="str">
            <v>Grindlays Floating Rate Fund L</v>
          </cell>
        </row>
        <row r="107">
          <cell r="A107">
            <v>100581</v>
          </cell>
          <cell r="B107" t="str">
            <v>HDFC High Int. Fund - Reg. Gr</v>
          </cell>
        </row>
        <row r="108">
          <cell r="A108">
            <v>100582</v>
          </cell>
          <cell r="B108" t="str">
            <v>Principal Floating Rate Fund</v>
          </cell>
        </row>
        <row r="109">
          <cell r="A109">
            <v>100583</v>
          </cell>
          <cell r="B109" t="str">
            <v>UTI Liquid Cash Plan Fund</v>
          </cell>
        </row>
        <row r="110">
          <cell r="A110">
            <v>100584</v>
          </cell>
          <cell r="B110" t="str">
            <v>SBI Magnum Ins Inc-Sa</v>
          </cell>
        </row>
        <row r="111">
          <cell r="A111">
            <v>100586</v>
          </cell>
          <cell r="B111" t="str">
            <v>JM Floater Fund LTP P</v>
          </cell>
        </row>
        <row r="112">
          <cell r="A112">
            <v>100587</v>
          </cell>
          <cell r="B112" t="str">
            <v>Prudential ICICI STIP</v>
          </cell>
        </row>
        <row r="113">
          <cell r="A113">
            <v>100588</v>
          </cell>
          <cell r="B113" t="str">
            <v>Princ Float Rate Fund-FMP-IP-G</v>
          </cell>
        </row>
        <row r="114">
          <cell r="A114">
            <v>100589</v>
          </cell>
          <cell r="B114" t="str">
            <v>Prudential ICICI LT F</v>
          </cell>
        </row>
        <row r="115">
          <cell r="A115">
            <v>100590</v>
          </cell>
          <cell r="B115" t="str">
            <v>Prudential ICICI FMP</v>
          </cell>
        </row>
        <row r="116">
          <cell r="A116">
            <v>100593</v>
          </cell>
          <cell r="B116" t="str">
            <v>SCB TDR</v>
          </cell>
        </row>
        <row r="117">
          <cell r="A117">
            <v>100594</v>
          </cell>
          <cell r="B117" t="str">
            <v>LICMF Liquid Fund</v>
          </cell>
        </row>
        <row r="118">
          <cell r="A118">
            <v>100595</v>
          </cell>
          <cell r="B118" t="str">
            <v>SCB Liquidity Manager Plus</v>
          </cell>
        </row>
        <row r="119">
          <cell r="A119">
            <v>100597</v>
          </cell>
          <cell r="B119" t="str">
            <v>Sundaram BNP Paribas MF</v>
          </cell>
        </row>
        <row r="120">
          <cell r="A120">
            <v>100598</v>
          </cell>
          <cell r="B120" t="str">
            <v>ABN AMRO Mutual Func</v>
          </cell>
        </row>
        <row r="121">
          <cell r="A121">
            <v>100599</v>
          </cell>
          <cell r="B121" t="str">
            <v>Religare MF</v>
          </cell>
        </row>
        <row r="122">
          <cell r="A122">
            <v>100600</v>
          </cell>
          <cell r="B122" t="str">
            <v>IMG Cash</v>
          </cell>
        </row>
        <row r="123">
          <cell r="A123">
            <v>100601</v>
          </cell>
          <cell r="B123" t="str">
            <v>JP Morgan MF</v>
          </cell>
        </row>
        <row r="124">
          <cell r="A124">
            <v>100605</v>
          </cell>
          <cell r="B124" t="str">
            <v>JP Morgan Treasury Stock</v>
          </cell>
        </row>
        <row r="125">
          <cell r="A125">
            <v>100602</v>
          </cell>
          <cell r="B125" t="str">
            <v>Union KBC MF</v>
          </cell>
        </row>
        <row r="126">
          <cell r="A126">
            <v>100700</v>
          </cell>
          <cell r="B126" t="str">
            <v>Mutual Fund - Investments</v>
          </cell>
        </row>
        <row r="127">
          <cell r="A127">
            <v>100750</v>
          </cell>
          <cell r="B127" t="str">
            <v>Mutual Fund - One Group</v>
          </cell>
        </row>
        <row r="128">
          <cell r="A128">
            <v>100760</v>
          </cell>
          <cell r="B128" t="str">
            <v>Mutual Fund-First Union Securi</v>
          </cell>
        </row>
        <row r="129">
          <cell r="A129">
            <v>100761</v>
          </cell>
          <cell r="B129" t="str">
            <v>Mutual Fund - Wells Fargo Bank</v>
          </cell>
        </row>
        <row r="130">
          <cell r="A130">
            <v>100762</v>
          </cell>
          <cell r="B130" t="str">
            <v>CSFB - Mutual Fund</v>
          </cell>
        </row>
        <row r="131">
          <cell r="A131">
            <v>100763</v>
          </cell>
          <cell r="B131" t="str">
            <v>Standard Federal</v>
          </cell>
        </row>
        <row r="132">
          <cell r="A132">
            <v>100765</v>
          </cell>
          <cell r="B132" t="str">
            <v>Mutual Fund - Salomon Smith</v>
          </cell>
        </row>
        <row r="133">
          <cell r="A133">
            <v>100770</v>
          </cell>
          <cell r="B133" t="str">
            <v>Bear Stearns Securities Corp.</v>
          </cell>
        </row>
        <row r="134">
          <cell r="A134">
            <v>100780</v>
          </cell>
          <cell r="B134" t="str">
            <v>Mutual Fund-Escrow Investments</v>
          </cell>
        </row>
        <row r="135">
          <cell r="A135">
            <v>100800</v>
          </cell>
          <cell r="B135" t="str">
            <v>Petty Cash</v>
          </cell>
        </row>
        <row r="136">
          <cell r="A136">
            <v>100801</v>
          </cell>
          <cell r="B136" t="str">
            <v>Cash in Safe</v>
          </cell>
        </row>
        <row r="137">
          <cell r="A137">
            <v>100802</v>
          </cell>
          <cell r="B137" t="str">
            <v>Cash in Hand - Chennai</v>
          </cell>
        </row>
        <row r="138">
          <cell r="A138">
            <v>100803</v>
          </cell>
          <cell r="B138" t="str">
            <v>Cash in Safe,Chennai</v>
          </cell>
        </row>
        <row r="139">
          <cell r="A139">
            <v>100804</v>
          </cell>
          <cell r="B139" t="str">
            <v>Cash in Hand - Pune</v>
          </cell>
        </row>
        <row r="140">
          <cell r="A140">
            <v>100806</v>
          </cell>
          <cell r="B140" t="str">
            <v>Remittance in Transit</v>
          </cell>
        </row>
        <row r="141">
          <cell r="A141">
            <v>100807</v>
          </cell>
          <cell r="B141" t="str">
            <v>Forex Surrendered</v>
          </cell>
        </row>
        <row r="142">
          <cell r="A142">
            <v>101000</v>
          </cell>
          <cell r="B142" t="str">
            <v>Accounts Receivable - Trade</v>
          </cell>
        </row>
        <row r="143">
          <cell r="A143">
            <v>101001</v>
          </cell>
          <cell r="B143" t="str">
            <v>Accounts Receivable-Trade-IMG</v>
          </cell>
        </row>
        <row r="144">
          <cell r="A144">
            <v>101002</v>
          </cell>
          <cell r="B144" t="str">
            <v>Accts Receivable-Trade Metier</v>
          </cell>
        </row>
        <row r="145">
          <cell r="A145">
            <v>101003</v>
          </cell>
          <cell r="B145" t="str">
            <v>Account receivable Inter Com</v>
          </cell>
        </row>
        <row r="146">
          <cell r="A146">
            <v>101050</v>
          </cell>
          <cell r="B146" t="str">
            <v>Allowance for Doubtful Account</v>
          </cell>
        </row>
        <row r="147">
          <cell r="A147">
            <v>101052</v>
          </cell>
          <cell r="B147" t="str">
            <v>Allow for Dbtful Accts-Metier</v>
          </cell>
        </row>
        <row r="148">
          <cell r="A148">
            <v>101060</v>
          </cell>
          <cell r="B148" t="str">
            <v>Credit Reserve</v>
          </cell>
        </row>
        <row r="149">
          <cell r="A149">
            <v>101065</v>
          </cell>
          <cell r="B149" t="str">
            <v>Accounts Receivable - Accrued</v>
          </cell>
        </row>
        <row r="150">
          <cell r="A150">
            <v>101066</v>
          </cell>
          <cell r="B150" t="str">
            <v>Interco AR accruals</v>
          </cell>
        </row>
        <row r="151">
          <cell r="A151">
            <v>101090</v>
          </cell>
          <cell r="B151" t="str">
            <v>AR - Volume Rebate</v>
          </cell>
        </row>
        <row r="152">
          <cell r="A152">
            <v>101120</v>
          </cell>
          <cell r="B152" t="str">
            <v>Accounts Receivable - Advance</v>
          </cell>
        </row>
        <row r="153">
          <cell r="A153">
            <v>101130</v>
          </cell>
          <cell r="B153" t="str">
            <v>Accounts Receivables - Retaina</v>
          </cell>
        </row>
        <row r="154">
          <cell r="A154">
            <v>101150</v>
          </cell>
          <cell r="B154" t="str">
            <v>Accounts Receivable Other</v>
          </cell>
        </row>
        <row r="155">
          <cell r="A155">
            <v>101160</v>
          </cell>
          <cell r="B155" t="str">
            <v>Interest Receivable</v>
          </cell>
        </row>
        <row r="156">
          <cell r="A156">
            <v>101170</v>
          </cell>
          <cell r="B156" t="str">
            <v>A/R from Syntel UK</v>
          </cell>
        </row>
        <row r="157">
          <cell r="A157">
            <v>101180</v>
          </cell>
          <cell r="B157" t="str">
            <v>A/R from Syntel Singapore</v>
          </cell>
        </row>
        <row r="158">
          <cell r="A158">
            <v>101190</v>
          </cell>
          <cell r="B158" t="str">
            <v>Employee Loans</v>
          </cell>
        </row>
        <row r="159">
          <cell r="A159">
            <v>101200</v>
          </cell>
          <cell r="B159" t="str">
            <v>Transition Cost Defferal</v>
          </cell>
        </row>
        <row r="160">
          <cell r="A160">
            <v>101201</v>
          </cell>
          <cell r="B160" t="str">
            <v>No Sow- Cost Deferred</v>
          </cell>
        </row>
        <row r="161">
          <cell r="A161">
            <v>101202</v>
          </cell>
          <cell r="B161" t="str">
            <v>Deferred Cost-WIP</v>
          </cell>
        </row>
        <row r="162">
          <cell r="A162">
            <v>101309</v>
          </cell>
          <cell r="B162" t="str">
            <v>Employee F. Travel Adv-Jersey</v>
          </cell>
        </row>
        <row r="163">
          <cell r="A163">
            <v>101310</v>
          </cell>
          <cell r="B163" t="str">
            <v>Employee Travel Advances</v>
          </cell>
        </row>
        <row r="164">
          <cell r="A164">
            <v>101311</v>
          </cell>
          <cell r="B164" t="str">
            <v>Employee F.Travel Adv-US</v>
          </cell>
        </row>
        <row r="165">
          <cell r="A165">
            <v>101312</v>
          </cell>
          <cell r="B165" t="str">
            <v>Employee F.Travel Adv-UK</v>
          </cell>
        </row>
        <row r="166">
          <cell r="A166">
            <v>101313</v>
          </cell>
          <cell r="B166" t="str">
            <v>Employee F.Travel Adv-Germany</v>
          </cell>
        </row>
        <row r="167">
          <cell r="A167">
            <v>101314</v>
          </cell>
          <cell r="B167" t="str">
            <v>Employee F.Travel Adv-Sing.</v>
          </cell>
        </row>
        <row r="168">
          <cell r="A168">
            <v>101315</v>
          </cell>
          <cell r="B168" t="str">
            <v>Employee F.Travel Adv-Others</v>
          </cell>
        </row>
        <row r="169">
          <cell r="A169">
            <v>101316</v>
          </cell>
          <cell r="B169" t="str">
            <v>Employee F.Travel Settlement</v>
          </cell>
        </row>
        <row r="170">
          <cell r="A170">
            <v>101317</v>
          </cell>
          <cell r="B170" t="str">
            <v>Employee F.Travel Adv-Canada</v>
          </cell>
        </row>
        <row r="171">
          <cell r="A171">
            <v>101318</v>
          </cell>
          <cell r="B171" t="str">
            <v>Admin Expenses Advance</v>
          </cell>
        </row>
        <row r="172">
          <cell r="A172">
            <v>101320</v>
          </cell>
          <cell r="B172" t="str">
            <v>Employee Payroll Advances</v>
          </cell>
        </row>
        <row r="173">
          <cell r="A173">
            <v>101321</v>
          </cell>
          <cell r="B173" t="str">
            <v>Employee Vehicle Loans</v>
          </cell>
        </row>
        <row r="174">
          <cell r="A174">
            <v>101322</v>
          </cell>
          <cell r="B174" t="str">
            <v>Employee Housing Loans</v>
          </cell>
        </row>
        <row r="175">
          <cell r="A175">
            <v>101323</v>
          </cell>
          <cell r="B175" t="str">
            <v>Employee Other Loans</v>
          </cell>
        </row>
        <row r="176">
          <cell r="A176">
            <v>101324</v>
          </cell>
          <cell r="B176" t="str">
            <v>Employee Advances for Expenses</v>
          </cell>
        </row>
        <row r="177">
          <cell r="A177">
            <v>101325</v>
          </cell>
          <cell r="B177" t="str">
            <v>EMPLOYEES ACH/EFT REVERSAL</v>
          </cell>
        </row>
        <row r="178">
          <cell r="A178">
            <v>101326</v>
          </cell>
          <cell r="B178" t="str">
            <v>Insurance Claims Receivable</v>
          </cell>
        </row>
        <row r="179">
          <cell r="A179">
            <v>101327</v>
          </cell>
          <cell r="B179" t="str">
            <v>Critical CTR Loan</v>
          </cell>
        </row>
        <row r="180">
          <cell r="A180">
            <v>101328</v>
          </cell>
          <cell r="B180" t="str">
            <v>Employee Tuition Fee Loan</v>
          </cell>
        </row>
        <row r="181">
          <cell r="A181">
            <v>101329</v>
          </cell>
          <cell r="B181" t="str">
            <v>Employee Vehicle Loan</v>
          </cell>
        </row>
        <row r="182">
          <cell r="A182">
            <v>101330</v>
          </cell>
          <cell r="B182" t="str">
            <v>Recv from Terminated Employees</v>
          </cell>
        </row>
        <row r="183">
          <cell r="A183">
            <v>101331</v>
          </cell>
          <cell r="B183" t="str">
            <v>Employee Marriage Loan</v>
          </cell>
        </row>
        <row r="184">
          <cell r="A184">
            <v>101332</v>
          </cell>
          <cell r="B184" t="str">
            <v>Employee Lease Breakage Loan</v>
          </cell>
        </row>
        <row r="185">
          <cell r="A185">
            <v>101333</v>
          </cell>
          <cell r="B185" t="str">
            <v>Employee Medical Emergncy Loan</v>
          </cell>
        </row>
        <row r="186">
          <cell r="A186">
            <v>101334</v>
          </cell>
          <cell r="B186" t="str">
            <v>Emp. Natural Calamities Loan</v>
          </cell>
        </row>
        <row r="187">
          <cell r="A187">
            <v>101335</v>
          </cell>
          <cell r="B187" t="str">
            <v>Immigration Advances</v>
          </cell>
        </row>
        <row r="188">
          <cell r="A188">
            <v>101336</v>
          </cell>
          <cell r="B188" t="str">
            <v>Visa Fees Advances - USA</v>
          </cell>
        </row>
        <row r="189">
          <cell r="A189">
            <v>101337</v>
          </cell>
          <cell r="B189" t="str">
            <v>Visa Fees Advances - UK</v>
          </cell>
        </row>
        <row r="190">
          <cell r="A190">
            <v>101338</v>
          </cell>
          <cell r="B190" t="str">
            <v>Visa Fees Advances - Germany</v>
          </cell>
        </row>
        <row r="191">
          <cell r="A191">
            <v>101339</v>
          </cell>
          <cell r="B191" t="str">
            <v>Visa Fees Advances - Others</v>
          </cell>
        </row>
        <row r="192">
          <cell r="A192">
            <v>101340</v>
          </cell>
          <cell r="B192" t="str">
            <v>Sub-Contractor's Advance</v>
          </cell>
        </row>
        <row r="193">
          <cell r="A193">
            <v>101341</v>
          </cell>
          <cell r="B193" t="str">
            <v>Recoverable fr Syn Philippine</v>
          </cell>
        </row>
        <row r="194">
          <cell r="A194">
            <v>101342</v>
          </cell>
          <cell r="B194" t="str">
            <v>Advance Syntel Philippines</v>
          </cell>
        </row>
        <row r="195">
          <cell r="A195">
            <v>101360</v>
          </cell>
          <cell r="B195" t="str">
            <v>Stock Options Suspense - Earni</v>
          </cell>
        </row>
        <row r="196">
          <cell r="A196">
            <v>101361</v>
          </cell>
          <cell r="B196" t="str">
            <v>Stock Options Suspense - Deduc</v>
          </cell>
        </row>
        <row r="197">
          <cell r="A197">
            <v>101363</v>
          </cell>
          <cell r="B197" t="str">
            <v>Recover from Synt Switzerland</v>
          </cell>
        </row>
        <row r="198">
          <cell r="A198">
            <v>101366</v>
          </cell>
          <cell r="B198" t="str">
            <v>Recoverable from TSSPL</v>
          </cell>
        </row>
        <row r="199">
          <cell r="A199">
            <v>101367</v>
          </cell>
          <cell r="B199" t="str">
            <v>Advance - TSSPL</v>
          </cell>
        </row>
        <row r="200">
          <cell r="A200">
            <v>101368</v>
          </cell>
          <cell r="B200" t="str">
            <v>Advance - Syntel Canada</v>
          </cell>
        </row>
        <row r="201">
          <cell r="A201">
            <v>101369</v>
          </cell>
          <cell r="B201" t="str">
            <v>Recoverable from Syntel Canada</v>
          </cell>
        </row>
        <row r="202">
          <cell r="A202">
            <v>101370</v>
          </cell>
          <cell r="B202" t="str">
            <v>Officer Advances</v>
          </cell>
        </row>
        <row r="203">
          <cell r="A203">
            <v>101371</v>
          </cell>
          <cell r="B203" t="str">
            <v>Recoverable from Europe</v>
          </cell>
        </row>
        <row r="204">
          <cell r="A204">
            <v>101372</v>
          </cell>
          <cell r="B204" t="str">
            <v>Recoverable from Singapore</v>
          </cell>
        </row>
        <row r="205">
          <cell r="A205">
            <v>101373</v>
          </cell>
          <cell r="B205" t="str">
            <v>Recoverable from Syntel Germany</v>
          </cell>
        </row>
        <row r="206">
          <cell r="A206">
            <v>101374</v>
          </cell>
          <cell r="B206" t="str">
            <v>Recoverable from Syntel Inc.</v>
          </cell>
        </row>
        <row r="207">
          <cell r="A207">
            <v>101376</v>
          </cell>
          <cell r="B207" t="str">
            <v>Recoverable SIL</v>
          </cell>
        </row>
        <row r="208">
          <cell r="A208">
            <v>101377</v>
          </cell>
          <cell r="B208" t="str">
            <v>Recoverable from Syntel Delaware</v>
          </cell>
        </row>
        <row r="209">
          <cell r="A209">
            <v>101378</v>
          </cell>
          <cell r="B209" t="str">
            <v>Recoverable from Synt Sourcing</v>
          </cell>
        </row>
        <row r="210">
          <cell r="A210">
            <v>101379</v>
          </cell>
          <cell r="B210" t="str">
            <v>Recoverable from Synt Bestshor</v>
          </cell>
        </row>
        <row r="211">
          <cell r="A211">
            <v>101380</v>
          </cell>
          <cell r="B211" t="str">
            <v>Recoverable from Synt Global</v>
          </cell>
        </row>
        <row r="212">
          <cell r="A212">
            <v>101381</v>
          </cell>
          <cell r="B212" t="str">
            <v>Recoverable from Syntel Consulting</v>
          </cell>
        </row>
        <row r="213">
          <cell r="A213">
            <v>101382</v>
          </cell>
          <cell r="B213" t="str">
            <v>Recoverable from Syntel Intern</v>
          </cell>
        </row>
        <row r="214">
          <cell r="A214">
            <v>101383</v>
          </cell>
          <cell r="B214" t="str">
            <v>Recover from Direct Customer</v>
          </cell>
        </row>
        <row r="215">
          <cell r="A215">
            <v>101384</v>
          </cell>
          <cell r="B215" t="str">
            <v>Recoverabl Fm Syntel Australia</v>
          </cell>
        </row>
        <row r="216">
          <cell r="A216">
            <v>101385</v>
          </cell>
          <cell r="B216" t="str">
            <v>Advance - Syntel Australia</v>
          </cell>
        </row>
        <row r="217">
          <cell r="A217">
            <v>101386</v>
          </cell>
          <cell r="B217" t="str">
            <v>Advance to Direct Customers</v>
          </cell>
        </row>
        <row r="218">
          <cell r="A218">
            <v>101387</v>
          </cell>
          <cell r="B218" t="str">
            <v>Advance  - Syntel Limited</v>
          </cell>
        </row>
        <row r="219">
          <cell r="A219">
            <v>101388</v>
          </cell>
          <cell r="B219" t="str">
            <v>Advance from Synt Bestshores</v>
          </cell>
        </row>
        <row r="220">
          <cell r="A220">
            <v>101389</v>
          </cell>
          <cell r="B220" t="str">
            <v>Advnace Syntel Consulting</v>
          </cell>
        </row>
        <row r="221">
          <cell r="A221">
            <v>101390</v>
          </cell>
          <cell r="B221" t="str">
            <v>Other Misc Advances</v>
          </cell>
        </row>
        <row r="222">
          <cell r="A222">
            <v>101391</v>
          </cell>
          <cell r="B222" t="str">
            <v>Advance - Syntel Internat. P L</v>
          </cell>
        </row>
        <row r="223">
          <cell r="A223">
            <v>101392</v>
          </cell>
          <cell r="B223" t="str">
            <v>Advance - Syntel Sourcing P L</v>
          </cell>
        </row>
        <row r="224">
          <cell r="A224">
            <v>101393</v>
          </cell>
          <cell r="B224" t="str">
            <v>Advance - Syntel Inc.</v>
          </cell>
        </row>
        <row r="225">
          <cell r="A225">
            <v>101394</v>
          </cell>
          <cell r="B225" t="str">
            <v>Advance - Syntel Europe</v>
          </cell>
        </row>
        <row r="226">
          <cell r="A226">
            <v>101395</v>
          </cell>
          <cell r="B226" t="str">
            <v>Advance - Syntel Singapore</v>
          </cell>
        </row>
        <row r="227">
          <cell r="A227">
            <v>101396</v>
          </cell>
          <cell r="B227" t="str">
            <v>Advance - Syntel Germany</v>
          </cell>
        </row>
        <row r="228">
          <cell r="A228">
            <v>101397</v>
          </cell>
          <cell r="B228" t="str">
            <v>Advance - Syntel Delaware</v>
          </cell>
        </row>
        <row r="229">
          <cell r="A229">
            <v>101398</v>
          </cell>
          <cell r="B229" t="str">
            <v>Advance - Syntel Global P L</v>
          </cell>
        </row>
        <row r="230">
          <cell r="A230">
            <v>101399</v>
          </cell>
          <cell r="B230" t="str">
            <v>Provisions - Doubtful Advances</v>
          </cell>
        </row>
        <row r="231">
          <cell r="A231">
            <v>101400</v>
          </cell>
          <cell r="B231" t="str">
            <v>Recoverable fr Syn Netherland</v>
          </cell>
        </row>
        <row r="232">
          <cell r="A232">
            <v>101410</v>
          </cell>
          <cell r="B232" t="str">
            <v>Deposit</v>
          </cell>
        </row>
        <row r="233">
          <cell r="A233">
            <v>101415</v>
          </cell>
          <cell r="B233" t="str">
            <v>Prepaid Rent - Office</v>
          </cell>
        </row>
        <row r="234">
          <cell r="A234">
            <v>101416</v>
          </cell>
          <cell r="B234" t="str">
            <v>Prepaid Rent - Flat for Empl.</v>
          </cell>
        </row>
        <row r="235">
          <cell r="A235">
            <v>101417</v>
          </cell>
          <cell r="B235" t="str">
            <v>Prepaid Rent - Guest House</v>
          </cell>
        </row>
        <row r="236">
          <cell r="A236">
            <v>101418</v>
          </cell>
          <cell r="B236" t="str">
            <v>Prepaid Rent - Others</v>
          </cell>
        </row>
        <row r="237">
          <cell r="A237">
            <v>101420</v>
          </cell>
          <cell r="B237" t="str">
            <v>Prepaid Insurance</v>
          </cell>
        </row>
        <row r="238">
          <cell r="A238">
            <v>101421</v>
          </cell>
          <cell r="B238" t="str">
            <v>Prepaid Overseas Insu</v>
          </cell>
        </row>
        <row r="239">
          <cell r="A239">
            <v>101425</v>
          </cell>
          <cell r="B239" t="str">
            <v>Prepaid Prop Taxes</v>
          </cell>
        </row>
        <row r="240">
          <cell r="A240">
            <v>101430</v>
          </cell>
          <cell r="B240" t="str">
            <v>Prepaid Licenses</v>
          </cell>
        </row>
        <row r="241">
          <cell r="A241">
            <v>101435</v>
          </cell>
          <cell r="B241" t="str">
            <v>Prepaid Link expenses</v>
          </cell>
        </row>
        <row r="242">
          <cell r="A242">
            <v>101436</v>
          </cell>
          <cell r="B242" t="str">
            <v>Prepaid Internet Charges</v>
          </cell>
        </row>
        <row r="243">
          <cell r="A243">
            <v>101437</v>
          </cell>
          <cell r="B243" t="str">
            <v>Prepaid Membership fees</v>
          </cell>
        </row>
        <row r="244">
          <cell r="A244">
            <v>101438</v>
          </cell>
          <cell r="B244" t="str">
            <v>Prepaid Subscription fees</v>
          </cell>
        </row>
        <row r="245">
          <cell r="A245">
            <v>101439</v>
          </cell>
          <cell r="B245" t="str">
            <v>Prepaid Pager expenses</v>
          </cell>
        </row>
        <row r="246">
          <cell r="A246">
            <v>101440</v>
          </cell>
          <cell r="B246" t="str">
            <v>Prepaid BMC Taxes</v>
          </cell>
        </row>
        <row r="247">
          <cell r="A247">
            <v>101441</v>
          </cell>
          <cell r="B247" t="str">
            <v>Prepaid R&amp;M</v>
          </cell>
        </row>
        <row r="248">
          <cell r="A248">
            <v>101442</v>
          </cell>
          <cell r="B248" t="str">
            <v>Prepaid Rates &amp; Taxes</v>
          </cell>
        </row>
        <row r="249">
          <cell r="A249">
            <v>101443</v>
          </cell>
          <cell r="B249" t="str">
            <v>Prepaid Professional Fees</v>
          </cell>
        </row>
        <row r="250">
          <cell r="A250">
            <v>101444</v>
          </cell>
          <cell r="B250" t="str">
            <v>Prepaid Profession Tax Co.</v>
          </cell>
        </row>
        <row r="251">
          <cell r="A251">
            <v>101445</v>
          </cell>
          <cell r="B251" t="str">
            <v>Prepaid Locker Rent</v>
          </cell>
        </row>
        <row r="252">
          <cell r="A252">
            <v>101475</v>
          </cell>
          <cell r="B252" t="str">
            <v>Prepaid Other</v>
          </cell>
        </row>
        <row r="253">
          <cell r="A253">
            <v>101495</v>
          </cell>
          <cell r="B253" t="str">
            <v>Early Paymt Disc Def. - Int Co</v>
          </cell>
        </row>
        <row r="254">
          <cell r="A254">
            <v>101701</v>
          </cell>
          <cell r="B254" t="str">
            <v>MAH. SEZ - SGST Recoverable</v>
          </cell>
        </row>
        <row r="255">
          <cell r="A255">
            <v>101702</v>
          </cell>
          <cell r="B255" t="str">
            <v>MAH. SEZ - CGST Recoverable</v>
          </cell>
        </row>
        <row r="256">
          <cell r="A256">
            <v>101703</v>
          </cell>
          <cell r="B256" t="str">
            <v>MAH. SEZ - IGST Recoverable</v>
          </cell>
        </row>
        <row r="257">
          <cell r="A257">
            <v>101704</v>
          </cell>
          <cell r="B257" t="str">
            <v>MAH. NSEZ - SGST Recoverable</v>
          </cell>
        </row>
        <row r="258">
          <cell r="A258">
            <v>101705</v>
          </cell>
          <cell r="B258" t="str">
            <v>MAH. NSEZ - CGST Recoverable</v>
          </cell>
        </row>
        <row r="259">
          <cell r="A259">
            <v>101741</v>
          </cell>
          <cell r="B259" t="str">
            <v>Contra control account</v>
          </cell>
        </row>
        <row r="260">
          <cell r="A260">
            <v>101750</v>
          </cell>
          <cell r="B260" t="str">
            <v>Service Tax Recoverable - non</v>
          </cell>
        </row>
        <row r="261">
          <cell r="A261">
            <v>101760</v>
          </cell>
          <cell r="B261" t="str">
            <v>Service Tax Recoverable - non</v>
          </cell>
        </row>
        <row r="262">
          <cell r="A262">
            <v>101751</v>
          </cell>
          <cell r="B262" t="str">
            <v>Service Tax Refundable</v>
          </cell>
        </row>
        <row r="263">
          <cell r="A263">
            <v>101780</v>
          </cell>
          <cell r="B263" t="str">
            <v>Deferred Tax Assets - Current</v>
          </cell>
        </row>
        <row r="264">
          <cell r="A264">
            <v>101785</v>
          </cell>
          <cell r="B264" t="str">
            <v>Line of Credit-New2usa.com</v>
          </cell>
        </row>
        <row r="265">
          <cell r="A265">
            <v>101788</v>
          </cell>
          <cell r="B265" t="str">
            <v>Educational Cess Recoverable</v>
          </cell>
        </row>
        <row r="266">
          <cell r="A266">
            <v>101789</v>
          </cell>
          <cell r="B266" t="str">
            <v>Derivative Assets</v>
          </cell>
        </row>
        <row r="267">
          <cell r="A267">
            <v>101790</v>
          </cell>
          <cell r="B267" t="str">
            <v>Advance Tax Payments</v>
          </cell>
        </row>
        <row r="268">
          <cell r="A268">
            <v>101791</v>
          </cell>
          <cell r="B268" t="str">
            <v>CST Refundable</v>
          </cell>
        </row>
        <row r="269">
          <cell r="A269">
            <v>101792</v>
          </cell>
          <cell r="B269" t="str">
            <v>Vat recoverable</v>
          </cell>
        </row>
        <row r="270">
          <cell r="A270">
            <v>101365</v>
          </cell>
          <cell r="B270" t="str">
            <v>Service Tax Accrual Account</v>
          </cell>
        </row>
        <row r="271">
          <cell r="A271">
            <v>101793</v>
          </cell>
          <cell r="B271" t="str">
            <v>Service Tax Recoverable</v>
          </cell>
        </row>
        <row r="272">
          <cell r="A272">
            <v>101794</v>
          </cell>
          <cell r="B272" t="str">
            <v>Sales Tax Recoverable</v>
          </cell>
        </row>
        <row r="273">
          <cell r="A273">
            <v>101795</v>
          </cell>
          <cell r="B273" t="str">
            <v>Preliminary Expenses</v>
          </cell>
        </row>
        <row r="274">
          <cell r="A274">
            <v>101796</v>
          </cell>
          <cell r="B274" t="str">
            <v>Octroi Recoverable</v>
          </cell>
        </row>
        <row r="275">
          <cell r="A275">
            <v>101797</v>
          </cell>
          <cell r="B275" t="str">
            <v>VAT Recoverable ( Chennai)</v>
          </cell>
        </row>
        <row r="276">
          <cell r="A276">
            <v>101798</v>
          </cell>
          <cell r="B276" t="str">
            <v>Min Alt Tax Credit entitlement</v>
          </cell>
        </row>
        <row r="277">
          <cell r="A277">
            <v>101799</v>
          </cell>
          <cell r="B277" t="str">
            <v>S&amp;H Educational Cess Recover</v>
          </cell>
        </row>
        <row r="278">
          <cell r="A278">
            <v>101800</v>
          </cell>
          <cell r="B278" t="str">
            <v>DEPB/DBK Claims Receivable</v>
          </cell>
        </row>
        <row r="279">
          <cell r="A279">
            <v>101801</v>
          </cell>
          <cell r="B279" t="str">
            <v>Service Tax Recoverable - SEZ</v>
          </cell>
        </row>
        <row r="280">
          <cell r="A280">
            <v>101802</v>
          </cell>
          <cell r="B280" t="str">
            <v xml:space="preserve">Provision for doubtful Service tax recoverable </v>
          </cell>
        </row>
        <row r="281">
          <cell r="A281">
            <v>101803</v>
          </cell>
          <cell r="B281" t="str">
            <v>VAT Recoverable-SEZ purchase</v>
          </cell>
        </row>
        <row r="282">
          <cell r="A282">
            <v>101804</v>
          </cell>
          <cell r="B282" t="str">
            <v>VAT Recoverable-STPI purchase</v>
          </cell>
        </row>
        <row r="283">
          <cell r="A283">
            <v>101806</v>
          </cell>
          <cell r="B283" t="str">
            <v>Prov doubtful VAT reco-SEZ BS</v>
          </cell>
        </row>
        <row r="284">
          <cell r="A284">
            <v>101807</v>
          </cell>
          <cell r="B284" t="str">
            <v>Swacch Bharat Cess</v>
          </cell>
        </row>
        <row r="285">
          <cell r="A285">
            <v>101808</v>
          </cell>
          <cell r="B285" t="str">
            <v>Prov-Doubtful Octroi&amp;DEPB/DBK</v>
          </cell>
        </row>
        <row r="286">
          <cell r="A286">
            <v>101809</v>
          </cell>
          <cell r="B286" t="str">
            <v>Krishi Kalyan Cess Recoverable</v>
          </cell>
        </row>
        <row r="287">
          <cell r="A287">
            <v>101811</v>
          </cell>
          <cell r="B287" t="str">
            <v>Deposits - Electricity</v>
          </cell>
        </row>
        <row r="288">
          <cell r="A288">
            <v>101812</v>
          </cell>
          <cell r="B288" t="str">
            <v>Deposits - Water meter</v>
          </cell>
        </row>
        <row r="289">
          <cell r="A289">
            <v>101813</v>
          </cell>
          <cell r="B289" t="str">
            <v>Deposits - Telephone</v>
          </cell>
        </row>
        <row r="290">
          <cell r="A290">
            <v>101814</v>
          </cell>
          <cell r="B290" t="str">
            <v>Deposits - Cellphones</v>
          </cell>
        </row>
        <row r="291">
          <cell r="A291">
            <v>101815</v>
          </cell>
          <cell r="B291" t="str">
            <v>Deposits - Satellite Link</v>
          </cell>
        </row>
        <row r="292">
          <cell r="A292">
            <v>101816</v>
          </cell>
          <cell r="B292" t="str">
            <v>Deposits - Office Premises</v>
          </cell>
        </row>
        <row r="293">
          <cell r="A293">
            <v>101861</v>
          </cell>
          <cell r="B293" t="str">
            <v>JPMorgan Chase Bank FD</v>
          </cell>
        </row>
        <row r="294">
          <cell r="A294">
            <v>101872</v>
          </cell>
          <cell r="B294" t="str">
            <v>Prepaid rent - intrnl deposits</v>
          </cell>
        </row>
        <row r="295">
          <cell r="A295">
            <v>101817</v>
          </cell>
          <cell r="B295" t="str">
            <v>Deposits - Guest House</v>
          </cell>
        </row>
        <row r="296">
          <cell r="A296">
            <v>101818</v>
          </cell>
          <cell r="B296" t="str">
            <v>Deposits - Flat for Employees</v>
          </cell>
        </row>
        <row r="297">
          <cell r="A297">
            <v>101819</v>
          </cell>
          <cell r="B297" t="str">
            <v>Deposits - Petrol Pumps</v>
          </cell>
        </row>
        <row r="298">
          <cell r="A298">
            <v>101820</v>
          </cell>
          <cell r="B298" t="str">
            <v>Deposits - F &amp; F Hired</v>
          </cell>
        </row>
        <row r="299">
          <cell r="A299">
            <v>101821</v>
          </cell>
          <cell r="B299" t="str">
            <v>Deposits - Plants Hired</v>
          </cell>
        </row>
        <row r="300">
          <cell r="A300">
            <v>101822</v>
          </cell>
          <cell r="B300" t="str">
            <v>Deposits - Oriental - F Travel</v>
          </cell>
        </row>
        <row r="301">
          <cell r="A301">
            <v>101823</v>
          </cell>
          <cell r="B301" t="str">
            <v>Deposits - Oriental - Others</v>
          </cell>
        </row>
        <row r="302">
          <cell r="A302">
            <v>101824</v>
          </cell>
          <cell r="B302" t="str">
            <v>Deposits - Books</v>
          </cell>
        </row>
        <row r="303">
          <cell r="A303">
            <v>101825</v>
          </cell>
          <cell r="B303" t="str">
            <v>Deposits - Hospitals</v>
          </cell>
        </row>
        <row r="304">
          <cell r="A304">
            <v>101826</v>
          </cell>
          <cell r="B304" t="str">
            <v>Deposits - Membership</v>
          </cell>
        </row>
        <row r="305">
          <cell r="A305">
            <v>101827</v>
          </cell>
          <cell r="B305" t="str">
            <v>Deposits - Security Dep.</v>
          </cell>
        </row>
        <row r="306">
          <cell r="A306">
            <v>101828</v>
          </cell>
          <cell r="B306" t="str">
            <v>Deposits - Pagers</v>
          </cell>
        </row>
        <row r="307">
          <cell r="A307">
            <v>101829</v>
          </cell>
          <cell r="B307" t="str">
            <v>Deposits - Water Cooler Hired</v>
          </cell>
        </row>
        <row r="308">
          <cell r="A308">
            <v>101830</v>
          </cell>
          <cell r="B308" t="str">
            <v>Deposits - TATA AIG Overseas Insurance</v>
          </cell>
        </row>
        <row r="309">
          <cell r="A309">
            <v>101831</v>
          </cell>
          <cell r="B309" t="str">
            <v>Deposits - Bajaj Allianz</v>
          </cell>
        </row>
        <row r="310">
          <cell r="A310">
            <v>101832</v>
          </cell>
          <cell r="B310" t="str">
            <v>Deposits - Inter Company</v>
          </cell>
        </row>
        <row r="311">
          <cell r="A311">
            <v>101833</v>
          </cell>
          <cell r="B311" t="str">
            <v>Deposits-Sec. Dep. Canada Rev</v>
          </cell>
        </row>
        <row r="312">
          <cell r="A312">
            <v>101834</v>
          </cell>
          <cell r="B312" t="str">
            <v>Earnest Money Deposit</v>
          </cell>
        </row>
        <row r="313">
          <cell r="A313">
            <v>101835</v>
          </cell>
          <cell r="B313" t="str">
            <v>Deposit -Metlife</v>
          </cell>
        </row>
        <row r="314">
          <cell r="A314">
            <v>101836</v>
          </cell>
          <cell r="B314" t="str">
            <v>Deposit - ICICI Lombard</v>
          </cell>
        </row>
        <row r="315">
          <cell r="A315">
            <v>101837</v>
          </cell>
          <cell r="B315" t="str">
            <v>Deposit-HDFC ERGO General Ins</v>
          </cell>
        </row>
        <row r="316">
          <cell r="A316">
            <v>101838</v>
          </cell>
          <cell r="B316" t="str">
            <v>Deposit The New India Assuranc</v>
          </cell>
        </row>
        <row r="317">
          <cell r="A317">
            <v>101839</v>
          </cell>
          <cell r="B317" t="str">
            <v>Deposit-Futur Gener Life Insur</v>
          </cell>
        </row>
        <row r="318">
          <cell r="A318">
            <v>101843</v>
          </cell>
          <cell r="B318" t="str">
            <v>Regrou Non Cur Advanc Tax less</v>
          </cell>
        </row>
        <row r="319">
          <cell r="A319">
            <v>101848</v>
          </cell>
          <cell r="B319" t="str">
            <v>Regrou Non Cur Advance Tax add</v>
          </cell>
        </row>
        <row r="320">
          <cell r="A320">
            <v>101850</v>
          </cell>
          <cell r="B320" t="str">
            <v>Deposits - Inter Corporate</v>
          </cell>
        </row>
        <row r="321">
          <cell r="A321">
            <v>101851</v>
          </cell>
          <cell r="B321" t="str">
            <v>Provision for Doubtful Deposits</v>
          </cell>
        </row>
        <row r="322">
          <cell r="A322">
            <v>101852</v>
          </cell>
          <cell r="B322" t="str">
            <v>Deposit - Kotak M Old Mut Life</v>
          </cell>
        </row>
        <row r="323">
          <cell r="A323">
            <v>101853</v>
          </cell>
          <cell r="B323" t="str">
            <v>Deposit - United India Ins.</v>
          </cell>
        </row>
        <row r="324">
          <cell r="A324">
            <v>101858</v>
          </cell>
          <cell r="B324" t="str">
            <v>Deposit-National India Insuran</v>
          </cell>
        </row>
        <row r="325">
          <cell r="A325">
            <v>110020</v>
          </cell>
          <cell r="B325" t="str">
            <v>Automobiles</v>
          </cell>
        </row>
        <row r="326">
          <cell r="A326">
            <v>110025</v>
          </cell>
          <cell r="B326" t="str">
            <v>Automobile-Emp Vehicle Policy</v>
          </cell>
        </row>
        <row r="327">
          <cell r="A327">
            <v>110030</v>
          </cell>
          <cell r="B327" t="str">
            <v>Computer Equipment</v>
          </cell>
        </row>
        <row r="328">
          <cell r="A328">
            <v>110031</v>
          </cell>
          <cell r="B328" t="str">
            <v>CWIP – Computers</v>
          </cell>
        </row>
        <row r="329">
          <cell r="A329">
            <v>110035</v>
          </cell>
          <cell r="B329" t="str">
            <v>Office Building</v>
          </cell>
        </row>
        <row r="330">
          <cell r="A330">
            <v>110040</v>
          </cell>
          <cell r="B330" t="str">
            <v>Furniture and Fixtures</v>
          </cell>
        </row>
        <row r="331">
          <cell r="A331">
            <v>110050</v>
          </cell>
          <cell r="B331" t="str">
            <v>Leasehold Improvements</v>
          </cell>
        </row>
        <row r="332">
          <cell r="A332">
            <v>110055</v>
          </cell>
          <cell r="B332" t="str">
            <v>Leasehold Land - GDC</v>
          </cell>
        </row>
        <row r="333">
          <cell r="A333">
            <v>110060</v>
          </cell>
          <cell r="B333" t="str">
            <v>Communications Equipment</v>
          </cell>
        </row>
        <row r="334">
          <cell r="A334">
            <v>110061</v>
          </cell>
          <cell r="B334" t="str">
            <v>Air Conditioners</v>
          </cell>
        </row>
        <row r="335">
          <cell r="A335">
            <v>110062</v>
          </cell>
          <cell r="B335" t="str">
            <v>Electrical Equipments</v>
          </cell>
        </row>
        <row r="336">
          <cell r="A336">
            <v>110063</v>
          </cell>
          <cell r="B336" t="str">
            <v>Electrical Fittings</v>
          </cell>
        </row>
        <row r="337">
          <cell r="A337">
            <v>110064</v>
          </cell>
          <cell r="B337" t="str">
            <v>Office Equipments</v>
          </cell>
        </row>
        <row r="338">
          <cell r="A338">
            <v>110065</v>
          </cell>
          <cell r="B338" t="str">
            <v>Residential Property</v>
          </cell>
        </row>
        <row r="339">
          <cell r="A339">
            <v>110066</v>
          </cell>
          <cell r="B339" t="str">
            <v>CWIP – Air Conditioners</v>
          </cell>
        </row>
        <row r="340">
          <cell r="A340">
            <v>110067</v>
          </cell>
          <cell r="B340" t="str">
            <v>CWIP – Electrical Fittings</v>
          </cell>
        </row>
        <row r="341">
          <cell r="A341">
            <v>110068</v>
          </cell>
          <cell r="B341" t="str">
            <v>CWIP – Office equipment</v>
          </cell>
        </row>
        <row r="342">
          <cell r="A342">
            <v>110070</v>
          </cell>
          <cell r="B342" t="str">
            <v>Capitalized Software</v>
          </cell>
        </row>
        <row r="343">
          <cell r="A343">
            <v>110080</v>
          </cell>
          <cell r="B343" t="str">
            <v>Captilized Dev Costs-P/Soft</v>
          </cell>
        </row>
        <row r="344">
          <cell r="A344">
            <v>110085</v>
          </cell>
          <cell r="B344" t="str">
            <v>Capitalized Dev Costs-skillbay</v>
          </cell>
        </row>
        <row r="345">
          <cell r="A345">
            <v>110089</v>
          </cell>
          <cell r="B345" t="str">
            <v>CWIP - Computer Software</v>
          </cell>
        </row>
        <row r="346">
          <cell r="A346">
            <v>110090</v>
          </cell>
          <cell r="B346" t="str">
            <v xml:space="preserve">Metier Fixed Assets           </v>
          </cell>
        </row>
        <row r="347">
          <cell r="A347">
            <v>110091</v>
          </cell>
          <cell r="B347" t="str">
            <v>Capital work in Progress - GDC</v>
          </cell>
        </row>
        <row r="348">
          <cell r="A348">
            <v>110092</v>
          </cell>
          <cell r="B348" t="str">
            <v>Capital Advances-Regrouped</v>
          </cell>
        </row>
        <row r="349">
          <cell r="A349">
            <v>110093</v>
          </cell>
          <cell r="B349" t="str">
            <v>Capital work in Progress</v>
          </cell>
        </row>
        <row r="350">
          <cell r="A350">
            <v>110094</v>
          </cell>
          <cell r="B350" t="str">
            <v>CWIP - Communication equipment</v>
          </cell>
        </row>
        <row r="351">
          <cell r="A351">
            <v>110095</v>
          </cell>
          <cell r="B351" t="str">
            <v>IMG Fixed Assets</v>
          </cell>
        </row>
        <row r="352">
          <cell r="A352">
            <v>110096</v>
          </cell>
          <cell r="B352" t="str">
            <v>CWIP - Electrical equipments</v>
          </cell>
        </row>
        <row r="353">
          <cell r="A353">
            <v>110097</v>
          </cell>
          <cell r="B353" t="str">
            <v>CWIP - Furniture &amp; Fixtures</v>
          </cell>
        </row>
        <row r="354">
          <cell r="A354">
            <v>110099</v>
          </cell>
          <cell r="B354" t="str">
            <v>CWIP - Buildings</v>
          </cell>
        </row>
        <row r="355">
          <cell r="A355">
            <v>110098</v>
          </cell>
          <cell r="B355" t="str">
            <v>CWIP - Leasehold Improvements</v>
          </cell>
        </row>
        <row r="356">
          <cell r="A356">
            <v>110120</v>
          </cell>
          <cell r="B356" t="str">
            <v>Accumulated Dep-Automobile</v>
          </cell>
        </row>
        <row r="357">
          <cell r="A357">
            <v>110125</v>
          </cell>
          <cell r="B357" t="str">
            <v>Accumulat Dep-Auto-Emp Vehicle</v>
          </cell>
        </row>
        <row r="358">
          <cell r="A358">
            <v>110130</v>
          </cell>
          <cell r="B358" t="str">
            <v>Accumulated Dep-Computer</v>
          </cell>
        </row>
        <row r="359">
          <cell r="A359">
            <v>110135</v>
          </cell>
          <cell r="B359" t="str">
            <v>Accum Depn - Office Building</v>
          </cell>
        </row>
        <row r="360">
          <cell r="A360">
            <v>110140</v>
          </cell>
          <cell r="B360" t="str">
            <v>Accumulated Dep-Furniture</v>
          </cell>
        </row>
        <row r="361">
          <cell r="A361">
            <v>110150</v>
          </cell>
          <cell r="B361" t="str">
            <v>Accumulated Dep-LHI</v>
          </cell>
        </row>
        <row r="362">
          <cell r="A362">
            <v>110155</v>
          </cell>
          <cell r="B362" t="str">
            <v>Accumulated Dep-LHLand</v>
          </cell>
        </row>
        <row r="363">
          <cell r="A363">
            <v>110160</v>
          </cell>
          <cell r="B363" t="str">
            <v>Accumulated Dep-Comm.Eq.</v>
          </cell>
        </row>
        <row r="364">
          <cell r="A364">
            <v>110161</v>
          </cell>
          <cell r="B364" t="str">
            <v>Accumulated Dep-Air Con.</v>
          </cell>
        </row>
        <row r="365">
          <cell r="A365">
            <v>110162</v>
          </cell>
          <cell r="B365" t="str">
            <v>Accumulated Dep-Elec. Eq.</v>
          </cell>
        </row>
        <row r="366">
          <cell r="A366">
            <v>110163</v>
          </cell>
          <cell r="B366" t="str">
            <v>Accumulated Dep-Elec. Fit.</v>
          </cell>
        </row>
        <row r="367">
          <cell r="A367">
            <v>110164</v>
          </cell>
          <cell r="B367" t="str">
            <v>Accumulated Dep-Office Eq.</v>
          </cell>
        </row>
        <row r="368">
          <cell r="A368">
            <v>110165</v>
          </cell>
          <cell r="B368" t="str">
            <v>Accumulated Dep-Resi. Pr.</v>
          </cell>
        </row>
        <row r="369">
          <cell r="A369">
            <v>110170</v>
          </cell>
          <cell r="B369" t="str">
            <v>Accumulated Software Amortizat</v>
          </cell>
        </row>
        <row r="370">
          <cell r="A370">
            <v>110175</v>
          </cell>
          <cell r="B370" t="str">
            <v>Accum Amort-Cap Dev-P/Soft</v>
          </cell>
        </row>
        <row r="371">
          <cell r="A371">
            <v>110180</v>
          </cell>
          <cell r="B371" t="str">
            <v>Accum Amort-Cap Dev-Proj 98</v>
          </cell>
        </row>
        <row r="372">
          <cell r="A372">
            <v>110190</v>
          </cell>
          <cell r="B372" t="str">
            <v>Accum Depr-Metier</v>
          </cell>
        </row>
        <row r="373">
          <cell r="A373">
            <v>110195</v>
          </cell>
          <cell r="B373" t="str">
            <v>Accum Depr-IMG</v>
          </cell>
        </row>
        <row r="374">
          <cell r="A374">
            <v>110510</v>
          </cell>
          <cell r="B374" t="str">
            <v>Investment in Singapore</v>
          </cell>
        </row>
        <row r="375">
          <cell r="A375">
            <v>110520</v>
          </cell>
          <cell r="B375" t="str">
            <v>Investment in India</v>
          </cell>
        </row>
        <row r="376">
          <cell r="A376">
            <v>110530</v>
          </cell>
          <cell r="B376" t="str">
            <v>Investment in new2usa.com</v>
          </cell>
        </row>
        <row r="377">
          <cell r="A377">
            <v>110540</v>
          </cell>
          <cell r="B377" t="str">
            <v>Investment in skillbay.com</v>
          </cell>
        </row>
        <row r="378">
          <cell r="A378">
            <v>110550</v>
          </cell>
          <cell r="B378" t="str">
            <v>Investment in Textiles Online</v>
          </cell>
        </row>
        <row r="379">
          <cell r="A379">
            <v>110560</v>
          </cell>
          <cell r="B379" t="str">
            <v>Investment in Vianetta Commun</v>
          </cell>
        </row>
        <row r="380">
          <cell r="A380">
            <v>110570</v>
          </cell>
          <cell r="B380" t="str">
            <v>Investmnt in Utilitiesmart.com</v>
          </cell>
        </row>
        <row r="381">
          <cell r="A381">
            <v>110580</v>
          </cell>
          <cell r="B381" t="str">
            <v>Investment in Convergent Appli</v>
          </cell>
        </row>
        <row r="382">
          <cell r="A382">
            <v>110590</v>
          </cell>
          <cell r="B382" t="str">
            <v>Invst In Nekema.com</v>
          </cell>
        </row>
        <row r="383">
          <cell r="A383">
            <v>110591</v>
          </cell>
          <cell r="B383" t="str">
            <v>Syntel International Pref.Sh.3</v>
          </cell>
        </row>
        <row r="384">
          <cell r="A384">
            <v>110592</v>
          </cell>
          <cell r="B384" t="str">
            <v>Syntel Sourcing  Pref.Sh.3%</v>
          </cell>
        </row>
        <row r="385">
          <cell r="A385">
            <v>110593</v>
          </cell>
          <cell r="B385" t="str">
            <v>3% Pref Shares - SSBS</v>
          </cell>
        </row>
        <row r="386">
          <cell r="A386">
            <v>110594</v>
          </cell>
          <cell r="B386" t="str">
            <v>Syntel Global Pvt. Ltd Pref shares</v>
          </cell>
        </row>
        <row r="387">
          <cell r="A387">
            <v>110595</v>
          </cell>
          <cell r="B387" t="str">
            <v>Investment in Syntel Germany</v>
          </cell>
        </row>
        <row r="388">
          <cell r="A388">
            <v>110610</v>
          </cell>
          <cell r="B388" t="str">
            <v>Deferred Tax Assets - Long Ter</v>
          </cell>
        </row>
        <row r="389">
          <cell r="A389">
            <v>120101</v>
          </cell>
          <cell r="B389" t="str">
            <v>Goodwill-IMG</v>
          </cell>
        </row>
        <row r="390">
          <cell r="A390">
            <v>120201</v>
          </cell>
          <cell r="B390" t="str">
            <v>Goodwill Amortz-IMG</v>
          </cell>
        </row>
        <row r="391">
          <cell r="A391">
            <v>200010</v>
          </cell>
          <cell r="B391" t="str">
            <v>Accounts Payable</v>
          </cell>
        </row>
        <row r="392">
          <cell r="A392">
            <v>200011</v>
          </cell>
          <cell r="B392" t="str">
            <v>Capital Adv. Trfd</v>
          </cell>
        </row>
        <row r="393">
          <cell r="A393">
            <v>200012</v>
          </cell>
          <cell r="B393" t="str">
            <v>Advances to customers regrouped</v>
          </cell>
        </row>
        <row r="394">
          <cell r="A394">
            <v>200013</v>
          </cell>
          <cell r="B394" t="str">
            <v>Insurance claim payable</v>
          </cell>
        </row>
        <row r="395">
          <cell r="A395">
            <v>200014</v>
          </cell>
          <cell r="B395" t="str">
            <v>Other Payables</v>
          </cell>
        </row>
        <row r="396">
          <cell r="A396">
            <v>200015</v>
          </cell>
          <cell r="B396" t="str">
            <v>Provision for capital</v>
          </cell>
        </row>
        <row r="397">
          <cell r="A397">
            <v>200016</v>
          </cell>
          <cell r="B397" t="str">
            <v>Expenses Payable</v>
          </cell>
        </row>
        <row r="398">
          <cell r="A398">
            <v>200018</v>
          </cell>
          <cell r="B398" t="str">
            <v>ICICI Bank Control Account-Exp</v>
          </cell>
        </row>
        <row r="399">
          <cell r="A399">
            <v>200019</v>
          </cell>
          <cell r="B399" t="str">
            <v>Vendor balance - Revaluation</v>
          </cell>
        </row>
        <row r="400">
          <cell r="A400">
            <v>200021</v>
          </cell>
          <cell r="B400" t="str">
            <v>USBK1 Control Account</v>
          </cell>
        </row>
        <row r="401">
          <cell r="A401">
            <v>200022</v>
          </cell>
          <cell r="B401" t="str">
            <v>Vendor balance Reval Inter co</v>
          </cell>
        </row>
        <row r="402">
          <cell r="A402">
            <v>200026</v>
          </cell>
          <cell r="B402" t="str">
            <v>Adv from Customers - Inter Co</v>
          </cell>
        </row>
        <row r="403">
          <cell r="A403">
            <v>200041</v>
          </cell>
          <cell r="B403" t="str">
            <v>Accounts Payable-Inter Co</v>
          </cell>
        </row>
        <row r="404">
          <cell r="A404">
            <v>201005</v>
          </cell>
          <cell r="B404" t="str">
            <v>Accrued PC Purchases</v>
          </cell>
        </row>
        <row r="405">
          <cell r="A405">
            <v>201010</v>
          </cell>
          <cell r="B405" t="str">
            <v>Accrued Payroll</v>
          </cell>
        </row>
        <row r="406">
          <cell r="A406">
            <v>201015</v>
          </cell>
          <cell r="B406" t="str">
            <v>Accrued Bonus</v>
          </cell>
        </row>
        <row r="407">
          <cell r="A407">
            <v>201017</v>
          </cell>
          <cell r="B407" t="str">
            <v>Accrued Awards</v>
          </cell>
        </row>
        <row r="408">
          <cell r="A408">
            <v>201020</v>
          </cell>
          <cell r="B408" t="str">
            <v>Accrued Wages</v>
          </cell>
        </row>
        <row r="409">
          <cell r="A409">
            <v>201023</v>
          </cell>
          <cell r="B409" t="str">
            <v>Accrued Wages - Troy payroll</v>
          </cell>
        </row>
        <row r="410">
          <cell r="A410">
            <v>201035</v>
          </cell>
          <cell r="B410" t="str">
            <v>Accrued - Variable Pay</v>
          </cell>
        </row>
        <row r="411">
          <cell r="A411">
            <v>201030</v>
          </cell>
          <cell r="B411" t="str">
            <v>Accr Vacation Payout</v>
          </cell>
        </row>
        <row r="412">
          <cell r="A412">
            <v>201040</v>
          </cell>
          <cell r="B412" t="str">
            <v>Flexible Spending Liability</v>
          </cell>
        </row>
        <row r="413">
          <cell r="A413">
            <v>201045</v>
          </cell>
          <cell r="B413" t="str">
            <v>Accum Stock Purch-Oct-Sep</v>
          </cell>
        </row>
        <row r="414">
          <cell r="A414">
            <v>201046</v>
          </cell>
          <cell r="B414" t="str">
            <v>Accum Stock Plan-Apr-Mar</v>
          </cell>
        </row>
        <row r="415">
          <cell r="A415">
            <v>201047</v>
          </cell>
          <cell r="B415" t="str">
            <v>Accumulated Stock Plan</v>
          </cell>
        </row>
        <row r="416">
          <cell r="A416">
            <v>201050</v>
          </cell>
          <cell r="B416" t="str">
            <v>Accrued US Payroll Taxes</v>
          </cell>
        </row>
        <row r="417">
          <cell r="A417">
            <v>201052</v>
          </cell>
          <cell r="B417" t="str">
            <v>Accrued Canada Payroll Taxes</v>
          </cell>
        </row>
        <row r="418">
          <cell r="A418">
            <v>201065</v>
          </cell>
          <cell r="B418" t="str">
            <v>Accrued SBT</v>
          </cell>
        </row>
        <row r="419">
          <cell r="A419">
            <v>201066</v>
          </cell>
          <cell r="B419" t="str">
            <v>Accrued Tennesse</v>
          </cell>
        </row>
        <row r="420">
          <cell r="A420">
            <v>201070</v>
          </cell>
          <cell r="B420" t="str">
            <v>Accrued NM SUI</v>
          </cell>
        </row>
        <row r="421">
          <cell r="A421">
            <v>201075</v>
          </cell>
          <cell r="B421" t="str">
            <v>Tax Provision</v>
          </cell>
        </row>
        <row r="422">
          <cell r="A422">
            <v>201076</v>
          </cell>
          <cell r="B422" t="str">
            <v>VAT Taxes Payable</v>
          </cell>
        </row>
        <row r="423">
          <cell r="A423">
            <v>201080</v>
          </cell>
          <cell r="B423" t="str">
            <v>Withheld-401 (K)</v>
          </cell>
        </row>
        <row r="424">
          <cell r="A424">
            <v>201085</v>
          </cell>
          <cell r="B424" t="str">
            <v>W/H Friend of Cout</v>
          </cell>
        </row>
        <row r="425">
          <cell r="A425">
            <v>201101</v>
          </cell>
          <cell r="B425" t="str">
            <v>Accrued Bonus - Leadership</v>
          </cell>
        </row>
        <row r="426">
          <cell r="A426">
            <v>201102</v>
          </cell>
          <cell r="B426" t="str">
            <v>Accrued Bonus - Vertical Team</v>
          </cell>
        </row>
        <row r="427">
          <cell r="A427">
            <v>201103</v>
          </cell>
          <cell r="B427" t="str">
            <v>Accrued Bonus - Practice Team</v>
          </cell>
        </row>
        <row r="428">
          <cell r="A428">
            <v>201104</v>
          </cell>
          <cell r="B428" t="str">
            <v>Accrued Bonus - Engagement Mgr</v>
          </cell>
        </row>
        <row r="429">
          <cell r="A429">
            <v>201105</v>
          </cell>
          <cell r="B429" t="str">
            <v>Accrued Bonus - TIA for Revenu</v>
          </cell>
        </row>
        <row r="430">
          <cell r="A430">
            <v>201106</v>
          </cell>
          <cell r="B430" t="str">
            <v>Accrued Bonus - TIA for TCV</v>
          </cell>
        </row>
        <row r="431">
          <cell r="A431">
            <v>201107</v>
          </cell>
          <cell r="B431" t="str">
            <v>Accrued Bonus - Billable</v>
          </cell>
        </row>
        <row r="432">
          <cell r="A432">
            <v>201108</v>
          </cell>
          <cell r="B432" t="str">
            <v>Accrued Bonus - Corporate</v>
          </cell>
        </row>
        <row r="433">
          <cell r="A433">
            <v>201109</v>
          </cell>
          <cell r="B433" t="str">
            <v>Accrued Bonus - Others</v>
          </cell>
        </row>
        <row r="434">
          <cell r="A434">
            <v>201114</v>
          </cell>
          <cell r="B434" t="str">
            <v>HCA Billable Bonus</v>
          </cell>
        </row>
        <row r="435">
          <cell r="A435">
            <v>201115</v>
          </cell>
          <cell r="B435" t="str">
            <v>Prov for Increment-Comp/Bonus</v>
          </cell>
        </row>
        <row r="436">
          <cell r="A436">
            <v>201117</v>
          </cell>
          <cell r="B436" t="str">
            <v>Accrued Long term incentive Plan</v>
          </cell>
        </row>
        <row r="437">
          <cell r="A437">
            <v>201201</v>
          </cell>
          <cell r="B437" t="str">
            <v>Full &amp; Final Settlement</v>
          </cell>
        </row>
        <row r="438">
          <cell r="A438">
            <v>201202</v>
          </cell>
          <cell r="B438" t="str">
            <v>Provisions - FFS</v>
          </cell>
        </row>
        <row r="439">
          <cell r="A439">
            <v>201203</v>
          </cell>
          <cell r="B439" t="str">
            <v>Provision NPS-Co.Contribution</v>
          </cell>
        </row>
        <row r="440">
          <cell r="A440">
            <v>201211</v>
          </cell>
          <cell r="B440" t="str">
            <v>TDS - Employees - 2002-03</v>
          </cell>
        </row>
        <row r="441">
          <cell r="A441">
            <v>201212</v>
          </cell>
          <cell r="B441" t="str">
            <v>TDS - Employees - 2003-04</v>
          </cell>
        </row>
        <row r="442">
          <cell r="A442">
            <v>201213</v>
          </cell>
          <cell r="B442" t="str">
            <v>Withholding - Salarie</v>
          </cell>
        </row>
        <row r="443">
          <cell r="A443">
            <v>201214</v>
          </cell>
          <cell r="B443" t="str">
            <v>TDS - Employees - 2004-05</v>
          </cell>
        </row>
        <row r="444">
          <cell r="A444">
            <v>201215</v>
          </cell>
          <cell r="B444" t="str">
            <v>TDS - Employees - 2006-07</v>
          </cell>
        </row>
        <row r="445">
          <cell r="A445">
            <v>201221</v>
          </cell>
          <cell r="B445" t="str">
            <v>Provision PF - Co. Contribution</v>
          </cell>
        </row>
        <row r="446">
          <cell r="A446">
            <v>201222</v>
          </cell>
          <cell r="B446" t="str">
            <v>Provision ESIC - Co. Contribution</v>
          </cell>
        </row>
        <row r="447">
          <cell r="A447">
            <v>201223</v>
          </cell>
          <cell r="B447" t="str">
            <v>Provision MLWF - Co. Contribution</v>
          </cell>
        </row>
        <row r="448">
          <cell r="A448">
            <v>201224</v>
          </cell>
          <cell r="B448" t="str">
            <v>Provision CLWF - Co. Contribution</v>
          </cell>
        </row>
        <row r="449">
          <cell r="A449">
            <v>201225</v>
          </cell>
          <cell r="B449" t="str">
            <v>TSUNAMI Contribution from Emp</v>
          </cell>
        </row>
        <row r="450">
          <cell r="A450">
            <v>201226</v>
          </cell>
          <cell r="B450" t="str">
            <v>Accident Victim Fund</v>
          </cell>
        </row>
        <row r="451">
          <cell r="A451">
            <v>201228</v>
          </cell>
          <cell r="B451" t="str">
            <v>Liability VPF-Voluntary Deduct</v>
          </cell>
        </row>
        <row r="452">
          <cell r="A452">
            <v>201230</v>
          </cell>
          <cell r="B452" t="str">
            <v>Employee welfare trust</v>
          </cell>
        </row>
        <row r="453">
          <cell r="A453">
            <v>201231</v>
          </cell>
          <cell r="B453" t="str">
            <v>Liability Payroll Processed</v>
          </cell>
        </row>
        <row r="454">
          <cell r="A454">
            <v>201232</v>
          </cell>
          <cell r="B454" t="str">
            <v>Liability PF - Deduction</v>
          </cell>
        </row>
        <row r="455">
          <cell r="A455">
            <v>201233</v>
          </cell>
          <cell r="B455" t="str">
            <v>Liability ESIC - Deduction</v>
          </cell>
        </row>
        <row r="456">
          <cell r="A456">
            <v>201234</v>
          </cell>
          <cell r="B456" t="str">
            <v>Liability MLWF - Deduction</v>
          </cell>
        </row>
        <row r="457">
          <cell r="A457">
            <v>201235</v>
          </cell>
          <cell r="B457" t="str">
            <v>Liability CLWF - Deduction</v>
          </cell>
        </row>
        <row r="458">
          <cell r="A458">
            <v>201236</v>
          </cell>
          <cell r="B458" t="str">
            <v>Liability P Tax  - Deduction</v>
          </cell>
        </row>
        <row r="459">
          <cell r="A459">
            <v>201241</v>
          </cell>
          <cell r="B459" t="str">
            <v>Provision - Gratuity</v>
          </cell>
        </row>
        <row r="460">
          <cell r="A460">
            <v>201242</v>
          </cell>
          <cell r="B460" t="str">
            <v xml:space="preserve">Provision - Unutilised Leave </v>
          </cell>
        </row>
        <row r="461">
          <cell r="A461">
            <v>201243</v>
          </cell>
          <cell r="B461" t="str">
            <v>Provision - Leave Travel</v>
          </cell>
        </row>
        <row r="462">
          <cell r="A462">
            <v>201244</v>
          </cell>
          <cell r="B462" t="str">
            <v>Provision - Medical Reimbursement</v>
          </cell>
        </row>
        <row r="463">
          <cell r="A463">
            <v>202010</v>
          </cell>
          <cell r="B463" t="str">
            <v>Accumulated Warranty reserves</v>
          </cell>
        </row>
        <row r="464">
          <cell r="A464">
            <v>205010</v>
          </cell>
          <cell r="B464" t="str">
            <v>Health Insurance Accrual</v>
          </cell>
        </row>
        <row r="465">
          <cell r="A465">
            <v>205011</v>
          </cell>
          <cell r="B465" t="str">
            <v>Insurance - Parental Coverage</v>
          </cell>
        </row>
        <row r="466">
          <cell r="A466">
            <v>205012</v>
          </cell>
          <cell r="B466" t="str">
            <v>Insurance-Volunt Life &amp; Medi</v>
          </cell>
        </row>
        <row r="467">
          <cell r="A467">
            <v>205014</v>
          </cell>
          <cell r="B467" t="str">
            <v>Tax Collected at source</v>
          </cell>
        </row>
        <row r="468">
          <cell r="A468">
            <v>205015</v>
          </cell>
          <cell r="B468" t="str">
            <v>Connecticut Sales and Use Tax</v>
          </cell>
        </row>
        <row r="469">
          <cell r="A469">
            <v>205020</v>
          </cell>
          <cell r="B469" t="str">
            <v>Health Insurance Reserve</v>
          </cell>
        </row>
        <row r="470">
          <cell r="A470">
            <v>205030</v>
          </cell>
          <cell r="B470" t="str">
            <v>Accrued Cigna Health</v>
          </cell>
        </row>
        <row r="471">
          <cell r="A471">
            <v>205032</v>
          </cell>
          <cell r="B471" t="str">
            <v>Accrued Aetna Health</v>
          </cell>
        </row>
        <row r="472">
          <cell r="A472">
            <v>205040</v>
          </cell>
          <cell r="B472" t="str">
            <v>Accrued Expenses</v>
          </cell>
        </row>
        <row r="473">
          <cell r="A473">
            <v>205041</v>
          </cell>
          <cell r="B473" t="str">
            <v>Accrued Expenses-Metier</v>
          </cell>
        </row>
        <row r="474">
          <cell r="A474">
            <v>205042</v>
          </cell>
          <cell r="B474" t="str">
            <v>Accrued Expenses-IMG</v>
          </cell>
        </row>
        <row r="475">
          <cell r="A475">
            <v>205043</v>
          </cell>
          <cell r="B475" t="str">
            <v>Deferred Lease equalisation</v>
          </cell>
        </row>
        <row r="476">
          <cell r="A476">
            <v>205046</v>
          </cell>
          <cell r="B476" t="str">
            <v>Accrued F Travel Expe</v>
          </cell>
        </row>
        <row r="477">
          <cell r="A477">
            <v>205047</v>
          </cell>
          <cell r="B477" t="str">
            <v>Accrued Marketing Fee</v>
          </cell>
        </row>
        <row r="478">
          <cell r="A478">
            <v>205048</v>
          </cell>
          <cell r="B478" t="str">
            <v>Accrued Comp – Sp Dividend</v>
          </cell>
        </row>
        <row r="479">
          <cell r="A479">
            <v>205056</v>
          </cell>
          <cell r="B479" t="str">
            <v>Deferred Lease equal Inter Co</v>
          </cell>
        </row>
        <row r="480">
          <cell r="A480">
            <v>205057</v>
          </cell>
          <cell r="B480" t="str">
            <v>Def Lease equal IC N-Curr Less</v>
          </cell>
        </row>
        <row r="481">
          <cell r="A481">
            <v>240007</v>
          </cell>
          <cell r="B481" t="str">
            <v>Def Lease equal IC N-Curr Add</v>
          </cell>
        </row>
        <row r="482">
          <cell r="A482">
            <v>205080</v>
          </cell>
          <cell r="B482" t="str">
            <v>Accumulated  Productivity reserve</v>
          </cell>
        </row>
        <row r="483">
          <cell r="A483">
            <v>205085</v>
          </cell>
          <cell r="B483" t="str">
            <v>Other Current Liabilities</v>
          </cell>
        </row>
        <row r="484">
          <cell r="A484">
            <v>205087</v>
          </cell>
          <cell r="B484" t="str">
            <v>Accrued Interest</v>
          </cell>
        </row>
        <row r="485">
          <cell r="A485">
            <v>205090</v>
          </cell>
          <cell r="B485" t="str">
            <v>Capital Leases-IMG</v>
          </cell>
        </row>
        <row r="486">
          <cell r="A486">
            <v>205091</v>
          </cell>
          <cell r="B486" t="str">
            <v>Accrued - Wealth tax</v>
          </cell>
        </row>
        <row r="487">
          <cell r="A487">
            <v>205092</v>
          </cell>
          <cell r="B487" t="str">
            <v>Accrued - Sales tax</v>
          </cell>
        </row>
        <row r="488">
          <cell r="A488">
            <v>205095</v>
          </cell>
          <cell r="B488" t="str">
            <v>Liability - Deposits Recd</v>
          </cell>
        </row>
        <row r="489">
          <cell r="A489">
            <v>205101</v>
          </cell>
          <cell r="B489" t="str">
            <v>TDS - Contractors</v>
          </cell>
        </row>
        <row r="490">
          <cell r="A490">
            <v>205102</v>
          </cell>
          <cell r="B490" t="str">
            <v>TDS - Professionals</v>
          </cell>
        </row>
        <row r="491">
          <cell r="A491">
            <v>205103</v>
          </cell>
          <cell r="B491" t="str">
            <v>TDS - Rent</v>
          </cell>
        </row>
        <row r="492">
          <cell r="A492">
            <v>205104</v>
          </cell>
          <cell r="B492" t="str">
            <v>TDS - Advertisement</v>
          </cell>
        </row>
        <row r="493">
          <cell r="A493">
            <v>205105</v>
          </cell>
          <cell r="B493" t="str">
            <v>TDS - Brokerage</v>
          </cell>
        </row>
        <row r="494">
          <cell r="A494">
            <v>205106</v>
          </cell>
          <cell r="B494" t="str">
            <v>TDS - WCT</v>
          </cell>
        </row>
        <row r="495">
          <cell r="A495">
            <v>205107</v>
          </cell>
          <cell r="B495" t="str">
            <v>Sales Tax payable</v>
          </cell>
        </row>
        <row r="496">
          <cell r="A496">
            <v>205108</v>
          </cell>
          <cell r="B496" t="str">
            <v>CPF Payable</v>
          </cell>
        </row>
        <row r="497">
          <cell r="A497">
            <v>205109</v>
          </cell>
          <cell r="B497" t="str">
            <v>TDS - Brokerage - Companies</v>
          </cell>
        </row>
        <row r="498">
          <cell r="A498">
            <v>205110</v>
          </cell>
          <cell r="B498" t="str">
            <v>TDS - Advertisement - Co.</v>
          </cell>
        </row>
        <row r="499">
          <cell r="A499">
            <v>205111</v>
          </cell>
          <cell r="B499" t="str">
            <v>TDS - Rent - Companies</v>
          </cell>
        </row>
        <row r="500">
          <cell r="A500">
            <v>205112</v>
          </cell>
          <cell r="B500" t="str">
            <v>TDS - Professionals - Companie</v>
          </cell>
        </row>
        <row r="501">
          <cell r="A501">
            <v>205113</v>
          </cell>
          <cell r="B501" t="str">
            <v>TDS - Contractors - Companies</v>
          </cell>
        </row>
        <row r="502">
          <cell r="A502">
            <v>205114</v>
          </cell>
          <cell r="B502" t="str">
            <v>Service Tax Payable</v>
          </cell>
        </row>
        <row r="503">
          <cell r="A503">
            <v>205115</v>
          </cell>
          <cell r="B503" t="str">
            <v>GST Tax - Canada</v>
          </cell>
        </row>
        <row r="504">
          <cell r="A504">
            <v>205116</v>
          </cell>
          <cell r="B504" t="str">
            <v>GST Payable - Australia</v>
          </cell>
        </row>
        <row r="505">
          <cell r="A505">
            <v>205119</v>
          </cell>
          <cell r="B505" t="str">
            <v>TDS - Non Resident</v>
          </cell>
        </row>
        <row r="506">
          <cell r="A506">
            <v>205120</v>
          </cell>
          <cell r="B506" t="str">
            <v>Swacch Bharat Cess Payable</v>
          </cell>
        </row>
        <row r="507">
          <cell r="A507">
            <v>205121</v>
          </cell>
          <cell r="B507" t="str">
            <v>Amount held in trust Trambak</v>
          </cell>
        </row>
        <row r="508">
          <cell r="A508">
            <v>205122</v>
          </cell>
          <cell r="B508" t="str">
            <v>Earnest Money - Contractors</v>
          </cell>
        </row>
        <row r="509">
          <cell r="A509">
            <v>205123</v>
          </cell>
          <cell r="B509" t="str">
            <v>Liability - Emp. benefit cont.</v>
          </cell>
        </row>
        <row r="510">
          <cell r="A510">
            <v>205124</v>
          </cell>
          <cell r="B510" t="str">
            <v>Deferred Tax liability - Current</v>
          </cell>
        </row>
        <row r="511">
          <cell r="A511">
            <v>205128</v>
          </cell>
          <cell r="B511" t="str">
            <v>Krishi Kalyan Cess Payable</v>
          </cell>
        </row>
        <row r="512">
          <cell r="A512">
            <v>205130</v>
          </cell>
          <cell r="B512" t="str">
            <v>Derivative Liabilities</v>
          </cell>
        </row>
        <row r="513">
          <cell r="A513">
            <v>205133</v>
          </cell>
          <cell r="B513" t="str">
            <v>MAH. SEZ - IGST Payable</v>
          </cell>
        </row>
        <row r="514">
          <cell r="A514">
            <v>205136</v>
          </cell>
          <cell r="B514" t="str">
            <v>MAH. NSEZ - IGST Payable</v>
          </cell>
        </row>
        <row r="515">
          <cell r="A515">
            <v>206010</v>
          </cell>
          <cell r="B515" t="str">
            <v>Tax Reserve</v>
          </cell>
        </row>
        <row r="516">
          <cell r="A516">
            <v>206020</v>
          </cell>
          <cell r="B516" t="str">
            <v>Federal Inc Taxes Payable-Curr</v>
          </cell>
        </row>
        <row r="517">
          <cell r="A517">
            <v>206023</v>
          </cell>
          <cell r="B517" t="str">
            <v>Canada - Fed Inc Taxes Pay Cur</v>
          </cell>
        </row>
        <row r="518">
          <cell r="A518">
            <v>206026</v>
          </cell>
          <cell r="B518" t="str">
            <v>Advance US city Income Tax</v>
          </cell>
        </row>
        <row r="519">
          <cell r="A519">
            <v>206033</v>
          </cell>
          <cell r="B519" t="str">
            <v>Taxes Payable - FIN 48</v>
          </cell>
        </row>
        <row r="520">
          <cell r="A520">
            <v>206034</v>
          </cell>
          <cell r="B520" t="str">
            <v>Canada - State Inc Tax Pay Cur</v>
          </cell>
        </row>
        <row r="521">
          <cell r="A521">
            <v>206030</v>
          </cell>
          <cell r="B521" t="str">
            <v>State Inc Taxes Payable - Curr</v>
          </cell>
        </row>
        <row r="522">
          <cell r="A522">
            <v>206035</v>
          </cell>
          <cell r="B522" t="str">
            <v>Indian Income taxes Payable</v>
          </cell>
        </row>
        <row r="523">
          <cell r="A523">
            <v>206036</v>
          </cell>
          <cell r="B523" t="str">
            <v>Corporation Tax UK</v>
          </cell>
        </row>
        <row r="524">
          <cell r="A524">
            <v>206037</v>
          </cell>
          <cell r="B524" t="str">
            <v>Fringe Benefit Tax</v>
          </cell>
        </row>
        <row r="525">
          <cell r="A525">
            <v>206038</v>
          </cell>
          <cell r="B525" t="str">
            <v>Service Tax Payable</v>
          </cell>
        </row>
        <row r="526">
          <cell r="A526">
            <v>206039</v>
          </cell>
          <cell r="B526" t="str">
            <v>City Corp Income Tax Provision</v>
          </cell>
        </row>
        <row r="527">
          <cell r="A527">
            <v>206040</v>
          </cell>
          <cell r="B527" t="str">
            <v>Deferred Tax Liabilities-Curre</v>
          </cell>
        </row>
        <row r="528">
          <cell r="A528">
            <v>206041</v>
          </cell>
          <cell r="B528" t="str">
            <v xml:space="preserve">Advance Indian Income tax </v>
          </cell>
        </row>
        <row r="529">
          <cell r="A529">
            <v>206042</v>
          </cell>
          <cell r="B529" t="str">
            <v>Advance Indian IT - TDS</v>
          </cell>
        </row>
        <row r="530">
          <cell r="A530">
            <v>206043</v>
          </cell>
          <cell r="B530" t="str">
            <v xml:space="preserve">Advance US Federal Income Tax </v>
          </cell>
        </row>
        <row r="531">
          <cell r="A531">
            <v>206044</v>
          </cell>
          <cell r="B531" t="str">
            <v xml:space="preserve">Advance US State Income Tax </v>
          </cell>
        </row>
        <row r="532">
          <cell r="A532">
            <v>206045</v>
          </cell>
          <cell r="B532" t="str">
            <v>Dividend Distribtion</v>
          </cell>
        </row>
        <row r="533">
          <cell r="A533">
            <v>206046</v>
          </cell>
          <cell r="B533" t="str">
            <v>Advance Fringe Benefit Tax</v>
          </cell>
        </row>
        <row r="534">
          <cell r="A534">
            <v>206047</v>
          </cell>
          <cell r="B534" t="str">
            <v>Forex Advance Indian IT - TDS</v>
          </cell>
        </row>
        <row r="535">
          <cell r="A535">
            <v>206048</v>
          </cell>
          <cell r="B535" t="str">
            <v>Canada - Adv Tax - TDS</v>
          </cell>
        </row>
        <row r="536">
          <cell r="A536">
            <v>207010</v>
          </cell>
          <cell r="B536" t="str">
            <v>Dividends Payable</v>
          </cell>
        </row>
        <row r="537">
          <cell r="A537">
            <v>210110</v>
          </cell>
          <cell r="B537" t="str">
            <v>Due to India</v>
          </cell>
        </row>
        <row r="538">
          <cell r="A538">
            <v>210111</v>
          </cell>
          <cell r="B538" t="str">
            <v>Due to Syntel Australia</v>
          </cell>
        </row>
        <row r="539">
          <cell r="A539">
            <v>210112</v>
          </cell>
          <cell r="B539" t="str">
            <v>Due from Syntel Australia</v>
          </cell>
        </row>
        <row r="540">
          <cell r="A540">
            <v>210115</v>
          </cell>
          <cell r="B540" t="str">
            <v>Due from India</v>
          </cell>
        </row>
        <row r="541">
          <cell r="A541">
            <v>210120</v>
          </cell>
          <cell r="B541" t="str">
            <v>Due to Europe</v>
          </cell>
        </row>
        <row r="542">
          <cell r="A542">
            <v>210125</v>
          </cell>
          <cell r="B542" t="str">
            <v>Due from Europe</v>
          </cell>
        </row>
        <row r="543">
          <cell r="A543">
            <v>210130</v>
          </cell>
          <cell r="B543" t="str">
            <v>Due to Singapore</v>
          </cell>
        </row>
        <row r="544">
          <cell r="A544">
            <v>210135</v>
          </cell>
          <cell r="B544" t="str">
            <v>Due from Singapore</v>
          </cell>
        </row>
        <row r="545">
          <cell r="A545">
            <v>210140</v>
          </cell>
          <cell r="B545" t="str">
            <v>Due to Syntel Canada</v>
          </cell>
        </row>
        <row r="546">
          <cell r="A546">
            <v>210150</v>
          </cell>
          <cell r="B546" t="str">
            <v>Due to Syntel Germany</v>
          </cell>
        </row>
        <row r="547">
          <cell r="A547">
            <v>210155</v>
          </cell>
          <cell r="B547" t="str">
            <v>Due from Syntel Germany</v>
          </cell>
        </row>
        <row r="548">
          <cell r="A548">
            <v>210160</v>
          </cell>
          <cell r="B548" t="str">
            <v>Due to Syntel Inc.</v>
          </cell>
        </row>
        <row r="549">
          <cell r="A549">
            <v>210165</v>
          </cell>
          <cell r="B549" t="str">
            <v>Due from Syntel Inc.</v>
          </cell>
        </row>
        <row r="550">
          <cell r="A550">
            <v>210171</v>
          </cell>
          <cell r="B550" t="str">
            <v>Due from SIL - Mumbai</v>
          </cell>
        </row>
        <row r="551">
          <cell r="A551">
            <v>210172</v>
          </cell>
          <cell r="B551" t="str">
            <v>Due from SIL - Chennai</v>
          </cell>
        </row>
        <row r="552">
          <cell r="A552">
            <v>210173</v>
          </cell>
          <cell r="B552" t="str">
            <v>Due from SIL - Pune</v>
          </cell>
        </row>
        <row r="553">
          <cell r="A553">
            <v>210181</v>
          </cell>
          <cell r="B553" t="str">
            <v>Due to SIL - Mumbai</v>
          </cell>
        </row>
        <row r="554">
          <cell r="A554">
            <v>210182</v>
          </cell>
          <cell r="B554" t="str">
            <v>Due to SIL - Chennai</v>
          </cell>
        </row>
        <row r="555">
          <cell r="A555">
            <v>210183</v>
          </cell>
          <cell r="B555" t="str">
            <v>Due to SIL - Pune</v>
          </cell>
        </row>
        <row r="556">
          <cell r="A556">
            <v>210185</v>
          </cell>
          <cell r="B556" t="str">
            <v>Due from Syntel Sourcing</v>
          </cell>
        </row>
        <row r="557">
          <cell r="A557">
            <v>210168</v>
          </cell>
          <cell r="B557" t="str">
            <v>Due to Syntel Solution BV</v>
          </cell>
        </row>
        <row r="558">
          <cell r="A558">
            <v>220010</v>
          </cell>
          <cell r="B558" t="str">
            <v>Deferred Revenues</v>
          </cell>
        </row>
        <row r="559">
          <cell r="A559">
            <v>220020</v>
          </cell>
          <cell r="B559" t="str">
            <v>Advanced Billing Receipts</v>
          </cell>
        </row>
        <row r="560">
          <cell r="A560">
            <v>220021</v>
          </cell>
          <cell r="B560" t="str">
            <v>NO SOW - Revenue Deferral</v>
          </cell>
        </row>
        <row r="561">
          <cell r="A561">
            <v>220022</v>
          </cell>
          <cell r="B561" t="str">
            <v>Transition Rev Defferal</v>
          </cell>
        </row>
        <row r="562">
          <cell r="A562">
            <v>220030</v>
          </cell>
          <cell r="B562" t="str">
            <v>AIG Advanced Billing Receipts</v>
          </cell>
        </row>
        <row r="563">
          <cell r="A563">
            <v>240001</v>
          </cell>
          <cell r="B563" t="str">
            <v>Preference Share 3%</v>
          </cell>
        </row>
        <row r="564">
          <cell r="A564">
            <v>240002</v>
          </cell>
          <cell r="B564" t="str">
            <v>Share premium on Preference Shares 3%</v>
          </cell>
        </row>
        <row r="565">
          <cell r="A565">
            <v>240003</v>
          </cell>
          <cell r="B565" t="str">
            <v>Share Application money Preference Shares</v>
          </cell>
        </row>
        <row r="566">
          <cell r="A566">
            <v>240004</v>
          </cell>
          <cell r="B566" t="str">
            <v>Accrued Finance Costs</v>
          </cell>
        </row>
        <row r="567">
          <cell r="A567">
            <v>240230</v>
          </cell>
          <cell r="B567" t="str">
            <v>Deferred Income tax, Non current</v>
          </cell>
        </row>
        <row r="568">
          <cell r="A568">
            <v>240235</v>
          </cell>
          <cell r="B568" t="str">
            <v>Deferred I Tax, Non Curr-India</v>
          </cell>
        </row>
        <row r="569">
          <cell r="A569">
            <v>300010</v>
          </cell>
          <cell r="B569" t="str">
            <v>Common Stock</v>
          </cell>
        </row>
        <row r="570">
          <cell r="A570">
            <v>300110</v>
          </cell>
          <cell r="B570" t="str">
            <v>Additional Paid in Capital</v>
          </cell>
        </row>
        <row r="571">
          <cell r="A571">
            <v>300115</v>
          </cell>
          <cell r="B571" t="str">
            <v>Deferred stock based compensation</v>
          </cell>
        </row>
        <row r="572">
          <cell r="A572">
            <v>300120</v>
          </cell>
          <cell r="B572" t="str">
            <v>Deferred Sales Incentive</v>
          </cell>
        </row>
        <row r="573">
          <cell r="A573">
            <v>301001</v>
          </cell>
          <cell r="B573" t="str">
            <v>General Reserve</v>
          </cell>
        </row>
        <row r="574">
          <cell r="A574">
            <v>301002</v>
          </cell>
          <cell r="B574" t="str">
            <v xml:space="preserve">Opening balance in Profit and Loss account </v>
          </cell>
        </row>
        <row r="575">
          <cell r="A575">
            <v>301009</v>
          </cell>
          <cell r="B575" t="str">
            <v>Ind AS impact - Res. &amp; Surplus</v>
          </cell>
        </row>
        <row r="576">
          <cell r="A576">
            <v>300210</v>
          </cell>
          <cell r="B576" t="str">
            <v>Retained Earnings</v>
          </cell>
        </row>
        <row r="577">
          <cell r="A577">
            <v>300211</v>
          </cell>
          <cell r="B577" t="str">
            <v>Special Economic Zone Re-Investment Allowance Reserve Account</v>
          </cell>
        </row>
        <row r="578">
          <cell r="A578">
            <v>301003</v>
          </cell>
          <cell r="B578" t="str">
            <v>Profit and Loss account for the current period</v>
          </cell>
        </row>
        <row r="579">
          <cell r="A579">
            <v>301004</v>
          </cell>
          <cell r="B579" t="str">
            <v>Accumulated and Other Comprehensive Income</v>
          </cell>
        </row>
        <row r="580">
          <cell r="A580">
            <v>301005</v>
          </cell>
          <cell r="B580" t="str">
            <v>Dividend Account</v>
          </cell>
        </row>
        <row r="581">
          <cell r="A581">
            <v>101005</v>
          </cell>
          <cell r="B581" t="str">
            <v>Regrouping - VR setoff with AR - AR</v>
          </cell>
        </row>
        <row r="582">
          <cell r="A582">
            <v>101015</v>
          </cell>
          <cell r="B582" t="str">
            <v>Regrouping - Account receivable - Internal</v>
          </cell>
        </row>
        <row r="583">
          <cell r="A583">
            <v>101010</v>
          </cell>
          <cell r="B583" t="str">
            <v>Regrouping - Account receivable - Internal</v>
          </cell>
        </row>
        <row r="584">
          <cell r="A584">
            <v>101070</v>
          </cell>
          <cell r="B584" t="str">
            <v>Regrouping - Accounts Receivable - Accrued - Internal</v>
          </cell>
        </row>
        <row r="585">
          <cell r="A585">
            <v>101075</v>
          </cell>
          <cell r="B585" t="str">
            <v>Regrouping - Accounts Receivable - Accrued - Internal</v>
          </cell>
        </row>
        <row r="586">
          <cell r="A586" t="str">
            <v>101300 - P</v>
          </cell>
          <cell r="B586" t="str">
            <v>Advance Inter Company</v>
          </cell>
        </row>
        <row r="587">
          <cell r="A587">
            <v>101355</v>
          </cell>
          <cell r="B587" t="str">
            <v>Regrouping - Advances - Internal</v>
          </cell>
        </row>
        <row r="588">
          <cell r="A588">
            <v>101350</v>
          </cell>
          <cell r="B588" t="str">
            <v>Regrouping - Advances - Internal</v>
          </cell>
        </row>
        <row r="589">
          <cell r="A589">
            <v>101362</v>
          </cell>
          <cell r="B589" t="str">
            <v>TDS Refund receivable</v>
          </cell>
        </row>
        <row r="590">
          <cell r="A590">
            <v>101840</v>
          </cell>
          <cell r="B590" t="str">
            <v>Regrouping - current - lease deposit</v>
          </cell>
        </row>
        <row r="591">
          <cell r="A591">
            <v>101845</v>
          </cell>
          <cell r="B591" t="str">
            <v>Regrouping - current - lease deposit</v>
          </cell>
        </row>
        <row r="592">
          <cell r="A592">
            <v>101847</v>
          </cell>
          <cell r="B592" t="str">
            <v>Regrouping - Lease deposits - Internal</v>
          </cell>
        </row>
        <row r="593">
          <cell r="A593">
            <v>101846</v>
          </cell>
          <cell r="B593" t="str">
            <v>Regrouping - Lease deposits - Internal</v>
          </cell>
        </row>
        <row r="594">
          <cell r="A594">
            <v>110545</v>
          </cell>
          <cell r="B594" t="str">
            <v>Regrouping - Pref share Application Money</v>
          </cell>
        </row>
        <row r="595">
          <cell r="A595">
            <v>101781</v>
          </cell>
          <cell r="B595" t="str">
            <v>Regrouping - Pref share Application Money</v>
          </cell>
        </row>
        <row r="596">
          <cell r="A596">
            <v>200050</v>
          </cell>
          <cell r="B596" t="str">
            <v>Regrouping - Account payable - Internal</v>
          </cell>
        </row>
        <row r="597">
          <cell r="A597">
            <v>200040</v>
          </cell>
          <cell r="B597" t="str">
            <v>Regrouping - Account payable - Internal</v>
          </cell>
        </row>
        <row r="598">
          <cell r="A598">
            <v>201095</v>
          </cell>
          <cell r="B598" t="str">
            <v>Regrouping - Non current - gratuity</v>
          </cell>
        </row>
        <row r="599">
          <cell r="A599">
            <v>205035</v>
          </cell>
          <cell r="B599" t="str">
            <v>Regrouping - VR setoff with AR - accrued expense</v>
          </cell>
        </row>
        <row r="600">
          <cell r="A600">
            <v>205055</v>
          </cell>
          <cell r="B600" t="str">
            <v>Regrouping - Non current - deferred lease equalisation</v>
          </cell>
        </row>
        <row r="601">
          <cell r="A601">
            <v>205065</v>
          </cell>
          <cell r="B601" t="str">
            <v>Regrouping - current - capital lease</v>
          </cell>
        </row>
        <row r="602">
          <cell r="A602">
            <v>205096</v>
          </cell>
          <cell r="B602" t="str">
            <v>Regrouping - current - capital lease</v>
          </cell>
        </row>
        <row r="603">
          <cell r="A603">
            <v>205097</v>
          </cell>
          <cell r="B603" t="str">
            <v>Regrouping - Non current - gratuity</v>
          </cell>
        </row>
        <row r="604">
          <cell r="A604">
            <v>205098</v>
          </cell>
          <cell r="B604" t="str">
            <v>Regrouping - Non current - deferred lease equalisation</v>
          </cell>
        </row>
        <row r="605">
          <cell r="A605">
            <v>301006</v>
          </cell>
          <cell r="B605" t="str">
            <v>Dividend Distribtion Tax A/c</v>
          </cell>
        </row>
        <row r="606">
          <cell r="A606">
            <v>301007</v>
          </cell>
          <cell r="B606" t="str">
            <v>Accumulated and Other Comprehensive Income - investmetn</v>
          </cell>
        </row>
        <row r="607">
          <cell r="A607">
            <v>301008</v>
          </cell>
          <cell r="B607" t="str">
            <v>Accumulated and Other Comprehensive Income - Gratuity</v>
          </cell>
        </row>
        <row r="608">
          <cell r="A608">
            <v>888913</v>
          </cell>
          <cell r="B608" t="str">
            <v>Regrouping-Other deposits to Non Current</v>
          </cell>
        </row>
        <row r="609">
          <cell r="A609">
            <v>888914</v>
          </cell>
          <cell r="B609" t="str">
            <v>Regrouping-Other deposits to Non Current</v>
          </cell>
        </row>
        <row r="610">
          <cell r="A610">
            <v>100512</v>
          </cell>
          <cell r="B610" t="str">
            <v>Bank of India-Dividend Account</v>
          </cell>
        </row>
        <row r="611">
          <cell r="A611">
            <v>100544</v>
          </cell>
          <cell r="B611" t="str">
            <v>IDBI Mutual Fund</v>
          </cell>
        </row>
        <row r="612">
          <cell r="A612">
            <v>110511</v>
          </cell>
          <cell r="B612" t="str">
            <v>Investment in Trizetto Syntel</v>
          </cell>
        </row>
        <row r="613">
          <cell r="A613">
            <v>110596</v>
          </cell>
          <cell r="B613" t="str">
            <v>TSSPL Pref. Share 3%</v>
          </cell>
        </row>
        <row r="614">
          <cell r="A614">
            <v>101873</v>
          </cell>
          <cell r="B614" t="str">
            <v>Deferred lease expense (IndAS)</v>
          </cell>
        </row>
        <row r="615">
          <cell r="A615">
            <v>710102</v>
          </cell>
          <cell r="B615" t="str">
            <v>Deferred Lease Income</v>
          </cell>
        </row>
        <row r="616">
          <cell r="A616">
            <v>300018</v>
          </cell>
          <cell r="B616" t="str">
            <v>Capital Redemption Reserve</v>
          </cell>
        </row>
        <row r="617">
          <cell r="A617">
            <v>300212</v>
          </cell>
          <cell r="B617" t="str">
            <v>Buy Back Tax</v>
          </cell>
        </row>
        <row r="618">
          <cell r="A618">
            <v>110049</v>
          </cell>
          <cell r="B618" t="str">
            <v>ROU of Lease Assets</v>
          </cell>
        </row>
        <row r="619">
          <cell r="A619">
            <v>110156</v>
          </cell>
          <cell r="B619" t="str">
            <v>Acc Dep right of use Lease</v>
          </cell>
        </row>
        <row r="620">
          <cell r="A620">
            <v>240236</v>
          </cell>
          <cell r="B620" t="str">
            <v>Lease Liability</v>
          </cell>
        </row>
        <row r="621">
          <cell r="A621">
            <v>240237</v>
          </cell>
          <cell r="B621" t="str">
            <v>Regrp of Lease Liabil</v>
          </cell>
        </row>
        <row r="622">
          <cell r="A622">
            <v>205094</v>
          </cell>
          <cell r="B622" t="str">
            <v>Regrp of Lease Liabil</v>
          </cell>
        </row>
        <row r="624">
          <cell r="A624" t="str">
            <v>101300 - N</v>
          </cell>
          <cell r="B624" t="str">
            <v>CAPITAL SUBSCRIBED - CALLED AND PAID</v>
          </cell>
        </row>
        <row r="625">
          <cell r="A625">
            <v>106810</v>
          </cell>
          <cell r="B625" t="str">
            <v>OTHER RESERVES 4</v>
          </cell>
        </row>
        <row r="626">
          <cell r="A626">
            <v>106960</v>
          </cell>
          <cell r="B626" t="str">
            <v>Stat, Of Recognized Income and Expense</v>
          </cell>
        </row>
        <row r="627">
          <cell r="A627">
            <v>110000</v>
          </cell>
          <cell r="B627" t="str">
            <v>RETAINED EARNINGS</v>
          </cell>
        </row>
        <row r="628">
          <cell r="A628">
            <v>155000</v>
          </cell>
          <cell r="B628" t="str">
            <v>DEFERRED TAX LIABILITY</v>
          </cell>
        </row>
        <row r="629">
          <cell r="A629">
            <v>159200</v>
          </cell>
          <cell r="B629" t="str">
            <v>Unfunded post employment DB plans</v>
          </cell>
        </row>
        <row r="630">
          <cell r="A630">
            <v>159300</v>
          </cell>
          <cell r="B630" t="str">
            <v>Other long term DB plans</v>
          </cell>
        </row>
        <row r="631">
          <cell r="A631">
            <v>167211</v>
          </cell>
          <cell r="B631" t="str">
            <v>Lease liability Real estate</v>
          </cell>
        </row>
        <row r="632">
          <cell r="A632">
            <v>168100</v>
          </cell>
          <cell r="B632" t="str">
            <v>SUNDRY BORROWINGS</v>
          </cell>
        </row>
        <row r="633">
          <cell r="A633">
            <v>205000</v>
          </cell>
          <cell r="B633" t="str">
            <v>SOFTWARE</v>
          </cell>
        </row>
        <row r="634">
          <cell r="A634">
            <v>215500</v>
          </cell>
          <cell r="B634" t="str">
            <v>Personal Computers</v>
          </cell>
        </row>
        <row r="635">
          <cell r="A635">
            <v>217000</v>
          </cell>
          <cell r="B635" t="str">
            <v>Right of use real estate</v>
          </cell>
        </row>
        <row r="636">
          <cell r="A636">
            <v>219000</v>
          </cell>
          <cell r="B636" t="str">
            <v>OTHER TANGIBLE FIXED ASSETS</v>
          </cell>
        </row>
        <row r="637">
          <cell r="A637">
            <v>275000</v>
          </cell>
          <cell r="B637" t="str">
            <v>DEPOSITS AND SURETIES PAID</v>
          </cell>
        </row>
        <row r="638">
          <cell r="A638">
            <v>276840</v>
          </cell>
          <cell r="B638" t="str">
            <v>ACCRUED INTEREST / LOANS</v>
          </cell>
        </row>
        <row r="639">
          <cell r="A639">
            <v>280500</v>
          </cell>
          <cell r="B639" t="str">
            <v>DEPRECIATION - SOFTWARE</v>
          </cell>
        </row>
        <row r="640">
          <cell r="A640">
            <v>281550</v>
          </cell>
          <cell r="B640" t="str">
            <v>Depreciation - Personal Computers</v>
          </cell>
        </row>
        <row r="641">
          <cell r="A641">
            <v>281700</v>
          </cell>
          <cell r="B641" t="str">
            <v>Depreciation right of use real estate</v>
          </cell>
        </row>
        <row r="642">
          <cell r="A642">
            <v>281900</v>
          </cell>
          <cell r="B642" t="str">
            <v>DEPRECIATION - OTHER TANGIBLE FIXED ASS</v>
          </cell>
        </row>
        <row r="643">
          <cell r="A643">
            <v>401100</v>
          </cell>
          <cell r="B643" t="str">
            <v>TRADE PAYABLES - DOMESTIC</v>
          </cell>
        </row>
        <row r="644">
          <cell r="A644">
            <v>401450</v>
          </cell>
          <cell r="B644" t="str">
            <v>TRADE PAYABLES - FOREIGN</v>
          </cell>
        </row>
        <row r="645">
          <cell r="A645">
            <v>401500</v>
          </cell>
          <cell r="B645" t="str">
            <v>TRADE PAYABLES - DOMESTIC</v>
          </cell>
        </row>
        <row r="646">
          <cell r="A646">
            <v>401998</v>
          </cell>
          <cell r="B646" t="str">
            <v>TRADE PAYABLES - FOREIGN CURRENCY REVAL</v>
          </cell>
        </row>
        <row r="647">
          <cell r="A647">
            <v>408120</v>
          </cell>
          <cell r="B647" t="str">
            <v>TRADE PAYABLES - COSTS ACCRUALS SPECIFI</v>
          </cell>
        </row>
        <row r="648">
          <cell r="A648">
            <v>408151</v>
          </cell>
          <cell r="B648" t="str">
            <v>Outstanding Liabilities</v>
          </cell>
        </row>
        <row r="649">
          <cell r="A649">
            <v>408500</v>
          </cell>
          <cell r="B649" t="str">
            <v>TRADE CREDITORS - PURCH. INV. ACCRUALS</v>
          </cell>
        </row>
        <row r="650">
          <cell r="A650">
            <v>411450</v>
          </cell>
          <cell r="B650" t="str">
            <v>TRADE RECEIVABLES - FOREIGN</v>
          </cell>
        </row>
        <row r="651">
          <cell r="A651">
            <v>411500</v>
          </cell>
          <cell r="B651" t="str">
            <v>TRADE RECEIVABLES - DOMESTIC</v>
          </cell>
        </row>
        <row r="652">
          <cell r="A652">
            <v>411700</v>
          </cell>
          <cell r="B652" t="str">
            <v>TRADE DEBTORS - GUARANTEE RETENTIONS</v>
          </cell>
        </row>
        <row r="653">
          <cell r="A653">
            <v>418150</v>
          </cell>
          <cell r="B653" t="str">
            <v>TRADE DEBTORS - SALES INVOICE ACCRUALS</v>
          </cell>
        </row>
        <row r="654">
          <cell r="A654">
            <v>425000</v>
          </cell>
          <cell r="B654" t="str">
            <v>ADVANCES ON SALARIES</v>
          </cell>
        </row>
        <row r="655">
          <cell r="A655">
            <v>425004</v>
          </cell>
          <cell r="B655" t="str">
            <v>Empl Personal Loan</v>
          </cell>
        </row>
        <row r="656">
          <cell r="A656">
            <v>427100</v>
          </cell>
          <cell r="B656" t="str">
            <v>Payroll Clearing Account</v>
          </cell>
        </row>
        <row r="657">
          <cell r="A657">
            <v>427101</v>
          </cell>
          <cell r="B657" t="str">
            <v>Net Salary Payable</v>
          </cell>
        </row>
        <row r="658">
          <cell r="A658">
            <v>427103</v>
          </cell>
          <cell r="B658" t="str">
            <v>Provision - LTA</v>
          </cell>
        </row>
        <row r="659">
          <cell r="A659">
            <v>428200</v>
          </cell>
          <cell r="B659" t="str">
            <v>PROVISION - PAID HOLIDAYS</v>
          </cell>
        </row>
        <row r="660">
          <cell r="A660">
            <v>428400</v>
          </cell>
          <cell r="B660" t="str">
            <v>PROVISION - EMPLOYEE PROFIT-SHARING</v>
          </cell>
        </row>
        <row r="661">
          <cell r="A661">
            <v>428610</v>
          </cell>
          <cell r="B661" t="str">
            <v>ACCRUED EXPENSES - YEAR-END BONUS</v>
          </cell>
        </row>
        <row r="662">
          <cell r="A662">
            <v>428616</v>
          </cell>
          <cell r="B662" t="str">
            <v>ACCRUED EXPENSES - PROV. OBJECTIVES BON</v>
          </cell>
        </row>
        <row r="663">
          <cell r="A663">
            <v>437200</v>
          </cell>
          <cell r="B663" t="str">
            <v>WELFARE INSTITUTIONS</v>
          </cell>
        </row>
        <row r="664">
          <cell r="A664">
            <v>437407</v>
          </cell>
          <cell r="B664" t="str">
            <v>TDS - Rent</v>
          </cell>
        </row>
        <row r="665">
          <cell r="A665">
            <v>437408</v>
          </cell>
          <cell r="B665" t="str">
            <v>TDS - Professional Fees</v>
          </cell>
        </row>
        <row r="666">
          <cell r="A666">
            <v>437409</v>
          </cell>
          <cell r="B666" t="str">
            <v>TDS - Foreign Payments</v>
          </cell>
        </row>
        <row r="667">
          <cell r="A667">
            <v>437425</v>
          </cell>
          <cell r="B667" t="str">
            <v>Emp PF Pension Payable</v>
          </cell>
        </row>
        <row r="668">
          <cell r="A668">
            <v>437427</v>
          </cell>
          <cell r="B668" t="str">
            <v>Lab Welfare Fund Payable</v>
          </cell>
        </row>
        <row r="669">
          <cell r="A669">
            <v>437522</v>
          </cell>
          <cell r="B669" t="str">
            <v>Emp Prof. Tax Payable</v>
          </cell>
        </row>
        <row r="670">
          <cell r="A670">
            <v>438666</v>
          </cell>
          <cell r="B670" t="str">
            <v>INCOME TAXES ON SALARIES</v>
          </cell>
        </row>
        <row r="671">
          <cell r="A671">
            <v>444000</v>
          </cell>
          <cell r="B671" t="str">
            <v>Corporate Income Tax and Accrued Income</v>
          </cell>
        </row>
        <row r="672">
          <cell r="A672">
            <v>444400</v>
          </cell>
          <cell r="B672" t="str">
            <v>US federal income tax liability</v>
          </cell>
        </row>
        <row r="673">
          <cell r="A673">
            <v>444410</v>
          </cell>
          <cell r="B673" t="str">
            <v>US state income tax liability</v>
          </cell>
        </row>
        <row r="674">
          <cell r="A674">
            <v>444042</v>
          </cell>
          <cell r="B674" t="str">
            <v>Income tax - Monthly prepayment</v>
          </cell>
        </row>
        <row r="675">
          <cell r="A675">
            <v>444508</v>
          </cell>
          <cell r="B675" t="str">
            <v xml:space="preserve"> Adv Tax-Income 05</v>
          </cell>
        </row>
        <row r="676">
          <cell r="A676">
            <v>444550</v>
          </cell>
          <cell r="B676" t="str">
            <v>WCT TDS Recoverable-HPCL</v>
          </cell>
        </row>
        <row r="677">
          <cell r="A677">
            <v>444562</v>
          </cell>
          <cell r="B677" t="str">
            <v>Recl TDS-Income 12</v>
          </cell>
        </row>
        <row r="678">
          <cell r="A678">
            <v>444566</v>
          </cell>
          <cell r="B678" t="str">
            <v>Recl TDS-Income 1-16</v>
          </cell>
        </row>
        <row r="679">
          <cell r="A679">
            <v>445614</v>
          </cell>
          <cell r="B679" t="str">
            <v>Service Tax Recoverable - SEZ</v>
          </cell>
        </row>
        <row r="680">
          <cell r="A680">
            <v>445616</v>
          </cell>
          <cell r="B680" t="str">
            <v>VAT Recoverable-SEZ purchase</v>
          </cell>
        </row>
        <row r="681">
          <cell r="A681">
            <v>445780</v>
          </cell>
          <cell r="B681" t="str">
            <v>MAH. SEZ - IGST Payable</v>
          </cell>
        </row>
        <row r="682">
          <cell r="A682">
            <v>445882</v>
          </cell>
          <cell r="B682" t="str">
            <v>SERVICE TAX INPUT CREDIT AVAILED</v>
          </cell>
        </row>
        <row r="683">
          <cell r="A683">
            <v>445885</v>
          </cell>
          <cell r="B683" t="str">
            <v>Service Tax Input Credit - Swachh Bharat Cess</v>
          </cell>
        </row>
        <row r="684">
          <cell r="A684">
            <v>445886</v>
          </cell>
          <cell r="B684" t="str">
            <v>Service Tax Payable - Swachh Bharat Cess</v>
          </cell>
        </row>
        <row r="685">
          <cell r="A685">
            <v>445888</v>
          </cell>
          <cell r="B685" t="str">
            <v>Krishi Kalyan Cess of 0.5% ST Payable</v>
          </cell>
        </row>
        <row r="686">
          <cell r="A686">
            <v>445891</v>
          </cell>
          <cell r="B686" t="str">
            <v>Input IGST Availed</v>
          </cell>
        </row>
        <row r="687">
          <cell r="A687">
            <v>445916</v>
          </cell>
          <cell r="B687" t="str">
            <v>Service Tax Payable</v>
          </cell>
        </row>
        <row r="688">
          <cell r="A688">
            <v>445960</v>
          </cell>
          <cell r="B688" t="str">
            <v>MAH. SEZ - CGST Recoverable</v>
          </cell>
        </row>
        <row r="689">
          <cell r="A689">
            <v>445970</v>
          </cell>
          <cell r="B689" t="str">
            <v>MAH. SEZ - SGST Recoverable</v>
          </cell>
        </row>
        <row r="690">
          <cell r="A690">
            <v>445980</v>
          </cell>
          <cell r="B690" t="str">
            <v>MAH. SEZ - IGST Recoverable</v>
          </cell>
        </row>
        <row r="691">
          <cell r="A691">
            <v>451099</v>
          </cell>
          <cell r="B691" t="str">
            <v>C/A Atos Syntel Inc. (US)</v>
          </cell>
        </row>
        <row r="692">
          <cell r="A692">
            <v>451115</v>
          </cell>
          <cell r="B692" t="str">
            <v>C/A Syntel Pvt Ltd</v>
          </cell>
        </row>
        <row r="693">
          <cell r="A693">
            <v>451998</v>
          </cell>
          <cell r="B693" t="str">
            <v>Current Accounts Foreign Curr revaluati</v>
          </cell>
        </row>
        <row r="694">
          <cell r="A694">
            <v>457000</v>
          </cell>
          <cell r="B694" t="str">
            <v>DIVIDENDS TO BE PAID</v>
          </cell>
        </row>
        <row r="695">
          <cell r="A695">
            <v>467010</v>
          </cell>
          <cell r="B695" t="str">
            <v>OTHER ACCOUNTS IN DEBIT</v>
          </cell>
        </row>
        <row r="696">
          <cell r="A696">
            <v>467100</v>
          </cell>
          <cell r="B696" t="str">
            <v>OTHER ACCOUNTS IN CREDIT</v>
          </cell>
        </row>
        <row r="697">
          <cell r="A697">
            <v>468701</v>
          </cell>
          <cell r="B697" t="str">
            <v>General Deposits</v>
          </cell>
        </row>
        <row r="698">
          <cell r="A698">
            <v>481100</v>
          </cell>
          <cell r="B698" t="str">
            <v>DEFERRED CHARGES</v>
          </cell>
        </row>
        <row r="699">
          <cell r="A699">
            <v>486200</v>
          </cell>
          <cell r="B699" t="str">
            <v>Long term prepayment</v>
          </cell>
        </row>
        <row r="700">
          <cell r="A700">
            <v>488000</v>
          </cell>
          <cell r="B700" t="str">
            <v>DEFERRED TAX</v>
          </cell>
        </row>
        <row r="701">
          <cell r="A701">
            <v>488010</v>
          </cell>
          <cell r="B701" t="str">
            <v>Deferred tax asset - Valuation allowanc</v>
          </cell>
        </row>
        <row r="702">
          <cell r="A702">
            <v>488120</v>
          </cell>
          <cell r="B702" t="str">
            <v>Deferred Tax - Mininumum alternate tax</v>
          </cell>
        </row>
        <row r="703">
          <cell r="A703">
            <v>409100</v>
          </cell>
          <cell r="B703" t="str">
            <v>DOWN PAYMENTS TO EXTERNAL VENDORS</v>
          </cell>
        </row>
        <row r="704">
          <cell r="A704">
            <v>496700</v>
          </cell>
          <cell r="B704" t="str">
            <v>PROVISION - SUNDRY DEBTORS</v>
          </cell>
        </row>
        <row r="705">
          <cell r="A705">
            <v>508200</v>
          </cell>
          <cell r="B705" t="str">
            <v>Bank Deposit</v>
          </cell>
        </row>
        <row r="706">
          <cell r="A706">
            <v>508226</v>
          </cell>
          <cell r="B706" t="str">
            <v>JPMC Bank FD Account</v>
          </cell>
        </row>
        <row r="707">
          <cell r="A707">
            <v>508227</v>
          </cell>
          <cell r="B707" t="str">
            <v>JPMC Bank Flexi FD Account</v>
          </cell>
        </row>
        <row r="708">
          <cell r="A708">
            <v>511998</v>
          </cell>
          <cell r="B708" t="str">
            <v>SUNDRY EXPENSES CDN TIME DEPOSITS</v>
          </cell>
        </row>
        <row r="709">
          <cell r="A709">
            <v>5120276</v>
          </cell>
          <cell r="B709" t="str">
            <v>JPMorgan USD</v>
          </cell>
        </row>
        <row r="710">
          <cell r="A710">
            <v>5890000</v>
          </cell>
          <cell r="B710" t="str">
            <v>EBS transit account</v>
          </cell>
        </row>
        <row r="711">
          <cell r="A711">
            <v>51120215</v>
          </cell>
          <cell r="B711" t="str">
            <v>J. P. Morgan Chase Bank N.A.-INR-Rcpt</v>
          </cell>
        </row>
        <row r="712">
          <cell r="A712">
            <v>51120216</v>
          </cell>
          <cell r="B712" t="str">
            <v>J. P. Morgan Chase Bank N.A.-INR-Rcpt</v>
          </cell>
        </row>
        <row r="713">
          <cell r="A713">
            <v>51120217</v>
          </cell>
          <cell r="B713" t="str">
            <v>J. P. Morgan Chase Bank N.A.-INR-Rcpt</v>
          </cell>
        </row>
        <row r="714">
          <cell r="A714">
            <v>51150215</v>
          </cell>
          <cell r="B714" t="str">
            <v>J. P. Morgan Chase Bank N.A.-INR-Pymt</v>
          </cell>
        </row>
        <row r="715">
          <cell r="A715">
            <v>51150216</v>
          </cell>
          <cell r="B715" t="str">
            <v>J. P. Morgan Chase Bank N.A.-INR-Pymt</v>
          </cell>
        </row>
        <row r="716">
          <cell r="A716">
            <v>51150217</v>
          </cell>
          <cell r="B716" t="str">
            <v>J. P. Morgan Chase Bank N.A.-INR-Pymt</v>
          </cell>
        </row>
        <row r="717">
          <cell r="A717">
            <v>51200208</v>
          </cell>
          <cell r="B717" t="str">
            <v>Bank Of India-INR-Main</v>
          </cell>
        </row>
        <row r="718">
          <cell r="A718">
            <v>51200215</v>
          </cell>
          <cell r="B718" t="str">
            <v>J. P. Morgan Chase Bank N.A.-INR-Main</v>
          </cell>
        </row>
        <row r="719">
          <cell r="A719">
            <v>51200217</v>
          </cell>
          <cell r="B719" t="str">
            <v>J. P. Morgan Chase Bank N.A.-INR-Main</v>
          </cell>
        </row>
        <row r="720">
          <cell r="A720">
            <v>411998</v>
          </cell>
          <cell r="B720" t="str">
            <v>Debtorss - Foreign Curr Revaluation Account</v>
          </cell>
        </row>
        <row r="721">
          <cell r="A721">
            <v>428650</v>
          </cell>
          <cell r="B721" t="str">
            <v>OTHER ACCRUED EXPENSES</v>
          </cell>
        </row>
        <row r="722">
          <cell r="A722">
            <v>1013001</v>
          </cell>
          <cell r="B722" t="str">
            <v>CAPITAL SUBSCRIBED - CALLED AND PAID</v>
          </cell>
        </row>
        <row r="723">
          <cell r="A723">
            <v>4014500</v>
          </cell>
          <cell r="B723" t="str">
            <v>interco foreign Vendors</v>
          </cell>
        </row>
        <row r="724">
          <cell r="A724">
            <v>4015000</v>
          </cell>
          <cell r="B724" t="str">
            <v>TRADE CREDITORS - GOODS AND SERVICES GROUP</v>
          </cell>
        </row>
        <row r="725">
          <cell r="A725">
            <v>4081510</v>
          </cell>
          <cell r="B725" t="str">
            <v>Outstanding Liabilities</v>
          </cell>
        </row>
        <row r="726">
          <cell r="A726">
            <v>4085000</v>
          </cell>
          <cell r="B726" t="str">
            <v>TRADE CREDITORS - PURCH. INV. ACCRUALS GROUP</v>
          </cell>
        </row>
        <row r="727">
          <cell r="A727">
            <v>4115000</v>
          </cell>
          <cell r="B727" t="str">
            <v>TRADE DEBTORS GROUP</v>
          </cell>
        </row>
        <row r="728">
          <cell r="A728">
            <v>4181500</v>
          </cell>
          <cell r="B728" t="str">
            <v>WIP: travel costs</v>
          </cell>
        </row>
        <row r="729">
          <cell r="A729">
            <v>4210100</v>
          </cell>
          <cell r="B729" t="str">
            <v>Salary payables - regularization</v>
          </cell>
        </row>
        <row r="730">
          <cell r="A730">
            <v>4286100</v>
          </cell>
          <cell r="B730" t="str">
            <v>ACCRUED EXPENSES - YEAR-END BONUS</v>
          </cell>
        </row>
        <row r="731">
          <cell r="A731">
            <v>4372000</v>
          </cell>
          <cell r="B731" t="str">
            <v>WELFARE INSTITUTIONS</v>
          </cell>
        </row>
        <row r="732">
          <cell r="A732">
            <v>4373000</v>
          </cell>
          <cell r="B732" t="str">
            <v>PENSION FUNDS</v>
          </cell>
        </row>
        <row r="733">
          <cell r="A733">
            <v>4374070</v>
          </cell>
          <cell r="B733" t="str">
            <v>TDS - Rent</v>
          </cell>
        </row>
        <row r="734">
          <cell r="A734">
            <v>4374080</v>
          </cell>
          <cell r="B734" t="str">
            <v>TDS - Professional Fees</v>
          </cell>
        </row>
        <row r="735">
          <cell r="A735">
            <v>4386660</v>
          </cell>
          <cell r="B735" t="str">
            <v>INCOME TAXES ON SALARIES</v>
          </cell>
        </row>
        <row r="736">
          <cell r="A736">
            <v>4510000</v>
          </cell>
          <cell r="B736" t="str">
            <v>Current Account</v>
          </cell>
        </row>
        <row r="737">
          <cell r="A737">
            <v>4550000</v>
          </cell>
          <cell r="B737" t="str">
            <v>Intercompany current accounts liabilities</v>
          </cell>
        </row>
        <row r="738">
          <cell r="A738">
            <v>4880000</v>
          </cell>
          <cell r="B738" t="str">
            <v>DEFERRED TAX</v>
          </cell>
        </row>
        <row r="739">
          <cell r="A739">
            <v>4459160</v>
          </cell>
          <cell r="B739" t="str">
            <v>STAMP DUTY PAYABLE</v>
          </cell>
        </row>
        <row r="740">
          <cell r="A740">
            <v>4458700</v>
          </cell>
          <cell r="B740" t="str">
            <v>VAT Provision Account</v>
          </cell>
        </row>
        <row r="742">
          <cell r="A742">
            <v>400010</v>
          </cell>
          <cell r="B742" t="str">
            <v>Onsite/Offsite Revenues</v>
          </cell>
        </row>
        <row r="743">
          <cell r="A743">
            <v>400020</v>
          </cell>
          <cell r="B743" t="str">
            <v>Revenue Adjustments</v>
          </cell>
        </row>
        <row r="744">
          <cell r="A744">
            <v>400021</v>
          </cell>
          <cell r="B744" t="str">
            <v>Local Sales - India</v>
          </cell>
        </row>
        <row r="745">
          <cell r="A745">
            <v>400030</v>
          </cell>
          <cell r="B745" t="str">
            <v>Offshore Revenue</v>
          </cell>
        </row>
        <row r="746">
          <cell r="A746">
            <v>400040</v>
          </cell>
          <cell r="B746" t="str">
            <v>Domestic Direct Revenue</v>
          </cell>
        </row>
        <row r="747">
          <cell r="A747">
            <v>400050</v>
          </cell>
          <cell r="B747" t="str">
            <v>Reimbursement of Expenses-REVE</v>
          </cell>
        </row>
        <row r="748">
          <cell r="A748">
            <v>400060</v>
          </cell>
          <cell r="B748" t="str">
            <v>Sales Incentives</v>
          </cell>
        </row>
        <row r="749">
          <cell r="A749">
            <v>400061</v>
          </cell>
          <cell r="B749" t="str">
            <v>Volume Discount/Rebates</v>
          </cell>
        </row>
        <row r="750">
          <cell r="A750">
            <v>400070</v>
          </cell>
          <cell r="B750" t="str">
            <v>Exchange Gain / Loss</v>
          </cell>
        </row>
        <row r="751">
          <cell r="A751">
            <v>400071</v>
          </cell>
          <cell r="B751" t="str">
            <v>Exch Gain / Loss (Actual)</v>
          </cell>
        </row>
        <row r="752">
          <cell r="A752">
            <v>400072</v>
          </cell>
          <cell r="B752" t="str">
            <v>Rounding Suspense Account</v>
          </cell>
        </row>
        <row r="753">
          <cell r="A753">
            <v>400073</v>
          </cell>
          <cell r="B753" t="str">
            <v>Exchange Gain/Loss Derivatives</v>
          </cell>
        </row>
        <row r="754">
          <cell r="A754">
            <v>400074</v>
          </cell>
          <cell r="B754" t="str">
            <v>Exch Gain / Loss-Inter com</v>
          </cell>
        </row>
        <row r="755">
          <cell r="A755">
            <v>400075</v>
          </cell>
          <cell r="B755" t="str">
            <v>Exch Gain/Loss(Act)-Inter com</v>
          </cell>
        </row>
        <row r="756">
          <cell r="A756">
            <v>400110</v>
          </cell>
          <cell r="B756" t="str">
            <v>Inter Unit Onsite/Offsite Reve</v>
          </cell>
        </row>
        <row r="757">
          <cell r="A757">
            <v>400130</v>
          </cell>
          <cell r="B757" t="str">
            <v>Inter Unit Offshore Revenue</v>
          </cell>
        </row>
        <row r="758">
          <cell r="A758">
            <v>400140</v>
          </cell>
          <cell r="B758" t="str">
            <v>Finder Fees - Inter company</v>
          </cell>
        </row>
        <row r="759">
          <cell r="A759">
            <v>400141</v>
          </cell>
          <cell r="B759" t="str">
            <v>Finder Fee-InterCompany Domes</v>
          </cell>
        </row>
        <row r="760">
          <cell r="A760">
            <v>500010</v>
          </cell>
          <cell r="B760" t="str">
            <v>Payroll - Corporate</v>
          </cell>
        </row>
        <row r="761">
          <cell r="A761">
            <v>500015</v>
          </cell>
          <cell r="B761" t="str">
            <v>Payroll - Consultants</v>
          </cell>
        </row>
        <row r="762">
          <cell r="A762">
            <v>500020</v>
          </cell>
          <cell r="B762" t="str">
            <v>City Allowance</v>
          </cell>
        </row>
        <row r="763">
          <cell r="A763">
            <v>500025</v>
          </cell>
          <cell r="B763" t="str">
            <v>Payroll - Vacation</v>
          </cell>
        </row>
        <row r="764">
          <cell r="A764">
            <v>500026</v>
          </cell>
          <cell r="B764" t="str">
            <v>Payroll - Cost Deferral</v>
          </cell>
        </row>
        <row r="765">
          <cell r="A765">
            <v>500030</v>
          </cell>
          <cell r="B765" t="str">
            <v>Payroll - Retro Payments</v>
          </cell>
        </row>
        <row r="766">
          <cell r="A766">
            <v>500035</v>
          </cell>
          <cell r="B766" t="str">
            <v>Payroll - Restricted Stock</v>
          </cell>
        </row>
        <row r="767">
          <cell r="A767">
            <v>500036</v>
          </cell>
          <cell r="B767" t="str">
            <v>FAS 123R expenses</v>
          </cell>
        </row>
        <row r="768">
          <cell r="A768">
            <v>500040</v>
          </cell>
          <cell r="B768" t="str">
            <v>Payroll - Overtime</v>
          </cell>
        </row>
        <row r="769">
          <cell r="A769">
            <v>500060</v>
          </cell>
          <cell r="B769" t="str">
            <v>Payroll - Misc Bonuses</v>
          </cell>
        </row>
        <row r="770">
          <cell r="A770">
            <v>500065</v>
          </cell>
          <cell r="B770" t="str">
            <v>Payroll - Management Bonuses</v>
          </cell>
        </row>
        <row r="771">
          <cell r="A771">
            <v>500071</v>
          </cell>
          <cell r="B771" t="str">
            <v>Payroll - E.S.I.C. - Co. Cont.</v>
          </cell>
        </row>
        <row r="772">
          <cell r="A772">
            <v>500072</v>
          </cell>
          <cell r="B772" t="str">
            <v>Payroll - F P F - Co Cont.</v>
          </cell>
        </row>
        <row r="773">
          <cell r="A773">
            <v>500073</v>
          </cell>
          <cell r="B773" t="str">
            <v>Payroll - M L W F - Co. Cont.</v>
          </cell>
        </row>
        <row r="774">
          <cell r="A774">
            <v>500074</v>
          </cell>
          <cell r="B774" t="str">
            <v>Payroll - C L W F - Co. Cont.</v>
          </cell>
        </row>
        <row r="775">
          <cell r="A775">
            <v>500075</v>
          </cell>
          <cell r="B775" t="str">
            <v>Payroll - P F Admin. Charges</v>
          </cell>
        </row>
        <row r="776">
          <cell r="A776">
            <v>500076</v>
          </cell>
          <cell r="B776" t="str">
            <v>Payroll - P F - Co Contribution</v>
          </cell>
        </row>
        <row r="777">
          <cell r="A777">
            <v>500077</v>
          </cell>
          <cell r="B777" t="str">
            <v>Payroll - Recovered</v>
          </cell>
        </row>
        <row r="778">
          <cell r="A778">
            <v>500078</v>
          </cell>
          <cell r="B778" t="str">
            <v>Payroll - Notice Period Reimb.</v>
          </cell>
        </row>
        <row r="779">
          <cell r="A779">
            <v>500079</v>
          </cell>
          <cell r="B779" t="str">
            <v>Payroll - Notice Pay Recovery</v>
          </cell>
        </row>
        <row r="780">
          <cell r="A780">
            <v>500080</v>
          </cell>
          <cell r="B780" t="str">
            <v>Payroll - Encash. of Earned Leave</v>
          </cell>
        </row>
        <row r="781">
          <cell r="A781">
            <v>500081</v>
          </cell>
          <cell r="B781" t="str">
            <v>Payroll - Gratuity</v>
          </cell>
        </row>
        <row r="782">
          <cell r="A782">
            <v>500082</v>
          </cell>
          <cell r="B782" t="str">
            <v>Payroll - P.F. Allowance</v>
          </cell>
        </row>
        <row r="783">
          <cell r="A783">
            <v>500083</v>
          </cell>
          <cell r="B783" t="str">
            <v>Payroll - Salary &amp; Allowances</v>
          </cell>
        </row>
        <row r="784">
          <cell r="A784">
            <v>500084</v>
          </cell>
          <cell r="B784" t="str">
            <v>Payroll - Med. &amp; Trans. Allow.</v>
          </cell>
        </row>
        <row r="785">
          <cell r="A785">
            <v>500085</v>
          </cell>
          <cell r="B785" t="str">
            <v>Payroll - Special Allowance</v>
          </cell>
        </row>
        <row r="786">
          <cell r="A786">
            <v>500086</v>
          </cell>
          <cell r="B786" t="str">
            <v>Payroll - House Rent Allowance</v>
          </cell>
        </row>
        <row r="787">
          <cell r="A787">
            <v>500087</v>
          </cell>
          <cell r="B787" t="str">
            <v>Payroll - Incentives</v>
          </cell>
        </row>
        <row r="788">
          <cell r="A788">
            <v>500088</v>
          </cell>
          <cell r="B788" t="str">
            <v>Payroll - Leave Travel Allowance</v>
          </cell>
        </row>
        <row r="789">
          <cell r="A789">
            <v>500089</v>
          </cell>
          <cell r="B789" t="str">
            <v>Payroll - EDLIS</v>
          </cell>
        </row>
        <row r="790">
          <cell r="A790">
            <v>500090</v>
          </cell>
          <cell r="B790" t="str">
            <v>Payroll - Other Payments</v>
          </cell>
        </row>
        <row r="791">
          <cell r="A791">
            <v>500091</v>
          </cell>
          <cell r="B791" t="str">
            <v>Payroll - Technical Allowances</v>
          </cell>
        </row>
        <row r="792">
          <cell r="A792">
            <v>500092</v>
          </cell>
          <cell r="B792" t="str">
            <v>Payroll - Bond Recovery</v>
          </cell>
        </row>
        <row r="793">
          <cell r="A793">
            <v>500093</v>
          </cell>
          <cell r="B793" t="str">
            <v>Payroll - Transport A</v>
          </cell>
        </row>
        <row r="794">
          <cell r="A794">
            <v>500094</v>
          </cell>
          <cell r="B794" t="str">
            <v>Payroll - Meal Alloawnce</v>
          </cell>
        </row>
        <row r="795">
          <cell r="A795">
            <v>500100</v>
          </cell>
          <cell r="B795" t="str">
            <v>Payroll - Troy</v>
          </cell>
        </row>
        <row r="796">
          <cell r="A796">
            <v>500101</v>
          </cell>
          <cell r="B796" t="str">
            <v>Payroll - Bonus Leadership</v>
          </cell>
        </row>
        <row r="797">
          <cell r="A797">
            <v>500102</v>
          </cell>
          <cell r="B797" t="str">
            <v>Payroll - Bonus Vertical Team</v>
          </cell>
        </row>
        <row r="798">
          <cell r="A798">
            <v>500103</v>
          </cell>
          <cell r="B798" t="str">
            <v>Payroll - Bonus Practice Team</v>
          </cell>
        </row>
        <row r="799">
          <cell r="A799">
            <v>500104</v>
          </cell>
          <cell r="B799" t="str">
            <v>Payroll - Bonus Engagement Mgr</v>
          </cell>
        </row>
        <row r="800">
          <cell r="A800">
            <v>500105</v>
          </cell>
          <cell r="B800" t="str">
            <v>Payroll - Bonus TIA for Revenu</v>
          </cell>
        </row>
        <row r="801">
          <cell r="A801">
            <v>500106</v>
          </cell>
          <cell r="B801" t="str">
            <v>Payroll - Bonus TIA for TCV</v>
          </cell>
        </row>
        <row r="802">
          <cell r="A802">
            <v>500107</v>
          </cell>
          <cell r="B802" t="str">
            <v>Payroll - Bonus Billable</v>
          </cell>
        </row>
        <row r="803">
          <cell r="A803">
            <v>500108</v>
          </cell>
          <cell r="B803" t="str">
            <v>Payroll - Bonus Corporate</v>
          </cell>
        </row>
        <row r="804">
          <cell r="A804">
            <v>500109</v>
          </cell>
          <cell r="B804" t="str">
            <v>Payroll - Bonus Others</v>
          </cell>
        </row>
        <row r="805">
          <cell r="A805">
            <v>500110</v>
          </cell>
          <cell r="B805" t="str">
            <v>Payroll - Bonus CEO</v>
          </cell>
        </row>
        <row r="806">
          <cell r="A806">
            <v>500111</v>
          </cell>
          <cell r="B806" t="str">
            <v>Payroll - Awards</v>
          </cell>
        </row>
        <row r="807">
          <cell r="A807">
            <v>500114</v>
          </cell>
          <cell r="B807" t="str">
            <v>HCA Billable Bonus</v>
          </cell>
        </row>
        <row r="808">
          <cell r="A808">
            <v>500115</v>
          </cell>
          <cell r="B808" t="str">
            <v>Increment - Comp/Bonus</v>
          </cell>
        </row>
        <row r="809">
          <cell r="A809">
            <v>500117</v>
          </cell>
          <cell r="B809" t="str">
            <v>Payroll Long term incentive Plan</v>
          </cell>
        </row>
        <row r="810">
          <cell r="A810">
            <v>500123</v>
          </cell>
          <cell r="B810" t="str">
            <v>Employee Referral Bonus Comp</v>
          </cell>
        </row>
        <row r="811">
          <cell r="A811">
            <v>501110</v>
          </cell>
          <cell r="B811" t="str">
            <v>Payroll Taxes</v>
          </cell>
        </row>
        <row r="812">
          <cell r="A812">
            <v>501111</v>
          </cell>
          <cell r="B812" t="str">
            <v>Payroll-Tax on Perquisites</v>
          </cell>
        </row>
        <row r="813">
          <cell r="A813">
            <v>501115</v>
          </cell>
          <cell r="B813" t="str">
            <v>Health Insurance</v>
          </cell>
        </row>
        <row r="814">
          <cell r="A814">
            <v>501116</v>
          </cell>
          <cell r="B814" t="str">
            <v>Accident Insurance</v>
          </cell>
        </row>
        <row r="815">
          <cell r="A815">
            <v>501117</v>
          </cell>
          <cell r="B815" t="str">
            <v>Life Insurance</v>
          </cell>
        </row>
        <row r="816">
          <cell r="A816">
            <v>501120</v>
          </cell>
          <cell r="B816" t="str">
            <v>Benefits - PC Purchase</v>
          </cell>
        </row>
        <row r="817">
          <cell r="A817">
            <v>501125</v>
          </cell>
          <cell r="B817" t="str">
            <v>Tuition Reimbursement</v>
          </cell>
        </row>
        <row r="818">
          <cell r="A818">
            <v>501130</v>
          </cell>
          <cell r="B818" t="str">
            <v>Employee Relations</v>
          </cell>
        </row>
        <row r="819">
          <cell r="A819">
            <v>501132</v>
          </cell>
          <cell r="B819" t="str">
            <v>Client Entertainment Exps</v>
          </cell>
        </row>
        <row r="820">
          <cell r="A820">
            <v>501135</v>
          </cell>
          <cell r="B820" t="str">
            <v>Insurance - Workmans Compensat</v>
          </cell>
        </row>
        <row r="821">
          <cell r="A821">
            <v>501140</v>
          </cell>
          <cell r="B821" t="str">
            <v>Benefits - Canteen expenses</v>
          </cell>
        </row>
        <row r="822">
          <cell r="A822">
            <v>501141</v>
          </cell>
          <cell r="B822" t="str">
            <v>Benefits - Medical expenses</v>
          </cell>
        </row>
        <row r="823">
          <cell r="A823">
            <v>501142</v>
          </cell>
          <cell r="B823" t="str">
            <v>Benefits - Staff Functions</v>
          </cell>
        </row>
        <row r="824">
          <cell r="A824">
            <v>501143</v>
          </cell>
          <cell r="B824" t="str">
            <v>Benefits - Proj. Lunch/Picnic</v>
          </cell>
        </row>
        <row r="825">
          <cell r="A825">
            <v>501144</v>
          </cell>
          <cell r="B825" t="str">
            <v xml:space="preserve">Benefits - Staff Transport </v>
          </cell>
        </row>
        <row r="826">
          <cell r="A826">
            <v>501145</v>
          </cell>
          <cell r="B826" t="str">
            <v>Benefits - Others</v>
          </cell>
        </row>
        <row r="827">
          <cell r="A827">
            <v>501146</v>
          </cell>
          <cell r="B827" t="str">
            <v>Benefits - Staff Gifts</v>
          </cell>
        </row>
        <row r="828">
          <cell r="A828">
            <v>501153</v>
          </cell>
          <cell r="B828" t="str">
            <v>Benefits - Transport Recovery</v>
          </cell>
        </row>
        <row r="829">
          <cell r="A829">
            <v>501310</v>
          </cell>
          <cell r="B829" t="str">
            <v>Billable Outside Consulting</v>
          </cell>
        </row>
        <row r="830">
          <cell r="A830">
            <v>501311</v>
          </cell>
          <cell r="B830" t="str">
            <v>Billable out consulting - Inter Co.</v>
          </cell>
        </row>
        <row r="831">
          <cell r="A831">
            <v>501315</v>
          </cell>
          <cell r="B831" t="str">
            <v>Offshore Charges</v>
          </cell>
        </row>
        <row r="832">
          <cell r="A832">
            <v>501320</v>
          </cell>
          <cell r="B832" t="str">
            <v>Offshore -Transition Charges</v>
          </cell>
        </row>
        <row r="833">
          <cell r="A833">
            <v>501321</v>
          </cell>
          <cell r="B833" t="str">
            <v>Offshore-L1 Charges</v>
          </cell>
        </row>
        <row r="834">
          <cell r="A834">
            <v>501322</v>
          </cell>
          <cell r="B834" t="str">
            <v>Offshore-Buffer Charges</v>
          </cell>
        </row>
        <row r="835">
          <cell r="A835">
            <v>501324</v>
          </cell>
          <cell r="B835" t="str">
            <v>Inter-Co. Service charges</v>
          </cell>
        </row>
        <row r="836">
          <cell r="A836">
            <v>501329</v>
          </cell>
          <cell r="B836" t="str">
            <v>Deferred Offshore/Onsite Chgs</v>
          </cell>
        </row>
        <row r="837">
          <cell r="A837">
            <v>501330</v>
          </cell>
          <cell r="B837" t="str">
            <v>Outside Services</v>
          </cell>
        </row>
        <row r="838">
          <cell r="A838">
            <v>501410</v>
          </cell>
          <cell r="B838" t="str">
            <v>Relocation - NonTaxable</v>
          </cell>
        </row>
        <row r="839">
          <cell r="A839">
            <v>501420</v>
          </cell>
          <cell r="B839" t="str">
            <v>Relocation - Taxable</v>
          </cell>
        </row>
        <row r="840">
          <cell r="A840">
            <v>501510</v>
          </cell>
          <cell r="B840" t="str">
            <v>Advertising - Recruitng</v>
          </cell>
        </row>
        <row r="841">
          <cell r="A841">
            <v>501515</v>
          </cell>
          <cell r="B841" t="str">
            <v>Employee Recruitng Expense</v>
          </cell>
        </row>
        <row r="842">
          <cell r="A842">
            <v>501516</v>
          </cell>
          <cell r="B842" t="str">
            <v>Employee Referal Incentive</v>
          </cell>
        </row>
        <row r="843">
          <cell r="A843">
            <v>501520</v>
          </cell>
          <cell r="B843" t="str">
            <v>Employee Referral Bonus</v>
          </cell>
        </row>
        <row r="844">
          <cell r="A844">
            <v>501590</v>
          </cell>
          <cell r="B844" t="str">
            <v>Finder Fees - Inter co. Costs</v>
          </cell>
        </row>
        <row r="845">
          <cell r="A845">
            <v>501610</v>
          </cell>
          <cell r="B845" t="str">
            <v>Immigration Fees</v>
          </cell>
        </row>
        <row r="846">
          <cell r="A846">
            <v>501655</v>
          </cell>
          <cell r="B846" t="str">
            <v>Training &amp; Seminars</v>
          </cell>
        </row>
        <row r="847">
          <cell r="A847">
            <v>501660</v>
          </cell>
          <cell r="B847" t="str">
            <v>Employee Training</v>
          </cell>
        </row>
        <row r="848">
          <cell r="A848">
            <v>501661</v>
          </cell>
          <cell r="B848" t="str">
            <v>Membership - PMI</v>
          </cell>
        </row>
        <row r="849">
          <cell r="A849">
            <v>501710</v>
          </cell>
          <cell r="B849" t="str">
            <v>Travel - Personal Meals</v>
          </cell>
        </row>
        <row r="850">
          <cell r="A850">
            <v>501715</v>
          </cell>
          <cell r="B850" t="str">
            <v>Travel-Business Meals</v>
          </cell>
        </row>
        <row r="851">
          <cell r="A851">
            <v>501720</v>
          </cell>
          <cell r="B851" t="str">
            <v>Travel-Automobile</v>
          </cell>
        </row>
        <row r="852">
          <cell r="A852">
            <v>501725</v>
          </cell>
          <cell r="B852" t="str">
            <v>Travel-Airfare/Train</v>
          </cell>
        </row>
        <row r="853">
          <cell r="A853">
            <v>501730</v>
          </cell>
          <cell r="B853" t="str">
            <v>Travel-Lodging</v>
          </cell>
        </row>
        <row r="854">
          <cell r="A854">
            <v>501732</v>
          </cell>
          <cell r="B854" t="str">
            <v>Guest House expenses</v>
          </cell>
        </row>
        <row r="855">
          <cell r="A855">
            <v>501735</v>
          </cell>
          <cell r="B855" t="str">
            <v>Travel - Billable</v>
          </cell>
        </row>
        <row r="856">
          <cell r="A856">
            <v>501740</v>
          </cell>
          <cell r="B856" t="str">
            <v>Immigration Travel Expenses</v>
          </cell>
        </row>
        <row r="857">
          <cell r="A857">
            <v>501745</v>
          </cell>
          <cell r="B857" t="str">
            <v>Billable Travel</v>
          </cell>
        </row>
        <row r="858">
          <cell r="A858">
            <v>501801</v>
          </cell>
          <cell r="B858" t="str">
            <v xml:space="preserve">Vehicle - Petrol </v>
          </cell>
        </row>
        <row r="859">
          <cell r="A859">
            <v>501802</v>
          </cell>
          <cell r="B859" t="str">
            <v>Vehicle - RM/Driver</v>
          </cell>
        </row>
        <row r="860">
          <cell r="A860">
            <v>501803</v>
          </cell>
          <cell r="B860" t="str">
            <v>Local Conveyance</v>
          </cell>
        </row>
        <row r="861">
          <cell r="A861">
            <v>501901</v>
          </cell>
          <cell r="B861" t="str">
            <v>F Travel - Living Exp.US</v>
          </cell>
        </row>
        <row r="862">
          <cell r="A862">
            <v>501902</v>
          </cell>
          <cell r="B862" t="str">
            <v>F Travel - Living Exp.UK</v>
          </cell>
        </row>
        <row r="863">
          <cell r="A863">
            <v>501903</v>
          </cell>
          <cell r="B863" t="str">
            <v>F Travel - Living Exp.Germany</v>
          </cell>
        </row>
        <row r="864">
          <cell r="A864">
            <v>501904</v>
          </cell>
          <cell r="B864" t="str">
            <v>F Travel - Living Exp.Corp.</v>
          </cell>
        </row>
        <row r="865">
          <cell r="A865">
            <v>501905</v>
          </cell>
          <cell r="B865" t="str">
            <v>F Travel - Living Exp.Others</v>
          </cell>
        </row>
        <row r="866">
          <cell r="A866">
            <v>501906</v>
          </cell>
          <cell r="B866" t="str">
            <v>F Travel - Living Exp. Jersey</v>
          </cell>
        </row>
        <row r="867">
          <cell r="A867">
            <v>501907</v>
          </cell>
          <cell r="B867" t="str">
            <v>F Travel - Living Exp.Canada</v>
          </cell>
        </row>
        <row r="868">
          <cell r="A868">
            <v>501908</v>
          </cell>
          <cell r="B868" t="str">
            <v>F Travel - Cost Deferral</v>
          </cell>
        </row>
        <row r="869">
          <cell r="A869">
            <v>501911</v>
          </cell>
          <cell r="B869" t="str">
            <v>F Travel - Airfare US</v>
          </cell>
        </row>
        <row r="870">
          <cell r="A870">
            <v>501912</v>
          </cell>
          <cell r="B870" t="str">
            <v>F Travel - Airfare UK</v>
          </cell>
        </row>
        <row r="871">
          <cell r="A871">
            <v>501913</v>
          </cell>
          <cell r="B871" t="str">
            <v>F Travel - Airfare Germany</v>
          </cell>
        </row>
        <row r="872">
          <cell r="A872">
            <v>501914</v>
          </cell>
          <cell r="B872" t="str">
            <v>F Travel - Airfare Corp.</v>
          </cell>
        </row>
        <row r="873">
          <cell r="A873">
            <v>501915</v>
          </cell>
          <cell r="B873" t="str">
            <v>F Travel - Airfare Family</v>
          </cell>
        </row>
        <row r="874">
          <cell r="A874">
            <v>501916</v>
          </cell>
          <cell r="B874" t="str">
            <v>F Travel - Airfare Others</v>
          </cell>
        </row>
        <row r="875">
          <cell r="A875">
            <v>501917</v>
          </cell>
          <cell r="B875" t="str">
            <v>F Travel - Airfare Canada</v>
          </cell>
        </row>
        <row r="876">
          <cell r="A876">
            <v>501921</v>
          </cell>
          <cell r="B876" t="str">
            <v>F Travel - Insurance US</v>
          </cell>
        </row>
        <row r="877">
          <cell r="A877">
            <v>501922</v>
          </cell>
          <cell r="B877" t="str">
            <v>F Travel - Insurance UK</v>
          </cell>
        </row>
        <row r="878">
          <cell r="A878">
            <v>501923</v>
          </cell>
          <cell r="B878" t="str">
            <v>F Travel - Insurance Germany</v>
          </cell>
        </row>
        <row r="879">
          <cell r="A879">
            <v>501924</v>
          </cell>
          <cell r="B879" t="str">
            <v>F Travel - Insurance Corporate</v>
          </cell>
        </row>
        <row r="880">
          <cell r="A880">
            <v>501925</v>
          </cell>
          <cell r="B880" t="str">
            <v>F Travel - Insurance Others</v>
          </cell>
        </row>
        <row r="881">
          <cell r="A881">
            <v>501926</v>
          </cell>
          <cell r="B881" t="str">
            <v>F Travel - Insurance Marsh US</v>
          </cell>
        </row>
        <row r="882">
          <cell r="A882">
            <v>501927</v>
          </cell>
          <cell r="B882" t="str">
            <v>F Travel - Insurance Canada</v>
          </cell>
        </row>
        <row r="883">
          <cell r="A883">
            <v>501931</v>
          </cell>
          <cell r="B883" t="str">
            <v>F Travel - Visa US</v>
          </cell>
        </row>
        <row r="884">
          <cell r="A884">
            <v>501932</v>
          </cell>
          <cell r="B884" t="str">
            <v>F Travel - Visa UK</v>
          </cell>
        </row>
        <row r="885">
          <cell r="A885">
            <v>501933</v>
          </cell>
          <cell r="B885" t="str">
            <v>F Travel - Visa Germany</v>
          </cell>
        </row>
        <row r="886">
          <cell r="A886">
            <v>501934</v>
          </cell>
          <cell r="B886" t="str">
            <v>F Travel - Visa Corp.</v>
          </cell>
        </row>
        <row r="887">
          <cell r="A887">
            <v>501935</v>
          </cell>
          <cell r="B887" t="str">
            <v>F Travel - Visa Others</v>
          </cell>
        </row>
        <row r="888">
          <cell r="A888">
            <v>501937</v>
          </cell>
          <cell r="B888" t="str">
            <v>F Travel - Visa Canada</v>
          </cell>
        </row>
        <row r="889">
          <cell r="A889">
            <v>501941</v>
          </cell>
          <cell r="B889" t="str">
            <v>F Travel - Kit allowance US</v>
          </cell>
        </row>
        <row r="890">
          <cell r="A890">
            <v>501942</v>
          </cell>
          <cell r="B890" t="str">
            <v>F Travel - Kit allowance UK</v>
          </cell>
        </row>
        <row r="891">
          <cell r="A891">
            <v>501943</v>
          </cell>
          <cell r="B891" t="str">
            <v>F Travel - Kit allowance Corp.</v>
          </cell>
        </row>
        <row r="892">
          <cell r="A892">
            <v>501944</v>
          </cell>
          <cell r="B892" t="str">
            <v>F Travel - Kit allowance Other</v>
          </cell>
        </row>
        <row r="893">
          <cell r="A893">
            <v>501945</v>
          </cell>
          <cell r="B893" t="str">
            <v>F Travel - US Employment tax</v>
          </cell>
        </row>
        <row r="894">
          <cell r="A894">
            <v>501946</v>
          </cell>
          <cell r="B894" t="str">
            <v>F Travel - Registration charges</v>
          </cell>
        </row>
        <row r="895">
          <cell r="A895">
            <v>501948</v>
          </cell>
          <cell r="B895" t="str">
            <v>F Travel-Canada Employment Tax</v>
          </cell>
        </row>
        <row r="896">
          <cell r="A896">
            <v>502010</v>
          </cell>
          <cell r="B896" t="str">
            <v>Michigan SBT Tax</v>
          </cell>
        </row>
        <row r="897">
          <cell r="A897">
            <v>502020</v>
          </cell>
          <cell r="B897" t="str">
            <v>Taxes - Federal Provision</v>
          </cell>
        </row>
        <row r="898">
          <cell r="A898">
            <v>502025</v>
          </cell>
          <cell r="B898" t="str">
            <v>Warranty Expense</v>
          </cell>
        </row>
        <row r="899">
          <cell r="A899">
            <v>502050</v>
          </cell>
          <cell r="B899" t="str">
            <v>CPC Charges</v>
          </cell>
        </row>
        <row r="900">
          <cell r="A900">
            <v>502051</v>
          </cell>
          <cell r="B900" t="str">
            <v>Customer Claim</v>
          </cell>
        </row>
        <row r="901">
          <cell r="A901">
            <v>502110</v>
          </cell>
          <cell r="B901" t="str">
            <v>Rent - Office</v>
          </cell>
        </row>
        <row r="902">
          <cell r="A902">
            <v>502113</v>
          </cell>
          <cell r="B902" t="str">
            <v>Amortisation of ROU A</v>
          </cell>
        </row>
        <row r="903">
          <cell r="A903">
            <v>502115</v>
          </cell>
          <cell r="B903" t="str">
            <v>Reversal of rent Lease IFRS 16</v>
          </cell>
        </row>
        <row r="904">
          <cell r="A904">
            <v>502120</v>
          </cell>
          <cell r="B904" t="str">
            <v>Rent - Guest House</v>
          </cell>
        </row>
        <row r="905">
          <cell r="A905">
            <v>502121</v>
          </cell>
          <cell r="B905" t="str">
            <v>Rent - Flat for staff</v>
          </cell>
        </row>
        <row r="906">
          <cell r="A906">
            <v>502129</v>
          </cell>
          <cell r="B906" t="str">
            <v>Rent - Office Intercompany</v>
          </cell>
        </row>
        <row r="907">
          <cell r="A907">
            <v>502112</v>
          </cell>
          <cell r="B907" t="str">
            <v>Lease expense IC (IndAS)</v>
          </cell>
        </row>
        <row r="908">
          <cell r="A908">
            <v>502130</v>
          </cell>
          <cell r="B908" t="str">
            <v>Fixed Asset Depreciation</v>
          </cell>
        </row>
        <row r="909">
          <cell r="A909">
            <v>502146</v>
          </cell>
          <cell r="B909" t="str">
            <v>Amortz Exp- Cap Dev- Proj 98</v>
          </cell>
        </row>
        <row r="910">
          <cell r="A910">
            <v>502150</v>
          </cell>
          <cell r="B910" t="str">
            <v>Software Amortization</v>
          </cell>
        </row>
        <row r="911">
          <cell r="A911">
            <v>502170</v>
          </cell>
          <cell r="B911" t="str">
            <v>Voice &amp; Data Communications</v>
          </cell>
        </row>
        <row r="912">
          <cell r="A912">
            <v>502171</v>
          </cell>
          <cell r="B912" t="str">
            <v>Satellite Link Expenses</v>
          </cell>
        </row>
        <row r="913">
          <cell r="A913">
            <v>502172</v>
          </cell>
          <cell r="B913" t="str">
            <v>Internet expenses</v>
          </cell>
        </row>
        <row r="914">
          <cell r="A914">
            <v>502173</v>
          </cell>
          <cell r="B914" t="str">
            <v>Telephone / Mobile Reimursemen</v>
          </cell>
        </row>
        <row r="915">
          <cell r="A915">
            <v>503015</v>
          </cell>
          <cell r="B915" t="str">
            <v>Dues</v>
          </cell>
        </row>
        <row r="916">
          <cell r="A916">
            <v>503020</v>
          </cell>
          <cell r="B916" t="str">
            <v>Freight/Postage</v>
          </cell>
        </row>
        <row r="917">
          <cell r="A917">
            <v>503021</v>
          </cell>
          <cell r="B917" t="str">
            <v>Goods Clearing charges</v>
          </cell>
        </row>
        <row r="918">
          <cell r="A918">
            <v>503022</v>
          </cell>
          <cell r="B918" t="str">
            <v>Octroi Charges</v>
          </cell>
        </row>
        <row r="919">
          <cell r="A919">
            <v>503025</v>
          </cell>
          <cell r="B919" t="str">
            <v>Insurance-Property &amp; Other</v>
          </cell>
        </row>
        <row r="920">
          <cell r="A920">
            <v>503030</v>
          </cell>
          <cell r="B920" t="str">
            <v>Insurance-Directors &amp; Officers</v>
          </cell>
        </row>
        <row r="921">
          <cell r="A921">
            <v>503040</v>
          </cell>
          <cell r="B921" t="str">
            <v>Insurance-Vehicles</v>
          </cell>
        </row>
        <row r="922">
          <cell r="A922">
            <v>503041</v>
          </cell>
          <cell r="B922" t="str">
            <v>Insurance-Transit</v>
          </cell>
        </row>
        <row r="923">
          <cell r="A923">
            <v>503042</v>
          </cell>
          <cell r="B923" t="str">
            <v>Insurance Others</v>
          </cell>
        </row>
        <row r="924">
          <cell r="A924">
            <v>503045</v>
          </cell>
          <cell r="B924" t="str">
            <v>Maint.&amp; Repairs - Facilities</v>
          </cell>
        </row>
        <row r="925">
          <cell r="A925">
            <v>503046</v>
          </cell>
          <cell r="B925" t="str">
            <v>Maint. &amp; Repairs - Housekeep</v>
          </cell>
        </row>
        <row r="926">
          <cell r="A926">
            <v>503047</v>
          </cell>
          <cell r="B926" t="str">
            <v>Maint. &amp; Repairs - Hw/Sw</v>
          </cell>
        </row>
        <row r="927">
          <cell r="A927">
            <v>503048</v>
          </cell>
          <cell r="B927" t="str">
            <v>Maint. &amp; Repairs - AMC</v>
          </cell>
        </row>
        <row r="928">
          <cell r="A928">
            <v>503049</v>
          </cell>
          <cell r="B928" t="str">
            <v>Maint. &amp; Repairs - Others</v>
          </cell>
        </row>
        <row r="929">
          <cell r="A929">
            <v>503050</v>
          </cell>
          <cell r="B929" t="str">
            <v>Space Rentals / Meeting  Expen</v>
          </cell>
        </row>
        <row r="930">
          <cell r="A930">
            <v>503055</v>
          </cell>
          <cell r="B930" t="str">
            <v>Equipment Rentals</v>
          </cell>
        </row>
        <row r="931">
          <cell r="A931">
            <v>503060</v>
          </cell>
          <cell r="B931" t="str">
            <v>Vehicle Rentals</v>
          </cell>
        </row>
        <row r="932">
          <cell r="A932">
            <v>503061</v>
          </cell>
          <cell r="B932" t="str">
            <v>Other Rentals</v>
          </cell>
        </row>
        <row r="933">
          <cell r="A933">
            <v>503062</v>
          </cell>
          <cell r="B933" t="str">
            <v>Maint. Chgs - Society</v>
          </cell>
        </row>
        <row r="934">
          <cell r="A934">
            <v>503063</v>
          </cell>
          <cell r="B934" t="str">
            <v>Lease Rent - Car</v>
          </cell>
        </row>
        <row r="935">
          <cell r="A935">
            <v>503065</v>
          </cell>
          <cell r="B935" t="str">
            <v>Books, Subscriptions &amp; Periodicals</v>
          </cell>
        </row>
        <row r="936">
          <cell r="A936">
            <v>503070</v>
          </cell>
          <cell r="B936" t="str">
            <v>Stationary &amp; Office Supplies</v>
          </cell>
        </row>
        <row r="937">
          <cell r="A937">
            <v>503075</v>
          </cell>
          <cell r="B937" t="str">
            <v>Office Equipment Consumables</v>
          </cell>
        </row>
        <row r="938">
          <cell r="A938">
            <v>503080</v>
          </cell>
          <cell r="B938" t="str">
            <v>Computer Consumables</v>
          </cell>
        </row>
        <row r="939">
          <cell r="A939">
            <v>503081</v>
          </cell>
          <cell r="B939" t="str">
            <v>Bank Charges</v>
          </cell>
        </row>
        <row r="940">
          <cell r="A940">
            <v>503082</v>
          </cell>
          <cell r="B940" t="str">
            <v>NMMC Cess</v>
          </cell>
        </row>
        <row r="941">
          <cell r="A941">
            <v>503084</v>
          </cell>
          <cell r="B941" t="str">
            <v>Water Charges</v>
          </cell>
        </row>
        <row r="942">
          <cell r="A942">
            <v>503085</v>
          </cell>
          <cell r="B942" t="str">
            <v>Utilities</v>
          </cell>
        </row>
        <row r="943">
          <cell r="A943">
            <v>503086</v>
          </cell>
          <cell r="B943" t="str">
            <v>Electricity Charges</v>
          </cell>
        </row>
        <row r="944">
          <cell r="A944">
            <v>503087</v>
          </cell>
          <cell r="B944" t="str">
            <v>Export Processing Charges</v>
          </cell>
        </row>
        <row r="945">
          <cell r="A945">
            <v>503088</v>
          </cell>
          <cell r="B945" t="str">
            <v>BMC Taxes</v>
          </cell>
        </row>
        <row r="946">
          <cell r="A946">
            <v>503089</v>
          </cell>
          <cell r="B946" t="str">
            <v>Stamp Duty</v>
          </cell>
        </row>
        <row r="947">
          <cell r="A947">
            <v>503090</v>
          </cell>
          <cell r="B947" t="str">
            <v>Taxes-Property</v>
          </cell>
        </row>
        <row r="948">
          <cell r="A948">
            <v>503095</v>
          </cell>
          <cell r="B948" t="str">
            <v>Taxes-Other</v>
          </cell>
        </row>
        <row r="949">
          <cell r="A949">
            <v>503096</v>
          </cell>
          <cell r="B949" t="str">
            <v>Taxes-Sales Tax</v>
          </cell>
        </row>
        <row r="950">
          <cell r="A950">
            <v>503097</v>
          </cell>
          <cell r="B950" t="str">
            <v>Taxes-Wealth Tax</v>
          </cell>
        </row>
        <row r="951">
          <cell r="A951">
            <v>503098</v>
          </cell>
          <cell r="B951" t="str">
            <v>ROC Fees</v>
          </cell>
        </row>
        <row r="952">
          <cell r="A952">
            <v>503099</v>
          </cell>
          <cell r="B952" t="str">
            <v>Oracle Application Guides</v>
          </cell>
        </row>
        <row r="953">
          <cell r="A953">
            <v>503100</v>
          </cell>
          <cell r="B953" t="str">
            <v>Misc Expense</v>
          </cell>
        </row>
        <row r="954">
          <cell r="A954">
            <v>503101</v>
          </cell>
          <cell r="B954" t="str">
            <v>Finance Charges</v>
          </cell>
        </row>
        <row r="955">
          <cell r="A955">
            <v>503102</v>
          </cell>
          <cell r="B955" t="str">
            <v>Security Charges</v>
          </cell>
        </row>
        <row r="956">
          <cell r="A956">
            <v>503103</v>
          </cell>
          <cell r="B956" t="str">
            <v>Finance Charges - Interco</v>
          </cell>
        </row>
        <row r="957">
          <cell r="A957">
            <v>503104</v>
          </cell>
          <cell r="B957" t="str">
            <v>Early Paymt Discount - Int Co</v>
          </cell>
        </row>
        <row r="958">
          <cell r="A958">
            <v>504010</v>
          </cell>
          <cell r="B958" t="str">
            <v>Advertising - Marketing</v>
          </cell>
        </row>
        <row r="959">
          <cell r="A959">
            <v>504015</v>
          </cell>
          <cell r="B959" t="str">
            <v>Business Promotions / Gifts</v>
          </cell>
        </row>
        <row r="960">
          <cell r="A960">
            <v>504016</v>
          </cell>
          <cell r="B960" t="str">
            <v>Gifts to clients</v>
          </cell>
        </row>
        <row r="961">
          <cell r="A961">
            <v>504018</v>
          </cell>
          <cell r="B961" t="str">
            <v>Client Entertainment Exps</v>
          </cell>
        </row>
        <row r="962">
          <cell r="A962">
            <v>504020</v>
          </cell>
          <cell r="B962" t="str">
            <v>Donations &amp; Contributions</v>
          </cell>
        </row>
        <row r="963">
          <cell r="A963">
            <v>504025</v>
          </cell>
          <cell r="B963" t="str">
            <v>Marketing Exp</v>
          </cell>
        </row>
        <row r="964">
          <cell r="A964">
            <v>504030</v>
          </cell>
          <cell r="B964" t="str">
            <v>Marketing Conferences</v>
          </cell>
        </row>
        <row r="965">
          <cell r="A965">
            <v>504035</v>
          </cell>
          <cell r="B965" t="str">
            <v>Marketing Materials</v>
          </cell>
        </row>
        <row r="966">
          <cell r="A966">
            <v>504040</v>
          </cell>
          <cell r="B966" t="str">
            <v>Customer Relations</v>
          </cell>
        </row>
        <row r="967">
          <cell r="A967">
            <v>504042</v>
          </cell>
          <cell r="B967" t="str">
            <v>Print Advertising</v>
          </cell>
        </row>
        <row r="968">
          <cell r="A968">
            <v>504044</v>
          </cell>
          <cell r="B968" t="str">
            <v>Trade Shows/Conferences</v>
          </cell>
        </row>
        <row r="969">
          <cell r="A969">
            <v>504045</v>
          </cell>
          <cell r="B969" t="str">
            <v>Entertainment</v>
          </cell>
        </row>
        <row r="970">
          <cell r="A970">
            <v>504046</v>
          </cell>
          <cell r="B970" t="str">
            <v>Public Relations</v>
          </cell>
        </row>
        <row r="971">
          <cell r="A971">
            <v>504048</v>
          </cell>
          <cell r="B971" t="str">
            <v>Marketing Collateral</v>
          </cell>
        </row>
        <row r="972">
          <cell r="A972">
            <v>504052</v>
          </cell>
          <cell r="B972" t="str">
            <v>Investor Relations</v>
          </cell>
        </row>
        <row r="973">
          <cell r="A973">
            <v>504060</v>
          </cell>
          <cell r="B973" t="str">
            <v>Publications</v>
          </cell>
        </row>
        <row r="974">
          <cell r="A974">
            <v>504090</v>
          </cell>
          <cell r="B974" t="str">
            <v>Marketing fees - Interco.</v>
          </cell>
        </row>
        <row r="975">
          <cell r="A975">
            <v>505010</v>
          </cell>
          <cell r="B975" t="str">
            <v>Bad Debt Expense</v>
          </cell>
        </row>
        <row r="976">
          <cell r="A976">
            <v>505011</v>
          </cell>
          <cell r="B976" t="str">
            <v>Provision for Doubtful Debts / Advances</v>
          </cell>
        </row>
        <row r="977">
          <cell r="A977">
            <v>505012</v>
          </cell>
          <cell r="B977" t="str">
            <v>Sundry Debit / Credit balances w/off</v>
          </cell>
        </row>
        <row r="978">
          <cell r="A978">
            <v>505013</v>
          </cell>
          <cell r="B978" t="str">
            <v>Loss on Sale of Assets</v>
          </cell>
        </row>
        <row r="979">
          <cell r="A979">
            <v>505015</v>
          </cell>
          <cell r="B979" t="str">
            <v>Fees - Legal</v>
          </cell>
        </row>
        <row r="980">
          <cell r="A980">
            <v>505017</v>
          </cell>
          <cell r="B980" t="str">
            <v xml:space="preserve">Provision for doubtful Service tax recoverable </v>
          </cell>
        </row>
        <row r="981">
          <cell r="A981">
            <v>505019</v>
          </cell>
          <cell r="B981" t="str">
            <v>Prov doubtful VAT reco-SEZ P&amp;L</v>
          </cell>
        </row>
        <row r="982">
          <cell r="A982">
            <v>505020</v>
          </cell>
          <cell r="B982" t="str">
            <v>Fees - Other</v>
          </cell>
        </row>
        <row r="983">
          <cell r="A983">
            <v>505025</v>
          </cell>
          <cell r="B983" t="str">
            <v>Fees-Professional / Accounting</v>
          </cell>
        </row>
        <row r="984">
          <cell r="A984">
            <v>505026</v>
          </cell>
          <cell r="B984" t="str">
            <v>Audit Fees-Statutory Audit</v>
          </cell>
        </row>
        <row r="985">
          <cell r="A985">
            <v>505027</v>
          </cell>
          <cell r="B985" t="str">
            <v>Audit Fees-Tax Audit</v>
          </cell>
        </row>
        <row r="986">
          <cell r="A986">
            <v>505028</v>
          </cell>
          <cell r="B986" t="str">
            <v>Audit Fees-Internal Audit</v>
          </cell>
        </row>
        <row r="987">
          <cell r="A987">
            <v>505029</v>
          </cell>
          <cell r="B987" t="str">
            <v>Audit Fees-Cerfitication</v>
          </cell>
        </row>
        <row r="988">
          <cell r="A988">
            <v>505030</v>
          </cell>
          <cell r="B988" t="str">
            <v>Fees - 401K</v>
          </cell>
        </row>
        <row r="989">
          <cell r="A989">
            <v>505031</v>
          </cell>
          <cell r="B989" t="str">
            <v>Audit Fees-Out of pocket</v>
          </cell>
        </row>
        <row r="990">
          <cell r="A990">
            <v>505032</v>
          </cell>
          <cell r="B990" t="str">
            <v>Fees - Auditors</v>
          </cell>
        </row>
        <row r="991">
          <cell r="A991">
            <v>505035</v>
          </cell>
          <cell r="B991" t="str">
            <v>Interest Expense</v>
          </cell>
        </row>
        <row r="992">
          <cell r="A992">
            <v>505040</v>
          </cell>
          <cell r="B992" t="str">
            <v>Capitalized Development Costs</v>
          </cell>
        </row>
        <row r="993">
          <cell r="A993">
            <v>505043</v>
          </cell>
          <cell r="B993" t="str">
            <v>CSR Expenses</v>
          </cell>
        </row>
        <row r="994">
          <cell r="A994">
            <v>505053</v>
          </cell>
          <cell r="B994" t="str">
            <v>Global Crg. - Support function</v>
          </cell>
        </row>
        <row r="995">
          <cell r="A995">
            <v>601010</v>
          </cell>
          <cell r="B995" t="str">
            <v>Interest Income Taxable</v>
          </cell>
        </row>
        <row r="996">
          <cell r="A996">
            <v>601011</v>
          </cell>
          <cell r="B996" t="str">
            <v>Interest Income Non Taxable</v>
          </cell>
        </row>
        <row r="997">
          <cell r="A997">
            <v>601012</v>
          </cell>
          <cell r="B997" t="str">
            <v>Dividend Income</v>
          </cell>
        </row>
        <row r="998">
          <cell r="A998">
            <v>601013</v>
          </cell>
          <cell r="B998" t="str">
            <v>Profit on redemption of mutual fund</v>
          </cell>
        </row>
        <row r="999">
          <cell r="A999">
            <v>601023</v>
          </cell>
          <cell r="B999" t="str">
            <v>Interest Exp on Lease Liab</v>
          </cell>
        </row>
        <row r="1000">
          <cell r="A1000">
            <v>601032</v>
          </cell>
          <cell r="B1000" t="str">
            <v>Interest income IC Dep (IndAS)</v>
          </cell>
        </row>
        <row r="1001">
          <cell r="A1001">
            <v>601033</v>
          </cell>
          <cell r="B1001" t="str">
            <v>MF unrealised gain (IndAS)</v>
          </cell>
        </row>
        <row r="1002">
          <cell r="A1002">
            <v>601014</v>
          </cell>
          <cell r="B1002" t="str">
            <v>Miscellaneous Income</v>
          </cell>
        </row>
        <row r="1003">
          <cell r="A1003">
            <v>601015</v>
          </cell>
          <cell r="B1003" t="str">
            <v>Dividend - Interco</v>
          </cell>
        </row>
        <row r="1004">
          <cell r="A1004">
            <v>601016</v>
          </cell>
          <cell r="B1004" t="str">
            <v>Inter-Company Revenue</v>
          </cell>
        </row>
        <row r="1005">
          <cell r="A1005">
            <v>601017</v>
          </cell>
          <cell r="B1005" t="str">
            <v>Forex Interest Income Taxable</v>
          </cell>
        </row>
        <row r="1006">
          <cell r="A1006">
            <v>601018</v>
          </cell>
          <cell r="B1006" t="str">
            <v>Employee - Interest on Loan</v>
          </cell>
        </row>
        <row r="1007">
          <cell r="A1007">
            <v>601019</v>
          </cell>
          <cell r="B1007" t="str">
            <v>Profit on Sale of Assets</v>
          </cell>
        </row>
        <row r="1008">
          <cell r="A1008">
            <v>601020</v>
          </cell>
          <cell r="B1008" t="str">
            <v>Other Income - Non Taxable</v>
          </cell>
        </row>
        <row r="1009">
          <cell r="A1009">
            <v>601090</v>
          </cell>
          <cell r="B1009" t="str">
            <v>Interco Rent - Income</v>
          </cell>
        </row>
        <row r="1010">
          <cell r="A1010">
            <v>800010</v>
          </cell>
          <cell r="B1010" t="str">
            <v>State Income Taxes</v>
          </cell>
        </row>
        <row r="1011">
          <cell r="A1011">
            <v>800011</v>
          </cell>
          <cell r="B1011" t="str">
            <v>Canada - State Income Tax</v>
          </cell>
        </row>
        <row r="1012">
          <cell r="A1012">
            <v>800015</v>
          </cell>
          <cell r="B1012" t="str">
            <v>Federal Income Taxes</v>
          </cell>
        </row>
        <row r="1013">
          <cell r="A1013">
            <v>800016</v>
          </cell>
          <cell r="B1013" t="str">
            <v>Canada - Federal Income Tax</v>
          </cell>
        </row>
        <row r="1014">
          <cell r="A1014">
            <v>800020</v>
          </cell>
          <cell r="B1014" t="str">
            <v>Foreign Earned Income Tax Prov</v>
          </cell>
        </row>
        <row r="1015">
          <cell r="A1015">
            <v>800021</v>
          </cell>
          <cell r="B1015" t="str">
            <v>Indian Income taxes</v>
          </cell>
        </row>
        <row r="1016">
          <cell r="A1016">
            <v>800022</v>
          </cell>
          <cell r="B1016" t="str">
            <v>Deferred Income taxes</v>
          </cell>
        </row>
        <row r="1017">
          <cell r="A1017">
            <v>800023</v>
          </cell>
          <cell r="B1017" t="str">
            <v>UK Corporation Tax</v>
          </cell>
        </row>
        <row r="1018">
          <cell r="A1018">
            <v>800024</v>
          </cell>
          <cell r="B1018" t="str">
            <v>City Corporate Income Tax</v>
          </cell>
        </row>
        <row r="1019">
          <cell r="A1019">
            <v>800029</v>
          </cell>
          <cell r="B1019" t="str">
            <v>Income Tax on Prop Dividend</v>
          </cell>
        </row>
        <row r="1020">
          <cell r="A1020">
            <v>800030</v>
          </cell>
          <cell r="B1020" t="str">
            <v>Indian Fringe Benefit Tax</v>
          </cell>
        </row>
        <row r="1021">
          <cell r="A1021">
            <v>800033</v>
          </cell>
          <cell r="B1021" t="str">
            <v>Income Taxes - FIN 48</v>
          </cell>
        </row>
        <row r="1023">
          <cell r="A1023">
            <v>604160</v>
          </cell>
          <cell r="B1023" t="str">
            <v>OP S/C T&amp;M. Interco</v>
          </cell>
        </row>
        <row r="1024">
          <cell r="A1024">
            <v>604230</v>
          </cell>
          <cell r="B1024" t="str">
            <v>Other foreign exchange Losses</v>
          </cell>
        </row>
        <row r="1025">
          <cell r="A1025">
            <v>606130</v>
          </cell>
          <cell r="B1025" t="str">
            <v>ELECTRICITY</v>
          </cell>
        </row>
        <row r="1026">
          <cell r="A1026">
            <v>606300</v>
          </cell>
          <cell r="B1026" t="str">
            <v>OFFICE SUPPLIES, SMALL TOOLS, MAINTENANCE SUPPLIES</v>
          </cell>
        </row>
        <row r="1027">
          <cell r="A1027">
            <v>613200</v>
          </cell>
          <cell r="B1027" t="str">
            <v>REAL-ESTATE RENTAL</v>
          </cell>
        </row>
        <row r="1028">
          <cell r="A1028">
            <v>613207</v>
          </cell>
          <cell r="B1028" t="str">
            <v>Reversal rent real estate IFRS 16</v>
          </cell>
        </row>
        <row r="1029">
          <cell r="A1029">
            <v>615290</v>
          </cell>
          <cell r="B1029" t="str">
            <v>OTHER BUILDING-RELATED SERVICES</v>
          </cell>
        </row>
        <row r="1030">
          <cell r="A1030">
            <v>622500</v>
          </cell>
          <cell r="B1030" t="str">
            <v>lawyer fees (vs legal fees, counselling</v>
          </cell>
        </row>
        <row r="1031">
          <cell r="A1031">
            <v>622600</v>
          </cell>
          <cell r="B1031" t="str">
            <v>AUDITORS' FEES</v>
          </cell>
        </row>
        <row r="1032">
          <cell r="A1032">
            <v>622800</v>
          </cell>
          <cell r="B1032" t="str">
            <v>OTHER PROFESSIONAL FEES</v>
          </cell>
        </row>
        <row r="1033">
          <cell r="A1033">
            <v>625714</v>
          </cell>
          <cell r="B1033" t="str">
            <v>Staff Meals - Lunch</v>
          </cell>
        </row>
        <row r="1034">
          <cell r="A1034">
            <v>626424</v>
          </cell>
          <cell r="B1034" t="str">
            <v>Telephone Charges</v>
          </cell>
        </row>
        <row r="1035">
          <cell r="A1035">
            <v>627100</v>
          </cell>
          <cell r="B1035" t="str">
            <v>SECURITY EXPENSES</v>
          </cell>
        </row>
        <row r="1036">
          <cell r="A1036">
            <v>627800</v>
          </cell>
          <cell r="B1036" t="str">
            <v>OTHER BANK EXPENSES AND COMMISSION</v>
          </cell>
        </row>
        <row r="1037">
          <cell r="A1037">
            <v>633300</v>
          </cell>
          <cell r="B1037" t="str">
            <v>TRAINING INVOICES</v>
          </cell>
        </row>
        <row r="1038">
          <cell r="A1038">
            <v>635130</v>
          </cell>
          <cell r="B1038" t="str">
            <v>OTHER LOCAL TAXES</v>
          </cell>
        </row>
        <row r="1039">
          <cell r="A1039">
            <v>637803</v>
          </cell>
          <cell r="B1039" t="str">
            <v>TAX PAID ON SALARIES - GEN&amp;ADM</v>
          </cell>
        </row>
        <row r="1040">
          <cell r="A1040">
            <v>641100</v>
          </cell>
          <cell r="B1040" t="str">
            <v>WAGES AND SALARIES</v>
          </cell>
        </row>
        <row r="1041">
          <cell r="A1041">
            <v>641203</v>
          </cell>
          <cell r="B1041" t="str">
            <v>VACATION LEAVE PAYMENTS - GEN&amp;ADM</v>
          </cell>
        </row>
        <row r="1042">
          <cell r="A1042">
            <v>641300</v>
          </cell>
          <cell r="B1042" t="str">
            <v>INCENTIVE WAGES AND BONUSES</v>
          </cell>
        </row>
        <row r="1043">
          <cell r="A1043">
            <v>641310</v>
          </cell>
          <cell r="B1043" t="str">
            <v>YEAR-END BONUSES</v>
          </cell>
        </row>
        <row r="1044">
          <cell r="A1044">
            <v>641702</v>
          </cell>
          <cell r="B1044" t="str">
            <v>Allowance 2</v>
          </cell>
        </row>
        <row r="1045">
          <cell r="A1045">
            <v>641704</v>
          </cell>
          <cell r="B1045" t="str">
            <v>LTA</v>
          </cell>
        </row>
        <row r="1046">
          <cell r="A1046">
            <v>641711</v>
          </cell>
          <cell r="B1046" t="str">
            <v>Gratuity</v>
          </cell>
        </row>
        <row r="1047">
          <cell r="A1047">
            <v>641713</v>
          </cell>
          <cell r="B1047" t="str">
            <v>Co. Cont. to P.F.</v>
          </cell>
        </row>
        <row r="1048">
          <cell r="A1048">
            <v>641716</v>
          </cell>
          <cell r="B1048" t="str">
            <v>Cont.-MLWF/PF/EDLI Admn.</v>
          </cell>
        </row>
        <row r="1049">
          <cell r="A1049">
            <v>641721</v>
          </cell>
          <cell r="B1049" t="str">
            <v>Petrol Exps-Personnel</v>
          </cell>
        </row>
        <row r="1050">
          <cell r="A1050">
            <v>641722</v>
          </cell>
          <cell r="B1050" t="str">
            <v>Car Hire-Personnel</v>
          </cell>
        </row>
        <row r="1051">
          <cell r="A1051">
            <v>645004</v>
          </cell>
          <cell r="B1051" t="str">
            <v>Health Insurance 4</v>
          </cell>
        </row>
        <row r="1052">
          <cell r="A1052">
            <v>645643</v>
          </cell>
          <cell r="B1052" t="str">
            <v>pension contr own employee</v>
          </cell>
        </row>
        <row r="1053">
          <cell r="A1053">
            <v>645700</v>
          </cell>
          <cell r="B1053" t="str">
            <v>dc pensions plans other</v>
          </cell>
        </row>
        <row r="1054">
          <cell r="A1054">
            <v>647500</v>
          </cell>
          <cell r="B1054" t="str">
            <v>COMPANY DOCTOR</v>
          </cell>
        </row>
        <row r="1055">
          <cell r="A1055">
            <v>647600</v>
          </cell>
          <cell r="B1055" t="str">
            <v>LUNCHEON VOUCHERS AND MEAL CARDS</v>
          </cell>
        </row>
        <row r="1056">
          <cell r="A1056">
            <v>656000</v>
          </cell>
          <cell r="B1056" t="str">
            <v>GROUP OVERHEADS - STRUCTURE COSTS</v>
          </cell>
        </row>
        <row r="1057">
          <cell r="A1057">
            <v>658000</v>
          </cell>
          <cell r="B1057" t="str">
            <v>OTHER OPERATING EXPENSES</v>
          </cell>
        </row>
        <row r="1058">
          <cell r="A1058">
            <v>658003</v>
          </cell>
          <cell r="B1058" t="str">
            <v>Other facility management expenses</v>
          </cell>
        </row>
        <row r="1059">
          <cell r="A1059">
            <v>658013</v>
          </cell>
          <cell r="B1059" t="str">
            <v>Compensation Awards</v>
          </cell>
        </row>
        <row r="1060">
          <cell r="A1060">
            <v>661510</v>
          </cell>
          <cell r="B1060" t="str">
            <v>OVERDRAFT INTEREST AND BANK CHARGES</v>
          </cell>
        </row>
        <row r="1061">
          <cell r="A1061">
            <v>664011</v>
          </cell>
          <cell r="B1061" t="str">
            <v>Financial interests on lease liability Real estate</v>
          </cell>
        </row>
        <row r="1062">
          <cell r="A1062">
            <v>666000</v>
          </cell>
          <cell r="B1062" t="str">
            <v>EXCHANGE LOSSES</v>
          </cell>
        </row>
        <row r="1063">
          <cell r="A1063">
            <v>666400</v>
          </cell>
          <cell r="B1063" t="str">
            <v>Exchange loss from revaluation of custo</v>
          </cell>
        </row>
        <row r="1064">
          <cell r="A1064">
            <v>681210</v>
          </cell>
          <cell r="B1064" t="str">
            <v>Depreciations and impairment right of use</v>
          </cell>
        </row>
        <row r="1065">
          <cell r="A1065">
            <v>695000</v>
          </cell>
          <cell r="B1065" t="str">
            <v>CORPORATE INCOME TAX</v>
          </cell>
        </row>
        <row r="1066">
          <cell r="A1066">
            <v>695900</v>
          </cell>
          <cell r="B1066" t="str">
            <v>DEFERRED TAX CHARGES</v>
          </cell>
        </row>
        <row r="1067">
          <cell r="A1067">
            <v>702310</v>
          </cell>
          <cell r="B1067" t="str">
            <v>Indirect IC Reinvoicing</v>
          </cell>
        </row>
        <row r="1068">
          <cell r="A1068">
            <v>704040</v>
          </cell>
          <cell r="B1068" t="str">
            <v>Interest income on Cash at Bank-Other</v>
          </cell>
        </row>
        <row r="1069">
          <cell r="A1069">
            <v>704670</v>
          </cell>
          <cell r="B1069" t="str">
            <v>Other Financial Income</v>
          </cell>
        </row>
        <row r="1070">
          <cell r="A1070">
            <v>706361</v>
          </cell>
          <cell r="B1070" t="str">
            <v>Sales of Services. Interco EXP</v>
          </cell>
        </row>
        <row r="1071">
          <cell r="A1071">
            <v>758000</v>
          </cell>
          <cell r="B1071" t="str">
            <v>INCOME FROM ORDINARY ACTIVITIES</v>
          </cell>
        </row>
        <row r="1072">
          <cell r="A1072">
            <v>762510</v>
          </cell>
          <cell r="B1072" t="str">
            <v>Int Income-Personal Loan</v>
          </cell>
        </row>
        <row r="1073">
          <cell r="A1073">
            <v>766000</v>
          </cell>
          <cell r="B1073" t="str">
            <v>EXCHANGE GAINS</v>
          </cell>
        </row>
        <row r="1074">
          <cell r="A1074">
            <v>766200</v>
          </cell>
          <cell r="B1074" t="str">
            <v>Non-realized exchange gain</v>
          </cell>
        </row>
        <row r="1075">
          <cell r="A1075">
            <v>766300</v>
          </cell>
          <cell r="B1075" t="str">
            <v>Exchange gain from revaluation of bank and current</v>
          </cell>
        </row>
        <row r="1076">
          <cell r="A1076">
            <v>766400</v>
          </cell>
          <cell r="B1076" t="str">
            <v>Exchange gain from revaluation of custo</v>
          </cell>
        </row>
        <row r="1077">
          <cell r="A1077">
            <v>762511</v>
          </cell>
          <cell r="B1077" t="str">
            <v>Interest Income-Deposits</v>
          </cell>
        </row>
        <row r="1078">
          <cell r="A1078">
            <v>779000</v>
          </cell>
          <cell r="B1078" t="str">
            <v>Revenue Offshore Netting Billing</v>
          </cell>
        </row>
        <row r="1082">
          <cell r="B1082" t="str">
            <v>Total</v>
          </cell>
        </row>
        <row r="1083">
          <cell r="B1083" t="str">
            <v>Profit</v>
          </cell>
        </row>
        <row r="1093">
          <cell r="A1093">
            <v>167211</v>
          </cell>
          <cell r="B1093" t="str">
            <v>Lease liability Real estate</v>
          </cell>
        </row>
        <row r="1094">
          <cell r="A1094">
            <v>167211</v>
          </cell>
          <cell r="B1094" t="str">
            <v>Lease liability Real estate</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Sheet1"/>
    </sheetNames>
    <sheetDataSet>
      <sheetData sheetId="0" refreshError="1">
        <row r="198">
          <cell r="C198">
            <v>51150215</v>
          </cell>
          <cell r="D198" t="str">
            <v>J. P. Morgan Chase Bank N.A.-INR-Pymt</v>
          </cell>
        </row>
        <row r="199">
          <cell r="C199">
            <v>4510000</v>
          </cell>
          <cell r="D199" t="str">
            <v>Current Account</v>
          </cell>
        </row>
        <row r="200">
          <cell r="C200">
            <v>51150216</v>
          </cell>
          <cell r="D200" t="str">
            <v>J. P. Morgan Chase Bank N.A.-INR-Pymt</v>
          </cell>
        </row>
        <row r="201">
          <cell r="C201">
            <v>4510000</v>
          </cell>
          <cell r="D201" t="str">
            <v>Current Account</v>
          </cell>
        </row>
        <row r="202">
          <cell r="C202">
            <v>51150215</v>
          </cell>
          <cell r="D202" t="str">
            <v>J. P. Morgan Chase Bank N.A.-INR-Pymt</v>
          </cell>
        </row>
        <row r="203">
          <cell r="C203">
            <v>4510000</v>
          </cell>
          <cell r="D203" t="str">
            <v>Current Account</v>
          </cell>
        </row>
        <row r="204">
          <cell r="C204">
            <v>51120215</v>
          </cell>
          <cell r="D204" t="str">
            <v>J. P. Morgan Chase Bank N.A.-INR-Rcpt</v>
          </cell>
        </row>
        <row r="205">
          <cell r="C205">
            <v>4510000</v>
          </cell>
          <cell r="D205" t="str">
            <v>Current Account</v>
          </cell>
        </row>
        <row r="206">
          <cell r="C206">
            <v>51200215</v>
          </cell>
          <cell r="D206" t="str">
            <v>J. P. Morgan Chase Bank N.A.-INR-Main</v>
          </cell>
        </row>
        <row r="207">
          <cell r="C207">
            <v>4510000</v>
          </cell>
          <cell r="D207" t="str">
            <v>Current Account</v>
          </cell>
        </row>
        <row r="208">
          <cell r="C208">
            <v>51200215</v>
          </cell>
          <cell r="D208" t="str">
            <v>J. P. Morgan Chase Bank N.A.-INR-Main</v>
          </cell>
        </row>
        <row r="209">
          <cell r="C209">
            <v>4510000</v>
          </cell>
          <cell r="D209" t="str">
            <v>Current Account</v>
          </cell>
        </row>
        <row r="210">
          <cell r="C210">
            <v>51120217</v>
          </cell>
          <cell r="D210" t="str">
            <v>J. P. Morgan Chase Bank N.A.-INR-Rcpt</v>
          </cell>
        </row>
        <row r="211">
          <cell r="C211">
            <v>4510000</v>
          </cell>
          <cell r="D211" t="str">
            <v>Current Account</v>
          </cell>
        </row>
        <row r="212">
          <cell r="C212">
            <v>51150217</v>
          </cell>
          <cell r="D212" t="str">
            <v>J. P. Morgan Chase Bank N.A.-INR-Pymt</v>
          </cell>
        </row>
        <row r="213">
          <cell r="C213">
            <v>4510000</v>
          </cell>
          <cell r="D213" t="str">
            <v>Current Account</v>
          </cell>
        </row>
        <row r="214">
          <cell r="C214">
            <v>51200217</v>
          </cell>
          <cell r="D214" t="str">
            <v>J. P. Morgan Chase Bank N.A.-INR-Main</v>
          </cell>
        </row>
        <row r="215">
          <cell r="C215">
            <v>4510000</v>
          </cell>
          <cell r="D215" t="str">
            <v>Current Account</v>
          </cell>
        </row>
        <row r="216">
          <cell r="C216">
            <v>51150215</v>
          </cell>
          <cell r="D216" t="str">
            <v>J. P. Morgan Chase Bank N.A.-INR-Pymt</v>
          </cell>
        </row>
        <row r="217">
          <cell r="C217">
            <v>4510000</v>
          </cell>
          <cell r="D217" t="str">
            <v>Current Account</v>
          </cell>
        </row>
        <row r="218">
          <cell r="C218">
            <v>51200215</v>
          </cell>
          <cell r="D218" t="str">
            <v>J. P. Morgan Chase Bank N.A.-INR-Main</v>
          </cell>
        </row>
        <row r="219">
          <cell r="C219">
            <v>4510000</v>
          </cell>
          <cell r="D219" t="str">
            <v>Current Account</v>
          </cell>
        </row>
        <row r="220">
          <cell r="C220">
            <v>51150215</v>
          </cell>
          <cell r="D220" t="str">
            <v>J. P. Morgan Chase Bank N.A.-INR-Pymt</v>
          </cell>
        </row>
        <row r="221">
          <cell r="C221">
            <v>4510000</v>
          </cell>
          <cell r="D221" t="str">
            <v>Current Account</v>
          </cell>
        </row>
        <row r="222">
          <cell r="C222">
            <v>51200215</v>
          </cell>
          <cell r="D222" t="str">
            <v>J. P. Morgan Chase Bank N.A.-INR-Main</v>
          </cell>
        </row>
        <row r="223">
          <cell r="C223">
            <v>4510000</v>
          </cell>
          <cell r="D223" t="str">
            <v>Current Account</v>
          </cell>
        </row>
      </sheetData>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B for financial"/>
      <sheetName val="Entries' 23-24"/>
    </sheetNames>
    <sheetDataSet>
      <sheetData sheetId="0">
        <row r="5">
          <cell r="A5">
            <v>100000</v>
          </cell>
          <cell r="B5" t="str">
            <v>TDR reclassed &gt; 3 months</v>
          </cell>
          <cell r="C5">
            <v>0</v>
          </cell>
          <cell r="D5">
            <v>0</v>
          </cell>
          <cell r="E5">
            <v>0</v>
          </cell>
          <cell r="F5">
            <v>0</v>
          </cell>
          <cell r="G5"/>
          <cell r="H5">
            <v>0</v>
          </cell>
          <cell r="I5">
            <v>0</v>
          </cell>
          <cell r="J5">
            <v>0</v>
          </cell>
          <cell r="K5">
            <v>0</v>
          </cell>
          <cell r="L5">
            <v>100000</v>
          </cell>
          <cell r="M5">
            <v>1</v>
          </cell>
          <cell r="N5">
            <v>0</v>
          </cell>
          <cell r="O5">
            <v>0</v>
          </cell>
          <cell r="P5">
            <v>0</v>
          </cell>
          <cell r="Q5">
            <v>0</v>
          </cell>
          <cell r="R5">
            <v>0</v>
          </cell>
          <cell r="S5">
            <v>0</v>
          </cell>
        </row>
        <row r="6">
          <cell r="A6">
            <v>100001</v>
          </cell>
          <cell r="B6" t="str">
            <v>TDR above 1 year - Non current ass</v>
          </cell>
          <cell r="C6">
            <v>0</v>
          </cell>
          <cell r="D6">
            <v>0</v>
          </cell>
          <cell r="E6">
            <v>0</v>
          </cell>
          <cell r="F6">
            <v>0</v>
          </cell>
          <cell r="G6"/>
          <cell r="H6">
            <v>0</v>
          </cell>
          <cell r="I6">
            <v>0</v>
          </cell>
          <cell r="J6">
            <v>0</v>
          </cell>
          <cell r="K6">
            <v>0</v>
          </cell>
          <cell r="L6" t="e">
            <v>#N/A</v>
          </cell>
          <cell r="M6">
            <v>1</v>
          </cell>
          <cell r="N6">
            <v>0</v>
          </cell>
          <cell r="O6">
            <v>0</v>
          </cell>
          <cell r="P6">
            <v>0</v>
          </cell>
          <cell r="Q6">
            <v>0</v>
          </cell>
          <cell r="R6">
            <v>0</v>
          </cell>
          <cell r="S6">
            <v>0</v>
          </cell>
        </row>
        <row r="7">
          <cell r="A7">
            <v>100300</v>
          </cell>
          <cell r="B7" t="str">
            <v>Bank-Dean Witter</v>
          </cell>
          <cell r="C7">
            <v>0</v>
          </cell>
          <cell r="D7">
            <v>0</v>
          </cell>
          <cell r="E7">
            <v>0</v>
          </cell>
          <cell r="F7">
            <v>0</v>
          </cell>
          <cell r="G7"/>
          <cell r="H7">
            <v>0</v>
          </cell>
          <cell r="I7">
            <v>0</v>
          </cell>
          <cell r="J7">
            <v>0</v>
          </cell>
          <cell r="K7">
            <v>0</v>
          </cell>
          <cell r="L7">
            <v>100300</v>
          </cell>
          <cell r="M7">
            <v>1</v>
          </cell>
          <cell r="N7">
            <v>0</v>
          </cell>
          <cell r="O7">
            <v>0</v>
          </cell>
          <cell r="P7">
            <v>0</v>
          </cell>
          <cell r="Q7">
            <v>0</v>
          </cell>
          <cell r="R7">
            <v>0</v>
          </cell>
          <cell r="S7">
            <v>0</v>
          </cell>
        </row>
        <row r="8">
          <cell r="A8">
            <v>100301</v>
          </cell>
          <cell r="B8" t="str">
            <v>JP Morgan - CAD Bank Account</v>
          </cell>
          <cell r="C8">
            <v>0</v>
          </cell>
          <cell r="D8">
            <v>0</v>
          </cell>
          <cell r="E8">
            <v>0</v>
          </cell>
          <cell r="F8">
            <v>0</v>
          </cell>
          <cell r="G8"/>
          <cell r="H8">
            <v>0</v>
          </cell>
          <cell r="I8">
            <v>0</v>
          </cell>
          <cell r="J8">
            <v>0</v>
          </cell>
          <cell r="K8">
            <v>0</v>
          </cell>
          <cell r="L8">
            <v>100301</v>
          </cell>
          <cell r="M8">
            <v>1</v>
          </cell>
          <cell r="N8">
            <v>0</v>
          </cell>
          <cell r="O8">
            <v>0</v>
          </cell>
          <cell r="P8">
            <v>0</v>
          </cell>
          <cell r="Q8">
            <v>0</v>
          </cell>
          <cell r="R8">
            <v>0</v>
          </cell>
          <cell r="S8">
            <v>0</v>
          </cell>
        </row>
        <row r="9">
          <cell r="A9">
            <v>100302</v>
          </cell>
          <cell r="B9" t="str">
            <v>Barclays Bank PLC - Wealth</v>
          </cell>
          <cell r="C9">
            <v>0</v>
          </cell>
          <cell r="D9">
            <v>0</v>
          </cell>
          <cell r="E9">
            <v>0</v>
          </cell>
          <cell r="F9">
            <v>0</v>
          </cell>
          <cell r="G9"/>
          <cell r="H9">
            <v>0</v>
          </cell>
          <cell r="I9">
            <v>0</v>
          </cell>
          <cell r="J9">
            <v>0</v>
          </cell>
          <cell r="K9">
            <v>0</v>
          </cell>
          <cell r="L9">
            <v>100302</v>
          </cell>
          <cell r="M9">
            <v>1</v>
          </cell>
          <cell r="N9">
            <v>0</v>
          </cell>
          <cell r="O9">
            <v>0</v>
          </cell>
          <cell r="P9">
            <v>0</v>
          </cell>
          <cell r="Q9">
            <v>0</v>
          </cell>
          <cell r="R9">
            <v>0</v>
          </cell>
          <cell r="S9">
            <v>0</v>
          </cell>
        </row>
        <row r="10">
          <cell r="A10">
            <v>100303</v>
          </cell>
          <cell r="B10" t="str">
            <v>Barclays Bank PLC - USD EEFC</v>
          </cell>
          <cell r="C10">
            <v>0</v>
          </cell>
          <cell r="D10">
            <v>0</v>
          </cell>
          <cell r="E10">
            <v>0</v>
          </cell>
          <cell r="F10">
            <v>0</v>
          </cell>
          <cell r="G10"/>
          <cell r="H10">
            <v>0</v>
          </cell>
          <cell r="I10">
            <v>0</v>
          </cell>
          <cell r="J10">
            <v>0</v>
          </cell>
          <cell r="K10">
            <v>0</v>
          </cell>
          <cell r="L10">
            <v>100303</v>
          </cell>
          <cell r="M10">
            <v>1</v>
          </cell>
          <cell r="N10">
            <v>0</v>
          </cell>
          <cell r="O10">
            <v>0</v>
          </cell>
          <cell r="P10">
            <v>0</v>
          </cell>
          <cell r="Q10">
            <v>0</v>
          </cell>
          <cell r="R10">
            <v>0</v>
          </cell>
          <cell r="S10">
            <v>0</v>
          </cell>
        </row>
        <row r="11">
          <cell r="A11">
            <v>100304</v>
          </cell>
          <cell r="B11" t="str">
            <v>Barclays Bank PLC - USD FC</v>
          </cell>
          <cell r="C11">
            <v>0</v>
          </cell>
          <cell r="D11">
            <v>0</v>
          </cell>
          <cell r="E11">
            <v>0</v>
          </cell>
          <cell r="F11">
            <v>0</v>
          </cell>
          <cell r="G11"/>
          <cell r="H11">
            <v>0</v>
          </cell>
          <cell r="I11">
            <v>0</v>
          </cell>
          <cell r="J11">
            <v>0</v>
          </cell>
          <cell r="K11">
            <v>0</v>
          </cell>
          <cell r="L11">
            <v>100304</v>
          </cell>
          <cell r="M11">
            <v>1</v>
          </cell>
          <cell r="N11">
            <v>0</v>
          </cell>
          <cell r="O11">
            <v>0</v>
          </cell>
          <cell r="P11">
            <v>0</v>
          </cell>
          <cell r="Q11">
            <v>0</v>
          </cell>
          <cell r="R11">
            <v>0</v>
          </cell>
          <cell r="S11">
            <v>0</v>
          </cell>
        </row>
        <row r="12">
          <cell r="A12">
            <v>100305</v>
          </cell>
          <cell r="B12" t="str">
            <v>Bank One Canada-Syntel Inc</v>
          </cell>
          <cell r="C12">
            <v>0</v>
          </cell>
          <cell r="D12">
            <v>0</v>
          </cell>
          <cell r="E12">
            <v>0</v>
          </cell>
          <cell r="F12">
            <v>0</v>
          </cell>
          <cell r="G12"/>
          <cell r="H12">
            <v>0</v>
          </cell>
          <cell r="I12">
            <v>0</v>
          </cell>
          <cell r="J12">
            <v>0</v>
          </cell>
          <cell r="K12">
            <v>0</v>
          </cell>
          <cell r="L12">
            <v>100305</v>
          </cell>
          <cell r="M12">
            <v>1</v>
          </cell>
          <cell r="N12">
            <v>0</v>
          </cell>
          <cell r="O12">
            <v>0</v>
          </cell>
          <cell r="P12">
            <v>0</v>
          </cell>
          <cell r="Q12">
            <v>0</v>
          </cell>
          <cell r="R12">
            <v>0</v>
          </cell>
          <cell r="S12">
            <v>0</v>
          </cell>
        </row>
        <row r="13">
          <cell r="A13">
            <v>100314</v>
          </cell>
          <cell r="B13" t="str">
            <v>Axis Bank - USD FCY</v>
          </cell>
          <cell r="C13">
            <v>0</v>
          </cell>
          <cell r="D13">
            <v>0</v>
          </cell>
          <cell r="E13">
            <v>0</v>
          </cell>
          <cell r="F13">
            <v>0</v>
          </cell>
          <cell r="G13"/>
          <cell r="H13">
            <v>0</v>
          </cell>
          <cell r="I13">
            <v>0</v>
          </cell>
          <cell r="J13">
            <v>0</v>
          </cell>
          <cell r="K13">
            <v>0</v>
          </cell>
          <cell r="L13">
            <v>100314</v>
          </cell>
          <cell r="M13">
            <v>1</v>
          </cell>
          <cell r="N13">
            <v>0</v>
          </cell>
          <cell r="O13">
            <v>0</v>
          </cell>
          <cell r="P13">
            <v>0</v>
          </cell>
          <cell r="Q13">
            <v>0</v>
          </cell>
          <cell r="R13">
            <v>0</v>
          </cell>
          <cell r="S13">
            <v>0</v>
          </cell>
        </row>
        <row r="14">
          <cell r="A14">
            <v>100320</v>
          </cell>
          <cell r="B14" t="str">
            <v>HDFC Bank -USD EEFC</v>
          </cell>
          <cell r="C14">
            <v>0</v>
          </cell>
          <cell r="D14">
            <v>0</v>
          </cell>
          <cell r="E14">
            <v>0</v>
          </cell>
          <cell r="F14">
            <v>0</v>
          </cell>
          <cell r="G14"/>
          <cell r="H14">
            <v>0</v>
          </cell>
          <cell r="I14">
            <v>0</v>
          </cell>
          <cell r="J14">
            <v>0</v>
          </cell>
          <cell r="K14">
            <v>0</v>
          </cell>
          <cell r="L14">
            <v>100320</v>
          </cell>
          <cell r="M14">
            <v>1</v>
          </cell>
          <cell r="N14">
            <v>0</v>
          </cell>
          <cell r="O14">
            <v>0</v>
          </cell>
          <cell r="P14">
            <v>0</v>
          </cell>
          <cell r="Q14">
            <v>0</v>
          </cell>
          <cell r="R14">
            <v>0</v>
          </cell>
          <cell r="S14">
            <v>0</v>
          </cell>
        </row>
        <row r="15">
          <cell r="A15">
            <v>100325</v>
          </cell>
          <cell r="B15" t="str">
            <v xml:space="preserve">HDFC Bank -USD FC </v>
          </cell>
          <cell r="C15">
            <v>0</v>
          </cell>
          <cell r="D15">
            <v>0</v>
          </cell>
          <cell r="E15">
            <v>0</v>
          </cell>
          <cell r="F15">
            <v>0</v>
          </cell>
          <cell r="G15"/>
          <cell r="H15">
            <v>0</v>
          </cell>
          <cell r="I15">
            <v>0</v>
          </cell>
          <cell r="J15">
            <v>0</v>
          </cell>
          <cell r="K15">
            <v>0</v>
          </cell>
          <cell r="L15">
            <v>100325</v>
          </cell>
          <cell r="M15">
            <v>1</v>
          </cell>
          <cell r="N15">
            <v>0</v>
          </cell>
          <cell r="O15">
            <v>0</v>
          </cell>
          <cell r="P15">
            <v>0</v>
          </cell>
          <cell r="Q15">
            <v>0</v>
          </cell>
          <cell r="R15">
            <v>0</v>
          </cell>
          <cell r="S15">
            <v>0</v>
          </cell>
        </row>
        <row r="16">
          <cell r="A16">
            <v>100327</v>
          </cell>
          <cell r="B16" t="str">
            <v>Standard Chartered -USD FC</v>
          </cell>
          <cell r="C16">
            <v>0</v>
          </cell>
          <cell r="D16">
            <v>0</v>
          </cell>
          <cell r="E16">
            <v>0</v>
          </cell>
          <cell r="F16">
            <v>0</v>
          </cell>
          <cell r="G16"/>
          <cell r="H16">
            <v>0</v>
          </cell>
          <cell r="I16">
            <v>0</v>
          </cell>
          <cell r="J16">
            <v>0</v>
          </cell>
          <cell r="K16">
            <v>0</v>
          </cell>
          <cell r="L16">
            <v>100327</v>
          </cell>
          <cell r="M16">
            <v>1</v>
          </cell>
          <cell r="N16">
            <v>0</v>
          </cell>
          <cell r="O16">
            <v>0</v>
          </cell>
          <cell r="P16">
            <v>0</v>
          </cell>
          <cell r="Q16">
            <v>0</v>
          </cell>
          <cell r="R16">
            <v>0</v>
          </cell>
          <cell r="S16">
            <v>0</v>
          </cell>
        </row>
        <row r="17">
          <cell r="A17">
            <v>100400</v>
          </cell>
          <cell r="B17" t="str">
            <v>Bank-NBD (Old)</v>
          </cell>
          <cell r="C17">
            <v>0</v>
          </cell>
          <cell r="D17">
            <v>0</v>
          </cell>
          <cell r="E17">
            <v>0</v>
          </cell>
          <cell r="F17">
            <v>0</v>
          </cell>
          <cell r="G17"/>
          <cell r="H17">
            <v>0</v>
          </cell>
          <cell r="I17">
            <v>0</v>
          </cell>
          <cell r="J17">
            <v>0</v>
          </cell>
          <cell r="K17">
            <v>0</v>
          </cell>
          <cell r="L17">
            <v>100400</v>
          </cell>
          <cell r="M17">
            <v>1</v>
          </cell>
          <cell r="N17">
            <v>0</v>
          </cell>
          <cell r="O17">
            <v>0</v>
          </cell>
          <cell r="P17">
            <v>0</v>
          </cell>
          <cell r="Q17">
            <v>0</v>
          </cell>
          <cell r="R17">
            <v>0</v>
          </cell>
          <cell r="S17">
            <v>0</v>
          </cell>
        </row>
        <row r="18">
          <cell r="A18">
            <v>100440</v>
          </cell>
          <cell r="B18" t="str">
            <v>Bank-NBD Deposit Account</v>
          </cell>
          <cell r="C18">
            <v>0</v>
          </cell>
          <cell r="D18">
            <v>0</v>
          </cell>
          <cell r="E18">
            <v>0</v>
          </cell>
          <cell r="F18">
            <v>0</v>
          </cell>
          <cell r="G18"/>
          <cell r="H18">
            <v>0</v>
          </cell>
          <cell r="I18">
            <v>0</v>
          </cell>
          <cell r="J18">
            <v>0</v>
          </cell>
          <cell r="K18">
            <v>0</v>
          </cell>
          <cell r="L18">
            <v>100440</v>
          </cell>
          <cell r="M18">
            <v>1</v>
          </cell>
          <cell r="N18">
            <v>0</v>
          </cell>
          <cell r="O18">
            <v>0</v>
          </cell>
          <cell r="P18">
            <v>0</v>
          </cell>
          <cell r="Q18">
            <v>0</v>
          </cell>
          <cell r="R18">
            <v>0</v>
          </cell>
          <cell r="S18">
            <v>0</v>
          </cell>
        </row>
        <row r="19">
          <cell r="A19">
            <v>100441</v>
          </cell>
          <cell r="B19" t="str">
            <v>Bank of America</v>
          </cell>
          <cell r="C19">
            <v>0</v>
          </cell>
          <cell r="D19">
            <v>0</v>
          </cell>
          <cell r="E19">
            <v>0</v>
          </cell>
          <cell r="F19">
            <v>0</v>
          </cell>
          <cell r="G19"/>
          <cell r="H19">
            <v>0</v>
          </cell>
          <cell r="I19">
            <v>0</v>
          </cell>
          <cell r="J19">
            <v>0</v>
          </cell>
          <cell r="K19">
            <v>0</v>
          </cell>
          <cell r="L19">
            <v>100441</v>
          </cell>
          <cell r="M19">
            <v>1</v>
          </cell>
          <cell r="N19">
            <v>0</v>
          </cell>
          <cell r="O19">
            <v>0</v>
          </cell>
          <cell r="P19">
            <v>0</v>
          </cell>
          <cell r="Q19">
            <v>0</v>
          </cell>
          <cell r="R19">
            <v>0</v>
          </cell>
          <cell r="S19">
            <v>0</v>
          </cell>
        </row>
        <row r="20">
          <cell r="A20">
            <v>100450</v>
          </cell>
          <cell r="B20" t="str">
            <v>Bank-NBD A/P Checks</v>
          </cell>
          <cell r="C20">
            <v>0</v>
          </cell>
          <cell r="D20">
            <v>0</v>
          </cell>
          <cell r="E20">
            <v>0</v>
          </cell>
          <cell r="F20">
            <v>0</v>
          </cell>
          <cell r="G20"/>
          <cell r="H20">
            <v>0</v>
          </cell>
          <cell r="I20">
            <v>0</v>
          </cell>
          <cell r="J20">
            <v>0</v>
          </cell>
          <cell r="K20">
            <v>0</v>
          </cell>
          <cell r="L20">
            <v>100450</v>
          </cell>
          <cell r="M20">
            <v>1</v>
          </cell>
          <cell r="N20">
            <v>0</v>
          </cell>
          <cell r="O20">
            <v>0</v>
          </cell>
          <cell r="P20">
            <v>0</v>
          </cell>
          <cell r="Q20">
            <v>0</v>
          </cell>
          <cell r="R20">
            <v>0</v>
          </cell>
          <cell r="S20">
            <v>0</v>
          </cell>
        </row>
        <row r="21">
          <cell r="A21">
            <v>100451</v>
          </cell>
          <cell r="B21" t="str">
            <v>JPMorgan Chase Bank N.A. Curre</v>
          </cell>
          <cell r="C21">
            <v>0</v>
          </cell>
          <cell r="D21">
            <v>0</v>
          </cell>
          <cell r="E21">
            <v>0</v>
          </cell>
          <cell r="F21">
            <v>0</v>
          </cell>
          <cell r="G21"/>
          <cell r="H21">
            <v>0</v>
          </cell>
          <cell r="I21">
            <v>0</v>
          </cell>
          <cell r="J21">
            <v>0</v>
          </cell>
          <cell r="K21">
            <v>0</v>
          </cell>
          <cell r="L21">
            <v>100451</v>
          </cell>
          <cell r="M21">
            <v>1</v>
          </cell>
          <cell r="N21">
            <v>0</v>
          </cell>
          <cell r="O21">
            <v>0</v>
          </cell>
          <cell r="P21"/>
          <cell r="Q21"/>
          <cell r="R21">
            <v>0</v>
          </cell>
          <cell r="S21">
            <v>0</v>
          </cell>
        </row>
        <row r="22">
          <cell r="A22">
            <v>100452</v>
          </cell>
          <cell r="B22" t="str">
            <v>JPMorgan Chase Bank N.A. Payro</v>
          </cell>
          <cell r="C22">
            <v>0</v>
          </cell>
          <cell r="D22">
            <v>0</v>
          </cell>
          <cell r="E22">
            <v>0</v>
          </cell>
          <cell r="F22">
            <v>0</v>
          </cell>
          <cell r="G22"/>
          <cell r="H22">
            <v>0</v>
          </cell>
          <cell r="I22">
            <v>0</v>
          </cell>
          <cell r="J22">
            <v>0</v>
          </cell>
          <cell r="K22">
            <v>0</v>
          </cell>
          <cell r="L22">
            <v>100452</v>
          </cell>
          <cell r="M22">
            <v>1</v>
          </cell>
          <cell r="N22">
            <v>0</v>
          </cell>
          <cell r="O22">
            <v>0</v>
          </cell>
          <cell r="P22"/>
          <cell r="Q22"/>
          <cell r="R22">
            <v>0</v>
          </cell>
          <cell r="S22">
            <v>0</v>
          </cell>
        </row>
        <row r="23">
          <cell r="A23">
            <v>100454</v>
          </cell>
          <cell r="B23" t="str">
            <v>JPMorgan Chase Bank N.A. FCY A</v>
          </cell>
          <cell r="C23">
            <v>0</v>
          </cell>
          <cell r="D23">
            <v>0</v>
          </cell>
          <cell r="E23">
            <v>0</v>
          </cell>
          <cell r="F23">
            <v>0</v>
          </cell>
          <cell r="G23"/>
          <cell r="H23">
            <v>0</v>
          </cell>
          <cell r="I23">
            <v>0</v>
          </cell>
          <cell r="J23">
            <v>0</v>
          </cell>
          <cell r="K23">
            <v>0</v>
          </cell>
          <cell r="L23">
            <v>100454</v>
          </cell>
          <cell r="M23">
            <v>1</v>
          </cell>
          <cell r="N23">
            <v>0</v>
          </cell>
          <cell r="O23">
            <v>0</v>
          </cell>
          <cell r="P23"/>
          <cell r="Q23"/>
          <cell r="R23">
            <v>0</v>
          </cell>
          <cell r="S23">
            <v>0</v>
          </cell>
        </row>
        <row r="24">
          <cell r="A24">
            <v>100460</v>
          </cell>
          <cell r="B24" t="str">
            <v>Bank-NBD Expense Checks</v>
          </cell>
          <cell r="C24">
            <v>0</v>
          </cell>
          <cell r="D24">
            <v>0</v>
          </cell>
          <cell r="E24">
            <v>0</v>
          </cell>
          <cell r="F24">
            <v>0</v>
          </cell>
          <cell r="G24"/>
          <cell r="H24">
            <v>0</v>
          </cell>
          <cell r="I24">
            <v>0</v>
          </cell>
          <cell r="J24">
            <v>0</v>
          </cell>
          <cell r="K24">
            <v>0</v>
          </cell>
          <cell r="L24">
            <v>100460</v>
          </cell>
          <cell r="M24">
            <v>1</v>
          </cell>
          <cell r="N24">
            <v>0</v>
          </cell>
          <cell r="O24">
            <v>0</v>
          </cell>
          <cell r="P24">
            <v>0</v>
          </cell>
          <cell r="Q24">
            <v>0</v>
          </cell>
          <cell r="R24">
            <v>0</v>
          </cell>
          <cell r="S24">
            <v>0</v>
          </cell>
        </row>
        <row r="25">
          <cell r="A25">
            <v>100470</v>
          </cell>
          <cell r="B25" t="str">
            <v>Bank-NBD Flexible Spending Ckg</v>
          </cell>
          <cell r="C25">
            <v>0</v>
          </cell>
          <cell r="D25">
            <v>0</v>
          </cell>
          <cell r="E25">
            <v>0</v>
          </cell>
          <cell r="F25">
            <v>0</v>
          </cell>
          <cell r="G25"/>
          <cell r="H25">
            <v>0</v>
          </cell>
          <cell r="I25">
            <v>0</v>
          </cell>
          <cell r="J25">
            <v>0</v>
          </cell>
          <cell r="K25">
            <v>0</v>
          </cell>
          <cell r="L25">
            <v>100470</v>
          </cell>
          <cell r="M25">
            <v>1</v>
          </cell>
          <cell r="N25">
            <v>0</v>
          </cell>
          <cell r="O25">
            <v>0</v>
          </cell>
          <cell r="P25">
            <v>0</v>
          </cell>
          <cell r="Q25">
            <v>0</v>
          </cell>
          <cell r="R25">
            <v>0</v>
          </cell>
          <cell r="S25">
            <v>0</v>
          </cell>
        </row>
        <row r="26">
          <cell r="A26">
            <v>100480</v>
          </cell>
          <cell r="B26" t="str">
            <v>Bank-NBD Escrow Checking Acct</v>
          </cell>
          <cell r="C26">
            <v>0</v>
          </cell>
          <cell r="D26">
            <v>0</v>
          </cell>
          <cell r="E26">
            <v>0</v>
          </cell>
          <cell r="F26">
            <v>0</v>
          </cell>
          <cell r="G26"/>
          <cell r="H26">
            <v>0</v>
          </cell>
          <cell r="I26">
            <v>0</v>
          </cell>
          <cell r="J26">
            <v>0</v>
          </cell>
          <cell r="K26">
            <v>0</v>
          </cell>
          <cell r="L26">
            <v>100480</v>
          </cell>
          <cell r="M26">
            <v>1</v>
          </cell>
          <cell r="N26">
            <v>0</v>
          </cell>
          <cell r="O26">
            <v>0</v>
          </cell>
          <cell r="P26">
            <v>0</v>
          </cell>
          <cell r="Q26">
            <v>0</v>
          </cell>
          <cell r="R26">
            <v>0</v>
          </cell>
          <cell r="S26">
            <v>0</v>
          </cell>
        </row>
        <row r="27">
          <cell r="A27">
            <v>100490</v>
          </cell>
          <cell r="B27" t="str">
            <v>Syntel Earthquake Relief Fund</v>
          </cell>
          <cell r="C27">
            <v>0</v>
          </cell>
          <cell r="D27">
            <v>0</v>
          </cell>
          <cell r="E27">
            <v>0</v>
          </cell>
          <cell r="F27">
            <v>0</v>
          </cell>
          <cell r="G27"/>
          <cell r="H27">
            <v>0</v>
          </cell>
          <cell r="I27">
            <v>0</v>
          </cell>
          <cell r="J27">
            <v>0</v>
          </cell>
          <cell r="K27">
            <v>0</v>
          </cell>
          <cell r="L27">
            <v>100490</v>
          </cell>
          <cell r="M27">
            <v>1</v>
          </cell>
          <cell r="N27">
            <v>0</v>
          </cell>
          <cell r="O27">
            <v>0</v>
          </cell>
          <cell r="P27">
            <v>0</v>
          </cell>
          <cell r="Q27">
            <v>0</v>
          </cell>
          <cell r="R27">
            <v>0</v>
          </cell>
          <cell r="S27">
            <v>0</v>
          </cell>
        </row>
        <row r="28">
          <cell r="A28">
            <v>100491</v>
          </cell>
          <cell r="B28" t="str">
            <v>Bank Of India - USD FCY</v>
          </cell>
          <cell r="C28">
            <v>5.8207660913467407E-10</v>
          </cell>
          <cell r="D28">
            <v>0</v>
          </cell>
          <cell r="E28">
            <v>0</v>
          </cell>
          <cell r="F28">
            <v>5.8207660913467407E-10</v>
          </cell>
          <cell r="G28"/>
          <cell r="H28">
            <v>5.8207660913467407E-10</v>
          </cell>
          <cell r="I28">
            <v>0</v>
          </cell>
          <cell r="J28">
            <v>0</v>
          </cell>
          <cell r="K28">
            <v>5.8207660913467407E-10</v>
          </cell>
          <cell r="L28">
            <v>100491</v>
          </cell>
          <cell r="M28">
            <v>1</v>
          </cell>
          <cell r="N28">
            <v>0</v>
          </cell>
          <cell r="O28">
            <v>0</v>
          </cell>
          <cell r="P28">
            <v>458319.35000000068</v>
          </cell>
          <cell r="Q28">
            <v>-458319.35000000009</v>
          </cell>
          <cell r="R28">
            <v>0</v>
          </cell>
          <cell r="S28">
            <v>0</v>
          </cell>
        </row>
        <row r="29">
          <cell r="A29">
            <v>100492</v>
          </cell>
          <cell r="B29" t="str">
            <v>Allahabad Bank FD A/c</v>
          </cell>
          <cell r="C29">
            <v>0</v>
          </cell>
          <cell r="D29">
            <v>0</v>
          </cell>
          <cell r="E29">
            <v>0</v>
          </cell>
          <cell r="F29">
            <v>0</v>
          </cell>
          <cell r="G29"/>
          <cell r="H29">
            <v>0</v>
          </cell>
          <cell r="I29">
            <v>0</v>
          </cell>
          <cell r="J29">
            <v>0</v>
          </cell>
          <cell r="K29">
            <v>0</v>
          </cell>
          <cell r="L29">
            <v>100492</v>
          </cell>
          <cell r="M29">
            <v>1</v>
          </cell>
          <cell r="N29">
            <v>0</v>
          </cell>
          <cell r="O29">
            <v>0</v>
          </cell>
          <cell r="P29">
            <v>0</v>
          </cell>
          <cell r="Q29">
            <v>0</v>
          </cell>
          <cell r="R29">
            <v>0</v>
          </cell>
          <cell r="S29">
            <v>0</v>
          </cell>
        </row>
        <row r="30">
          <cell r="A30">
            <v>100493</v>
          </cell>
          <cell r="B30" t="str">
            <v>Yes Bank  Limited – FD  A/c</v>
          </cell>
          <cell r="C30">
            <v>0</v>
          </cell>
          <cell r="D30">
            <v>0</v>
          </cell>
          <cell r="E30">
            <v>0</v>
          </cell>
          <cell r="F30">
            <v>0</v>
          </cell>
          <cell r="G30"/>
          <cell r="H30">
            <v>0</v>
          </cell>
          <cell r="I30">
            <v>0</v>
          </cell>
          <cell r="J30">
            <v>0</v>
          </cell>
          <cell r="K30">
            <v>0</v>
          </cell>
          <cell r="L30">
            <v>100493</v>
          </cell>
          <cell r="M30">
            <v>1</v>
          </cell>
          <cell r="N30">
            <v>0</v>
          </cell>
          <cell r="O30">
            <v>0</v>
          </cell>
          <cell r="P30">
            <v>0</v>
          </cell>
          <cell r="Q30">
            <v>0</v>
          </cell>
          <cell r="R30">
            <v>0</v>
          </cell>
          <cell r="S30">
            <v>0</v>
          </cell>
        </row>
        <row r="31">
          <cell r="A31">
            <v>100500</v>
          </cell>
          <cell r="B31" t="str">
            <v>Metier Checking</v>
          </cell>
          <cell r="C31">
            <v>0</v>
          </cell>
          <cell r="D31">
            <v>0</v>
          </cell>
          <cell r="E31">
            <v>0</v>
          </cell>
          <cell r="F31">
            <v>0</v>
          </cell>
          <cell r="G31"/>
          <cell r="H31">
            <v>0</v>
          </cell>
          <cell r="I31">
            <v>0</v>
          </cell>
          <cell r="J31">
            <v>0</v>
          </cell>
          <cell r="K31">
            <v>0</v>
          </cell>
          <cell r="L31">
            <v>100500</v>
          </cell>
          <cell r="M31">
            <v>1</v>
          </cell>
          <cell r="N31">
            <v>0</v>
          </cell>
          <cell r="O31">
            <v>0</v>
          </cell>
          <cell r="P31">
            <v>0</v>
          </cell>
          <cell r="Q31">
            <v>0</v>
          </cell>
          <cell r="R31">
            <v>0</v>
          </cell>
          <cell r="S31">
            <v>0</v>
          </cell>
        </row>
        <row r="32">
          <cell r="A32">
            <v>100501</v>
          </cell>
          <cell r="B32" t="str">
            <v xml:space="preserve">Credit Agricole Indosuez INR </v>
          </cell>
          <cell r="C32">
            <v>0</v>
          </cell>
          <cell r="D32">
            <v>0</v>
          </cell>
          <cell r="E32">
            <v>0</v>
          </cell>
          <cell r="F32">
            <v>0</v>
          </cell>
          <cell r="G32"/>
          <cell r="H32">
            <v>0</v>
          </cell>
          <cell r="I32">
            <v>0</v>
          </cell>
          <cell r="J32">
            <v>0</v>
          </cell>
          <cell r="K32">
            <v>0</v>
          </cell>
          <cell r="L32">
            <v>100501</v>
          </cell>
          <cell r="M32">
            <v>1</v>
          </cell>
          <cell r="N32">
            <v>0</v>
          </cell>
          <cell r="O32">
            <v>0</v>
          </cell>
          <cell r="P32">
            <v>0</v>
          </cell>
          <cell r="Q32">
            <v>0</v>
          </cell>
          <cell r="R32">
            <v>0</v>
          </cell>
          <cell r="S32">
            <v>0</v>
          </cell>
        </row>
        <row r="33">
          <cell r="A33">
            <v>100502</v>
          </cell>
          <cell r="B33" t="str">
            <v>Bank of India - INR</v>
          </cell>
          <cell r="C33">
            <v>0</v>
          </cell>
          <cell r="D33">
            <v>0</v>
          </cell>
          <cell r="E33">
            <v>0</v>
          </cell>
          <cell r="F33">
            <v>0</v>
          </cell>
          <cell r="G33"/>
          <cell r="H33">
            <v>0</v>
          </cell>
          <cell r="I33">
            <v>0</v>
          </cell>
          <cell r="J33">
            <v>0</v>
          </cell>
          <cell r="K33">
            <v>0</v>
          </cell>
          <cell r="L33">
            <v>100502</v>
          </cell>
          <cell r="M33">
            <v>1</v>
          </cell>
          <cell r="N33">
            <v>0</v>
          </cell>
          <cell r="O33">
            <v>0</v>
          </cell>
          <cell r="P33">
            <v>5371685.5300000012</v>
          </cell>
          <cell r="Q33">
            <v>-5371685.5300000012</v>
          </cell>
          <cell r="R33">
            <v>0</v>
          </cell>
          <cell r="S33">
            <v>0</v>
          </cell>
        </row>
        <row r="34">
          <cell r="A34">
            <v>100503</v>
          </cell>
          <cell r="B34" t="str">
            <v>State Bank of India - INR</v>
          </cell>
          <cell r="C34">
            <v>0</v>
          </cell>
          <cell r="D34">
            <v>0</v>
          </cell>
          <cell r="E34">
            <v>0</v>
          </cell>
          <cell r="F34">
            <v>0</v>
          </cell>
          <cell r="G34"/>
          <cell r="H34">
            <v>0</v>
          </cell>
          <cell r="I34">
            <v>0</v>
          </cell>
          <cell r="J34">
            <v>0</v>
          </cell>
          <cell r="K34">
            <v>0</v>
          </cell>
          <cell r="L34">
            <v>100503</v>
          </cell>
          <cell r="M34">
            <v>1</v>
          </cell>
          <cell r="N34">
            <v>0</v>
          </cell>
          <cell r="O34">
            <v>0</v>
          </cell>
          <cell r="P34">
            <v>0</v>
          </cell>
          <cell r="Q34">
            <v>0</v>
          </cell>
          <cell r="R34">
            <v>0</v>
          </cell>
          <cell r="S34">
            <v>0</v>
          </cell>
        </row>
        <row r="35">
          <cell r="A35">
            <v>100504</v>
          </cell>
          <cell r="B35" t="str">
            <v>Standard Chartered - INR Mumbai</v>
          </cell>
          <cell r="C35">
            <v>0</v>
          </cell>
          <cell r="D35">
            <v>0</v>
          </cell>
          <cell r="E35">
            <v>0</v>
          </cell>
          <cell r="F35">
            <v>0</v>
          </cell>
          <cell r="G35"/>
          <cell r="H35">
            <v>0</v>
          </cell>
          <cell r="I35">
            <v>0</v>
          </cell>
          <cell r="J35">
            <v>0</v>
          </cell>
          <cell r="K35">
            <v>0</v>
          </cell>
          <cell r="L35">
            <v>100504</v>
          </cell>
          <cell r="M35">
            <v>1</v>
          </cell>
          <cell r="N35">
            <v>0</v>
          </cell>
          <cell r="O35">
            <v>0</v>
          </cell>
          <cell r="P35">
            <v>0</v>
          </cell>
          <cell r="Q35">
            <v>0</v>
          </cell>
          <cell r="R35">
            <v>0</v>
          </cell>
          <cell r="S35">
            <v>0</v>
          </cell>
        </row>
        <row r="36">
          <cell r="A36">
            <v>100505</v>
          </cell>
          <cell r="B36" t="str">
            <v>American Express Bank - INR</v>
          </cell>
          <cell r="C36">
            <v>0</v>
          </cell>
          <cell r="D36">
            <v>0</v>
          </cell>
          <cell r="E36">
            <v>0</v>
          </cell>
          <cell r="F36">
            <v>0</v>
          </cell>
          <cell r="G36"/>
          <cell r="H36">
            <v>0</v>
          </cell>
          <cell r="I36">
            <v>0</v>
          </cell>
          <cell r="J36">
            <v>0</v>
          </cell>
          <cell r="K36">
            <v>0</v>
          </cell>
          <cell r="L36">
            <v>100505</v>
          </cell>
          <cell r="M36">
            <v>1</v>
          </cell>
          <cell r="N36">
            <v>0</v>
          </cell>
          <cell r="O36">
            <v>0</v>
          </cell>
          <cell r="P36">
            <v>0</v>
          </cell>
          <cell r="Q36">
            <v>0</v>
          </cell>
          <cell r="R36">
            <v>0</v>
          </cell>
          <cell r="S36">
            <v>0</v>
          </cell>
        </row>
        <row r="37">
          <cell r="A37">
            <v>100506</v>
          </cell>
          <cell r="B37" t="str">
            <v>ICICI Bank - INR</v>
          </cell>
          <cell r="C37">
            <v>-0.4299999992690573</v>
          </cell>
          <cell r="D37">
            <v>0</v>
          </cell>
          <cell r="E37">
            <v>0</v>
          </cell>
          <cell r="F37">
            <v>-0.4299999992690573</v>
          </cell>
          <cell r="G37"/>
          <cell r="H37">
            <v>-0.4299999992690573</v>
          </cell>
          <cell r="I37">
            <v>0</v>
          </cell>
          <cell r="J37">
            <v>0</v>
          </cell>
          <cell r="K37">
            <v>-0.4299999992690573</v>
          </cell>
          <cell r="L37">
            <v>100506</v>
          </cell>
          <cell r="M37">
            <v>1</v>
          </cell>
          <cell r="N37">
            <v>0</v>
          </cell>
          <cell r="O37">
            <v>0</v>
          </cell>
          <cell r="P37">
            <v>1593387.2000000007</v>
          </cell>
          <cell r="Q37">
            <v>-1593387.63</v>
          </cell>
          <cell r="R37">
            <v>0</v>
          </cell>
          <cell r="S37">
            <v>0</v>
          </cell>
        </row>
        <row r="38">
          <cell r="A38">
            <v>100507</v>
          </cell>
          <cell r="B38" t="str">
            <v>UCO Bank - INR</v>
          </cell>
          <cell r="C38">
            <v>0</v>
          </cell>
          <cell r="D38">
            <v>0</v>
          </cell>
          <cell r="E38">
            <v>0</v>
          </cell>
          <cell r="F38">
            <v>0</v>
          </cell>
          <cell r="G38"/>
          <cell r="H38">
            <v>0</v>
          </cell>
          <cell r="I38">
            <v>0</v>
          </cell>
          <cell r="J38">
            <v>0</v>
          </cell>
          <cell r="K38">
            <v>0</v>
          </cell>
          <cell r="L38">
            <v>100507</v>
          </cell>
          <cell r="M38">
            <v>1</v>
          </cell>
          <cell r="N38">
            <v>0</v>
          </cell>
          <cell r="O38">
            <v>0</v>
          </cell>
          <cell r="P38">
            <v>0</v>
          </cell>
          <cell r="Q38">
            <v>0</v>
          </cell>
          <cell r="R38">
            <v>0</v>
          </cell>
          <cell r="S38">
            <v>0</v>
          </cell>
        </row>
        <row r="39">
          <cell r="A39">
            <v>100508</v>
          </cell>
          <cell r="B39" t="str">
            <v>Credit Agricole Indosuez EEFC</v>
          </cell>
          <cell r="C39">
            <v>0</v>
          </cell>
          <cell r="D39">
            <v>0</v>
          </cell>
          <cell r="E39">
            <v>0</v>
          </cell>
          <cell r="F39">
            <v>0</v>
          </cell>
          <cell r="G39"/>
          <cell r="H39">
            <v>0</v>
          </cell>
          <cell r="I39">
            <v>0</v>
          </cell>
          <cell r="J39">
            <v>0</v>
          </cell>
          <cell r="K39">
            <v>0</v>
          </cell>
          <cell r="L39">
            <v>100508</v>
          </cell>
          <cell r="M39">
            <v>1</v>
          </cell>
          <cell r="N39">
            <v>0</v>
          </cell>
          <cell r="O39">
            <v>0</v>
          </cell>
          <cell r="P39">
            <v>0</v>
          </cell>
          <cell r="Q39">
            <v>0</v>
          </cell>
          <cell r="R39">
            <v>0</v>
          </cell>
          <cell r="S39">
            <v>0</v>
          </cell>
        </row>
        <row r="40">
          <cell r="A40">
            <v>100509</v>
          </cell>
          <cell r="B40" t="str">
            <v xml:space="preserve">Bank of India - EEFC </v>
          </cell>
          <cell r="C40">
            <v>0</v>
          </cell>
          <cell r="D40">
            <v>0</v>
          </cell>
          <cell r="E40">
            <v>0</v>
          </cell>
          <cell r="F40">
            <v>0</v>
          </cell>
          <cell r="G40"/>
          <cell r="H40">
            <v>0</v>
          </cell>
          <cell r="I40">
            <v>0</v>
          </cell>
          <cell r="J40">
            <v>0</v>
          </cell>
          <cell r="K40">
            <v>0</v>
          </cell>
          <cell r="L40">
            <v>100509</v>
          </cell>
          <cell r="M40">
            <v>1</v>
          </cell>
          <cell r="N40">
            <v>0</v>
          </cell>
          <cell r="O40">
            <v>0</v>
          </cell>
          <cell r="P40">
            <v>0</v>
          </cell>
          <cell r="Q40">
            <v>0</v>
          </cell>
          <cell r="R40">
            <v>0</v>
          </cell>
          <cell r="S40">
            <v>0</v>
          </cell>
        </row>
        <row r="41">
          <cell r="A41">
            <v>100510</v>
          </cell>
          <cell r="B41" t="str">
            <v>Metier Payroll</v>
          </cell>
          <cell r="C41">
            <v>0</v>
          </cell>
          <cell r="D41">
            <v>0</v>
          </cell>
          <cell r="E41">
            <v>0</v>
          </cell>
          <cell r="F41">
            <v>0</v>
          </cell>
          <cell r="G41"/>
          <cell r="H41">
            <v>0</v>
          </cell>
          <cell r="I41">
            <v>0</v>
          </cell>
          <cell r="J41">
            <v>0</v>
          </cell>
          <cell r="K41">
            <v>0</v>
          </cell>
          <cell r="L41">
            <v>100510</v>
          </cell>
          <cell r="M41">
            <v>1</v>
          </cell>
          <cell r="N41">
            <v>0</v>
          </cell>
          <cell r="O41">
            <v>0</v>
          </cell>
          <cell r="P41">
            <v>0</v>
          </cell>
          <cell r="Q41">
            <v>0</v>
          </cell>
          <cell r="R41">
            <v>0</v>
          </cell>
          <cell r="S41">
            <v>0</v>
          </cell>
        </row>
        <row r="42">
          <cell r="A42">
            <v>100511</v>
          </cell>
          <cell r="B42" t="str">
            <v>Bank One - USA CA</v>
          </cell>
          <cell r="C42">
            <v>-3.7252902984619141E-9</v>
          </cell>
          <cell r="D42">
            <v>0</v>
          </cell>
          <cell r="E42">
            <v>0</v>
          </cell>
          <cell r="F42">
            <v>-3.7252902984619141E-9</v>
          </cell>
          <cell r="G42"/>
          <cell r="H42">
            <v>-3.7252902984619141E-9</v>
          </cell>
          <cell r="I42">
            <v>0</v>
          </cell>
          <cell r="J42">
            <v>0</v>
          </cell>
          <cell r="K42">
            <v>-3.7252902984619141E-9</v>
          </cell>
          <cell r="L42">
            <v>100511</v>
          </cell>
          <cell r="M42">
            <v>1</v>
          </cell>
          <cell r="N42">
            <v>0</v>
          </cell>
          <cell r="O42">
            <v>0</v>
          </cell>
          <cell r="P42">
            <v>32359567.019999996</v>
          </cell>
          <cell r="Q42">
            <v>-32359567.02</v>
          </cell>
          <cell r="R42">
            <v>0</v>
          </cell>
          <cell r="S42">
            <v>0</v>
          </cell>
        </row>
        <row r="43">
          <cell r="A43">
            <v>100513</v>
          </cell>
          <cell r="B43" t="str">
            <v>HDFC Bank Limited - INR</v>
          </cell>
          <cell r="C43">
            <v>1.0000000001855369</v>
          </cell>
          <cell r="D43">
            <v>0</v>
          </cell>
          <cell r="E43">
            <v>0</v>
          </cell>
          <cell r="F43">
            <v>1.0000000001855369</v>
          </cell>
          <cell r="G43"/>
          <cell r="H43">
            <v>1.0000000001855369</v>
          </cell>
          <cell r="I43">
            <v>0</v>
          </cell>
          <cell r="J43">
            <v>0</v>
          </cell>
          <cell r="K43">
            <v>1.0000000001855369</v>
          </cell>
          <cell r="L43">
            <v>100513</v>
          </cell>
          <cell r="M43">
            <v>1</v>
          </cell>
          <cell r="N43">
            <v>0</v>
          </cell>
          <cell r="O43">
            <v>0</v>
          </cell>
          <cell r="P43">
            <v>523426.5</v>
          </cell>
          <cell r="Q43">
            <v>-523425.49999999983</v>
          </cell>
          <cell r="R43">
            <v>0</v>
          </cell>
          <cell r="S43">
            <v>0</v>
          </cell>
        </row>
        <row r="44">
          <cell r="A44">
            <v>100514</v>
          </cell>
          <cell r="B44" t="str">
            <v>Kotak Bank- Current A/c</v>
          </cell>
          <cell r="C44">
            <v>-0.30000000016298145</v>
          </cell>
          <cell r="D44">
            <v>0</v>
          </cell>
          <cell r="E44">
            <v>0</v>
          </cell>
          <cell r="F44">
            <v>-0.30000000016298145</v>
          </cell>
          <cell r="G44"/>
          <cell r="H44">
            <v>-0.30000000016298145</v>
          </cell>
          <cell r="I44">
            <v>0</v>
          </cell>
          <cell r="J44">
            <v>0</v>
          </cell>
          <cell r="K44">
            <v>-0.30000000016298145</v>
          </cell>
          <cell r="L44">
            <v>100514</v>
          </cell>
          <cell r="M44">
            <v>1</v>
          </cell>
          <cell r="N44">
            <v>0</v>
          </cell>
          <cell r="O44">
            <v>0</v>
          </cell>
          <cell r="P44">
            <v>66522.069999999832</v>
          </cell>
          <cell r="Q44">
            <v>-66522.37</v>
          </cell>
          <cell r="R44">
            <v>0</v>
          </cell>
          <cell r="S44">
            <v>0</v>
          </cell>
        </row>
        <row r="45">
          <cell r="A45">
            <v>100515</v>
          </cell>
          <cell r="B45" t="str">
            <v>Kotak Bank-Fixed Deposits</v>
          </cell>
          <cell r="C45">
            <v>0</v>
          </cell>
          <cell r="D45">
            <v>0</v>
          </cell>
          <cell r="E45">
            <v>0</v>
          </cell>
          <cell r="F45">
            <v>0</v>
          </cell>
          <cell r="G45"/>
          <cell r="H45">
            <v>0</v>
          </cell>
          <cell r="I45">
            <v>0</v>
          </cell>
          <cell r="J45">
            <v>0</v>
          </cell>
          <cell r="K45">
            <v>0</v>
          </cell>
          <cell r="L45">
            <v>100515</v>
          </cell>
          <cell r="M45">
            <v>1</v>
          </cell>
          <cell r="N45">
            <v>0</v>
          </cell>
          <cell r="O45">
            <v>0</v>
          </cell>
          <cell r="P45">
            <v>0</v>
          </cell>
          <cell r="Q45">
            <v>0</v>
          </cell>
          <cell r="R45">
            <v>0</v>
          </cell>
          <cell r="S45">
            <v>0</v>
          </cell>
        </row>
        <row r="46">
          <cell r="A46">
            <v>100516</v>
          </cell>
          <cell r="B46" t="str">
            <v>PNB - Current A/c</v>
          </cell>
          <cell r="C46">
            <v>0</v>
          </cell>
          <cell r="D46">
            <v>0</v>
          </cell>
          <cell r="E46">
            <v>0</v>
          </cell>
          <cell r="F46">
            <v>0</v>
          </cell>
          <cell r="G46"/>
          <cell r="H46">
            <v>0</v>
          </cell>
          <cell r="I46">
            <v>0</v>
          </cell>
          <cell r="J46">
            <v>0</v>
          </cell>
          <cell r="K46">
            <v>0</v>
          </cell>
          <cell r="L46">
            <v>100516</v>
          </cell>
          <cell r="M46">
            <v>1</v>
          </cell>
          <cell r="N46">
            <v>0</v>
          </cell>
          <cell r="O46">
            <v>0</v>
          </cell>
          <cell r="P46">
            <v>0</v>
          </cell>
          <cell r="Q46">
            <v>0</v>
          </cell>
          <cell r="R46">
            <v>0</v>
          </cell>
          <cell r="S46">
            <v>0</v>
          </cell>
        </row>
        <row r="47">
          <cell r="A47">
            <v>100519</v>
          </cell>
          <cell r="B47" t="str">
            <v>Citibank</v>
          </cell>
          <cell r="C47">
            <v>0</v>
          </cell>
          <cell r="D47">
            <v>0</v>
          </cell>
          <cell r="E47">
            <v>0</v>
          </cell>
          <cell r="F47">
            <v>0</v>
          </cell>
          <cell r="G47"/>
          <cell r="H47">
            <v>0</v>
          </cell>
          <cell r="I47">
            <v>0</v>
          </cell>
          <cell r="J47">
            <v>0</v>
          </cell>
          <cell r="K47">
            <v>0</v>
          </cell>
          <cell r="L47">
            <v>100519</v>
          </cell>
          <cell r="M47">
            <v>1</v>
          </cell>
          <cell r="N47">
            <v>0</v>
          </cell>
          <cell r="O47">
            <v>0</v>
          </cell>
          <cell r="P47">
            <v>0</v>
          </cell>
          <cell r="Q47">
            <v>0</v>
          </cell>
          <cell r="R47">
            <v>0</v>
          </cell>
          <cell r="S47">
            <v>0</v>
          </cell>
        </row>
        <row r="48">
          <cell r="A48">
            <v>100520</v>
          </cell>
          <cell r="B48" t="str">
            <v>Metier Investments</v>
          </cell>
          <cell r="C48">
            <v>0</v>
          </cell>
          <cell r="D48">
            <v>0</v>
          </cell>
          <cell r="E48">
            <v>0</v>
          </cell>
          <cell r="F48">
            <v>0</v>
          </cell>
          <cell r="G48"/>
          <cell r="H48">
            <v>0</v>
          </cell>
          <cell r="I48">
            <v>0</v>
          </cell>
          <cell r="J48">
            <v>0</v>
          </cell>
          <cell r="K48">
            <v>0</v>
          </cell>
          <cell r="L48">
            <v>100520</v>
          </cell>
          <cell r="M48">
            <v>1</v>
          </cell>
          <cell r="N48">
            <v>0</v>
          </cell>
          <cell r="O48">
            <v>0</v>
          </cell>
          <cell r="P48">
            <v>0</v>
          </cell>
          <cell r="Q48">
            <v>0</v>
          </cell>
          <cell r="R48">
            <v>0</v>
          </cell>
          <cell r="S48">
            <v>0</v>
          </cell>
        </row>
        <row r="49">
          <cell r="A49">
            <v>100517</v>
          </cell>
          <cell r="B49" t="str">
            <v>PNB-Fixed Deposits</v>
          </cell>
          <cell r="C49">
            <v>0</v>
          </cell>
          <cell r="D49">
            <v>0</v>
          </cell>
          <cell r="E49">
            <v>0</v>
          </cell>
          <cell r="F49">
            <v>0</v>
          </cell>
          <cell r="G49"/>
          <cell r="H49">
            <v>0</v>
          </cell>
          <cell r="I49">
            <v>0</v>
          </cell>
          <cell r="J49">
            <v>0</v>
          </cell>
          <cell r="K49">
            <v>0</v>
          </cell>
          <cell r="L49">
            <v>100517</v>
          </cell>
          <cell r="M49">
            <v>1</v>
          </cell>
          <cell r="N49">
            <v>0</v>
          </cell>
          <cell r="O49">
            <v>0</v>
          </cell>
          <cell r="P49">
            <v>166696591</v>
          </cell>
          <cell r="Q49">
            <v>-166696591</v>
          </cell>
          <cell r="R49">
            <v>0</v>
          </cell>
          <cell r="S49">
            <v>0</v>
          </cell>
        </row>
        <row r="50">
          <cell r="A50">
            <v>100521</v>
          </cell>
          <cell r="B50" t="str">
            <v>Bank of India - TDR</v>
          </cell>
          <cell r="C50">
            <v>0</v>
          </cell>
          <cell r="D50">
            <v>0</v>
          </cell>
          <cell r="E50">
            <v>0</v>
          </cell>
          <cell r="F50">
            <v>0</v>
          </cell>
          <cell r="G50"/>
          <cell r="H50">
            <v>0</v>
          </cell>
          <cell r="I50">
            <v>0</v>
          </cell>
          <cell r="J50">
            <v>0</v>
          </cell>
          <cell r="K50">
            <v>0</v>
          </cell>
          <cell r="L50">
            <v>100521</v>
          </cell>
          <cell r="M50">
            <v>1</v>
          </cell>
          <cell r="N50">
            <v>0</v>
          </cell>
          <cell r="O50">
            <v>0</v>
          </cell>
          <cell r="P50">
            <v>0</v>
          </cell>
          <cell r="Q50">
            <v>0</v>
          </cell>
          <cell r="R50">
            <v>0</v>
          </cell>
          <cell r="S50">
            <v>0</v>
          </cell>
        </row>
        <row r="51">
          <cell r="A51">
            <v>100522</v>
          </cell>
          <cell r="B51" t="str">
            <v>State Bank of India - TDR</v>
          </cell>
          <cell r="C51">
            <v>0</v>
          </cell>
          <cell r="D51">
            <v>0</v>
          </cell>
          <cell r="E51">
            <v>0</v>
          </cell>
          <cell r="F51">
            <v>0</v>
          </cell>
          <cell r="G51"/>
          <cell r="H51">
            <v>0</v>
          </cell>
          <cell r="I51">
            <v>0</v>
          </cell>
          <cell r="J51">
            <v>0</v>
          </cell>
          <cell r="K51">
            <v>0</v>
          </cell>
          <cell r="L51">
            <v>100522</v>
          </cell>
          <cell r="M51">
            <v>1</v>
          </cell>
          <cell r="N51">
            <v>0</v>
          </cell>
          <cell r="O51">
            <v>0</v>
          </cell>
          <cell r="P51">
            <v>0</v>
          </cell>
          <cell r="Q51">
            <v>0</v>
          </cell>
          <cell r="R51">
            <v>0</v>
          </cell>
          <cell r="S51">
            <v>0</v>
          </cell>
        </row>
        <row r="52">
          <cell r="A52">
            <v>100523</v>
          </cell>
          <cell r="B52" t="str">
            <v>Credit Agricole Indosuez - TDR</v>
          </cell>
          <cell r="C52">
            <v>0</v>
          </cell>
          <cell r="D52">
            <v>0</v>
          </cell>
          <cell r="E52">
            <v>0</v>
          </cell>
          <cell r="F52">
            <v>0</v>
          </cell>
          <cell r="G52"/>
          <cell r="H52">
            <v>0</v>
          </cell>
          <cell r="I52">
            <v>0</v>
          </cell>
          <cell r="J52">
            <v>0</v>
          </cell>
          <cell r="K52">
            <v>0</v>
          </cell>
          <cell r="L52">
            <v>100523</v>
          </cell>
          <cell r="M52">
            <v>1</v>
          </cell>
          <cell r="N52">
            <v>0</v>
          </cell>
          <cell r="O52">
            <v>0</v>
          </cell>
          <cell r="P52">
            <v>0</v>
          </cell>
          <cell r="Q52">
            <v>0</v>
          </cell>
          <cell r="R52">
            <v>0</v>
          </cell>
          <cell r="S52">
            <v>0</v>
          </cell>
        </row>
        <row r="53">
          <cell r="A53">
            <v>100524</v>
          </cell>
          <cell r="B53" t="str">
            <v>UCO Bank - TDR</v>
          </cell>
          <cell r="C53">
            <v>0</v>
          </cell>
          <cell r="D53">
            <v>0</v>
          </cell>
          <cell r="E53">
            <v>0</v>
          </cell>
          <cell r="F53">
            <v>0</v>
          </cell>
          <cell r="G53"/>
          <cell r="H53">
            <v>0</v>
          </cell>
          <cell r="I53">
            <v>0</v>
          </cell>
          <cell r="J53">
            <v>0</v>
          </cell>
          <cell r="K53">
            <v>0</v>
          </cell>
          <cell r="L53">
            <v>100524</v>
          </cell>
          <cell r="M53">
            <v>1</v>
          </cell>
          <cell r="N53">
            <v>0</v>
          </cell>
          <cell r="O53">
            <v>0</v>
          </cell>
          <cell r="P53">
            <v>0</v>
          </cell>
          <cell r="Q53">
            <v>0</v>
          </cell>
          <cell r="R53">
            <v>0</v>
          </cell>
          <cell r="S53">
            <v>0</v>
          </cell>
        </row>
        <row r="54">
          <cell r="A54">
            <v>100525</v>
          </cell>
          <cell r="B54" t="str">
            <v>Standard Chartered - INR Chennai</v>
          </cell>
          <cell r="C54">
            <v>0</v>
          </cell>
          <cell r="D54">
            <v>0</v>
          </cell>
          <cell r="E54">
            <v>0</v>
          </cell>
          <cell r="F54">
            <v>0</v>
          </cell>
          <cell r="G54"/>
          <cell r="H54">
            <v>0</v>
          </cell>
          <cell r="I54">
            <v>0</v>
          </cell>
          <cell r="J54">
            <v>0</v>
          </cell>
          <cell r="K54">
            <v>0</v>
          </cell>
          <cell r="L54">
            <v>100525</v>
          </cell>
          <cell r="M54">
            <v>1</v>
          </cell>
          <cell r="N54">
            <v>0</v>
          </cell>
          <cell r="O54">
            <v>0</v>
          </cell>
          <cell r="P54">
            <v>0</v>
          </cell>
          <cell r="Q54">
            <v>0</v>
          </cell>
          <cell r="R54">
            <v>0</v>
          </cell>
          <cell r="S54">
            <v>0</v>
          </cell>
        </row>
        <row r="55">
          <cell r="A55">
            <v>100526</v>
          </cell>
          <cell r="B55" t="str">
            <v>ICICI Bank - TDR</v>
          </cell>
          <cell r="C55">
            <v>0</v>
          </cell>
          <cell r="D55">
            <v>0</v>
          </cell>
          <cell r="E55">
            <v>0</v>
          </cell>
          <cell r="F55">
            <v>0</v>
          </cell>
          <cell r="G55"/>
          <cell r="H55">
            <v>0</v>
          </cell>
          <cell r="I55">
            <v>0</v>
          </cell>
          <cell r="J55">
            <v>0</v>
          </cell>
          <cell r="K55">
            <v>0</v>
          </cell>
          <cell r="L55">
            <v>100526</v>
          </cell>
          <cell r="M55">
            <v>1</v>
          </cell>
          <cell r="N55">
            <v>0</v>
          </cell>
          <cell r="O55">
            <v>0</v>
          </cell>
          <cell r="P55">
            <v>0</v>
          </cell>
          <cell r="Q55">
            <v>0</v>
          </cell>
          <cell r="R55">
            <v>0</v>
          </cell>
          <cell r="S55">
            <v>0</v>
          </cell>
        </row>
        <row r="56">
          <cell r="A56">
            <v>100527</v>
          </cell>
          <cell r="B56" t="str">
            <v>Bank of India - USD TDR</v>
          </cell>
          <cell r="C56">
            <v>0.33800005912780762</v>
          </cell>
          <cell r="D56">
            <v>0</v>
          </cell>
          <cell r="E56">
            <v>0</v>
          </cell>
          <cell r="F56">
            <v>0.33800005912780762</v>
          </cell>
          <cell r="G56"/>
          <cell r="H56">
            <v>0.33800005912780762</v>
          </cell>
          <cell r="I56">
            <v>0</v>
          </cell>
          <cell r="J56">
            <v>0</v>
          </cell>
          <cell r="K56">
            <v>0.33800005912780762</v>
          </cell>
          <cell r="L56">
            <v>100527</v>
          </cell>
          <cell r="M56">
            <v>1</v>
          </cell>
          <cell r="N56">
            <v>0</v>
          </cell>
          <cell r="O56">
            <v>0</v>
          </cell>
          <cell r="P56">
            <v>611513942.33800006</v>
          </cell>
          <cell r="Q56">
            <v>-611513942</v>
          </cell>
          <cell r="R56">
            <v>0</v>
          </cell>
          <cell r="S56">
            <v>0</v>
          </cell>
        </row>
        <row r="57">
          <cell r="A57">
            <v>100528</v>
          </cell>
          <cell r="B57" t="str">
            <v>ICICI Bank - TDR - OBU</v>
          </cell>
          <cell r="C57">
            <v>0</v>
          </cell>
          <cell r="D57">
            <v>0</v>
          </cell>
          <cell r="E57">
            <v>0</v>
          </cell>
          <cell r="F57">
            <v>0</v>
          </cell>
          <cell r="G57"/>
          <cell r="H57">
            <v>0</v>
          </cell>
          <cell r="I57">
            <v>0</v>
          </cell>
          <cell r="J57">
            <v>0</v>
          </cell>
          <cell r="K57">
            <v>0</v>
          </cell>
          <cell r="L57">
            <v>100528</v>
          </cell>
          <cell r="M57">
            <v>1</v>
          </cell>
          <cell r="N57">
            <v>0</v>
          </cell>
          <cell r="O57">
            <v>0</v>
          </cell>
          <cell r="P57">
            <v>0</v>
          </cell>
          <cell r="Q57">
            <v>0</v>
          </cell>
          <cell r="R57">
            <v>0</v>
          </cell>
          <cell r="S57">
            <v>0</v>
          </cell>
        </row>
        <row r="58">
          <cell r="A58">
            <v>100529</v>
          </cell>
          <cell r="B58" t="str">
            <v>Reliance Floating Rate Fund</v>
          </cell>
          <cell r="C58">
            <v>0</v>
          </cell>
          <cell r="D58">
            <v>0</v>
          </cell>
          <cell r="E58">
            <v>0</v>
          </cell>
          <cell r="F58">
            <v>0</v>
          </cell>
          <cell r="G58"/>
          <cell r="H58">
            <v>0</v>
          </cell>
          <cell r="I58">
            <v>0</v>
          </cell>
          <cell r="J58">
            <v>0</v>
          </cell>
          <cell r="K58">
            <v>0</v>
          </cell>
          <cell r="L58">
            <v>100529</v>
          </cell>
          <cell r="M58">
            <v>1</v>
          </cell>
          <cell r="N58">
            <v>0</v>
          </cell>
          <cell r="O58">
            <v>0</v>
          </cell>
          <cell r="P58">
            <v>0</v>
          </cell>
          <cell r="Q58">
            <v>0</v>
          </cell>
          <cell r="R58">
            <v>0</v>
          </cell>
          <cell r="S58">
            <v>0</v>
          </cell>
        </row>
        <row r="59">
          <cell r="A59">
            <v>100530</v>
          </cell>
          <cell r="B59" t="str">
            <v>Punjab National Bank - USD TDR</v>
          </cell>
          <cell r="C59">
            <v>1.4449999928474426</v>
          </cell>
          <cell r="D59">
            <v>0</v>
          </cell>
          <cell r="E59">
            <v>0</v>
          </cell>
          <cell r="F59">
            <v>1.4449999928474426</v>
          </cell>
          <cell r="G59"/>
          <cell r="H59">
            <v>1.4449999928474426</v>
          </cell>
          <cell r="I59">
            <v>0</v>
          </cell>
          <cell r="J59">
            <v>0</v>
          </cell>
          <cell r="K59">
            <v>1.4449999928474426</v>
          </cell>
          <cell r="L59">
            <v>100530</v>
          </cell>
          <cell r="M59">
            <v>1</v>
          </cell>
          <cell r="N59">
            <v>0</v>
          </cell>
          <cell r="O59">
            <v>0</v>
          </cell>
          <cell r="P59">
            <v>1.4449999928474426</v>
          </cell>
          <cell r="Q59">
            <v>0</v>
          </cell>
          <cell r="R59">
            <v>0</v>
          </cell>
          <cell r="S59">
            <v>0</v>
          </cell>
        </row>
        <row r="60">
          <cell r="A60">
            <v>100531</v>
          </cell>
          <cell r="B60" t="str">
            <v>Punjab National Bank</v>
          </cell>
          <cell r="C60">
            <v>1.1641532182693481E-10</v>
          </cell>
          <cell r="D60">
            <v>0</v>
          </cell>
          <cell r="E60">
            <v>0</v>
          </cell>
          <cell r="F60">
            <v>1.1641532182693481E-10</v>
          </cell>
          <cell r="G60"/>
          <cell r="H60">
            <v>1.1641532182693481E-10</v>
          </cell>
          <cell r="I60">
            <v>0</v>
          </cell>
          <cell r="J60">
            <v>0</v>
          </cell>
          <cell r="K60">
            <v>1.1641532182693481E-10</v>
          </cell>
          <cell r="L60">
            <v>100531</v>
          </cell>
          <cell r="M60">
            <v>1</v>
          </cell>
          <cell r="N60">
            <v>0</v>
          </cell>
          <cell r="O60">
            <v>0</v>
          </cell>
          <cell r="P60">
            <v>678686.61</v>
          </cell>
          <cell r="Q60">
            <v>-678686.60999999987</v>
          </cell>
          <cell r="R60">
            <v>0</v>
          </cell>
          <cell r="S60">
            <v>0</v>
          </cell>
        </row>
        <row r="61">
          <cell r="A61">
            <v>100533</v>
          </cell>
          <cell r="B61" t="str">
            <v>Standard Chartered Bank - TDR</v>
          </cell>
          <cell r="C61">
            <v>0</v>
          </cell>
          <cell r="D61">
            <v>0</v>
          </cell>
          <cell r="E61">
            <v>0</v>
          </cell>
          <cell r="F61">
            <v>0</v>
          </cell>
          <cell r="G61"/>
          <cell r="H61">
            <v>0</v>
          </cell>
          <cell r="I61">
            <v>0</v>
          </cell>
          <cell r="J61">
            <v>0</v>
          </cell>
          <cell r="K61">
            <v>0</v>
          </cell>
          <cell r="L61">
            <v>100533</v>
          </cell>
          <cell r="M61">
            <v>1</v>
          </cell>
          <cell r="N61">
            <v>0</v>
          </cell>
          <cell r="O61">
            <v>0</v>
          </cell>
          <cell r="P61">
            <v>0</v>
          </cell>
          <cell r="Q61">
            <v>0</v>
          </cell>
          <cell r="R61">
            <v>0</v>
          </cell>
          <cell r="S61">
            <v>0</v>
          </cell>
        </row>
        <row r="62">
          <cell r="A62">
            <v>100534</v>
          </cell>
          <cell r="B62" t="str">
            <v>HDFC Bank Limited -INR TDR</v>
          </cell>
          <cell r="C62">
            <v>0</v>
          </cell>
          <cell r="D62">
            <v>0</v>
          </cell>
          <cell r="E62">
            <v>0</v>
          </cell>
          <cell r="F62">
            <v>0</v>
          </cell>
          <cell r="G62"/>
          <cell r="H62">
            <v>0</v>
          </cell>
          <cell r="I62">
            <v>0</v>
          </cell>
          <cell r="J62">
            <v>0</v>
          </cell>
          <cell r="K62">
            <v>0</v>
          </cell>
          <cell r="L62">
            <v>100534</v>
          </cell>
          <cell r="M62">
            <v>1</v>
          </cell>
          <cell r="N62">
            <v>0</v>
          </cell>
          <cell r="O62">
            <v>0</v>
          </cell>
          <cell r="P62">
            <v>0</v>
          </cell>
          <cell r="Q62">
            <v>0</v>
          </cell>
          <cell r="R62">
            <v>0</v>
          </cell>
          <cell r="S62">
            <v>0</v>
          </cell>
        </row>
        <row r="63">
          <cell r="A63">
            <v>100535</v>
          </cell>
          <cell r="B63" t="str">
            <v>Corporation Bank - INR</v>
          </cell>
          <cell r="C63">
            <v>0</v>
          </cell>
          <cell r="D63">
            <v>0</v>
          </cell>
          <cell r="E63">
            <v>0</v>
          </cell>
          <cell r="F63">
            <v>0</v>
          </cell>
          <cell r="G63"/>
          <cell r="H63">
            <v>0</v>
          </cell>
          <cell r="I63">
            <v>0</v>
          </cell>
          <cell r="J63">
            <v>0</v>
          </cell>
          <cell r="K63">
            <v>0</v>
          </cell>
          <cell r="L63">
            <v>100535</v>
          </cell>
          <cell r="M63">
            <v>1</v>
          </cell>
          <cell r="N63">
            <v>0</v>
          </cell>
          <cell r="O63">
            <v>0</v>
          </cell>
          <cell r="P63">
            <v>0</v>
          </cell>
          <cell r="Q63">
            <v>0</v>
          </cell>
          <cell r="R63">
            <v>0</v>
          </cell>
          <cell r="S63">
            <v>0</v>
          </cell>
        </row>
        <row r="64">
          <cell r="A64">
            <v>100536</v>
          </cell>
          <cell r="B64" t="str">
            <v>Corporation Bank - INR TDR</v>
          </cell>
          <cell r="C64">
            <v>0</v>
          </cell>
          <cell r="D64">
            <v>0</v>
          </cell>
          <cell r="E64">
            <v>0</v>
          </cell>
          <cell r="F64">
            <v>0</v>
          </cell>
          <cell r="G64"/>
          <cell r="H64">
            <v>0</v>
          </cell>
          <cell r="I64">
            <v>0</v>
          </cell>
          <cell r="J64">
            <v>0</v>
          </cell>
          <cell r="K64">
            <v>0</v>
          </cell>
          <cell r="L64">
            <v>100536</v>
          </cell>
          <cell r="M64">
            <v>1</v>
          </cell>
          <cell r="N64">
            <v>0</v>
          </cell>
          <cell r="O64">
            <v>0</v>
          </cell>
          <cell r="P64">
            <v>137857593</v>
          </cell>
          <cell r="Q64">
            <v>-137857593</v>
          </cell>
          <cell r="R64">
            <v>0</v>
          </cell>
          <cell r="S64">
            <v>0</v>
          </cell>
        </row>
        <row r="65">
          <cell r="A65">
            <v>100539</v>
          </cell>
          <cell r="B65" t="str">
            <v>Axis Bank - INR</v>
          </cell>
          <cell r="C65">
            <v>0</v>
          </cell>
          <cell r="D65">
            <v>0</v>
          </cell>
          <cell r="E65">
            <v>0</v>
          </cell>
          <cell r="F65">
            <v>0</v>
          </cell>
          <cell r="G65"/>
          <cell r="H65">
            <v>0</v>
          </cell>
          <cell r="I65">
            <v>0</v>
          </cell>
          <cell r="J65">
            <v>0</v>
          </cell>
          <cell r="K65">
            <v>0</v>
          </cell>
          <cell r="L65">
            <v>100539</v>
          </cell>
          <cell r="M65">
            <v>1</v>
          </cell>
          <cell r="N65">
            <v>0</v>
          </cell>
          <cell r="O65">
            <v>0</v>
          </cell>
          <cell r="P65">
            <v>0</v>
          </cell>
          <cell r="Q65">
            <v>0</v>
          </cell>
          <cell r="R65">
            <v>0</v>
          </cell>
          <cell r="S65">
            <v>0</v>
          </cell>
        </row>
        <row r="66">
          <cell r="A66">
            <v>100545</v>
          </cell>
          <cell r="B66" t="str">
            <v>Kotak Mahindra Bank-USD EEFC</v>
          </cell>
          <cell r="C66">
            <v>0</v>
          </cell>
          <cell r="D66">
            <v>0</v>
          </cell>
          <cell r="E66">
            <v>0</v>
          </cell>
          <cell r="F66">
            <v>0</v>
          </cell>
          <cell r="G66"/>
          <cell r="H66">
            <v>0</v>
          </cell>
          <cell r="I66">
            <v>0</v>
          </cell>
          <cell r="J66">
            <v>0</v>
          </cell>
          <cell r="K66">
            <v>0</v>
          </cell>
          <cell r="L66">
            <v>100545</v>
          </cell>
          <cell r="M66">
            <v>1</v>
          </cell>
          <cell r="N66">
            <v>0</v>
          </cell>
          <cell r="O66">
            <v>0</v>
          </cell>
          <cell r="P66">
            <v>0</v>
          </cell>
          <cell r="Q66">
            <v>0</v>
          </cell>
          <cell r="R66">
            <v>0</v>
          </cell>
          <cell r="S66">
            <v>0</v>
          </cell>
        </row>
        <row r="67">
          <cell r="A67">
            <v>100546</v>
          </cell>
          <cell r="B67" t="str">
            <v>Kotak Mahindra Bank-USD FCY</v>
          </cell>
          <cell r="C67">
            <v>0.44000000227242708</v>
          </cell>
          <cell r="D67">
            <v>0</v>
          </cell>
          <cell r="E67">
            <v>0</v>
          </cell>
          <cell r="F67">
            <v>0.44000000227242708</v>
          </cell>
          <cell r="G67"/>
          <cell r="H67">
            <v>0.44000000227242708</v>
          </cell>
          <cell r="I67">
            <v>0</v>
          </cell>
          <cell r="J67">
            <v>0</v>
          </cell>
          <cell r="K67">
            <v>0.44000000227242708</v>
          </cell>
          <cell r="L67">
            <v>100546</v>
          </cell>
          <cell r="M67">
            <v>1</v>
          </cell>
          <cell r="N67">
            <v>0</v>
          </cell>
          <cell r="O67">
            <v>0</v>
          </cell>
          <cell r="P67">
            <v>66865526.840000004</v>
          </cell>
          <cell r="Q67">
            <v>-66865526.399999999</v>
          </cell>
          <cell r="R67">
            <v>0</v>
          </cell>
          <cell r="S67">
            <v>0</v>
          </cell>
        </row>
        <row r="68">
          <cell r="A68">
            <v>100540</v>
          </cell>
          <cell r="B68" t="str">
            <v>Axis Bank - INR TDR</v>
          </cell>
          <cell r="C68">
            <v>0</v>
          </cell>
          <cell r="D68">
            <v>0</v>
          </cell>
          <cell r="E68">
            <v>0</v>
          </cell>
          <cell r="F68">
            <v>0</v>
          </cell>
          <cell r="G68"/>
          <cell r="H68">
            <v>0</v>
          </cell>
          <cell r="I68">
            <v>0</v>
          </cell>
          <cell r="J68">
            <v>0</v>
          </cell>
          <cell r="K68">
            <v>0</v>
          </cell>
          <cell r="L68">
            <v>100540</v>
          </cell>
          <cell r="M68">
            <v>1</v>
          </cell>
          <cell r="N68">
            <v>0</v>
          </cell>
          <cell r="O68">
            <v>0</v>
          </cell>
          <cell r="P68">
            <v>0</v>
          </cell>
          <cell r="Q68">
            <v>0</v>
          </cell>
          <cell r="R68">
            <v>0</v>
          </cell>
          <cell r="S68">
            <v>0</v>
          </cell>
        </row>
        <row r="69">
          <cell r="A69">
            <v>100541</v>
          </cell>
          <cell r="B69" t="str">
            <v>Canara Bank TDR INR</v>
          </cell>
          <cell r="C69">
            <v>0</v>
          </cell>
          <cell r="D69">
            <v>0</v>
          </cell>
          <cell r="E69">
            <v>0</v>
          </cell>
          <cell r="F69">
            <v>0</v>
          </cell>
          <cell r="G69"/>
          <cell r="H69">
            <v>0</v>
          </cell>
          <cell r="I69">
            <v>0</v>
          </cell>
          <cell r="J69">
            <v>0</v>
          </cell>
          <cell r="K69">
            <v>0</v>
          </cell>
          <cell r="L69">
            <v>100541</v>
          </cell>
          <cell r="M69">
            <v>1</v>
          </cell>
          <cell r="N69">
            <v>0</v>
          </cell>
          <cell r="O69">
            <v>0</v>
          </cell>
          <cell r="P69">
            <v>0</v>
          </cell>
          <cell r="Q69">
            <v>0</v>
          </cell>
          <cell r="R69">
            <v>0</v>
          </cell>
          <cell r="S69">
            <v>0</v>
          </cell>
        </row>
        <row r="70">
          <cell r="A70">
            <v>100542</v>
          </cell>
          <cell r="B70" t="str">
            <v>Bank of Baroda-INR TDR A/c</v>
          </cell>
          <cell r="C70">
            <v>0</v>
          </cell>
          <cell r="D70">
            <v>0</v>
          </cell>
          <cell r="E70">
            <v>0</v>
          </cell>
          <cell r="F70">
            <v>0</v>
          </cell>
          <cell r="G70"/>
          <cell r="H70">
            <v>0</v>
          </cell>
          <cell r="I70">
            <v>0</v>
          </cell>
          <cell r="J70">
            <v>0</v>
          </cell>
          <cell r="K70">
            <v>0</v>
          </cell>
          <cell r="L70">
            <v>100542</v>
          </cell>
          <cell r="M70">
            <v>1</v>
          </cell>
          <cell r="N70">
            <v>0</v>
          </cell>
          <cell r="O70">
            <v>0</v>
          </cell>
          <cell r="P70">
            <v>0</v>
          </cell>
          <cell r="Q70">
            <v>0</v>
          </cell>
          <cell r="R70">
            <v>0</v>
          </cell>
          <cell r="S70">
            <v>0</v>
          </cell>
        </row>
        <row r="71">
          <cell r="A71">
            <v>100543</v>
          </cell>
          <cell r="B71" t="str">
            <v>Axis Mutual Fund</v>
          </cell>
          <cell r="C71">
            <v>0</v>
          </cell>
          <cell r="D71">
            <v>0</v>
          </cell>
          <cell r="E71">
            <v>0</v>
          </cell>
          <cell r="F71">
            <v>0</v>
          </cell>
          <cell r="G71"/>
          <cell r="H71">
            <v>0</v>
          </cell>
          <cell r="I71">
            <v>0</v>
          </cell>
          <cell r="J71">
            <v>0</v>
          </cell>
          <cell r="K71">
            <v>0</v>
          </cell>
          <cell r="L71">
            <v>100543</v>
          </cell>
          <cell r="M71">
            <v>1</v>
          </cell>
          <cell r="N71">
            <v>0</v>
          </cell>
          <cell r="O71">
            <v>0</v>
          </cell>
          <cell r="P71">
            <v>0</v>
          </cell>
          <cell r="Q71">
            <v>0</v>
          </cell>
          <cell r="R71">
            <v>0</v>
          </cell>
          <cell r="S71">
            <v>0</v>
          </cell>
        </row>
        <row r="72">
          <cell r="A72">
            <v>100547</v>
          </cell>
          <cell r="B72" t="str">
            <v>Peerlees Mutual Fund</v>
          </cell>
          <cell r="C72">
            <v>9.9999997764825821E-3</v>
          </cell>
          <cell r="D72">
            <v>0</v>
          </cell>
          <cell r="E72">
            <v>0</v>
          </cell>
          <cell r="F72">
            <v>9.9999997764825821E-3</v>
          </cell>
          <cell r="G72"/>
          <cell r="H72">
            <v>9.9999997764825821E-3</v>
          </cell>
          <cell r="I72">
            <v>0</v>
          </cell>
          <cell r="J72">
            <v>0</v>
          </cell>
          <cell r="K72">
            <v>9.9999997764825821E-3</v>
          </cell>
          <cell r="L72">
            <v>100547</v>
          </cell>
          <cell r="M72">
            <v>1</v>
          </cell>
          <cell r="N72">
            <v>0</v>
          </cell>
          <cell r="O72">
            <v>0</v>
          </cell>
          <cell r="P72">
            <v>9.9999997764825821E-3</v>
          </cell>
          <cell r="Q72">
            <v>0</v>
          </cell>
          <cell r="R72">
            <v>0</v>
          </cell>
          <cell r="S72">
            <v>0</v>
          </cell>
        </row>
        <row r="73">
          <cell r="A73">
            <v>100548</v>
          </cell>
          <cell r="B73" t="str">
            <v>L &amp; T Mutual Fund</v>
          </cell>
          <cell r="C73">
            <v>0</v>
          </cell>
          <cell r="D73">
            <v>0</v>
          </cell>
          <cell r="E73">
            <v>0</v>
          </cell>
          <cell r="F73">
            <v>0</v>
          </cell>
          <cell r="G73"/>
          <cell r="H73">
            <v>0</v>
          </cell>
          <cell r="I73">
            <v>0</v>
          </cell>
          <cell r="J73">
            <v>0</v>
          </cell>
          <cell r="K73">
            <v>0</v>
          </cell>
          <cell r="L73">
            <v>100548</v>
          </cell>
          <cell r="M73">
            <v>1</v>
          </cell>
          <cell r="N73">
            <v>0</v>
          </cell>
          <cell r="O73">
            <v>0</v>
          </cell>
          <cell r="P73">
            <v>0</v>
          </cell>
          <cell r="Q73">
            <v>0</v>
          </cell>
          <cell r="R73">
            <v>0</v>
          </cell>
          <cell r="S73">
            <v>0</v>
          </cell>
        </row>
        <row r="74">
          <cell r="A74">
            <v>100549</v>
          </cell>
          <cell r="B74" t="str">
            <v>Canara Robeco Mutual Fund</v>
          </cell>
          <cell r="C74">
            <v>0</v>
          </cell>
          <cell r="D74">
            <v>0</v>
          </cell>
          <cell r="E74">
            <v>0</v>
          </cell>
          <cell r="F74">
            <v>0</v>
          </cell>
          <cell r="G74"/>
          <cell r="H74">
            <v>0</v>
          </cell>
          <cell r="I74">
            <v>0</v>
          </cell>
          <cell r="J74">
            <v>0</v>
          </cell>
          <cell r="K74">
            <v>0</v>
          </cell>
          <cell r="L74">
            <v>100549</v>
          </cell>
          <cell r="M74">
            <v>1</v>
          </cell>
          <cell r="N74">
            <v>0</v>
          </cell>
          <cell r="O74">
            <v>0</v>
          </cell>
          <cell r="P74">
            <v>0</v>
          </cell>
          <cell r="Q74">
            <v>0</v>
          </cell>
          <cell r="R74">
            <v>0</v>
          </cell>
          <cell r="S74">
            <v>0</v>
          </cell>
        </row>
        <row r="75">
          <cell r="A75">
            <v>100550</v>
          </cell>
          <cell r="B75" t="str">
            <v>Baroda Pioneer Mutual Fund</v>
          </cell>
          <cell r="C75">
            <v>-1.1800000006519258</v>
          </cell>
          <cell r="D75">
            <v>0</v>
          </cell>
          <cell r="E75">
            <v>0</v>
          </cell>
          <cell r="F75">
            <v>-1.1800000006519258</v>
          </cell>
          <cell r="G75"/>
          <cell r="H75">
            <v>-1.1800000006519258</v>
          </cell>
          <cell r="I75">
            <v>0</v>
          </cell>
          <cell r="J75">
            <v>0</v>
          </cell>
          <cell r="K75">
            <v>-1.1800000006519258</v>
          </cell>
          <cell r="L75">
            <v>100550</v>
          </cell>
          <cell r="M75">
            <v>1</v>
          </cell>
          <cell r="N75">
            <v>0</v>
          </cell>
          <cell r="O75">
            <v>0</v>
          </cell>
          <cell r="P75">
            <v>1718107.2885435994</v>
          </cell>
          <cell r="Q75">
            <v>-1718108.4685436001</v>
          </cell>
          <cell r="R75">
            <v>0</v>
          </cell>
          <cell r="S75">
            <v>0</v>
          </cell>
        </row>
        <row r="76">
          <cell r="A76">
            <v>100518</v>
          </cell>
          <cell r="B76" t="str">
            <v>Taurus Mutual Fund</v>
          </cell>
          <cell r="C76">
            <v>0</v>
          </cell>
          <cell r="D76">
            <v>0</v>
          </cell>
          <cell r="E76">
            <v>0</v>
          </cell>
          <cell r="F76">
            <v>0</v>
          </cell>
          <cell r="G76"/>
          <cell r="H76">
            <v>0</v>
          </cell>
          <cell r="I76">
            <v>0</v>
          </cell>
          <cell r="J76">
            <v>0</v>
          </cell>
          <cell r="K76">
            <v>0</v>
          </cell>
          <cell r="L76">
            <v>100518</v>
          </cell>
          <cell r="M76">
            <v>1</v>
          </cell>
          <cell r="N76">
            <v>0</v>
          </cell>
          <cell r="O76">
            <v>0</v>
          </cell>
          <cell r="P76">
            <v>0</v>
          </cell>
          <cell r="Q76">
            <v>0</v>
          </cell>
          <cell r="R76">
            <v>0</v>
          </cell>
          <cell r="S76">
            <v>0</v>
          </cell>
        </row>
        <row r="77">
          <cell r="A77">
            <v>100551</v>
          </cell>
          <cell r="B77" t="str">
            <v>HDFC High Int. Fund - Reg. Gr</v>
          </cell>
          <cell r="C77">
            <v>0</v>
          </cell>
          <cell r="D77">
            <v>0</v>
          </cell>
          <cell r="E77">
            <v>0</v>
          </cell>
          <cell r="F77">
            <v>0</v>
          </cell>
          <cell r="G77"/>
          <cell r="H77">
            <v>0</v>
          </cell>
          <cell r="I77">
            <v>0</v>
          </cell>
          <cell r="J77">
            <v>0</v>
          </cell>
          <cell r="K77">
            <v>0</v>
          </cell>
          <cell r="L77">
            <v>100551</v>
          </cell>
          <cell r="M77">
            <v>1</v>
          </cell>
          <cell r="N77">
            <v>0</v>
          </cell>
          <cell r="O77">
            <v>0</v>
          </cell>
          <cell r="P77">
            <v>0</v>
          </cell>
          <cell r="Q77">
            <v>0</v>
          </cell>
          <cell r="R77">
            <v>0</v>
          </cell>
          <cell r="S77">
            <v>0</v>
          </cell>
        </row>
        <row r="78">
          <cell r="A78">
            <v>100552</v>
          </cell>
          <cell r="B78" t="str">
            <v>Templeton India Inc. Fund - Gr</v>
          </cell>
          <cell r="C78">
            <v>0</v>
          </cell>
          <cell r="D78">
            <v>0</v>
          </cell>
          <cell r="E78">
            <v>0</v>
          </cell>
          <cell r="F78">
            <v>0</v>
          </cell>
          <cell r="G78"/>
          <cell r="H78">
            <v>0</v>
          </cell>
          <cell r="I78">
            <v>0</v>
          </cell>
          <cell r="J78">
            <v>0</v>
          </cell>
          <cell r="K78">
            <v>0</v>
          </cell>
          <cell r="L78">
            <v>100552</v>
          </cell>
          <cell r="M78">
            <v>1</v>
          </cell>
          <cell r="N78">
            <v>0</v>
          </cell>
          <cell r="O78">
            <v>0</v>
          </cell>
          <cell r="P78">
            <v>0</v>
          </cell>
          <cell r="Q78">
            <v>0</v>
          </cell>
          <cell r="R78">
            <v>0</v>
          </cell>
          <cell r="S78">
            <v>0</v>
          </cell>
        </row>
        <row r="79">
          <cell r="A79">
            <v>100553</v>
          </cell>
          <cell r="B79" t="str">
            <v>Templeton Floating Fund - ST</v>
          </cell>
          <cell r="C79">
            <v>0</v>
          </cell>
          <cell r="D79">
            <v>0</v>
          </cell>
          <cell r="E79">
            <v>0</v>
          </cell>
          <cell r="F79">
            <v>0</v>
          </cell>
          <cell r="G79"/>
          <cell r="H79">
            <v>0</v>
          </cell>
          <cell r="I79">
            <v>0</v>
          </cell>
          <cell r="J79">
            <v>0</v>
          </cell>
          <cell r="K79">
            <v>0</v>
          </cell>
          <cell r="L79">
            <v>100553</v>
          </cell>
          <cell r="M79">
            <v>1</v>
          </cell>
          <cell r="N79">
            <v>0</v>
          </cell>
          <cell r="O79">
            <v>0</v>
          </cell>
          <cell r="P79">
            <v>0</v>
          </cell>
          <cell r="Q79">
            <v>0</v>
          </cell>
          <cell r="R79">
            <v>0</v>
          </cell>
          <cell r="S79">
            <v>0</v>
          </cell>
        </row>
        <row r="80">
          <cell r="A80">
            <v>100554</v>
          </cell>
          <cell r="B80" t="str">
            <v>DSP ML - Bond Fund - Gr.</v>
          </cell>
          <cell r="C80">
            <v>0</v>
          </cell>
          <cell r="D80">
            <v>0</v>
          </cell>
          <cell r="E80">
            <v>0</v>
          </cell>
          <cell r="F80">
            <v>0</v>
          </cell>
          <cell r="G80"/>
          <cell r="H80">
            <v>0</v>
          </cell>
          <cell r="I80">
            <v>0</v>
          </cell>
          <cell r="J80">
            <v>0</v>
          </cell>
          <cell r="K80">
            <v>0</v>
          </cell>
          <cell r="L80">
            <v>100554</v>
          </cell>
          <cell r="M80">
            <v>1</v>
          </cell>
          <cell r="N80">
            <v>0</v>
          </cell>
          <cell r="O80">
            <v>0</v>
          </cell>
          <cell r="P80">
            <v>0</v>
          </cell>
          <cell r="Q80">
            <v>0</v>
          </cell>
          <cell r="R80">
            <v>0</v>
          </cell>
          <cell r="S80">
            <v>0</v>
          </cell>
        </row>
        <row r="81">
          <cell r="A81">
            <v>100555</v>
          </cell>
          <cell r="B81" t="str">
            <v>DSP ML Liquidity Fund - Gr</v>
          </cell>
          <cell r="C81">
            <v>0</v>
          </cell>
          <cell r="D81">
            <v>0</v>
          </cell>
          <cell r="E81">
            <v>0</v>
          </cell>
          <cell r="F81">
            <v>0</v>
          </cell>
          <cell r="G81"/>
          <cell r="H81">
            <v>0</v>
          </cell>
          <cell r="I81">
            <v>0</v>
          </cell>
          <cell r="J81">
            <v>0</v>
          </cell>
          <cell r="K81">
            <v>0</v>
          </cell>
          <cell r="L81">
            <v>100555</v>
          </cell>
          <cell r="M81">
            <v>1</v>
          </cell>
          <cell r="N81">
            <v>0</v>
          </cell>
          <cell r="O81">
            <v>0</v>
          </cell>
          <cell r="P81">
            <v>0</v>
          </cell>
          <cell r="Q81">
            <v>0</v>
          </cell>
          <cell r="R81">
            <v>0</v>
          </cell>
          <cell r="S81">
            <v>0</v>
          </cell>
        </row>
        <row r="82">
          <cell r="A82">
            <v>100556</v>
          </cell>
          <cell r="B82" t="str">
            <v>DSP ML Floating Fund - Gr</v>
          </cell>
          <cell r="C82">
            <v>1.2499999981373549</v>
          </cell>
          <cell r="D82">
            <v>0</v>
          </cell>
          <cell r="E82">
            <v>0</v>
          </cell>
          <cell r="F82">
            <v>1.2499999981373549</v>
          </cell>
          <cell r="G82"/>
          <cell r="H82">
            <v>1.2499999981373549</v>
          </cell>
          <cell r="I82">
            <v>0</v>
          </cell>
          <cell r="J82">
            <v>0</v>
          </cell>
          <cell r="K82">
            <v>1.2499999981373549</v>
          </cell>
          <cell r="L82">
            <v>100556</v>
          </cell>
          <cell r="M82">
            <v>1</v>
          </cell>
          <cell r="N82">
            <v>0</v>
          </cell>
          <cell r="O82">
            <v>0</v>
          </cell>
          <cell r="P82">
            <v>-2.2351741568726879E-9</v>
          </cell>
          <cell r="Q82">
            <v>1.2500000003725291</v>
          </cell>
          <cell r="R82">
            <v>0</v>
          </cell>
          <cell r="S82">
            <v>0</v>
          </cell>
        </row>
        <row r="83">
          <cell r="A83">
            <v>100557</v>
          </cell>
          <cell r="B83" t="str">
            <v>Prudential ICICI Floating - Gr</v>
          </cell>
          <cell r="C83">
            <v>0</v>
          </cell>
          <cell r="D83">
            <v>0</v>
          </cell>
          <cell r="E83">
            <v>0</v>
          </cell>
          <cell r="F83">
            <v>0</v>
          </cell>
          <cell r="G83"/>
          <cell r="H83">
            <v>0</v>
          </cell>
          <cell r="I83">
            <v>0</v>
          </cell>
          <cell r="J83">
            <v>0</v>
          </cell>
          <cell r="K83">
            <v>0</v>
          </cell>
          <cell r="L83">
            <v>100557</v>
          </cell>
          <cell r="M83">
            <v>1</v>
          </cell>
          <cell r="N83">
            <v>0</v>
          </cell>
          <cell r="O83">
            <v>0</v>
          </cell>
          <cell r="P83">
            <v>0</v>
          </cell>
          <cell r="Q83">
            <v>0</v>
          </cell>
          <cell r="R83">
            <v>0</v>
          </cell>
          <cell r="S83">
            <v>0</v>
          </cell>
        </row>
        <row r="84">
          <cell r="A84">
            <v>100558</v>
          </cell>
          <cell r="B84" t="str">
            <v>Grindlays Cash Fund - IP - Gr</v>
          </cell>
          <cell r="C84">
            <v>0</v>
          </cell>
          <cell r="D84">
            <v>0</v>
          </cell>
          <cell r="E84">
            <v>0</v>
          </cell>
          <cell r="F84">
            <v>0</v>
          </cell>
          <cell r="G84"/>
          <cell r="H84">
            <v>0</v>
          </cell>
          <cell r="I84">
            <v>0</v>
          </cell>
          <cell r="J84">
            <v>0</v>
          </cell>
          <cell r="K84">
            <v>0</v>
          </cell>
          <cell r="L84">
            <v>100558</v>
          </cell>
          <cell r="M84">
            <v>1</v>
          </cell>
          <cell r="N84">
            <v>0</v>
          </cell>
          <cell r="O84">
            <v>0</v>
          </cell>
          <cell r="P84">
            <v>0</v>
          </cell>
          <cell r="Q84">
            <v>0</v>
          </cell>
          <cell r="R84">
            <v>0</v>
          </cell>
          <cell r="S84">
            <v>0</v>
          </cell>
        </row>
        <row r="85">
          <cell r="A85">
            <v>100559</v>
          </cell>
          <cell r="B85" t="str">
            <v>HSBC Cash Fund - Growth</v>
          </cell>
          <cell r="C85">
            <v>0</v>
          </cell>
          <cell r="D85">
            <v>0</v>
          </cell>
          <cell r="E85">
            <v>0</v>
          </cell>
          <cell r="F85">
            <v>0</v>
          </cell>
          <cell r="G85"/>
          <cell r="H85">
            <v>0</v>
          </cell>
          <cell r="I85">
            <v>0</v>
          </cell>
          <cell r="J85">
            <v>0</v>
          </cell>
          <cell r="K85">
            <v>0</v>
          </cell>
          <cell r="L85">
            <v>100559</v>
          </cell>
          <cell r="M85">
            <v>1</v>
          </cell>
          <cell r="N85">
            <v>0</v>
          </cell>
          <cell r="O85">
            <v>0</v>
          </cell>
          <cell r="P85">
            <v>0</v>
          </cell>
          <cell r="Q85">
            <v>0</v>
          </cell>
          <cell r="R85">
            <v>0</v>
          </cell>
          <cell r="S85">
            <v>0</v>
          </cell>
        </row>
        <row r="86">
          <cell r="A86">
            <v>100560</v>
          </cell>
          <cell r="B86" t="str">
            <v>Reliance Treasury - IP - Gr</v>
          </cell>
          <cell r="C86">
            <v>0</v>
          </cell>
          <cell r="D86">
            <v>0</v>
          </cell>
          <cell r="E86">
            <v>0</v>
          </cell>
          <cell r="F86">
            <v>0</v>
          </cell>
          <cell r="G86"/>
          <cell r="H86">
            <v>0</v>
          </cell>
          <cell r="I86">
            <v>0</v>
          </cell>
          <cell r="J86">
            <v>0</v>
          </cell>
          <cell r="K86">
            <v>0</v>
          </cell>
          <cell r="L86">
            <v>100560</v>
          </cell>
          <cell r="M86">
            <v>1</v>
          </cell>
          <cell r="N86">
            <v>0</v>
          </cell>
          <cell r="O86">
            <v>0</v>
          </cell>
          <cell r="P86">
            <v>0</v>
          </cell>
          <cell r="Q86">
            <v>0</v>
          </cell>
          <cell r="R86">
            <v>0</v>
          </cell>
          <cell r="S86">
            <v>0</v>
          </cell>
        </row>
        <row r="87">
          <cell r="A87">
            <v>100561</v>
          </cell>
          <cell r="B87" t="str">
            <v>Reliance STerm Fund - Gr</v>
          </cell>
          <cell r="C87">
            <v>0</v>
          </cell>
          <cell r="D87">
            <v>0</v>
          </cell>
          <cell r="E87">
            <v>0</v>
          </cell>
          <cell r="F87">
            <v>0</v>
          </cell>
          <cell r="G87"/>
          <cell r="H87">
            <v>0</v>
          </cell>
          <cell r="I87">
            <v>0</v>
          </cell>
          <cell r="J87">
            <v>0</v>
          </cell>
          <cell r="K87">
            <v>0</v>
          </cell>
          <cell r="L87">
            <v>100561</v>
          </cell>
          <cell r="M87">
            <v>1</v>
          </cell>
          <cell r="N87">
            <v>0</v>
          </cell>
          <cell r="O87">
            <v>0</v>
          </cell>
          <cell r="P87">
            <v>0</v>
          </cell>
          <cell r="Q87">
            <v>0</v>
          </cell>
          <cell r="R87">
            <v>0</v>
          </cell>
          <cell r="S87">
            <v>0</v>
          </cell>
        </row>
        <row r="88">
          <cell r="A88">
            <v>100562</v>
          </cell>
          <cell r="B88" t="str">
            <v>TLHG TATA Liquid HIF - Gr</v>
          </cell>
          <cell r="C88">
            <v>-1.2000000029802322</v>
          </cell>
          <cell r="D88">
            <v>0</v>
          </cell>
          <cell r="E88">
            <v>0</v>
          </cell>
          <cell r="F88">
            <v>-1.2000000029802322</v>
          </cell>
          <cell r="G88"/>
          <cell r="H88">
            <v>-1.2000000029802322</v>
          </cell>
          <cell r="I88">
            <v>0</v>
          </cell>
          <cell r="J88">
            <v>0</v>
          </cell>
          <cell r="K88">
            <v>-1.2000000029802322</v>
          </cell>
          <cell r="L88">
            <v>100562</v>
          </cell>
          <cell r="M88">
            <v>1</v>
          </cell>
          <cell r="N88">
            <v>0</v>
          </cell>
          <cell r="O88">
            <v>0</v>
          </cell>
          <cell r="P88">
            <v>0.83999999985098839</v>
          </cell>
          <cell r="Q88">
            <v>-2.0400000028312206</v>
          </cell>
          <cell r="R88">
            <v>0</v>
          </cell>
          <cell r="S88">
            <v>0</v>
          </cell>
        </row>
        <row r="89">
          <cell r="A89">
            <v>100563</v>
          </cell>
          <cell r="B89" t="str">
            <v>Kotak Liquid IP - Growth</v>
          </cell>
          <cell r="C89">
            <v>-8.0000014510005713E-2</v>
          </cell>
          <cell r="D89">
            <v>0</v>
          </cell>
          <cell r="E89">
            <v>0</v>
          </cell>
          <cell r="F89">
            <v>-8.0000014510005713E-2</v>
          </cell>
          <cell r="G89"/>
          <cell r="H89">
            <v>-8.0000014510005713E-2</v>
          </cell>
          <cell r="I89">
            <v>0</v>
          </cell>
          <cell r="J89">
            <v>0</v>
          </cell>
          <cell r="K89">
            <v>-8.0000014510005713E-2</v>
          </cell>
          <cell r="L89">
            <v>100563</v>
          </cell>
          <cell r="M89">
            <v>1</v>
          </cell>
          <cell r="N89">
            <v>0</v>
          </cell>
          <cell r="O89">
            <v>0</v>
          </cell>
          <cell r="P89">
            <v>12301872.4955108</v>
          </cell>
          <cell r="Q89">
            <v>-12301872.575510815</v>
          </cell>
          <cell r="R89">
            <v>0</v>
          </cell>
          <cell r="S89">
            <v>0</v>
          </cell>
        </row>
        <row r="90">
          <cell r="A90">
            <v>100564</v>
          </cell>
          <cell r="B90" t="str">
            <v>Principal Cash Mgmt Fund</v>
          </cell>
          <cell r="C90">
            <v>0</v>
          </cell>
          <cell r="D90">
            <v>0</v>
          </cell>
          <cell r="E90">
            <v>0</v>
          </cell>
          <cell r="F90">
            <v>0</v>
          </cell>
          <cell r="G90"/>
          <cell r="H90">
            <v>0</v>
          </cell>
          <cell r="I90">
            <v>0</v>
          </cell>
          <cell r="J90">
            <v>0</v>
          </cell>
          <cell r="K90">
            <v>0</v>
          </cell>
          <cell r="L90">
            <v>100564</v>
          </cell>
          <cell r="M90">
            <v>1</v>
          </cell>
          <cell r="N90">
            <v>0</v>
          </cell>
          <cell r="O90">
            <v>0</v>
          </cell>
          <cell r="P90">
            <v>0</v>
          </cell>
          <cell r="Q90">
            <v>0</v>
          </cell>
          <cell r="R90">
            <v>0</v>
          </cell>
          <cell r="S90">
            <v>0</v>
          </cell>
        </row>
        <row r="91">
          <cell r="A91">
            <v>100565</v>
          </cell>
          <cell r="B91" t="str">
            <v>JM Short Term Fund - IP</v>
          </cell>
          <cell r="C91">
            <v>0</v>
          </cell>
          <cell r="D91">
            <v>0</v>
          </cell>
          <cell r="E91">
            <v>0</v>
          </cell>
          <cell r="F91">
            <v>0</v>
          </cell>
          <cell r="G91"/>
          <cell r="H91">
            <v>0</v>
          </cell>
          <cell r="I91">
            <v>0</v>
          </cell>
          <cell r="J91">
            <v>0</v>
          </cell>
          <cell r="K91">
            <v>0</v>
          </cell>
          <cell r="L91">
            <v>100565</v>
          </cell>
          <cell r="M91">
            <v>1</v>
          </cell>
          <cell r="N91">
            <v>0</v>
          </cell>
          <cell r="O91">
            <v>0</v>
          </cell>
          <cell r="P91">
            <v>0</v>
          </cell>
          <cell r="Q91">
            <v>0</v>
          </cell>
          <cell r="R91">
            <v>0</v>
          </cell>
          <cell r="S91">
            <v>0</v>
          </cell>
        </row>
        <row r="92">
          <cell r="A92">
            <v>100566</v>
          </cell>
          <cell r="B92" t="str">
            <v>Birla Bond Plus IP - Gr</v>
          </cell>
          <cell r="C92">
            <v>0</v>
          </cell>
          <cell r="D92">
            <v>0</v>
          </cell>
          <cell r="E92">
            <v>0</v>
          </cell>
          <cell r="F92">
            <v>0</v>
          </cell>
          <cell r="G92"/>
          <cell r="H92">
            <v>0</v>
          </cell>
          <cell r="I92">
            <v>0</v>
          </cell>
          <cell r="J92">
            <v>0</v>
          </cell>
          <cell r="K92">
            <v>0</v>
          </cell>
          <cell r="L92">
            <v>100566</v>
          </cell>
          <cell r="M92">
            <v>1</v>
          </cell>
          <cell r="N92">
            <v>0</v>
          </cell>
          <cell r="O92">
            <v>0</v>
          </cell>
          <cell r="P92">
            <v>0</v>
          </cell>
          <cell r="Q92">
            <v>0</v>
          </cell>
          <cell r="R92">
            <v>0</v>
          </cell>
          <cell r="S92">
            <v>0</v>
          </cell>
        </row>
        <row r="93">
          <cell r="A93">
            <v>100567</v>
          </cell>
          <cell r="B93" t="str">
            <v>Birla Cash Plus - IP - Gr</v>
          </cell>
          <cell r="C93">
            <v>0.13000000022351743</v>
          </cell>
          <cell r="D93">
            <v>0</v>
          </cell>
          <cell r="E93">
            <v>0</v>
          </cell>
          <cell r="F93">
            <v>0.13000000022351743</v>
          </cell>
          <cell r="G93"/>
          <cell r="H93">
            <v>0.13000000022351743</v>
          </cell>
          <cell r="I93">
            <v>0</v>
          </cell>
          <cell r="J93">
            <v>0</v>
          </cell>
          <cell r="K93">
            <v>0.13000000022351743</v>
          </cell>
          <cell r="L93">
            <v>100567</v>
          </cell>
          <cell r="M93">
            <v>1</v>
          </cell>
          <cell r="N93">
            <v>0</v>
          </cell>
          <cell r="O93">
            <v>0</v>
          </cell>
          <cell r="P93">
            <v>-9.9999997764825821E-3</v>
          </cell>
          <cell r="Q93">
            <v>0.14000000000000001</v>
          </cell>
          <cell r="R93">
            <v>0</v>
          </cell>
          <cell r="S93">
            <v>0</v>
          </cell>
        </row>
        <row r="94">
          <cell r="A94">
            <v>100568</v>
          </cell>
          <cell r="B94" t="str">
            <v>DSP ML ST Fund - Gr</v>
          </cell>
          <cell r="C94">
            <v>0</v>
          </cell>
          <cell r="D94">
            <v>0</v>
          </cell>
          <cell r="E94">
            <v>0</v>
          </cell>
          <cell r="F94">
            <v>0</v>
          </cell>
          <cell r="G94"/>
          <cell r="H94">
            <v>0</v>
          </cell>
          <cell r="I94">
            <v>0</v>
          </cell>
          <cell r="J94">
            <v>0</v>
          </cell>
          <cell r="K94">
            <v>0</v>
          </cell>
          <cell r="L94">
            <v>100568</v>
          </cell>
          <cell r="M94">
            <v>1</v>
          </cell>
          <cell r="N94">
            <v>0</v>
          </cell>
          <cell r="O94">
            <v>0</v>
          </cell>
          <cell r="P94">
            <v>0</v>
          </cell>
          <cell r="Q94">
            <v>0</v>
          </cell>
          <cell r="R94">
            <v>0</v>
          </cell>
          <cell r="S94">
            <v>0</v>
          </cell>
        </row>
        <row r="95">
          <cell r="A95">
            <v>100569</v>
          </cell>
          <cell r="B95" t="str">
            <v>Kotak KMMF - K Floater</v>
          </cell>
          <cell r="C95">
            <v>0</v>
          </cell>
          <cell r="D95">
            <v>0</v>
          </cell>
          <cell r="E95">
            <v>0</v>
          </cell>
          <cell r="F95">
            <v>0</v>
          </cell>
          <cell r="G95"/>
          <cell r="H95">
            <v>0</v>
          </cell>
          <cell r="I95">
            <v>0</v>
          </cell>
          <cell r="J95">
            <v>0</v>
          </cell>
          <cell r="K95">
            <v>0</v>
          </cell>
          <cell r="L95">
            <v>100569</v>
          </cell>
          <cell r="M95">
            <v>1</v>
          </cell>
          <cell r="N95">
            <v>0</v>
          </cell>
          <cell r="O95">
            <v>0</v>
          </cell>
          <cell r="P95">
            <v>0</v>
          </cell>
          <cell r="Q95">
            <v>0</v>
          </cell>
          <cell r="R95">
            <v>0</v>
          </cell>
          <cell r="S95">
            <v>0</v>
          </cell>
        </row>
        <row r="96">
          <cell r="A96">
            <v>100570</v>
          </cell>
          <cell r="B96" t="str">
            <v>Grindlays Floating Rate Fund - IP - Gr</v>
          </cell>
          <cell r="C96">
            <v>0</v>
          </cell>
          <cell r="D96">
            <v>0</v>
          </cell>
          <cell r="E96">
            <v>0</v>
          </cell>
          <cell r="F96">
            <v>0</v>
          </cell>
          <cell r="G96"/>
          <cell r="H96">
            <v>0</v>
          </cell>
          <cell r="I96">
            <v>0</v>
          </cell>
          <cell r="J96">
            <v>0</v>
          </cell>
          <cell r="K96">
            <v>0</v>
          </cell>
          <cell r="L96">
            <v>100570</v>
          </cell>
          <cell r="M96">
            <v>1</v>
          </cell>
          <cell r="N96">
            <v>0</v>
          </cell>
          <cell r="O96">
            <v>0</v>
          </cell>
          <cell r="P96">
            <v>0</v>
          </cell>
          <cell r="Q96">
            <v>0</v>
          </cell>
          <cell r="R96">
            <v>0</v>
          </cell>
          <cell r="S96">
            <v>0</v>
          </cell>
        </row>
        <row r="97">
          <cell r="A97">
            <v>100571</v>
          </cell>
          <cell r="B97" t="str">
            <v>Prudential ICICI Liquid - Gr</v>
          </cell>
          <cell r="C97">
            <v>-0.35000000175088641</v>
          </cell>
          <cell r="D97">
            <v>0</v>
          </cell>
          <cell r="E97">
            <v>0</v>
          </cell>
          <cell r="F97">
            <v>-0.35000000175088641</v>
          </cell>
          <cell r="G97"/>
          <cell r="H97">
            <v>-0.35000000175088641</v>
          </cell>
          <cell r="I97">
            <v>0</v>
          </cell>
          <cell r="J97">
            <v>0</v>
          </cell>
          <cell r="K97">
            <v>-0.35000000175088641</v>
          </cell>
          <cell r="L97">
            <v>100571</v>
          </cell>
          <cell r="M97">
            <v>1</v>
          </cell>
          <cell r="N97">
            <v>0</v>
          </cell>
          <cell r="O97">
            <v>0</v>
          </cell>
          <cell r="P97">
            <v>-2.9999999962747104E-2</v>
          </cell>
          <cell r="Q97">
            <v>-0.32000000178813931</v>
          </cell>
          <cell r="R97">
            <v>0</v>
          </cell>
          <cell r="S97">
            <v>0</v>
          </cell>
        </row>
        <row r="98">
          <cell r="A98">
            <v>100572</v>
          </cell>
          <cell r="B98" t="str">
            <v>Templeton India Tresury Management</v>
          </cell>
          <cell r="C98">
            <v>0</v>
          </cell>
          <cell r="D98">
            <v>0</v>
          </cell>
          <cell r="E98">
            <v>0</v>
          </cell>
          <cell r="F98">
            <v>0</v>
          </cell>
          <cell r="G98"/>
          <cell r="H98">
            <v>0</v>
          </cell>
          <cell r="I98">
            <v>0</v>
          </cell>
          <cell r="J98">
            <v>0</v>
          </cell>
          <cell r="K98">
            <v>0</v>
          </cell>
          <cell r="L98">
            <v>100572</v>
          </cell>
          <cell r="M98">
            <v>1</v>
          </cell>
          <cell r="N98">
            <v>0</v>
          </cell>
          <cell r="O98">
            <v>0</v>
          </cell>
          <cell r="P98">
            <v>0</v>
          </cell>
          <cell r="Q98">
            <v>0</v>
          </cell>
          <cell r="R98">
            <v>0</v>
          </cell>
          <cell r="S98">
            <v>0</v>
          </cell>
        </row>
        <row r="99">
          <cell r="A99">
            <v>100573</v>
          </cell>
          <cell r="B99" t="str">
            <v>HDFC Floating Rate Income Fund</v>
          </cell>
          <cell r="C99">
            <v>0</v>
          </cell>
          <cell r="D99">
            <v>0</v>
          </cell>
          <cell r="E99">
            <v>0</v>
          </cell>
          <cell r="F99">
            <v>0</v>
          </cell>
          <cell r="G99"/>
          <cell r="H99">
            <v>0</v>
          </cell>
          <cell r="I99">
            <v>0</v>
          </cell>
          <cell r="J99">
            <v>0</v>
          </cell>
          <cell r="K99">
            <v>0</v>
          </cell>
          <cell r="L99">
            <v>100573</v>
          </cell>
          <cell r="M99">
            <v>1</v>
          </cell>
          <cell r="N99">
            <v>0</v>
          </cell>
          <cell r="O99">
            <v>0</v>
          </cell>
          <cell r="P99">
            <v>0</v>
          </cell>
          <cell r="Q99">
            <v>0</v>
          </cell>
          <cell r="R99">
            <v>0</v>
          </cell>
          <cell r="S99">
            <v>0</v>
          </cell>
        </row>
        <row r="100">
          <cell r="A100">
            <v>100574</v>
          </cell>
          <cell r="B100" t="str">
            <v>Birla Floating Rate Fund</v>
          </cell>
          <cell r="C100">
            <v>0</v>
          </cell>
          <cell r="D100">
            <v>0</v>
          </cell>
          <cell r="E100">
            <v>0</v>
          </cell>
          <cell r="F100">
            <v>0</v>
          </cell>
          <cell r="G100"/>
          <cell r="H100">
            <v>0</v>
          </cell>
          <cell r="I100">
            <v>0</v>
          </cell>
          <cell r="J100">
            <v>0</v>
          </cell>
          <cell r="K100">
            <v>0</v>
          </cell>
          <cell r="L100">
            <v>100574</v>
          </cell>
          <cell r="M100">
            <v>1</v>
          </cell>
          <cell r="N100">
            <v>0</v>
          </cell>
          <cell r="O100">
            <v>0</v>
          </cell>
          <cell r="P100">
            <v>0</v>
          </cell>
          <cell r="Q100">
            <v>0</v>
          </cell>
          <cell r="R100">
            <v>0</v>
          </cell>
          <cell r="S100">
            <v>0</v>
          </cell>
        </row>
        <row r="101">
          <cell r="A101">
            <v>100575</v>
          </cell>
          <cell r="B101" t="str">
            <v>Deutsche Insta Cash Plus Fund</v>
          </cell>
          <cell r="C101">
            <v>0</v>
          </cell>
          <cell r="D101">
            <v>0</v>
          </cell>
          <cell r="E101">
            <v>0</v>
          </cell>
          <cell r="F101">
            <v>0</v>
          </cell>
          <cell r="G101"/>
          <cell r="H101">
            <v>0</v>
          </cell>
          <cell r="I101">
            <v>0</v>
          </cell>
          <cell r="J101">
            <v>0</v>
          </cell>
          <cell r="K101">
            <v>0</v>
          </cell>
          <cell r="L101">
            <v>100575</v>
          </cell>
          <cell r="M101">
            <v>1</v>
          </cell>
          <cell r="N101">
            <v>0</v>
          </cell>
          <cell r="O101">
            <v>0</v>
          </cell>
          <cell r="P101">
            <v>0</v>
          </cell>
          <cell r="Q101">
            <v>0</v>
          </cell>
          <cell r="R101">
            <v>0</v>
          </cell>
          <cell r="S101">
            <v>0</v>
          </cell>
        </row>
        <row r="102">
          <cell r="A102">
            <v>100576</v>
          </cell>
          <cell r="B102" t="str">
            <v>Templeton Floating Rate Income</v>
          </cell>
          <cell r="C102">
            <v>0</v>
          </cell>
          <cell r="D102">
            <v>0</v>
          </cell>
          <cell r="E102">
            <v>0</v>
          </cell>
          <cell r="F102">
            <v>0</v>
          </cell>
          <cell r="G102"/>
          <cell r="H102">
            <v>0</v>
          </cell>
          <cell r="I102">
            <v>0</v>
          </cell>
          <cell r="J102">
            <v>0</v>
          </cell>
          <cell r="K102">
            <v>0</v>
          </cell>
          <cell r="L102">
            <v>100576</v>
          </cell>
          <cell r="M102">
            <v>1</v>
          </cell>
          <cell r="N102">
            <v>0</v>
          </cell>
          <cell r="O102">
            <v>0</v>
          </cell>
          <cell r="P102">
            <v>0</v>
          </cell>
          <cell r="Q102">
            <v>0</v>
          </cell>
          <cell r="R102">
            <v>0</v>
          </cell>
          <cell r="S102">
            <v>0</v>
          </cell>
        </row>
        <row r="103">
          <cell r="A103">
            <v>100577</v>
          </cell>
          <cell r="B103" t="str">
            <v>Kotak Long Term Floater</v>
          </cell>
          <cell r="C103">
            <v>0</v>
          </cell>
          <cell r="D103">
            <v>0</v>
          </cell>
          <cell r="E103">
            <v>0</v>
          </cell>
          <cell r="F103">
            <v>0</v>
          </cell>
          <cell r="G103"/>
          <cell r="H103">
            <v>0</v>
          </cell>
          <cell r="I103">
            <v>0</v>
          </cell>
          <cell r="J103">
            <v>0</v>
          </cell>
          <cell r="K103">
            <v>0</v>
          </cell>
          <cell r="L103">
            <v>100577</v>
          </cell>
          <cell r="M103">
            <v>1</v>
          </cell>
          <cell r="N103">
            <v>0</v>
          </cell>
          <cell r="O103">
            <v>0</v>
          </cell>
          <cell r="P103">
            <v>0</v>
          </cell>
          <cell r="Q103">
            <v>0</v>
          </cell>
          <cell r="R103">
            <v>0</v>
          </cell>
          <cell r="S103">
            <v>0</v>
          </cell>
        </row>
        <row r="104">
          <cell r="A104">
            <v>100578</v>
          </cell>
          <cell r="B104" t="str">
            <v>Deutsche InstaCash Instit Plan</v>
          </cell>
          <cell r="C104">
            <v>0</v>
          </cell>
          <cell r="D104">
            <v>0</v>
          </cell>
          <cell r="E104">
            <v>0</v>
          </cell>
          <cell r="F104">
            <v>0</v>
          </cell>
          <cell r="G104"/>
          <cell r="H104">
            <v>0</v>
          </cell>
          <cell r="I104">
            <v>0</v>
          </cell>
          <cell r="J104">
            <v>0</v>
          </cell>
          <cell r="K104">
            <v>0</v>
          </cell>
          <cell r="L104">
            <v>100578</v>
          </cell>
          <cell r="M104">
            <v>1</v>
          </cell>
          <cell r="N104">
            <v>0</v>
          </cell>
          <cell r="O104">
            <v>0</v>
          </cell>
          <cell r="P104">
            <v>0</v>
          </cell>
          <cell r="Q104">
            <v>0</v>
          </cell>
          <cell r="R104">
            <v>0</v>
          </cell>
          <cell r="S104">
            <v>0</v>
          </cell>
        </row>
        <row r="105">
          <cell r="A105">
            <v>100579</v>
          </cell>
          <cell r="B105" t="str">
            <v>Birla Floating Rate Fund Long</v>
          </cell>
          <cell r="C105">
            <v>0</v>
          </cell>
          <cell r="D105">
            <v>0</v>
          </cell>
          <cell r="E105">
            <v>0</v>
          </cell>
          <cell r="F105">
            <v>0</v>
          </cell>
          <cell r="G105"/>
          <cell r="H105">
            <v>0</v>
          </cell>
          <cell r="I105">
            <v>0</v>
          </cell>
          <cell r="J105">
            <v>0</v>
          </cell>
          <cell r="K105">
            <v>0</v>
          </cell>
          <cell r="L105">
            <v>100579</v>
          </cell>
          <cell r="M105">
            <v>1</v>
          </cell>
          <cell r="N105">
            <v>0</v>
          </cell>
          <cell r="O105">
            <v>0</v>
          </cell>
          <cell r="P105">
            <v>0</v>
          </cell>
          <cell r="Q105">
            <v>0</v>
          </cell>
          <cell r="R105">
            <v>0</v>
          </cell>
          <cell r="S105">
            <v>0</v>
          </cell>
        </row>
        <row r="106">
          <cell r="A106">
            <v>100580</v>
          </cell>
          <cell r="B106" t="str">
            <v>Grindlays Floating Rate Fund L</v>
          </cell>
          <cell r="C106">
            <v>0</v>
          </cell>
          <cell r="D106">
            <v>0</v>
          </cell>
          <cell r="E106">
            <v>0</v>
          </cell>
          <cell r="F106">
            <v>0</v>
          </cell>
          <cell r="G106"/>
          <cell r="H106">
            <v>0</v>
          </cell>
          <cell r="I106">
            <v>0</v>
          </cell>
          <cell r="J106">
            <v>0</v>
          </cell>
          <cell r="K106">
            <v>0</v>
          </cell>
          <cell r="L106">
            <v>100580</v>
          </cell>
          <cell r="M106">
            <v>1</v>
          </cell>
          <cell r="N106">
            <v>0</v>
          </cell>
          <cell r="O106">
            <v>0</v>
          </cell>
          <cell r="P106">
            <v>0</v>
          </cell>
          <cell r="Q106">
            <v>0</v>
          </cell>
          <cell r="R106">
            <v>0</v>
          </cell>
          <cell r="S106">
            <v>0</v>
          </cell>
        </row>
        <row r="107">
          <cell r="A107">
            <v>100581</v>
          </cell>
          <cell r="B107" t="str">
            <v>HDFC High Int. Fund - Reg. Gr</v>
          </cell>
          <cell r="C107">
            <v>0</v>
          </cell>
          <cell r="D107">
            <v>0</v>
          </cell>
          <cell r="E107">
            <v>0</v>
          </cell>
          <cell r="F107">
            <v>0</v>
          </cell>
          <cell r="G107"/>
          <cell r="H107">
            <v>0</v>
          </cell>
          <cell r="I107">
            <v>0</v>
          </cell>
          <cell r="J107">
            <v>0</v>
          </cell>
          <cell r="K107">
            <v>0</v>
          </cell>
          <cell r="L107">
            <v>100581</v>
          </cell>
          <cell r="M107">
            <v>1</v>
          </cell>
          <cell r="N107">
            <v>0</v>
          </cell>
          <cell r="O107">
            <v>0</v>
          </cell>
          <cell r="P107">
            <v>0</v>
          </cell>
          <cell r="Q107">
            <v>0</v>
          </cell>
          <cell r="R107">
            <v>0</v>
          </cell>
          <cell r="S107">
            <v>0</v>
          </cell>
        </row>
        <row r="108">
          <cell r="A108">
            <v>100582</v>
          </cell>
          <cell r="B108" t="str">
            <v>Principal Floating Rate Fund</v>
          </cell>
          <cell r="C108">
            <v>0</v>
          </cell>
          <cell r="D108">
            <v>0</v>
          </cell>
          <cell r="E108">
            <v>0</v>
          </cell>
          <cell r="F108">
            <v>0</v>
          </cell>
          <cell r="G108"/>
          <cell r="H108">
            <v>0</v>
          </cell>
          <cell r="I108">
            <v>0</v>
          </cell>
          <cell r="J108">
            <v>0</v>
          </cell>
          <cell r="K108">
            <v>0</v>
          </cell>
          <cell r="L108">
            <v>100582</v>
          </cell>
          <cell r="M108">
            <v>1</v>
          </cell>
          <cell r="N108">
            <v>0</v>
          </cell>
          <cell r="O108">
            <v>0</v>
          </cell>
          <cell r="P108">
            <v>0</v>
          </cell>
          <cell r="Q108">
            <v>0</v>
          </cell>
          <cell r="R108">
            <v>0</v>
          </cell>
          <cell r="S108">
            <v>0</v>
          </cell>
        </row>
        <row r="109">
          <cell r="A109">
            <v>100583</v>
          </cell>
          <cell r="B109" t="str">
            <v>UTI Liquid Cash Plan Fund</v>
          </cell>
          <cell r="C109">
            <v>0</v>
          </cell>
          <cell r="D109">
            <v>0</v>
          </cell>
          <cell r="E109">
            <v>0</v>
          </cell>
          <cell r="F109">
            <v>0</v>
          </cell>
          <cell r="G109"/>
          <cell r="H109">
            <v>0</v>
          </cell>
          <cell r="I109">
            <v>0</v>
          </cell>
          <cell r="J109">
            <v>0</v>
          </cell>
          <cell r="K109">
            <v>0</v>
          </cell>
          <cell r="L109">
            <v>100583</v>
          </cell>
          <cell r="M109">
            <v>1</v>
          </cell>
          <cell r="N109">
            <v>0</v>
          </cell>
          <cell r="O109">
            <v>0</v>
          </cell>
          <cell r="P109">
            <v>0</v>
          </cell>
          <cell r="Q109">
            <v>0</v>
          </cell>
          <cell r="R109">
            <v>0</v>
          </cell>
          <cell r="S109">
            <v>0</v>
          </cell>
        </row>
        <row r="110">
          <cell r="A110">
            <v>100584</v>
          </cell>
          <cell r="B110" t="str">
            <v>SBI Magnum Ins Inc-Sa</v>
          </cell>
          <cell r="C110">
            <v>-9.2400000005960461</v>
          </cell>
          <cell r="D110">
            <v>0</v>
          </cell>
          <cell r="E110">
            <v>0</v>
          </cell>
          <cell r="F110">
            <v>-9.2400000005960461</v>
          </cell>
          <cell r="G110"/>
          <cell r="H110">
            <v>-9.2400000005960461</v>
          </cell>
          <cell r="I110">
            <v>0</v>
          </cell>
          <cell r="J110">
            <v>0</v>
          </cell>
          <cell r="K110">
            <v>-9.2400000005960461</v>
          </cell>
          <cell r="L110">
            <v>100584</v>
          </cell>
          <cell r="M110">
            <v>1</v>
          </cell>
          <cell r="N110">
            <v>0</v>
          </cell>
          <cell r="O110">
            <v>0</v>
          </cell>
          <cell r="P110">
            <v>-8.140000001527369</v>
          </cell>
          <cell r="Q110">
            <v>-1.0999999990686771</v>
          </cell>
          <cell r="R110">
            <v>0</v>
          </cell>
          <cell r="S110">
            <v>0</v>
          </cell>
        </row>
        <row r="111">
          <cell r="A111">
            <v>100586</v>
          </cell>
          <cell r="B111" t="str">
            <v>JM Floater Fund LTP P</v>
          </cell>
          <cell r="C111">
            <v>0</v>
          </cell>
          <cell r="D111">
            <v>0</v>
          </cell>
          <cell r="E111">
            <v>0</v>
          </cell>
          <cell r="F111">
            <v>0</v>
          </cell>
          <cell r="G111"/>
          <cell r="H111">
            <v>0</v>
          </cell>
          <cell r="I111">
            <v>0</v>
          </cell>
          <cell r="J111">
            <v>0</v>
          </cell>
          <cell r="K111">
            <v>0</v>
          </cell>
          <cell r="L111">
            <v>100586</v>
          </cell>
          <cell r="M111">
            <v>1</v>
          </cell>
          <cell r="N111">
            <v>0</v>
          </cell>
          <cell r="O111">
            <v>0</v>
          </cell>
          <cell r="P111">
            <v>0</v>
          </cell>
          <cell r="Q111">
            <v>0</v>
          </cell>
          <cell r="R111">
            <v>0</v>
          </cell>
          <cell r="S111">
            <v>0</v>
          </cell>
        </row>
        <row r="112">
          <cell r="A112">
            <v>100587</v>
          </cell>
          <cell r="B112" t="str">
            <v>Prudential ICICI STIP</v>
          </cell>
          <cell r="C112">
            <v>0</v>
          </cell>
          <cell r="D112">
            <v>0</v>
          </cell>
          <cell r="E112">
            <v>0</v>
          </cell>
          <cell r="F112">
            <v>0</v>
          </cell>
          <cell r="G112"/>
          <cell r="H112">
            <v>0</v>
          </cell>
          <cell r="I112">
            <v>0</v>
          </cell>
          <cell r="J112">
            <v>0</v>
          </cell>
          <cell r="K112">
            <v>0</v>
          </cell>
          <cell r="L112">
            <v>100587</v>
          </cell>
          <cell r="M112">
            <v>1</v>
          </cell>
          <cell r="N112">
            <v>0</v>
          </cell>
          <cell r="O112">
            <v>0</v>
          </cell>
          <cell r="P112">
            <v>0</v>
          </cell>
          <cell r="Q112">
            <v>0</v>
          </cell>
          <cell r="R112">
            <v>0</v>
          </cell>
          <cell r="S112">
            <v>0</v>
          </cell>
        </row>
        <row r="113">
          <cell r="A113">
            <v>100588</v>
          </cell>
          <cell r="B113" t="str">
            <v>Princ Float Rate Fund-FMP-IP-G</v>
          </cell>
          <cell r="C113">
            <v>0</v>
          </cell>
          <cell r="D113">
            <v>0</v>
          </cell>
          <cell r="E113">
            <v>0</v>
          </cell>
          <cell r="F113">
            <v>0</v>
          </cell>
          <cell r="G113"/>
          <cell r="H113">
            <v>0</v>
          </cell>
          <cell r="I113">
            <v>0</v>
          </cell>
          <cell r="J113">
            <v>0</v>
          </cell>
          <cell r="K113">
            <v>0</v>
          </cell>
          <cell r="L113">
            <v>100588</v>
          </cell>
          <cell r="M113">
            <v>1</v>
          </cell>
          <cell r="N113">
            <v>0</v>
          </cell>
          <cell r="O113">
            <v>0</v>
          </cell>
          <cell r="P113">
            <v>0</v>
          </cell>
          <cell r="Q113">
            <v>0</v>
          </cell>
          <cell r="R113">
            <v>0</v>
          </cell>
          <cell r="S113">
            <v>0</v>
          </cell>
        </row>
        <row r="114">
          <cell r="A114">
            <v>100589</v>
          </cell>
          <cell r="B114" t="str">
            <v>Prudential ICICI LT F</v>
          </cell>
          <cell r="C114">
            <v>0</v>
          </cell>
          <cell r="D114">
            <v>0</v>
          </cell>
          <cell r="E114">
            <v>0</v>
          </cell>
          <cell r="F114">
            <v>0</v>
          </cell>
          <cell r="G114"/>
          <cell r="H114">
            <v>0</v>
          </cell>
          <cell r="I114">
            <v>0</v>
          </cell>
          <cell r="J114">
            <v>0</v>
          </cell>
          <cell r="K114">
            <v>0</v>
          </cell>
          <cell r="L114">
            <v>100589</v>
          </cell>
          <cell r="M114">
            <v>1</v>
          </cell>
          <cell r="N114">
            <v>0</v>
          </cell>
          <cell r="O114">
            <v>0</v>
          </cell>
          <cell r="P114">
            <v>0</v>
          </cell>
          <cell r="Q114">
            <v>0</v>
          </cell>
          <cell r="R114">
            <v>0</v>
          </cell>
          <cell r="S114">
            <v>0</v>
          </cell>
        </row>
        <row r="115">
          <cell r="A115">
            <v>100590</v>
          </cell>
          <cell r="B115" t="str">
            <v>Prudential ICICI FMP</v>
          </cell>
          <cell r="C115">
            <v>0</v>
          </cell>
          <cell r="D115">
            <v>0</v>
          </cell>
          <cell r="E115">
            <v>0</v>
          </cell>
          <cell r="F115">
            <v>0</v>
          </cell>
          <cell r="G115"/>
          <cell r="H115">
            <v>0</v>
          </cell>
          <cell r="I115">
            <v>0</v>
          </cell>
          <cell r="J115">
            <v>0</v>
          </cell>
          <cell r="K115">
            <v>0</v>
          </cell>
          <cell r="L115">
            <v>100590</v>
          </cell>
          <cell r="M115">
            <v>1</v>
          </cell>
          <cell r="N115">
            <v>0</v>
          </cell>
          <cell r="O115">
            <v>0</v>
          </cell>
          <cell r="P115">
            <v>0</v>
          </cell>
          <cell r="Q115">
            <v>0</v>
          </cell>
          <cell r="R115">
            <v>0</v>
          </cell>
          <cell r="S115">
            <v>0</v>
          </cell>
        </row>
        <row r="116">
          <cell r="A116">
            <v>100593</v>
          </cell>
          <cell r="B116" t="str">
            <v>SCB TDR</v>
          </cell>
          <cell r="C116">
            <v>0</v>
          </cell>
          <cell r="D116">
            <v>0</v>
          </cell>
          <cell r="E116">
            <v>0</v>
          </cell>
          <cell r="F116">
            <v>0</v>
          </cell>
          <cell r="G116"/>
          <cell r="H116">
            <v>0</v>
          </cell>
          <cell r="I116">
            <v>0</v>
          </cell>
          <cell r="J116">
            <v>0</v>
          </cell>
          <cell r="K116">
            <v>0</v>
          </cell>
          <cell r="L116">
            <v>100593</v>
          </cell>
          <cell r="M116">
            <v>1</v>
          </cell>
          <cell r="N116">
            <v>0</v>
          </cell>
          <cell r="O116">
            <v>0</v>
          </cell>
          <cell r="P116">
            <v>0</v>
          </cell>
          <cell r="Q116">
            <v>0</v>
          </cell>
          <cell r="R116">
            <v>0</v>
          </cell>
          <cell r="S116">
            <v>0</v>
          </cell>
        </row>
        <row r="117">
          <cell r="A117">
            <v>100594</v>
          </cell>
          <cell r="B117" t="str">
            <v>LICMF Liquid Fund</v>
          </cell>
          <cell r="C117">
            <v>0</v>
          </cell>
          <cell r="D117">
            <v>0</v>
          </cell>
          <cell r="E117">
            <v>0</v>
          </cell>
          <cell r="F117">
            <v>0</v>
          </cell>
          <cell r="G117"/>
          <cell r="H117">
            <v>0</v>
          </cell>
          <cell r="I117">
            <v>0</v>
          </cell>
          <cell r="J117">
            <v>0</v>
          </cell>
          <cell r="K117">
            <v>0</v>
          </cell>
          <cell r="L117">
            <v>100594</v>
          </cell>
          <cell r="M117">
            <v>1</v>
          </cell>
          <cell r="N117">
            <v>0</v>
          </cell>
          <cell r="O117">
            <v>0</v>
          </cell>
          <cell r="P117">
            <v>0</v>
          </cell>
          <cell r="Q117">
            <v>0</v>
          </cell>
          <cell r="R117">
            <v>0</v>
          </cell>
          <cell r="S117">
            <v>0</v>
          </cell>
        </row>
        <row r="118">
          <cell r="A118">
            <v>100595</v>
          </cell>
          <cell r="B118" t="str">
            <v>SCB Liquidity Manager Plus</v>
          </cell>
          <cell r="C118">
            <v>0</v>
          </cell>
          <cell r="D118">
            <v>0</v>
          </cell>
          <cell r="E118">
            <v>0</v>
          </cell>
          <cell r="F118">
            <v>0</v>
          </cell>
          <cell r="G118"/>
          <cell r="H118">
            <v>0</v>
          </cell>
          <cell r="I118">
            <v>0</v>
          </cell>
          <cell r="J118">
            <v>0</v>
          </cell>
          <cell r="K118">
            <v>0</v>
          </cell>
          <cell r="L118">
            <v>100595</v>
          </cell>
          <cell r="M118">
            <v>1</v>
          </cell>
          <cell r="N118">
            <v>0</v>
          </cell>
          <cell r="O118">
            <v>0</v>
          </cell>
          <cell r="P118">
            <v>0</v>
          </cell>
          <cell r="Q118">
            <v>0</v>
          </cell>
          <cell r="R118">
            <v>0</v>
          </cell>
          <cell r="S118">
            <v>0</v>
          </cell>
        </row>
        <row r="119">
          <cell r="A119">
            <v>100597</v>
          </cell>
          <cell r="B119" t="str">
            <v>Sundaram BNP Paribas MF</v>
          </cell>
          <cell r="C119">
            <v>0.12000000476837158</v>
          </cell>
          <cell r="D119">
            <v>0</v>
          </cell>
          <cell r="E119">
            <v>0</v>
          </cell>
          <cell r="F119">
            <v>0.12000000476837158</v>
          </cell>
          <cell r="G119"/>
          <cell r="H119">
            <v>0.12000000476837158</v>
          </cell>
          <cell r="I119">
            <v>0</v>
          </cell>
          <cell r="J119">
            <v>0</v>
          </cell>
          <cell r="K119">
            <v>0.12000000476837158</v>
          </cell>
          <cell r="L119">
            <v>100597</v>
          </cell>
          <cell r="M119">
            <v>1</v>
          </cell>
          <cell r="N119">
            <v>0</v>
          </cell>
          <cell r="O119">
            <v>0</v>
          </cell>
          <cell r="P119">
            <v>0.12000000476837158</v>
          </cell>
          <cell r="Q119">
            <v>0</v>
          </cell>
          <cell r="R119">
            <v>0</v>
          </cell>
          <cell r="S119">
            <v>0</v>
          </cell>
        </row>
        <row r="120">
          <cell r="A120">
            <v>100598</v>
          </cell>
          <cell r="B120" t="str">
            <v>ABN AMRO Mutual Func</v>
          </cell>
          <cell r="C120">
            <v>-0.01</v>
          </cell>
          <cell r="D120">
            <v>0</v>
          </cell>
          <cell r="E120">
            <v>0</v>
          </cell>
          <cell r="F120">
            <v>-0.01</v>
          </cell>
          <cell r="G120"/>
          <cell r="H120">
            <v>-0.01</v>
          </cell>
          <cell r="I120">
            <v>0</v>
          </cell>
          <cell r="J120">
            <v>0</v>
          </cell>
          <cell r="K120">
            <v>-0.01</v>
          </cell>
          <cell r="L120">
            <v>100598</v>
          </cell>
          <cell r="M120">
            <v>1</v>
          </cell>
          <cell r="N120">
            <v>0</v>
          </cell>
          <cell r="O120">
            <v>0</v>
          </cell>
          <cell r="P120">
            <v>-0.01</v>
          </cell>
          <cell r="Q120">
            <v>0</v>
          </cell>
          <cell r="R120">
            <v>0</v>
          </cell>
          <cell r="S120">
            <v>0</v>
          </cell>
        </row>
        <row r="121">
          <cell r="A121">
            <v>100599</v>
          </cell>
          <cell r="B121" t="str">
            <v>Religare MF</v>
          </cell>
          <cell r="C121">
            <v>0.33999999985098839</v>
          </cell>
          <cell r="D121">
            <v>0</v>
          </cell>
          <cell r="E121">
            <v>0</v>
          </cell>
          <cell r="F121">
            <v>0.33999999985098839</v>
          </cell>
          <cell r="G121"/>
          <cell r="H121">
            <v>0.33999999985098839</v>
          </cell>
          <cell r="I121">
            <v>0</v>
          </cell>
          <cell r="J121">
            <v>0</v>
          </cell>
          <cell r="K121">
            <v>0.33999999985098839</v>
          </cell>
          <cell r="L121">
            <v>100599</v>
          </cell>
          <cell r="M121">
            <v>1</v>
          </cell>
          <cell r="N121">
            <v>0</v>
          </cell>
          <cell r="O121">
            <v>0</v>
          </cell>
          <cell r="P121">
            <v>0.33999999985098839</v>
          </cell>
          <cell r="Q121">
            <v>0</v>
          </cell>
          <cell r="R121">
            <v>0</v>
          </cell>
          <cell r="S121">
            <v>0</v>
          </cell>
        </row>
        <row r="122">
          <cell r="A122">
            <v>100600</v>
          </cell>
          <cell r="B122" t="str">
            <v>IMG Cash</v>
          </cell>
          <cell r="C122">
            <v>0</v>
          </cell>
          <cell r="D122">
            <v>0</v>
          </cell>
          <cell r="E122">
            <v>0</v>
          </cell>
          <cell r="F122">
            <v>0</v>
          </cell>
          <cell r="G122"/>
          <cell r="H122">
            <v>0</v>
          </cell>
          <cell r="I122">
            <v>0</v>
          </cell>
          <cell r="J122">
            <v>0</v>
          </cell>
          <cell r="K122">
            <v>0</v>
          </cell>
          <cell r="L122">
            <v>100600</v>
          </cell>
          <cell r="M122">
            <v>1</v>
          </cell>
          <cell r="N122">
            <v>0</v>
          </cell>
          <cell r="O122">
            <v>0</v>
          </cell>
          <cell r="P122">
            <v>0</v>
          </cell>
          <cell r="Q122">
            <v>0</v>
          </cell>
          <cell r="R122">
            <v>0</v>
          </cell>
          <cell r="S122">
            <v>0</v>
          </cell>
        </row>
        <row r="123">
          <cell r="A123">
            <v>100601</v>
          </cell>
          <cell r="B123" t="str">
            <v>JP Morgan MF</v>
          </cell>
          <cell r="C123">
            <v>0</v>
          </cell>
          <cell r="D123">
            <v>0</v>
          </cell>
          <cell r="E123">
            <v>0</v>
          </cell>
          <cell r="F123">
            <v>0</v>
          </cell>
          <cell r="G123"/>
          <cell r="H123">
            <v>0</v>
          </cell>
          <cell r="I123">
            <v>0</v>
          </cell>
          <cell r="J123">
            <v>0</v>
          </cell>
          <cell r="K123">
            <v>0</v>
          </cell>
          <cell r="L123">
            <v>100601</v>
          </cell>
          <cell r="M123">
            <v>1</v>
          </cell>
          <cell r="N123">
            <v>0</v>
          </cell>
          <cell r="O123">
            <v>0</v>
          </cell>
          <cell r="P123">
            <v>0</v>
          </cell>
          <cell r="Q123">
            <v>0</v>
          </cell>
          <cell r="R123">
            <v>0</v>
          </cell>
          <cell r="S123">
            <v>0</v>
          </cell>
        </row>
        <row r="124">
          <cell r="A124">
            <v>100605</v>
          </cell>
          <cell r="B124" t="str">
            <v>JP Morgan Treasury Stock</v>
          </cell>
          <cell r="C124">
            <v>0</v>
          </cell>
          <cell r="D124">
            <v>0</v>
          </cell>
          <cell r="E124">
            <v>0</v>
          </cell>
          <cell r="F124">
            <v>0</v>
          </cell>
          <cell r="G124"/>
          <cell r="H124">
            <v>0</v>
          </cell>
          <cell r="I124">
            <v>0</v>
          </cell>
          <cell r="J124">
            <v>0</v>
          </cell>
          <cell r="K124">
            <v>0</v>
          </cell>
          <cell r="L124">
            <v>100605</v>
          </cell>
          <cell r="M124">
            <v>1</v>
          </cell>
          <cell r="N124">
            <v>0</v>
          </cell>
          <cell r="O124">
            <v>0</v>
          </cell>
          <cell r="P124">
            <v>0</v>
          </cell>
          <cell r="Q124">
            <v>0</v>
          </cell>
          <cell r="R124">
            <v>0</v>
          </cell>
          <cell r="S124">
            <v>0</v>
          </cell>
        </row>
        <row r="125">
          <cell r="A125">
            <v>100602</v>
          </cell>
          <cell r="B125" t="str">
            <v>Union KBC MF</v>
          </cell>
          <cell r="C125">
            <v>0</v>
          </cell>
          <cell r="D125">
            <v>0</v>
          </cell>
          <cell r="E125">
            <v>0</v>
          </cell>
          <cell r="F125">
            <v>0</v>
          </cell>
          <cell r="G125"/>
          <cell r="H125">
            <v>0</v>
          </cell>
          <cell r="I125">
            <v>0</v>
          </cell>
          <cell r="J125">
            <v>0</v>
          </cell>
          <cell r="K125">
            <v>0</v>
          </cell>
          <cell r="L125">
            <v>100602</v>
          </cell>
          <cell r="M125">
            <v>1</v>
          </cell>
          <cell r="N125">
            <v>0</v>
          </cell>
          <cell r="O125">
            <v>0</v>
          </cell>
          <cell r="P125">
            <v>0</v>
          </cell>
          <cell r="Q125">
            <v>0</v>
          </cell>
          <cell r="R125">
            <v>0</v>
          </cell>
          <cell r="S125">
            <v>0</v>
          </cell>
        </row>
        <row r="126">
          <cell r="A126">
            <v>100700</v>
          </cell>
          <cell r="B126" t="str">
            <v>Mutual Fund - Investments</v>
          </cell>
          <cell r="C126">
            <v>0</v>
          </cell>
          <cell r="D126">
            <v>0</v>
          </cell>
          <cell r="E126">
            <v>0</v>
          </cell>
          <cell r="F126">
            <v>0</v>
          </cell>
          <cell r="G126"/>
          <cell r="H126">
            <v>0</v>
          </cell>
          <cell r="I126">
            <v>0</v>
          </cell>
          <cell r="J126">
            <v>0</v>
          </cell>
          <cell r="K126">
            <v>0</v>
          </cell>
          <cell r="L126">
            <v>100700</v>
          </cell>
          <cell r="M126">
            <v>1</v>
          </cell>
          <cell r="N126">
            <v>0</v>
          </cell>
          <cell r="O126">
            <v>0</v>
          </cell>
          <cell r="P126">
            <v>0</v>
          </cell>
          <cell r="Q126">
            <v>0</v>
          </cell>
          <cell r="R126">
            <v>0</v>
          </cell>
          <cell r="S126">
            <v>0</v>
          </cell>
        </row>
        <row r="127">
          <cell r="A127">
            <v>100750</v>
          </cell>
          <cell r="B127" t="str">
            <v>Mutual Fund - One Group</v>
          </cell>
          <cell r="C127">
            <v>0</v>
          </cell>
          <cell r="D127">
            <v>0</v>
          </cell>
          <cell r="E127">
            <v>0</v>
          </cell>
          <cell r="F127">
            <v>0</v>
          </cell>
          <cell r="G127"/>
          <cell r="H127">
            <v>0</v>
          </cell>
          <cell r="I127">
            <v>0</v>
          </cell>
          <cell r="J127">
            <v>0</v>
          </cell>
          <cell r="K127">
            <v>0</v>
          </cell>
          <cell r="L127">
            <v>100750</v>
          </cell>
          <cell r="M127">
            <v>1</v>
          </cell>
          <cell r="N127">
            <v>0</v>
          </cell>
          <cell r="O127">
            <v>0</v>
          </cell>
          <cell r="P127">
            <v>0</v>
          </cell>
          <cell r="Q127">
            <v>0</v>
          </cell>
          <cell r="R127">
            <v>0</v>
          </cell>
          <cell r="S127">
            <v>0</v>
          </cell>
        </row>
        <row r="128">
          <cell r="A128">
            <v>100760</v>
          </cell>
          <cell r="B128" t="str">
            <v>Mutual Fund-First Union Securi</v>
          </cell>
          <cell r="C128">
            <v>0</v>
          </cell>
          <cell r="D128">
            <v>0</v>
          </cell>
          <cell r="E128">
            <v>0</v>
          </cell>
          <cell r="F128">
            <v>0</v>
          </cell>
          <cell r="G128"/>
          <cell r="H128">
            <v>0</v>
          </cell>
          <cell r="I128">
            <v>0</v>
          </cell>
          <cell r="J128">
            <v>0</v>
          </cell>
          <cell r="K128">
            <v>0</v>
          </cell>
          <cell r="L128">
            <v>100760</v>
          </cell>
          <cell r="M128">
            <v>1</v>
          </cell>
          <cell r="N128">
            <v>0</v>
          </cell>
          <cell r="O128">
            <v>0</v>
          </cell>
          <cell r="P128">
            <v>0</v>
          </cell>
          <cell r="Q128">
            <v>0</v>
          </cell>
          <cell r="R128">
            <v>0</v>
          </cell>
          <cell r="S128">
            <v>0</v>
          </cell>
        </row>
        <row r="129">
          <cell r="A129">
            <v>100761</v>
          </cell>
          <cell r="B129" t="str">
            <v>Mutual Fund - Wells Fargo Bank</v>
          </cell>
          <cell r="C129">
            <v>0</v>
          </cell>
          <cell r="D129">
            <v>0</v>
          </cell>
          <cell r="E129">
            <v>0</v>
          </cell>
          <cell r="F129">
            <v>0</v>
          </cell>
          <cell r="G129"/>
          <cell r="H129">
            <v>0</v>
          </cell>
          <cell r="I129">
            <v>0</v>
          </cell>
          <cell r="J129">
            <v>0</v>
          </cell>
          <cell r="K129">
            <v>0</v>
          </cell>
          <cell r="L129">
            <v>100761</v>
          </cell>
          <cell r="M129">
            <v>1</v>
          </cell>
          <cell r="N129">
            <v>0</v>
          </cell>
          <cell r="O129">
            <v>0</v>
          </cell>
          <cell r="P129">
            <v>0</v>
          </cell>
          <cell r="Q129">
            <v>0</v>
          </cell>
          <cell r="R129">
            <v>0</v>
          </cell>
          <cell r="S129">
            <v>0</v>
          </cell>
        </row>
        <row r="130">
          <cell r="A130">
            <v>100762</v>
          </cell>
          <cell r="B130" t="str">
            <v>CSFB - Mutual Fund</v>
          </cell>
          <cell r="C130">
            <v>0</v>
          </cell>
          <cell r="D130">
            <v>0</v>
          </cell>
          <cell r="E130">
            <v>0</v>
          </cell>
          <cell r="F130">
            <v>0</v>
          </cell>
          <cell r="G130"/>
          <cell r="H130">
            <v>0</v>
          </cell>
          <cell r="I130">
            <v>0</v>
          </cell>
          <cell r="J130">
            <v>0</v>
          </cell>
          <cell r="K130">
            <v>0</v>
          </cell>
          <cell r="L130">
            <v>100762</v>
          </cell>
          <cell r="M130">
            <v>1</v>
          </cell>
          <cell r="N130">
            <v>0</v>
          </cell>
          <cell r="O130">
            <v>0</v>
          </cell>
          <cell r="P130">
            <v>0</v>
          </cell>
          <cell r="Q130">
            <v>0</v>
          </cell>
          <cell r="R130">
            <v>0</v>
          </cell>
          <cell r="S130">
            <v>0</v>
          </cell>
        </row>
        <row r="131">
          <cell r="A131">
            <v>100763</v>
          </cell>
          <cell r="B131" t="str">
            <v>Standard Federal</v>
          </cell>
          <cell r="C131">
            <v>0</v>
          </cell>
          <cell r="D131">
            <v>0</v>
          </cell>
          <cell r="E131">
            <v>0</v>
          </cell>
          <cell r="F131">
            <v>0</v>
          </cell>
          <cell r="G131"/>
          <cell r="H131">
            <v>0</v>
          </cell>
          <cell r="I131">
            <v>0</v>
          </cell>
          <cell r="J131">
            <v>0</v>
          </cell>
          <cell r="K131">
            <v>0</v>
          </cell>
          <cell r="L131">
            <v>100763</v>
          </cell>
          <cell r="M131">
            <v>1</v>
          </cell>
          <cell r="N131">
            <v>0</v>
          </cell>
          <cell r="O131">
            <v>0</v>
          </cell>
          <cell r="P131">
            <v>0</v>
          </cell>
          <cell r="Q131">
            <v>0</v>
          </cell>
          <cell r="R131">
            <v>0</v>
          </cell>
          <cell r="S131">
            <v>0</v>
          </cell>
        </row>
        <row r="132">
          <cell r="A132">
            <v>100765</v>
          </cell>
          <cell r="B132" t="str">
            <v>Mutual Fund - Salomon Smith</v>
          </cell>
          <cell r="C132">
            <v>0</v>
          </cell>
          <cell r="D132">
            <v>0</v>
          </cell>
          <cell r="E132">
            <v>0</v>
          </cell>
          <cell r="F132">
            <v>0</v>
          </cell>
          <cell r="G132"/>
          <cell r="H132">
            <v>0</v>
          </cell>
          <cell r="I132">
            <v>0</v>
          </cell>
          <cell r="J132">
            <v>0</v>
          </cell>
          <cell r="K132">
            <v>0</v>
          </cell>
          <cell r="L132">
            <v>100765</v>
          </cell>
          <cell r="M132">
            <v>1</v>
          </cell>
          <cell r="N132">
            <v>0</v>
          </cell>
          <cell r="O132">
            <v>0</v>
          </cell>
          <cell r="P132">
            <v>0</v>
          </cell>
          <cell r="Q132">
            <v>0</v>
          </cell>
          <cell r="R132">
            <v>0</v>
          </cell>
          <cell r="S132">
            <v>0</v>
          </cell>
        </row>
        <row r="133">
          <cell r="A133">
            <v>100770</v>
          </cell>
          <cell r="B133" t="str">
            <v>Bear Stearns Securities Corp.</v>
          </cell>
          <cell r="C133">
            <v>0</v>
          </cell>
          <cell r="D133">
            <v>0</v>
          </cell>
          <cell r="E133">
            <v>0</v>
          </cell>
          <cell r="F133">
            <v>0</v>
          </cell>
          <cell r="G133"/>
          <cell r="H133">
            <v>0</v>
          </cell>
          <cell r="I133">
            <v>0</v>
          </cell>
          <cell r="J133">
            <v>0</v>
          </cell>
          <cell r="K133">
            <v>0</v>
          </cell>
          <cell r="L133">
            <v>100770</v>
          </cell>
          <cell r="M133">
            <v>1</v>
          </cell>
          <cell r="N133">
            <v>0</v>
          </cell>
          <cell r="O133">
            <v>0</v>
          </cell>
          <cell r="P133">
            <v>0</v>
          </cell>
          <cell r="Q133">
            <v>0</v>
          </cell>
          <cell r="R133">
            <v>0</v>
          </cell>
          <cell r="S133">
            <v>0</v>
          </cell>
        </row>
        <row r="134">
          <cell r="A134">
            <v>100780</v>
          </cell>
          <cell r="B134" t="str">
            <v>Mutual Fund-Escrow Investments</v>
          </cell>
          <cell r="C134">
            <v>0</v>
          </cell>
          <cell r="D134">
            <v>0</v>
          </cell>
          <cell r="E134">
            <v>0</v>
          </cell>
          <cell r="F134">
            <v>0</v>
          </cell>
          <cell r="G134"/>
          <cell r="H134">
            <v>0</v>
          </cell>
          <cell r="I134">
            <v>0</v>
          </cell>
          <cell r="J134">
            <v>0</v>
          </cell>
          <cell r="K134">
            <v>0</v>
          </cell>
          <cell r="L134">
            <v>100780</v>
          </cell>
          <cell r="M134">
            <v>1</v>
          </cell>
          <cell r="N134">
            <v>0</v>
          </cell>
          <cell r="O134">
            <v>0</v>
          </cell>
          <cell r="P134">
            <v>0</v>
          </cell>
          <cell r="Q134">
            <v>0</v>
          </cell>
          <cell r="R134">
            <v>0</v>
          </cell>
          <cell r="S134">
            <v>0</v>
          </cell>
        </row>
        <row r="135">
          <cell r="A135">
            <v>100800</v>
          </cell>
          <cell r="B135" t="str">
            <v>Petty Cash</v>
          </cell>
          <cell r="C135">
            <v>0</v>
          </cell>
          <cell r="D135">
            <v>0</v>
          </cell>
          <cell r="E135">
            <v>0</v>
          </cell>
          <cell r="F135">
            <v>0</v>
          </cell>
          <cell r="G135"/>
          <cell r="H135">
            <v>0</v>
          </cell>
          <cell r="I135">
            <v>0</v>
          </cell>
          <cell r="J135">
            <v>0</v>
          </cell>
          <cell r="K135">
            <v>0</v>
          </cell>
          <cell r="L135">
            <v>100800</v>
          </cell>
          <cell r="M135">
            <v>1</v>
          </cell>
          <cell r="N135">
            <v>0</v>
          </cell>
          <cell r="O135">
            <v>0</v>
          </cell>
          <cell r="P135">
            <v>0</v>
          </cell>
          <cell r="Q135">
            <v>0</v>
          </cell>
          <cell r="R135">
            <v>0</v>
          </cell>
          <cell r="S135">
            <v>0</v>
          </cell>
        </row>
        <row r="136">
          <cell r="A136">
            <v>100801</v>
          </cell>
          <cell r="B136" t="str">
            <v>Cash in Safe</v>
          </cell>
          <cell r="C136">
            <v>0</v>
          </cell>
          <cell r="D136">
            <v>0</v>
          </cell>
          <cell r="E136">
            <v>0</v>
          </cell>
          <cell r="F136">
            <v>0</v>
          </cell>
          <cell r="G136"/>
          <cell r="H136">
            <v>0</v>
          </cell>
          <cell r="I136">
            <v>0</v>
          </cell>
          <cell r="J136">
            <v>0</v>
          </cell>
          <cell r="K136">
            <v>0</v>
          </cell>
          <cell r="L136">
            <v>100801</v>
          </cell>
          <cell r="M136">
            <v>1</v>
          </cell>
          <cell r="N136">
            <v>0</v>
          </cell>
          <cell r="O136">
            <v>0</v>
          </cell>
          <cell r="P136">
            <v>0</v>
          </cell>
          <cell r="Q136">
            <v>0</v>
          </cell>
          <cell r="R136">
            <v>0</v>
          </cell>
          <cell r="S136">
            <v>0</v>
          </cell>
        </row>
        <row r="137">
          <cell r="A137">
            <v>100802</v>
          </cell>
          <cell r="B137" t="str">
            <v>Cash in Hand - Chennai</v>
          </cell>
          <cell r="C137">
            <v>0</v>
          </cell>
          <cell r="D137">
            <v>0</v>
          </cell>
          <cell r="E137">
            <v>0</v>
          </cell>
          <cell r="F137">
            <v>0</v>
          </cell>
          <cell r="G137"/>
          <cell r="H137">
            <v>0</v>
          </cell>
          <cell r="I137">
            <v>0</v>
          </cell>
          <cell r="J137">
            <v>0</v>
          </cell>
          <cell r="K137">
            <v>0</v>
          </cell>
          <cell r="L137">
            <v>100802</v>
          </cell>
          <cell r="M137">
            <v>1</v>
          </cell>
          <cell r="N137">
            <v>0</v>
          </cell>
          <cell r="O137">
            <v>0</v>
          </cell>
          <cell r="P137">
            <v>0</v>
          </cell>
          <cell r="Q137">
            <v>0</v>
          </cell>
          <cell r="R137">
            <v>0</v>
          </cell>
          <cell r="S137">
            <v>0</v>
          </cell>
        </row>
        <row r="138">
          <cell r="A138">
            <v>100803</v>
          </cell>
          <cell r="B138" t="str">
            <v>Cash in Safe,Chennai</v>
          </cell>
          <cell r="C138">
            <v>0</v>
          </cell>
          <cell r="D138">
            <v>0</v>
          </cell>
          <cell r="E138">
            <v>0</v>
          </cell>
          <cell r="F138">
            <v>0</v>
          </cell>
          <cell r="G138"/>
          <cell r="H138">
            <v>0</v>
          </cell>
          <cell r="I138">
            <v>0</v>
          </cell>
          <cell r="J138">
            <v>0</v>
          </cell>
          <cell r="K138">
            <v>0</v>
          </cell>
          <cell r="L138">
            <v>100803</v>
          </cell>
          <cell r="M138">
            <v>1</v>
          </cell>
          <cell r="N138">
            <v>0</v>
          </cell>
          <cell r="O138">
            <v>0</v>
          </cell>
          <cell r="P138">
            <v>0</v>
          </cell>
          <cell r="Q138">
            <v>0</v>
          </cell>
          <cell r="R138">
            <v>0</v>
          </cell>
          <cell r="S138">
            <v>0</v>
          </cell>
        </row>
        <row r="139">
          <cell r="A139">
            <v>100804</v>
          </cell>
          <cell r="B139" t="str">
            <v>Cash in Hand - Pune</v>
          </cell>
          <cell r="C139">
            <v>0</v>
          </cell>
          <cell r="D139">
            <v>0</v>
          </cell>
          <cell r="E139">
            <v>0</v>
          </cell>
          <cell r="F139">
            <v>0</v>
          </cell>
          <cell r="G139"/>
          <cell r="H139">
            <v>0</v>
          </cell>
          <cell r="I139">
            <v>0</v>
          </cell>
          <cell r="J139">
            <v>0</v>
          </cell>
          <cell r="K139">
            <v>0</v>
          </cell>
          <cell r="L139">
            <v>100804</v>
          </cell>
          <cell r="M139">
            <v>1</v>
          </cell>
          <cell r="N139">
            <v>0</v>
          </cell>
          <cell r="O139">
            <v>0</v>
          </cell>
          <cell r="P139">
            <v>21263</v>
          </cell>
          <cell r="Q139">
            <v>-21263</v>
          </cell>
          <cell r="R139">
            <v>0</v>
          </cell>
          <cell r="S139">
            <v>0</v>
          </cell>
        </row>
        <row r="140">
          <cell r="A140">
            <v>100806</v>
          </cell>
          <cell r="B140" t="str">
            <v>Remittance in Transit</v>
          </cell>
          <cell r="C140">
            <v>0</v>
          </cell>
          <cell r="D140">
            <v>0</v>
          </cell>
          <cell r="E140">
            <v>0</v>
          </cell>
          <cell r="F140">
            <v>0</v>
          </cell>
          <cell r="G140"/>
          <cell r="H140">
            <v>0</v>
          </cell>
          <cell r="I140">
            <v>0</v>
          </cell>
          <cell r="J140">
            <v>0</v>
          </cell>
          <cell r="K140">
            <v>0</v>
          </cell>
          <cell r="L140">
            <v>100806</v>
          </cell>
          <cell r="M140">
            <v>1</v>
          </cell>
          <cell r="N140">
            <v>0</v>
          </cell>
          <cell r="O140">
            <v>0</v>
          </cell>
          <cell r="P140">
            <v>0</v>
          </cell>
          <cell r="Q140">
            <v>0</v>
          </cell>
          <cell r="R140">
            <v>0</v>
          </cell>
          <cell r="S140">
            <v>0</v>
          </cell>
        </row>
        <row r="141">
          <cell r="A141">
            <v>100807</v>
          </cell>
          <cell r="B141" t="str">
            <v>Forex Surrendered</v>
          </cell>
          <cell r="C141">
            <v>-0.21</v>
          </cell>
          <cell r="D141">
            <v>0</v>
          </cell>
          <cell r="E141">
            <v>0</v>
          </cell>
          <cell r="F141">
            <v>-0.21</v>
          </cell>
          <cell r="G141"/>
          <cell r="H141">
            <v>-0.21</v>
          </cell>
          <cell r="I141">
            <v>0</v>
          </cell>
          <cell r="J141">
            <v>0</v>
          </cell>
          <cell r="K141">
            <v>-0.21</v>
          </cell>
          <cell r="L141">
            <v>100807</v>
          </cell>
          <cell r="M141">
            <v>1</v>
          </cell>
          <cell r="N141">
            <v>0</v>
          </cell>
          <cell r="O141">
            <v>0</v>
          </cell>
          <cell r="P141">
            <v>-0.21</v>
          </cell>
          <cell r="Q141">
            <v>0</v>
          </cell>
          <cell r="R141">
            <v>0</v>
          </cell>
          <cell r="S141">
            <v>0</v>
          </cell>
        </row>
        <row r="142">
          <cell r="A142">
            <v>101000</v>
          </cell>
          <cell r="B142" t="str">
            <v>Accounts Receivable - Trade</v>
          </cell>
          <cell r="C142">
            <v>-7.4387740285508333</v>
          </cell>
          <cell r="D142">
            <v>0</v>
          </cell>
          <cell r="E142">
            <v>0</v>
          </cell>
          <cell r="F142">
            <v>-7.4387740285508333</v>
          </cell>
          <cell r="G142"/>
          <cell r="H142">
            <v>-7.4387740285508333</v>
          </cell>
          <cell r="I142">
            <v>0</v>
          </cell>
          <cell r="J142">
            <v>0</v>
          </cell>
          <cell r="K142">
            <v>-7.4387740285508333</v>
          </cell>
          <cell r="L142">
            <v>101000</v>
          </cell>
          <cell r="M142">
            <v>1</v>
          </cell>
          <cell r="N142">
            <v>0</v>
          </cell>
          <cell r="O142">
            <v>0</v>
          </cell>
          <cell r="P142">
            <v>3.1412259716307744</v>
          </cell>
          <cell r="Q142">
            <v>-10.580000000181608</v>
          </cell>
          <cell r="R142">
            <v>0</v>
          </cell>
          <cell r="S142">
            <v>0</v>
          </cell>
        </row>
        <row r="143">
          <cell r="A143">
            <v>101001</v>
          </cell>
          <cell r="B143" t="str">
            <v>Accounts Receivable-Trade-IMG</v>
          </cell>
          <cell r="C143">
            <v>0</v>
          </cell>
          <cell r="D143">
            <v>0</v>
          </cell>
          <cell r="E143">
            <v>0</v>
          </cell>
          <cell r="F143">
            <v>0</v>
          </cell>
          <cell r="G143"/>
          <cell r="H143">
            <v>0</v>
          </cell>
          <cell r="I143">
            <v>0</v>
          </cell>
          <cell r="J143">
            <v>0</v>
          </cell>
          <cell r="K143">
            <v>0</v>
          </cell>
          <cell r="L143">
            <v>101001</v>
          </cell>
          <cell r="M143">
            <v>1</v>
          </cell>
          <cell r="N143">
            <v>0</v>
          </cell>
          <cell r="O143">
            <v>0</v>
          </cell>
          <cell r="P143">
            <v>0</v>
          </cell>
          <cell r="Q143">
            <v>0</v>
          </cell>
          <cell r="R143">
            <v>0</v>
          </cell>
          <cell r="S143">
            <v>0</v>
          </cell>
        </row>
        <row r="144">
          <cell r="A144">
            <v>101002</v>
          </cell>
          <cell r="B144" t="str">
            <v>Accts Receivable-Trade Metier</v>
          </cell>
          <cell r="C144">
            <v>0</v>
          </cell>
          <cell r="D144">
            <v>0</v>
          </cell>
          <cell r="E144">
            <v>0</v>
          </cell>
          <cell r="F144">
            <v>0</v>
          </cell>
          <cell r="G144"/>
          <cell r="H144">
            <v>0</v>
          </cell>
          <cell r="I144">
            <v>0</v>
          </cell>
          <cell r="J144">
            <v>0</v>
          </cell>
          <cell r="K144">
            <v>0</v>
          </cell>
          <cell r="L144">
            <v>101002</v>
          </cell>
          <cell r="M144">
            <v>1</v>
          </cell>
          <cell r="N144">
            <v>0</v>
          </cell>
          <cell r="O144">
            <v>0</v>
          </cell>
          <cell r="P144">
            <v>0</v>
          </cell>
          <cell r="Q144">
            <v>0</v>
          </cell>
          <cell r="R144">
            <v>0</v>
          </cell>
          <cell r="S144">
            <v>0</v>
          </cell>
        </row>
        <row r="145">
          <cell r="A145">
            <v>101003</v>
          </cell>
          <cell r="B145" t="str">
            <v>Account receivable Inter Com</v>
          </cell>
          <cell r="C145">
            <v>0</v>
          </cell>
          <cell r="D145">
            <v>0</v>
          </cell>
          <cell r="E145">
            <v>0</v>
          </cell>
          <cell r="F145">
            <v>0</v>
          </cell>
          <cell r="G145"/>
          <cell r="H145">
            <v>0</v>
          </cell>
          <cell r="I145">
            <v>0</v>
          </cell>
          <cell r="J145">
            <v>0</v>
          </cell>
          <cell r="K145">
            <v>0</v>
          </cell>
          <cell r="L145">
            <v>101003</v>
          </cell>
          <cell r="M145">
            <v>1</v>
          </cell>
          <cell r="N145">
            <v>0</v>
          </cell>
          <cell r="O145">
            <v>0</v>
          </cell>
          <cell r="P145">
            <v>23073665.940000001</v>
          </cell>
          <cell r="Q145">
            <v>-23073665.940000001</v>
          </cell>
          <cell r="R145">
            <v>0</v>
          </cell>
          <cell r="S145">
            <v>0</v>
          </cell>
        </row>
        <row r="146">
          <cell r="A146">
            <v>101050</v>
          </cell>
          <cell r="B146" t="str">
            <v>Allowance for Doubtful Account</v>
          </cell>
          <cell r="C146">
            <v>0</v>
          </cell>
          <cell r="D146">
            <v>0</v>
          </cell>
          <cell r="E146">
            <v>0</v>
          </cell>
          <cell r="F146">
            <v>0</v>
          </cell>
          <cell r="G146"/>
          <cell r="H146">
            <v>0</v>
          </cell>
          <cell r="I146">
            <v>0</v>
          </cell>
          <cell r="J146">
            <v>0</v>
          </cell>
          <cell r="K146">
            <v>0</v>
          </cell>
          <cell r="L146">
            <v>101050</v>
          </cell>
          <cell r="M146">
            <v>1</v>
          </cell>
          <cell r="N146">
            <v>0</v>
          </cell>
          <cell r="O146">
            <v>0</v>
          </cell>
          <cell r="P146">
            <v>0</v>
          </cell>
          <cell r="Q146">
            <v>0</v>
          </cell>
          <cell r="R146">
            <v>0</v>
          </cell>
          <cell r="S146">
            <v>0</v>
          </cell>
        </row>
        <row r="147">
          <cell r="A147">
            <v>101052</v>
          </cell>
          <cell r="B147" t="str">
            <v>Allow for Dbtful Accts-Metier</v>
          </cell>
          <cell r="C147">
            <v>0</v>
          </cell>
          <cell r="D147">
            <v>0</v>
          </cell>
          <cell r="E147">
            <v>0</v>
          </cell>
          <cell r="F147">
            <v>0</v>
          </cell>
          <cell r="G147"/>
          <cell r="H147">
            <v>0</v>
          </cell>
          <cell r="I147">
            <v>0</v>
          </cell>
          <cell r="J147">
            <v>0</v>
          </cell>
          <cell r="K147">
            <v>0</v>
          </cell>
          <cell r="L147">
            <v>101052</v>
          </cell>
          <cell r="M147">
            <v>1</v>
          </cell>
          <cell r="N147">
            <v>0</v>
          </cell>
          <cell r="O147">
            <v>0</v>
          </cell>
          <cell r="P147">
            <v>0</v>
          </cell>
          <cell r="Q147">
            <v>0</v>
          </cell>
          <cell r="R147">
            <v>0</v>
          </cell>
          <cell r="S147">
            <v>0</v>
          </cell>
        </row>
        <row r="148">
          <cell r="A148">
            <v>101060</v>
          </cell>
          <cell r="B148" t="str">
            <v>Credit Reserve</v>
          </cell>
          <cell r="C148">
            <v>0</v>
          </cell>
          <cell r="D148">
            <v>0</v>
          </cell>
          <cell r="E148">
            <v>0</v>
          </cell>
          <cell r="F148">
            <v>0</v>
          </cell>
          <cell r="G148"/>
          <cell r="H148">
            <v>0</v>
          </cell>
          <cell r="I148">
            <v>0</v>
          </cell>
          <cell r="J148">
            <v>0</v>
          </cell>
          <cell r="K148">
            <v>0</v>
          </cell>
          <cell r="L148">
            <v>101060</v>
          </cell>
          <cell r="M148">
            <v>1</v>
          </cell>
          <cell r="N148">
            <v>0</v>
          </cell>
          <cell r="O148">
            <v>0</v>
          </cell>
          <cell r="P148">
            <v>0</v>
          </cell>
          <cell r="Q148">
            <v>0</v>
          </cell>
          <cell r="R148">
            <v>0</v>
          </cell>
          <cell r="S148">
            <v>0</v>
          </cell>
        </row>
        <row r="149">
          <cell r="A149">
            <v>101065</v>
          </cell>
          <cell r="B149" t="str">
            <v>Accounts Receivable - Accrued</v>
          </cell>
          <cell r="C149">
            <v>1.0000014677643776E-2</v>
          </cell>
          <cell r="D149">
            <v>0</v>
          </cell>
          <cell r="E149">
            <v>0</v>
          </cell>
          <cell r="F149">
            <v>1.0000014677643776E-2</v>
          </cell>
          <cell r="G149"/>
          <cell r="H149">
            <v>1.0000014677643776E-2</v>
          </cell>
          <cell r="I149">
            <v>0</v>
          </cell>
          <cell r="J149">
            <v>0</v>
          </cell>
          <cell r="K149">
            <v>1.0000014677643776E-2</v>
          </cell>
          <cell r="L149">
            <v>101065</v>
          </cell>
          <cell r="M149">
            <v>1</v>
          </cell>
          <cell r="N149">
            <v>0</v>
          </cell>
          <cell r="O149">
            <v>0</v>
          </cell>
          <cell r="P149">
            <v>1.0000014677643776E-2</v>
          </cell>
          <cell r="Q149">
            <v>0</v>
          </cell>
          <cell r="R149">
            <v>0</v>
          </cell>
          <cell r="S149">
            <v>0</v>
          </cell>
        </row>
        <row r="150">
          <cell r="A150">
            <v>101066</v>
          </cell>
          <cell r="B150" t="str">
            <v>Interco AR accruals</v>
          </cell>
          <cell r="C150">
            <v>0</v>
          </cell>
          <cell r="D150">
            <v>0</v>
          </cell>
          <cell r="E150">
            <v>0</v>
          </cell>
          <cell r="F150">
            <v>0</v>
          </cell>
          <cell r="G150"/>
          <cell r="H150">
            <v>0</v>
          </cell>
          <cell r="I150">
            <v>0</v>
          </cell>
          <cell r="J150">
            <v>0</v>
          </cell>
          <cell r="K150">
            <v>0</v>
          </cell>
          <cell r="L150">
            <v>101066</v>
          </cell>
          <cell r="M150">
            <v>1</v>
          </cell>
          <cell r="N150">
            <v>0</v>
          </cell>
          <cell r="O150">
            <v>0</v>
          </cell>
          <cell r="P150"/>
          <cell r="Q150">
            <v>0</v>
          </cell>
          <cell r="R150">
            <v>0</v>
          </cell>
          <cell r="S150">
            <v>0</v>
          </cell>
        </row>
        <row r="151">
          <cell r="A151">
            <v>101090</v>
          </cell>
          <cell r="B151" t="str">
            <v>AR - Volume Rebate</v>
          </cell>
          <cell r="C151">
            <v>1.619999997317791</v>
          </cell>
          <cell r="D151">
            <v>0</v>
          </cell>
          <cell r="E151">
            <v>0</v>
          </cell>
          <cell r="F151">
            <v>1.619999997317791</v>
          </cell>
          <cell r="G151"/>
          <cell r="H151">
            <v>1.619999997317791</v>
          </cell>
          <cell r="I151">
            <v>0</v>
          </cell>
          <cell r="J151">
            <v>0</v>
          </cell>
          <cell r="K151">
            <v>1.619999997317791</v>
          </cell>
          <cell r="L151">
            <v>101090</v>
          </cell>
          <cell r="M151">
            <v>1</v>
          </cell>
          <cell r="N151">
            <v>0</v>
          </cell>
          <cell r="O151">
            <v>0</v>
          </cell>
          <cell r="P151">
            <v>1.619999997317791</v>
          </cell>
          <cell r="Q151">
            <v>0</v>
          </cell>
          <cell r="R151">
            <v>0</v>
          </cell>
          <cell r="S151">
            <v>0</v>
          </cell>
        </row>
        <row r="152">
          <cell r="A152">
            <v>101120</v>
          </cell>
          <cell r="B152" t="str">
            <v>Accounts Receivable - Advance</v>
          </cell>
          <cell r="C152">
            <v>0</v>
          </cell>
          <cell r="D152">
            <v>0</v>
          </cell>
          <cell r="E152">
            <v>0</v>
          </cell>
          <cell r="F152">
            <v>0</v>
          </cell>
          <cell r="G152"/>
          <cell r="H152">
            <v>0</v>
          </cell>
          <cell r="I152">
            <v>0</v>
          </cell>
          <cell r="J152">
            <v>0</v>
          </cell>
          <cell r="K152">
            <v>0</v>
          </cell>
          <cell r="L152">
            <v>101120</v>
          </cell>
          <cell r="M152">
            <v>1</v>
          </cell>
          <cell r="N152">
            <v>0</v>
          </cell>
          <cell r="O152">
            <v>0</v>
          </cell>
          <cell r="P152">
            <v>0</v>
          </cell>
          <cell r="Q152">
            <v>0</v>
          </cell>
          <cell r="R152">
            <v>0</v>
          </cell>
          <cell r="S152">
            <v>0</v>
          </cell>
        </row>
        <row r="153">
          <cell r="A153">
            <v>101130</v>
          </cell>
          <cell r="B153" t="str">
            <v>Accounts Receivables - Retaina</v>
          </cell>
          <cell r="C153">
            <v>0</v>
          </cell>
          <cell r="D153">
            <v>0</v>
          </cell>
          <cell r="E153">
            <v>0</v>
          </cell>
          <cell r="F153">
            <v>0</v>
          </cell>
          <cell r="G153"/>
          <cell r="H153">
            <v>0</v>
          </cell>
          <cell r="I153">
            <v>0</v>
          </cell>
          <cell r="J153">
            <v>0</v>
          </cell>
          <cell r="K153">
            <v>0</v>
          </cell>
          <cell r="L153">
            <v>101130</v>
          </cell>
          <cell r="M153">
            <v>1</v>
          </cell>
          <cell r="N153">
            <v>0</v>
          </cell>
          <cell r="O153">
            <v>0</v>
          </cell>
          <cell r="P153">
            <v>0</v>
          </cell>
          <cell r="Q153">
            <v>0</v>
          </cell>
          <cell r="R153">
            <v>0</v>
          </cell>
          <cell r="S153">
            <v>0</v>
          </cell>
        </row>
        <row r="154">
          <cell r="A154">
            <v>101150</v>
          </cell>
          <cell r="B154" t="str">
            <v>Accounts Receivable Other</v>
          </cell>
          <cell r="C154">
            <v>0</v>
          </cell>
          <cell r="D154">
            <v>0</v>
          </cell>
          <cell r="E154">
            <v>0</v>
          </cell>
          <cell r="F154">
            <v>0</v>
          </cell>
          <cell r="G154"/>
          <cell r="H154">
            <v>0</v>
          </cell>
          <cell r="I154">
            <v>0</v>
          </cell>
          <cell r="J154">
            <v>0</v>
          </cell>
          <cell r="K154">
            <v>0</v>
          </cell>
          <cell r="L154">
            <v>101150</v>
          </cell>
          <cell r="M154">
            <v>1</v>
          </cell>
          <cell r="N154">
            <v>0</v>
          </cell>
          <cell r="O154">
            <v>0</v>
          </cell>
          <cell r="P154">
            <v>0</v>
          </cell>
          <cell r="Q154">
            <v>0</v>
          </cell>
          <cell r="R154">
            <v>0</v>
          </cell>
          <cell r="S154">
            <v>0</v>
          </cell>
        </row>
        <row r="155">
          <cell r="A155">
            <v>101160</v>
          </cell>
          <cell r="B155" t="str">
            <v>Interest Receivable</v>
          </cell>
          <cell r="C155">
            <v>0</v>
          </cell>
          <cell r="D155">
            <v>0</v>
          </cell>
          <cell r="E155">
            <v>0</v>
          </cell>
          <cell r="F155">
            <v>0</v>
          </cell>
          <cell r="G155"/>
          <cell r="H155">
            <v>0</v>
          </cell>
          <cell r="I155">
            <v>0</v>
          </cell>
          <cell r="J155">
            <v>0</v>
          </cell>
          <cell r="K155">
            <v>0</v>
          </cell>
          <cell r="L155">
            <v>101160</v>
          </cell>
          <cell r="M155">
            <v>1</v>
          </cell>
          <cell r="N155">
            <v>0</v>
          </cell>
          <cell r="O155">
            <v>0</v>
          </cell>
          <cell r="P155">
            <v>10347875.42</v>
          </cell>
          <cell r="Q155">
            <v>-10347875.42</v>
          </cell>
          <cell r="R155">
            <v>0</v>
          </cell>
          <cell r="S155">
            <v>0</v>
          </cell>
        </row>
        <row r="156">
          <cell r="A156">
            <v>101170</v>
          </cell>
          <cell r="B156" t="str">
            <v>A/R from Syntel UK</v>
          </cell>
          <cell r="C156">
            <v>0</v>
          </cell>
          <cell r="D156">
            <v>0</v>
          </cell>
          <cell r="E156">
            <v>0</v>
          </cell>
          <cell r="F156">
            <v>0</v>
          </cell>
          <cell r="G156"/>
          <cell r="H156">
            <v>0</v>
          </cell>
          <cell r="I156">
            <v>0</v>
          </cell>
          <cell r="J156">
            <v>0</v>
          </cell>
          <cell r="K156">
            <v>0</v>
          </cell>
          <cell r="L156">
            <v>101170</v>
          </cell>
          <cell r="M156">
            <v>1</v>
          </cell>
          <cell r="N156">
            <v>0</v>
          </cell>
          <cell r="O156">
            <v>0</v>
          </cell>
          <cell r="P156">
            <v>0</v>
          </cell>
          <cell r="Q156">
            <v>0</v>
          </cell>
          <cell r="R156">
            <v>0</v>
          </cell>
          <cell r="S156">
            <v>0</v>
          </cell>
        </row>
        <row r="157">
          <cell r="A157">
            <v>101180</v>
          </cell>
          <cell r="B157" t="str">
            <v>A/R from Syntel Singapore</v>
          </cell>
          <cell r="C157">
            <v>0</v>
          </cell>
          <cell r="D157">
            <v>0</v>
          </cell>
          <cell r="E157">
            <v>0</v>
          </cell>
          <cell r="F157">
            <v>0</v>
          </cell>
          <cell r="G157"/>
          <cell r="H157">
            <v>0</v>
          </cell>
          <cell r="I157">
            <v>0</v>
          </cell>
          <cell r="J157">
            <v>0</v>
          </cell>
          <cell r="K157">
            <v>0</v>
          </cell>
          <cell r="L157">
            <v>101180</v>
          </cell>
          <cell r="M157">
            <v>1</v>
          </cell>
          <cell r="N157">
            <v>0</v>
          </cell>
          <cell r="O157">
            <v>0</v>
          </cell>
          <cell r="P157">
            <v>0</v>
          </cell>
          <cell r="Q157">
            <v>0</v>
          </cell>
          <cell r="R157">
            <v>0</v>
          </cell>
          <cell r="S157">
            <v>0</v>
          </cell>
        </row>
        <row r="158">
          <cell r="A158">
            <v>101190</v>
          </cell>
          <cell r="B158" t="str">
            <v>Employee Loans</v>
          </cell>
          <cell r="C158">
            <v>0</v>
          </cell>
          <cell r="D158">
            <v>0</v>
          </cell>
          <cell r="E158">
            <v>0</v>
          </cell>
          <cell r="F158">
            <v>0</v>
          </cell>
          <cell r="G158"/>
          <cell r="H158">
            <v>0</v>
          </cell>
          <cell r="I158">
            <v>0</v>
          </cell>
          <cell r="J158">
            <v>0</v>
          </cell>
          <cell r="K158">
            <v>0</v>
          </cell>
          <cell r="L158">
            <v>101190</v>
          </cell>
          <cell r="M158">
            <v>1</v>
          </cell>
          <cell r="N158">
            <v>0</v>
          </cell>
          <cell r="O158">
            <v>0</v>
          </cell>
          <cell r="P158">
            <v>0</v>
          </cell>
          <cell r="Q158">
            <v>0</v>
          </cell>
          <cell r="R158">
            <v>0</v>
          </cell>
          <cell r="S158">
            <v>0</v>
          </cell>
        </row>
        <row r="159">
          <cell r="A159">
            <v>101200</v>
          </cell>
          <cell r="B159" t="str">
            <v>Transition Cost Defferal</v>
          </cell>
          <cell r="C159">
            <v>0</v>
          </cell>
          <cell r="D159">
            <v>0</v>
          </cell>
          <cell r="E159">
            <v>0</v>
          </cell>
          <cell r="F159">
            <v>0</v>
          </cell>
          <cell r="G159"/>
          <cell r="H159">
            <v>0</v>
          </cell>
          <cell r="I159">
            <v>0</v>
          </cell>
          <cell r="J159">
            <v>0</v>
          </cell>
          <cell r="K159">
            <v>0</v>
          </cell>
          <cell r="L159">
            <v>101200</v>
          </cell>
          <cell r="M159">
            <v>1</v>
          </cell>
          <cell r="N159">
            <v>0</v>
          </cell>
          <cell r="O159">
            <v>0</v>
          </cell>
          <cell r="P159">
            <v>0</v>
          </cell>
          <cell r="Q159">
            <v>0</v>
          </cell>
          <cell r="R159">
            <v>0</v>
          </cell>
          <cell r="S159">
            <v>0</v>
          </cell>
        </row>
        <row r="160">
          <cell r="A160">
            <v>101201</v>
          </cell>
          <cell r="B160" t="str">
            <v>No Sow- Cost Deferred</v>
          </cell>
          <cell r="C160">
            <v>0</v>
          </cell>
          <cell r="D160">
            <v>0</v>
          </cell>
          <cell r="E160">
            <v>0</v>
          </cell>
          <cell r="F160">
            <v>0</v>
          </cell>
          <cell r="G160"/>
          <cell r="H160">
            <v>0</v>
          </cell>
          <cell r="I160">
            <v>0</v>
          </cell>
          <cell r="J160">
            <v>0</v>
          </cell>
          <cell r="K160">
            <v>0</v>
          </cell>
          <cell r="L160">
            <v>101201</v>
          </cell>
          <cell r="M160">
            <v>1</v>
          </cell>
          <cell r="N160">
            <v>0</v>
          </cell>
          <cell r="O160">
            <v>0</v>
          </cell>
          <cell r="P160">
            <v>0</v>
          </cell>
          <cell r="Q160">
            <v>0</v>
          </cell>
          <cell r="R160">
            <v>0</v>
          </cell>
          <cell r="S160">
            <v>0</v>
          </cell>
        </row>
        <row r="161">
          <cell r="A161">
            <v>101202</v>
          </cell>
          <cell r="B161" t="str">
            <v>Deferred Cost-WIP</v>
          </cell>
          <cell r="C161">
            <v>0</v>
          </cell>
          <cell r="D161">
            <v>0</v>
          </cell>
          <cell r="E161">
            <v>0</v>
          </cell>
          <cell r="F161">
            <v>0</v>
          </cell>
          <cell r="G161"/>
          <cell r="H161">
            <v>0</v>
          </cell>
          <cell r="I161">
            <v>0</v>
          </cell>
          <cell r="J161">
            <v>0</v>
          </cell>
          <cell r="K161">
            <v>0</v>
          </cell>
          <cell r="L161">
            <v>101202</v>
          </cell>
          <cell r="M161">
            <v>1</v>
          </cell>
          <cell r="N161">
            <v>0</v>
          </cell>
          <cell r="O161">
            <v>0</v>
          </cell>
          <cell r="P161">
            <v>0</v>
          </cell>
          <cell r="Q161">
            <v>0</v>
          </cell>
          <cell r="R161">
            <v>0</v>
          </cell>
          <cell r="S161">
            <v>0</v>
          </cell>
        </row>
        <row r="162">
          <cell r="A162">
            <v>101309</v>
          </cell>
          <cell r="B162" t="str">
            <v>Employee F. Travel Adv-Jersey</v>
          </cell>
          <cell r="C162">
            <v>0</v>
          </cell>
          <cell r="D162">
            <v>0</v>
          </cell>
          <cell r="E162">
            <v>0</v>
          </cell>
          <cell r="F162">
            <v>0</v>
          </cell>
          <cell r="G162"/>
          <cell r="H162">
            <v>0</v>
          </cell>
          <cell r="I162">
            <v>0</v>
          </cell>
          <cell r="J162">
            <v>0</v>
          </cell>
          <cell r="K162">
            <v>0</v>
          </cell>
          <cell r="L162">
            <v>101309</v>
          </cell>
          <cell r="M162">
            <v>1</v>
          </cell>
          <cell r="N162">
            <v>0</v>
          </cell>
          <cell r="O162">
            <v>0</v>
          </cell>
          <cell r="P162">
            <v>0</v>
          </cell>
          <cell r="Q162">
            <v>0</v>
          </cell>
          <cell r="R162">
            <v>0</v>
          </cell>
          <cell r="S162">
            <v>0</v>
          </cell>
        </row>
        <row r="163">
          <cell r="A163">
            <v>101310</v>
          </cell>
          <cell r="B163" t="str">
            <v>Employee Travel Advances</v>
          </cell>
          <cell r="C163">
            <v>0</v>
          </cell>
          <cell r="D163">
            <v>0</v>
          </cell>
          <cell r="E163">
            <v>0</v>
          </cell>
          <cell r="F163">
            <v>0</v>
          </cell>
          <cell r="G163"/>
          <cell r="H163">
            <v>0</v>
          </cell>
          <cell r="I163">
            <v>0</v>
          </cell>
          <cell r="J163">
            <v>0</v>
          </cell>
          <cell r="K163">
            <v>0</v>
          </cell>
          <cell r="L163">
            <v>101310</v>
          </cell>
          <cell r="M163">
            <v>1</v>
          </cell>
          <cell r="N163">
            <v>0</v>
          </cell>
          <cell r="O163">
            <v>0</v>
          </cell>
          <cell r="P163">
            <v>0</v>
          </cell>
          <cell r="Q163">
            <v>0</v>
          </cell>
          <cell r="R163">
            <v>0</v>
          </cell>
          <cell r="S163">
            <v>0</v>
          </cell>
        </row>
        <row r="164">
          <cell r="A164">
            <v>101311</v>
          </cell>
          <cell r="B164" t="str">
            <v>Employee F.Travel Adv-US</v>
          </cell>
          <cell r="C164">
            <v>0</v>
          </cell>
          <cell r="D164">
            <v>0</v>
          </cell>
          <cell r="E164">
            <v>0</v>
          </cell>
          <cell r="F164">
            <v>0</v>
          </cell>
          <cell r="G164"/>
          <cell r="H164">
            <v>0</v>
          </cell>
          <cell r="I164">
            <v>0</v>
          </cell>
          <cell r="J164">
            <v>0</v>
          </cell>
          <cell r="K164">
            <v>0</v>
          </cell>
          <cell r="L164">
            <v>101311</v>
          </cell>
          <cell r="M164">
            <v>1</v>
          </cell>
          <cell r="N164">
            <v>0</v>
          </cell>
          <cell r="O164">
            <v>0</v>
          </cell>
          <cell r="P164">
            <v>43480</v>
          </cell>
          <cell r="Q164">
            <v>-43480</v>
          </cell>
          <cell r="R164">
            <v>0</v>
          </cell>
          <cell r="S164">
            <v>0</v>
          </cell>
        </row>
        <row r="165">
          <cell r="A165">
            <v>101312</v>
          </cell>
          <cell r="B165" t="str">
            <v>Employee F.Travel Adv-UK</v>
          </cell>
          <cell r="C165">
            <v>0</v>
          </cell>
          <cell r="D165">
            <v>0</v>
          </cell>
          <cell r="E165">
            <v>0</v>
          </cell>
          <cell r="F165">
            <v>0</v>
          </cell>
          <cell r="G165"/>
          <cell r="H165">
            <v>0</v>
          </cell>
          <cell r="I165">
            <v>0</v>
          </cell>
          <cell r="J165">
            <v>0</v>
          </cell>
          <cell r="K165">
            <v>0</v>
          </cell>
          <cell r="L165">
            <v>101312</v>
          </cell>
          <cell r="M165">
            <v>1</v>
          </cell>
          <cell r="N165">
            <v>0</v>
          </cell>
          <cell r="O165">
            <v>0</v>
          </cell>
          <cell r="P165">
            <v>0</v>
          </cell>
          <cell r="Q165">
            <v>0</v>
          </cell>
          <cell r="R165">
            <v>0</v>
          </cell>
          <cell r="S165">
            <v>0</v>
          </cell>
        </row>
        <row r="166">
          <cell r="A166">
            <v>101313</v>
          </cell>
          <cell r="B166" t="str">
            <v>Employee F.Travel Adv-Germany</v>
          </cell>
          <cell r="C166">
            <v>0</v>
          </cell>
          <cell r="D166">
            <v>0</v>
          </cell>
          <cell r="E166">
            <v>0</v>
          </cell>
          <cell r="F166">
            <v>0</v>
          </cell>
          <cell r="G166"/>
          <cell r="H166">
            <v>0</v>
          </cell>
          <cell r="I166">
            <v>0</v>
          </cell>
          <cell r="J166">
            <v>0</v>
          </cell>
          <cell r="K166">
            <v>0</v>
          </cell>
          <cell r="L166">
            <v>101313</v>
          </cell>
          <cell r="M166">
            <v>1</v>
          </cell>
          <cell r="N166">
            <v>0</v>
          </cell>
          <cell r="O166">
            <v>0</v>
          </cell>
          <cell r="P166">
            <v>0</v>
          </cell>
          <cell r="Q166">
            <v>0</v>
          </cell>
          <cell r="R166">
            <v>0</v>
          </cell>
          <cell r="S166">
            <v>0</v>
          </cell>
        </row>
        <row r="167">
          <cell r="A167">
            <v>101314</v>
          </cell>
          <cell r="B167" t="str">
            <v>Employee F.Travel Adv-Sing.</v>
          </cell>
          <cell r="C167">
            <v>0</v>
          </cell>
          <cell r="D167">
            <v>0</v>
          </cell>
          <cell r="E167">
            <v>0</v>
          </cell>
          <cell r="F167">
            <v>0</v>
          </cell>
          <cell r="G167"/>
          <cell r="H167">
            <v>0</v>
          </cell>
          <cell r="I167">
            <v>0</v>
          </cell>
          <cell r="J167">
            <v>0</v>
          </cell>
          <cell r="K167">
            <v>0</v>
          </cell>
          <cell r="L167">
            <v>101314</v>
          </cell>
          <cell r="M167">
            <v>1</v>
          </cell>
          <cell r="N167">
            <v>0</v>
          </cell>
          <cell r="O167">
            <v>0</v>
          </cell>
          <cell r="P167">
            <v>0</v>
          </cell>
          <cell r="Q167">
            <v>0</v>
          </cell>
          <cell r="R167">
            <v>0</v>
          </cell>
          <cell r="S167">
            <v>0</v>
          </cell>
        </row>
        <row r="168">
          <cell r="A168">
            <v>101315</v>
          </cell>
          <cell r="B168" t="str">
            <v>Employee F.Travel Adv-Others</v>
          </cell>
          <cell r="C168">
            <v>0</v>
          </cell>
          <cell r="D168">
            <v>0</v>
          </cell>
          <cell r="E168">
            <v>0</v>
          </cell>
          <cell r="F168">
            <v>0</v>
          </cell>
          <cell r="G168"/>
          <cell r="H168">
            <v>0</v>
          </cell>
          <cell r="I168">
            <v>0</v>
          </cell>
          <cell r="J168">
            <v>0</v>
          </cell>
          <cell r="K168">
            <v>0</v>
          </cell>
          <cell r="L168">
            <v>101315</v>
          </cell>
          <cell r="M168">
            <v>1</v>
          </cell>
          <cell r="N168">
            <v>0</v>
          </cell>
          <cell r="O168">
            <v>0</v>
          </cell>
          <cell r="P168">
            <v>0</v>
          </cell>
          <cell r="Q168">
            <v>0</v>
          </cell>
          <cell r="R168">
            <v>0</v>
          </cell>
          <cell r="S168">
            <v>0</v>
          </cell>
        </row>
        <row r="169">
          <cell r="A169">
            <v>101316</v>
          </cell>
          <cell r="B169" t="str">
            <v>Employee F.Travel Settlement</v>
          </cell>
          <cell r="C169">
            <v>0</v>
          </cell>
          <cell r="D169">
            <v>0</v>
          </cell>
          <cell r="E169">
            <v>0</v>
          </cell>
          <cell r="F169">
            <v>0</v>
          </cell>
          <cell r="G169"/>
          <cell r="H169">
            <v>0</v>
          </cell>
          <cell r="I169">
            <v>0</v>
          </cell>
          <cell r="J169">
            <v>0</v>
          </cell>
          <cell r="K169">
            <v>0</v>
          </cell>
          <cell r="L169">
            <v>101316</v>
          </cell>
          <cell r="M169">
            <v>1</v>
          </cell>
          <cell r="N169">
            <v>0</v>
          </cell>
          <cell r="O169">
            <v>0</v>
          </cell>
          <cell r="P169">
            <v>26808.599999999991</v>
          </cell>
          <cell r="Q169">
            <v>-26808.599999999991</v>
          </cell>
          <cell r="R169">
            <v>0</v>
          </cell>
          <cell r="S169">
            <v>0</v>
          </cell>
        </row>
        <row r="170">
          <cell r="A170">
            <v>101317</v>
          </cell>
          <cell r="B170" t="str">
            <v>Employee F.Travel Adv-Canada</v>
          </cell>
          <cell r="C170">
            <v>0</v>
          </cell>
          <cell r="D170">
            <v>0</v>
          </cell>
          <cell r="E170">
            <v>0</v>
          </cell>
          <cell r="F170">
            <v>0</v>
          </cell>
          <cell r="G170"/>
          <cell r="H170">
            <v>0</v>
          </cell>
          <cell r="I170">
            <v>0</v>
          </cell>
          <cell r="J170">
            <v>0</v>
          </cell>
          <cell r="K170">
            <v>0</v>
          </cell>
          <cell r="L170">
            <v>101317</v>
          </cell>
          <cell r="M170">
            <v>1</v>
          </cell>
          <cell r="N170">
            <v>0</v>
          </cell>
          <cell r="O170">
            <v>0</v>
          </cell>
          <cell r="P170">
            <v>0</v>
          </cell>
          <cell r="Q170">
            <v>0</v>
          </cell>
          <cell r="R170">
            <v>0</v>
          </cell>
          <cell r="S170">
            <v>0</v>
          </cell>
        </row>
        <row r="171">
          <cell r="A171">
            <v>101318</v>
          </cell>
          <cell r="B171" t="str">
            <v>Admin Expenses Advance</v>
          </cell>
          <cell r="C171">
            <v>0</v>
          </cell>
          <cell r="D171">
            <v>0</v>
          </cell>
          <cell r="E171">
            <v>0</v>
          </cell>
          <cell r="F171">
            <v>0</v>
          </cell>
          <cell r="G171"/>
          <cell r="H171">
            <v>0</v>
          </cell>
          <cell r="I171">
            <v>0</v>
          </cell>
          <cell r="J171">
            <v>0</v>
          </cell>
          <cell r="K171">
            <v>0</v>
          </cell>
          <cell r="L171">
            <v>101318</v>
          </cell>
          <cell r="M171">
            <v>1</v>
          </cell>
          <cell r="N171">
            <v>0</v>
          </cell>
          <cell r="O171">
            <v>0</v>
          </cell>
          <cell r="P171">
            <v>0</v>
          </cell>
          <cell r="Q171">
            <v>0</v>
          </cell>
          <cell r="R171">
            <v>0</v>
          </cell>
          <cell r="S171">
            <v>0</v>
          </cell>
        </row>
        <row r="172">
          <cell r="A172">
            <v>101320</v>
          </cell>
          <cell r="B172" t="str">
            <v>Employee Payroll Advances</v>
          </cell>
          <cell r="C172">
            <v>4.2405190470162779E-11</v>
          </cell>
          <cell r="D172">
            <v>0</v>
          </cell>
          <cell r="E172">
            <v>0</v>
          </cell>
          <cell r="F172">
            <v>4.2405190470162779E-11</v>
          </cell>
          <cell r="G172"/>
          <cell r="H172">
            <v>4.2405190470162779E-11</v>
          </cell>
          <cell r="I172">
            <v>0</v>
          </cell>
          <cell r="J172">
            <v>0</v>
          </cell>
          <cell r="K172">
            <v>4.2405190470162779E-11</v>
          </cell>
          <cell r="L172">
            <v>101320</v>
          </cell>
          <cell r="M172">
            <v>1</v>
          </cell>
          <cell r="N172">
            <v>0</v>
          </cell>
          <cell r="O172">
            <v>0</v>
          </cell>
          <cell r="P172">
            <v>-7846.32</v>
          </cell>
          <cell r="Q172">
            <v>7846.3200000000425</v>
          </cell>
          <cell r="R172">
            <v>0</v>
          </cell>
          <cell r="S172">
            <v>0</v>
          </cell>
        </row>
        <row r="173">
          <cell r="A173">
            <v>101321</v>
          </cell>
          <cell r="B173" t="str">
            <v>Employee Vehicle Loans</v>
          </cell>
          <cell r="C173">
            <v>0</v>
          </cell>
          <cell r="D173">
            <v>0</v>
          </cell>
          <cell r="E173">
            <v>0</v>
          </cell>
          <cell r="F173">
            <v>0</v>
          </cell>
          <cell r="G173"/>
          <cell r="H173">
            <v>0</v>
          </cell>
          <cell r="I173">
            <v>0</v>
          </cell>
          <cell r="J173">
            <v>0</v>
          </cell>
          <cell r="K173">
            <v>0</v>
          </cell>
          <cell r="L173">
            <v>101321</v>
          </cell>
          <cell r="M173">
            <v>1</v>
          </cell>
          <cell r="N173">
            <v>0</v>
          </cell>
          <cell r="O173">
            <v>0</v>
          </cell>
          <cell r="P173">
            <v>0</v>
          </cell>
          <cell r="Q173">
            <v>0</v>
          </cell>
          <cell r="R173">
            <v>0</v>
          </cell>
          <cell r="S173">
            <v>0</v>
          </cell>
        </row>
        <row r="174">
          <cell r="A174">
            <v>101322</v>
          </cell>
          <cell r="B174" t="str">
            <v>Employee Housing Loans</v>
          </cell>
          <cell r="C174">
            <v>0</v>
          </cell>
          <cell r="D174">
            <v>0</v>
          </cell>
          <cell r="E174">
            <v>0</v>
          </cell>
          <cell r="F174">
            <v>0</v>
          </cell>
          <cell r="G174"/>
          <cell r="H174">
            <v>0</v>
          </cell>
          <cell r="I174">
            <v>0</v>
          </cell>
          <cell r="J174">
            <v>0</v>
          </cell>
          <cell r="K174">
            <v>0</v>
          </cell>
          <cell r="L174">
            <v>101322</v>
          </cell>
          <cell r="M174">
            <v>1</v>
          </cell>
          <cell r="N174">
            <v>0</v>
          </cell>
          <cell r="O174">
            <v>0</v>
          </cell>
          <cell r="P174">
            <v>0</v>
          </cell>
          <cell r="Q174">
            <v>0</v>
          </cell>
          <cell r="R174">
            <v>0</v>
          </cell>
          <cell r="S174">
            <v>0</v>
          </cell>
        </row>
        <row r="175">
          <cell r="A175">
            <v>101323</v>
          </cell>
          <cell r="B175" t="str">
            <v>Employee Other Loans</v>
          </cell>
          <cell r="C175">
            <v>0</v>
          </cell>
          <cell r="D175">
            <v>0</v>
          </cell>
          <cell r="E175">
            <v>0</v>
          </cell>
          <cell r="F175">
            <v>0</v>
          </cell>
          <cell r="G175"/>
          <cell r="H175">
            <v>0</v>
          </cell>
          <cell r="I175">
            <v>0</v>
          </cell>
          <cell r="J175">
            <v>0</v>
          </cell>
          <cell r="K175">
            <v>0</v>
          </cell>
          <cell r="L175">
            <v>101323</v>
          </cell>
          <cell r="M175">
            <v>1</v>
          </cell>
          <cell r="N175">
            <v>0</v>
          </cell>
          <cell r="O175">
            <v>0</v>
          </cell>
          <cell r="P175">
            <v>0</v>
          </cell>
          <cell r="Q175">
            <v>0</v>
          </cell>
          <cell r="R175">
            <v>0</v>
          </cell>
          <cell r="S175">
            <v>0</v>
          </cell>
        </row>
        <row r="176">
          <cell r="A176">
            <v>101324</v>
          </cell>
          <cell r="B176" t="str">
            <v>Employee Advances for Expenses</v>
          </cell>
          <cell r="C176">
            <v>-1</v>
          </cell>
          <cell r="D176">
            <v>0</v>
          </cell>
          <cell r="E176">
            <v>0</v>
          </cell>
          <cell r="F176">
            <v>-1</v>
          </cell>
          <cell r="G176"/>
          <cell r="H176">
            <v>-1</v>
          </cell>
          <cell r="I176">
            <v>0</v>
          </cell>
          <cell r="J176">
            <v>0</v>
          </cell>
          <cell r="K176">
            <v>-1</v>
          </cell>
          <cell r="L176">
            <v>101324</v>
          </cell>
          <cell r="M176">
            <v>1</v>
          </cell>
          <cell r="N176">
            <v>0</v>
          </cell>
          <cell r="O176">
            <v>0</v>
          </cell>
          <cell r="P176">
            <v>19999</v>
          </cell>
          <cell r="Q176">
            <v>-20000</v>
          </cell>
          <cell r="R176">
            <v>0</v>
          </cell>
          <cell r="S176">
            <v>0</v>
          </cell>
        </row>
        <row r="177">
          <cell r="A177">
            <v>101325</v>
          </cell>
          <cell r="B177" t="str">
            <v>EMPLOYEES ACH/EFT REVERSAL</v>
          </cell>
          <cell r="C177">
            <v>0</v>
          </cell>
          <cell r="D177">
            <v>0</v>
          </cell>
          <cell r="E177">
            <v>0</v>
          </cell>
          <cell r="F177">
            <v>0</v>
          </cell>
          <cell r="G177"/>
          <cell r="H177">
            <v>0</v>
          </cell>
          <cell r="I177">
            <v>0</v>
          </cell>
          <cell r="J177">
            <v>0</v>
          </cell>
          <cell r="K177">
            <v>0</v>
          </cell>
          <cell r="L177">
            <v>101325</v>
          </cell>
          <cell r="M177">
            <v>1</v>
          </cell>
          <cell r="N177">
            <v>0</v>
          </cell>
          <cell r="O177">
            <v>0</v>
          </cell>
          <cell r="P177">
            <v>0</v>
          </cell>
          <cell r="Q177">
            <v>0</v>
          </cell>
          <cell r="R177">
            <v>0</v>
          </cell>
          <cell r="S177">
            <v>0</v>
          </cell>
        </row>
        <row r="178">
          <cell r="A178">
            <v>101326</v>
          </cell>
          <cell r="B178" t="str">
            <v>Insurance Claims Receivable</v>
          </cell>
          <cell r="C178">
            <v>0</v>
          </cell>
          <cell r="D178">
            <v>0</v>
          </cell>
          <cell r="E178">
            <v>0</v>
          </cell>
          <cell r="F178">
            <v>0</v>
          </cell>
          <cell r="G178"/>
          <cell r="H178">
            <v>0</v>
          </cell>
          <cell r="I178">
            <v>0</v>
          </cell>
          <cell r="J178">
            <v>0</v>
          </cell>
          <cell r="K178">
            <v>0</v>
          </cell>
          <cell r="L178">
            <v>101326</v>
          </cell>
          <cell r="M178">
            <v>1</v>
          </cell>
          <cell r="N178">
            <v>0</v>
          </cell>
          <cell r="O178">
            <v>0</v>
          </cell>
          <cell r="P178">
            <v>0</v>
          </cell>
          <cell r="Q178">
            <v>0</v>
          </cell>
          <cell r="R178">
            <v>0</v>
          </cell>
          <cell r="S178">
            <v>0</v>
          </cell>
        </row>
        <row r="179">
          <cell r="A179">
            <v>101327</v>
          </cell>
          <cell r="B179" t="str">
            <v>Critical CTR Loan</v>
          </cell>
          <cell r="C179">
            <v>0</v>
          </cell>
          <cell r="D179">
            <v>0</v>
          </cell>
          <cell r="E179">
            <v>0</v>
          </cell>
          <cell r="F179">
            <v>0</v>
          </cell>
          <cell r="G179"/>
          <cell r="H179">
            <v>0</v>
          </cell>
          <cell r="I179">
            <v>0</v>
          </cell>
          <cell r="J179">
            <v>0</v>
          </cell>
          <cell r="K179">
            <v>0</v>
          </cell>
          <cell r="L179">
            <v>101327</v>
          </cell>
          <cell r="M179">
            <v>1</v>
          </cell>
          <cell r="N179">
            <v>0</v>
          </cell>
          <cell r="O179">
            <v>0</v>
          </cell>
          <cell r="P179">
            <v>0</v>
          </cell>
          <cell r="Q179">
            <v>0</v>
          </cell>
          <cell r="R179">
            <v>0</v>
          </cell>
          <cell r="S179">
            <v>0</v>
          </cell>
        </row>
        <row r="180">
          <cell r="A180">
            <v>101328</v>
          </cell>
          <cell r="B180" t="str">
            <v>Employee Tuition Fee Loan</v>
          </cell>
          <cell r="C180">
            <v>0</v>
          </cell>
          <cell r="D180">
            <v>0</v>
          </cell>
          <cell r="E180">
            <v>0</v>
          </cell>
          <cell r="F180">
            <v>0</v>
          </cell>
          <cell r="G180"/>
          <cell r="H180">
            <v>0</v>
          </cell>
          <cell r="I180">
            <v>0</v>
          </cell>
          <cell r="J180">
            <v>0</v>
          </cell>
          <cell r="K180">
            <v>0</v>
          </cell>
          <cell r="L180">
            <v>101328</v>
          </cell>
          <cell r="M180">
            <v>1</v>
          </cell>
          <cell r="N180">
            <v>0</v>
          </cell>
          <cell r="O180">
            <v>0</v>
          </cell>
          <cell r="P180">
            <v>0</v>
          </cell>
          <cell r="Q180">
            <v>0</v>
          </cell>
          <cell r="R180">
            <v>0</v>
          </cell>
          <cell r="S180">
            <v>0</v>
          </cell>
        </row>
        <row r="181">
          <cell r="A181">
            <v>101329</v>
          </cell>
          <cell r="B181" t="str">
            <v>Employee Vehicle Loan</v>
          </cell>
          <cell r="C181">
            <v>0</v>
          </cell>
          <cell r="D181">
            <v>0</v>
          </cell>
          <cell r="E181">
            <v>0</v>
          </cell>
          <cell r="F181">
            <v>0</v>
          </cell>
          <cell r="G181"/>
          <cell r="H181">
            <v>0</v>
          </cell>
          <cell r="I181">
            <v>0</v>
          </cell>
          <cell r="J181">
            <v>0</v>
          </cell>
          <cell r="K181">
            <v>0</v>
          </cell>
          <cell r="L181">
            <v>101329</v>
          </cell>
          <cell r="M181">
            <v>1</v>
          </cell>
          <cell r="N181">
            <v>0</v>
          </cell>
          <cell r="O181">
            <v>0</v>
          </cell>
          <cell r="P181">
            <v>0</v>
          </cell>
          <cell r="Q181">
            <v>0</v>
          </cell>
          <cell r="R181">
            <v>0</v>
          </cell>
          <cell r="S181">
            <v>0</v>
          </cell>
        </row>
        <row r="182">
          <cell r="A182">
            <v>101330</v>
          </cell>
          <cell r="B182" t="str">
            <v>Recv from Terminated Employees</v>
          </cell>
          <cell r="C182">
            <v>0</v>
          </cell>
          <cell r="D182">
            <v>0</v>
          </cell>
          <cell r="E182">
            <v>0</v>
          </cell>
          <cell r="F182">
            <v>0</v>
          </cell>
          <cell r="G182"/>
          <cell r="H182">
            <v>0</v>
          </cell>
          <cell r="I182">
            <v>0</v>
          </cell>
          <cell r="J182">
            <v>0</v>
          </cell>
          <cell r="K182">
            <v>0</v>
          </cell>
          <cell r="L182">
            <v>101330</v>
          </cell>
          <cell r="M182">
            <v>1</v>
          </cell>
          <cell r="N182">
            <v>0</v>
          </cell>
          <cell r="O182">
            <v>0</v>
          </cell>
          <cell r="P182">
            <v>0</v>
          </cell>
          <cell r="Q182">
            <v>0</v>
          </cell>
          <cell r="R182">
            <v>0</v>
          </cell>
          <cell r="S182">
            <v>0</v>
          </cell>
        </row>
        <row r="183">
          <cell r="A183">
            <v>101331</v>
          </cell>
          <cell r="B183" t="str">
            <v>Employee Marriage Loan</v>
          </cell>
          <cell r="C183">
            <v>0</v>
          </cell>
          <cell r="D183">
            <v>0</v>
          </cell>
          <cell r="E183">
            <v>0</v>
          </cell>
          <cell r="F183">
            <v>0</v>
          </cell>
          <cell r="G183"/>
          <cell r="H183">
            <v>0</v>
          </cell>
          <cell r="I183">
            <v>0</v>
          </cell>
          <cell r="J183">
            <v>0</v>
          </cell>
          <cell r="K183">
            <v>0</v>
          </cell>
          <cell r="L183">
            <v>101331</v>
          </cell>
          <cell r="M183">
            <v>1</v>
          </cell>
          <cell r="N183">
            <v>0</v>
          </cell>
          <cell r="O183">
            <v>0</v>
          </cell>
          <cell r="P183">
            <v>0</v>
          </cell>
          <cell r="Q183">
            <v>0</v>
          </cell>
          <cell r="R183">
            <v>0</v>
          </cell>
          <cell r="S183">
            <v>0</v>
          </cell>
        </row>
        <row r="184">
          <cell r="A184">
            <v>101332</v>
          </cell>
          <cell r="B184" t="str">
            <v>Employee Lease Breakage Loan</v>
          </cell>
          <cell r="C184">
            <v>0</v>
          </cell>
          <cell r="D184">
            <v>0</v>
          </cell>
          <cell r="E184">
            <v>0</v>
          </cell>
          <cell r="F184">
            <v>0</v>
          </cell>
          <cell r="G184"/>
          <cell r="H184">
            <v>0</v>
          </cell>
          <cell r="I184">
            <v>0</v>
          </cell>
          <cell r="J184">
            <v>0</v>
          </cell>
          <cell r="K184">
            <v>0</v>
          </cell>
          <cell r="L184">
            <v>101332</v>
          </cell>
          <cell r="M184">
            <v>1</v>
          </cell>
          <cell r="N184">
            <v>0</v>
          </cell>
          <cell r="O184">
            <v>0</v>
          </cell>
          <cell r="P184">
            <v>0</v>
          </cell>
          <cell r="Q184">
            <v>0</v>
          </cell>
          <cell r="R184">
            <v>0</v>
          </cell>
          <cell r="S184">
            <v>0</v>
          </cell>
        </row>
        <row r="185">
          <cell r="A185">
            <v>101333</v>
          </cell>
          <cell r="B185" t="str">
            <v>Employee Medical Emergncy Loan</v>
          </cell>
          <cell r="C185">
            <v>0</v>
          </cell>
          <cell r="D185">
            <v>0</v>
          </cell>
          <cell r="E185">
            <v>0</v>
          </cell>
          <cell r="F185">
            <v>0</v>
          </cell>
          <cell r="G185"/>
          <cell r="H185">
            <v>0</v>
          </cell>
          <cell r="I185">
            <v>0</v>
          </cell>
          <cell r="J185">
            <v>0</v>
          </cell>
          <cell r="K185">
            <v>0</v>
          </cell>
          <cell r="L185">
            <v>101333</v>
          </cell>
          <cell r="M185">
            <v>1</v>
          </cell>
          <cell r="N185">
            <v>0</v>
          </cell>
          <cell r="O185">
            <v>0</v>
          </cell>
          <cell r="P185">
            <v>0</v>
          </cell>
          <cell r="Q185">
            <v>0</v>
          </cell>
          <cell r="R185">
            <v>0</v>
          </cell>
          <cell r="S185">
            <v>0</v>
          </cell>
        </row>
        <row r="186">
          <cell r="A186">
            <v>101334</v>
          </cell>
          <cell r="B186" t="str">
            <v>Emp. Natural Calamities Loan</v>
          </cell>
          <cell r="C186">
            <v>0</v>
          </cell>
          <cell r="D186">
            <v>0</v>
          </cell>
          <cell r="E186">
            <v>0</v>
          </cell>
          <cell r="F186">
            <v>0</v>
          </cell>
          <cell r="G186"/>
          <cell r="H186">
            <v>0</v>
          </cell>
          <cell r="I186">
            <v>0</v>
          </cell>
          <cell r="J186">
            <v>0</v>
          </cell>
          <cell r="K186">
            <v>0</v>
          </cell>
          <cell r="L186">
            <v>101334</v>
          </cell>
          <cell r="M186">
            <v>1</v>
          </cell>
          <cell r="N186">
            <v>0</v>
          </cell>
          <cell r="O186">
            <v>0</v>
          </cell>
          <cell r="P186">
            <v>0</v>
          </cell>
          <cell r="Q186">
            <v>0</v>
          </cell>
          <cell r="R186">
            <v>0</v>
          </cell>
          <cell r="S186">
            <v>0</v>
          </cell>
        </row>
        <row r="187">
          <cell r="A187">
            <v>101335</v>
          </cell>
          <cell r="B187" t="str">
            <v>Immigration Advances</v>
          </cell>
          <cell r="C187">
            <v>0</v>
          </cell>
          <cell r="D187">
            <v>0</v>
          </cell>
          <cell r="E187">
            <v>0</v>
          </cell>
          <cell r="F187">
            <v>0</v>
          </cell>
          <cell r="G187"/>
          <cell r="H187">
            <v>0</v>
          </cell>
          <cell r="I187">
            <v>0</v>
          </cell>
          <cell r="J187">
            <v>0</v>
          </cell>
          <cell r="K187">
            <v>0</v>
          </cell>
          <cell r="L187">
            <v>101335</v>
          </cell>
          <cell r="M187">
            <v>1</v>
          </cell>
          <cell r="N187">
            <v>0</v>
          </cell>
          <cell r="O187">
            <v>0</v>
          </cell>
          <cell r="P187">
            <v>0</v>
          </cell>
          <cell r="Q187">
            <v>0</v>
          </cell>
          <cell r="R187">
            <v>0</v>
          </cell>
          <cell r="S187">
            <v>0</v>
          </cell>
        </row>
        <row r="188">
          <cell r="A188">
            <v>101336</v>
          </cell>
          <cell r="B188" t="str">
            <v>Visa Fees Advances - USA</v>
          </cell>
          <cell r="C188">
            <v>0</v>
          </cell>
          <cell r="D188">
            <v>0</v>
          </cell>
          <cell r="E188">
            <v>0</v>
          </cell>
          <cell r="F188">
            <v>0</v>
          </cell>
          <cell r="G188"/>
          <cell r="H188">
            <v>0</v>
          </cell>
          <cell r="I188">
            <v>0</v>
          </cell>
          <cell r="J188">
            <v>0</v>
          </cell>
          <cell r="K188">
            <v>0</v>
          </cell>
          <cell r="L188">
            <v>101336</v>
          </cell>
          <cell r="M188">
            <v>1</v>
          </cell>
          <cell r="N188">
            <v>0</v>
          </cell>
          <cell r="O188">
            <v>0</v>
          </cell>
          <cell r="P188">
            <v>0</v>
          </cell>
          <cell r="Q188">
            <v>0</v>
          </cell>
          <cell r="R188">
            <v>0</v>
          </cell>
          <cell r="S188">
            <v>0</v>
          </cell>
        </row>
        <row r="189">
          <cell r="A189">
            <v>101337</v>
          </cell>
          <cell r="B189" t="str">
            <v>Visa Fees Advances - UK</v>
          </cell>
          <cell r="C189">
            <v>0</v>
          </cell>
          <cell r="D189">
            <v>0</v>
          </cell>
          <cell r="E189">
            <v>0</v>
          </cell>
          <cell r="F189">
            <v>0</v>
          </cell>
          <cell r="G189"/>
          <cell r="H189">
            <v>0</v>
          </cell>
          <cell r="I189">
            <v>0</v>
          </cell>
          <cell r="J189">
            <v>0</v>
          </cell>
          <cell r="K189">
            <v>0</v>
          </cell>
          <cell r="L189">
            <v>101337</v>
          </cell>
          <cell r="M189">
            <v>1</v>
          </cell>
          <cell r="N189">
            <v>0</v>
          </cell>
          <cell r="O189">
            <v>0</v>
          </cell>
          <cell r="P189">
            <v>0</v>
          </cell>
          <cell r="Q189">
            <v>0</v>
          </cell>
          <cell r="R189">
            <v>0</v>
          </cell>
          <cell r="S189">
            <v>0</v>
          </cell>
        </row>
        <row r="190">
          <cell r="A190">
            <v>101338</v>
          </cell>
          <cell r="B190" t="str">
            <v>Visa Fees Advances - Germany</v>
          </cell>
          <cell r="C190">
            <v>0</v>
          </cell>
          <cell r="D190">
            <v>0</v>
          </cell>
          <cell r="E190">
            <v>0</v>
          </cell>
          <cell r="F190">
            <v>0</v>
          </cell>
          <cell r="G190"/>
          <cell r="H190">
            <v>0</v>
          </cell>
          <cell r="I190">
            <v>0</v>
          </cell>
          <cell r="J190">
            <v>0</v>
          </cell>
          <cell r="K190">
            <v>0</v>
          </cell>
          <cell r="L190">
            <v>101338</v>
          </cell>
          <cell r="M190">
            <v>1</v>
          </cell>
          <cell r="N190">
            <v>0</v>
          </cell>
          <cell r="O190">
            <v>0</v>
          </cell>
          <cell r="P190">
            <v>0</v>
          </cell>
          <cell r="Q190">
            <v>0</v>
          </cell>
          <cell r="R190">
            <v>0</v>
          </cell>
          <cell r="S190">
            <v>0</v>
          </cell>
        </row>
        <row r="191">
          <cell r="A191">
            <v>101339</v>
          </cell>
          <cell r="B191" t="str">
            <v>Visa Fees Advances - Others</v>
          </cell>
          <cell r="C191">
            <v>0</v>
          </cell>
          <cell r="D191">
            <v>0</v>
          </cell>
          <cell r="E191">
            <v>0</v>
          </cell>
          <cell r="F191">
            <v>0</v>
          </cell>
          <cell r="G191"/>
          <cell r="H191">
            <v>0</v>
          </cell>
          <cell r="I191">
            <v>0</v>
          </cell>
          <cell r="J191">
            <v>0</v>
          </cell>
          <cell r="K191">
            <v>0</v>
          </cell>
          <cell r="L191">
            <v>101339</v>
          </cell>
          <cell r="M191">
            <v>1</v>
          </cell>
          <cell r="N191">
            <v>0</v>
          </cell>
          <cell r="O191">
            <v>0</v>
          </cell>
          <cell r="P191">
            <v>0</v>
          </cell>
          <cell r="Q191">
            <v>0</v>
          </cell>
          <cell r="R191">
            <v>0</v>
          </cell>
          <cell r="S191">
            <v>0</v>
          </cell>
        </row>
        <row r="192">
          <cell r="A192">
            <v>101340</v>
          </cell>
          <cell r="B192" t="str">
            <v>Sub-Contractor's Advance</v>
          </cell>
          <cell r="C192">
            <v>0</v>
          </cell>
          <cell r="D192">
            <v>0</v>
          </cell>
          <cell r="E192">
            <v>0</v>
          </cell>
          <cell r="F192">
            <v>0</v>
          </cell>
          <cell r="G192"/>
          <cell r="H192">
            <v>0</v>
          </cell>
          <cell r="I192">
            <v>0</v>
          </cell>
          <cell r="J192">
            <v>0</v>
          </cell>
          <cell r="K192">
            <v>0</v>
          </cell>
          <cell r="L192">
            <v>101340</v>
          </cell>
          <cell r="M192">
            <v>1</v>
          </cell>
          <cell r="N192">
            <v>0</v>
          </cell>
          <cell r="O192">
            <v>0</v>
          </cell>
          <cell r="P192">
            <v>0</v>
          </cell>
          <cell r="Q192">
            <v>0</v>
          </cell>
          <cell r="R192">
            <v>0</v>
          </cell>
          <cell r="S192">
            <v>0</v>
          </cell>
        </row>
        <row r="193">
          <cell r="A193">
            <v>101341</v>
          </cell>
          <cell r="B193" t="str">
            <v>Recoverable fr Syn Philippine</v>
          </cell>
          <cell r="C193">
            <v>0</v>
          </cell>
          <cell r="D193">
            <v>0</v>
          </cell>
          <cell r="E193">
            <v>0</v>
          </cell>
          <cell r="F193">
            <v>0</v>
          </cell>
          <cell r="G193"/>
          <cell r="H193">
            <v>0</v>
          </cell>
          <cell r="I193">
            <v>0</v>
          </cell>
          <cell r="J193">
            <v>0</v>
          </cell>
          <cell r="K193">
            <v>0</v>
          </cell>
          <cell r="L193">
            <v>101341</v>
          </cell>
          <cell r="M193">
            <v>1</v>
          </cell>
          <cell r="N193">
            <v>0</v>
          </cell>
          <cell r="O193">
            <v>0</v>
          </cell>
          <cell r="P193">
            <v>0</v>
          </cell>
          <cell r="Q193">
            <v>0</v>
          </cell>
          <cell r="R193">
            <v>0</v>
          </cell>
          <cell r="S193">
            <v>0</v>
          </cell>
        </row>
        <row r="194">
          <cell r="A194">
            <v>101342</v>
          </cell>
          <cell r="B194" t="str">
            <v>Advance Syntel Philippines</v>
          </cell>
          <cell r="C194">
            <v>0</v>
          </cell>
          <cell r="D194">
            <v>0</v>
          </cell>
          <cell r="E194">
            <v>0</v>
          </cell>
          <cell r="F194">
            <v>0</v>
          </cell>
          <cell r="G194"/>
          <cell r="H194">
            <v>0</v>
          </cell>
          <cell r="I194">
            <v>0</v>
          </cell>
          <cell r="J194">
            <v>0</v>
          </cell>
          <cell r="K194">
            <v>0</v>
          </cell>
          <cell r="L194">
            <v>101342</v>
          </cell>
          <cell r="M194">
            <v>1</v>
          </cell>
          <cell r="N194">
            <v>0</v>
          </cell>
          <cell r="O194">
            <v>0</v>
          </cell>
          <cell r="P194">
            <v>0</v>
          </cell>
          <cell r="Q194">
            <v>0</v>
          </cell>
          <cell r="R194">
            <v>0</v>
          </cell>
          <cell r="S194">
            <v>0</v>
          </cell>
        </row>
        <row r="195">
          <cell r="A195">
            <v>101360</v>
          </cell>
          <cell r="B195" t="str">
            <v>Stock Options Suspense - Earni</v>
          </cell>
          <cell r="C195">
            <v>0</v>
          </cell>
          <cell r="D195">
            <v>0</v>
          </cell>
          <cell r="E195">
            <v>0</v>
          </cell>
          <cell r="F195">
            <v>0</v>
          </cell>
          <cell r="G195"/>
          <cell r="H195">
            <v>0</v>
          </cell>
          <cell r="I195">
            <v>0</v>
          </cell>
          <cell r="J195">
            <v>0</v>
          </cell>
          <cell r="K195">
            <v>0</v>
          </cell>
          <cell r="L195">
            <v>101360</v>
          </cell>
          <cell r="M195">
            <v>1</v>
          </cell>
          <cell r="N195">
            <v>0</v>
          </cell>
          <cell r="O195">
            <v>0</v>
          </cell>
          <cell r="P195">
            <v>0</v>
          </cell>
          <cell r="Q195">
            <v>0</v>
          </cell>
          <cell r="R195">
            <v>0</v>
          </cell>
          <cell r="S195">
            <v>0</v>
          </cell>
        </row>
        <row r="196">
          <cell r="A196">
            <v>101361</v>
          </cell>
          <cell r="B196" t="str">
            <v>Stock Options Suspense - Deduc</v>
          </cell>
          <cell r="C196">
            <v>0</v>
          </cell>
          <cell r="D196">
            <v>0</v>
          </cell>
          <cell r="E196">
            <v>0</v>
          </cell>
          <cell r="F196">
            <v>0</v>
          </cell>
          <cell r="G196"/>
          <cell r="H196">
            <v>0</v>
          </cell>
          <cell r="I196">
            <v>0</v>
          </cell>
          <cell r="J196">
            <v>0</v>
          </cell>
          <cell r="K196">
            <v>0</v>
          </cell>
          <cell r="L196">
            <v>101361</v>
          </cell>
          <cell r="M196">
            <v>1</v>
          </cell>
          <cell r="N196">
            <v>0</v>
          </cell>
          <cell r="O196">
            <v>0</v>
          </cell>
          <cell r="P196">
            <v>0</v>
          </cell>
          <cell r="Q196">
            <v>0</v>
          </cell>
          <cell r="R196">
            <v>0</v>
          </cell>
          <cell r="S196">
            <v>0</v>
          </cell>
        </row>
        <row r="197">
          <cell r="A197">
            <v>101363</v>
          </cell>
          <cell r="B197" t="str">
            <v>Recover from Synt Switzerland</v>
          </cell>
          <cell r="C197">
            <v>0</v>
          </cell>
          <cell r="D197">
            <v>0</v>
          </cell>
          <cell r="E197">
            <v>0</v>
          </cell>
          <cell r="F197">
            <v>0</v>
          </cell>
          <cell r="G197"/>
          <cell r="H197">
            <v>0</v>
          </cell>
          <cell r="I197">
            <v>0</v>
          </cell>
          <cell r="J197">
            <v>0</v>
          </cell>
          <cell r="K197">
            <v>0</v>
          </cell>
          <cell r="L197">
            <v>101363</v>
          </cell>
          <cell r="M197">
            <v>1</v>
          </cell>
          <cell r="N197">
            <v>0</v>
          </cell>
          <cell r="O197">
            <v>0</v>
          </cell>
          <cell r="P197">
            <v>0</v>
          </cell>
          <cell r="Q197">
            <v>0</v>
          </cell>
          <cell r="R197">
            <v>0</v>
          </cell>
          <cell r="S197">
            <v>0</v>
          </cell>
        </row>
        <row r="198">
          <cell r="A198">
            <v>101366</v>
          </cell>
          <cell r="B198" t="str">
            <v>Recoverable from TSSPL</v>
          </cell>
          <cell r="C198">
            <v>0</v>
          </cell>
          <cell r="D198">
            <v>0</v>
          </cell>
          <cell r="E198">
            <v>0</v>
          </cell>
          <cell r="F198">
            <v>0</v>
          </cell>
          <cell r="G198"/>
          <cell r="H198">
            <v>0</v>
          </cell>
          <cell r="I198">
            <v>0</v>
          </cell>
          <cell r="J198">
            <v>0</v>
          </cell>
          <cell r="K198">
            <v>0</v>
          </cell>
          <cell r="L198">
            <v>101366</v>
          </cell>
          <cell r="M198">
            <v>1</v>
          </cell>
          <cell r="N198">
            <v>0</v>
          </cell>
          <cell r="O198">
            <v>0</v>
          </cell>
          <cell r="P198">
            <v>0</v>
          </cell>
          <cell r="Q198">
            <v>0</v>
          </cell>
          <cell r="R198">
            <v>0</v>
          </cell>
          <cell r="S198">
            <v>0</v>
          </cell>
        </row>
        <row r="199">
          <cell r="A199">
            <v>101367</v>
          </cell>
          <cell r="B199" t="str">
            <v>Advance - TSSPL</v>
          </cell>
          <cell r="C199">
            <v>0</v>
          </cell>
          <cell r="D199">
            <v>0</v>
          </cell>
          <cell r="E199">
            <v>0</v>
          </cell>
          <cell r="F199">
            <v>0</v>
          </cell>
          <cell r="G199"/>
          <cell r="H199">
            <v>0</v>
          </cell>
          <cell r="I199">
            <v>0</v>
          </cell>
          <cell r="J199">
            <v>0</v>
          </cell>
          <cell r="K199">
            <v>0</v>
          </cell>
          <cell r="L199">
            <v>101367</v>
          </cell>
          <cell r="M199">
            <v>1</v>
          </cell>
          <cell r="N199">
            <v>0</v>
          </cell>
          <cell r="O199">
            <v>0</v>
          </cell>
          <cell r="P199">
            <v>0</v>
          </cell>
          <cell r="Q199">
            <v>0</v>
          </cell>
          <cell r="R199">
            <v>0</v>
          </cell>
          <cell r="S199">
            <v>0</v>
          </cell>
        </row>
        <row r="200">
          <cell r="A200">
            <v>101368</v>
          </cell>
          <cell r="B200" t="str">
            <v>Advance - Syntel Canada</v>
          </cell>
          <cell r="C200">
            <v>0</v>
          </cell>
          <cell r="D200">
            <v>0</v>
          </cell>
          <cell r="E200">
            <v>0</v>
          </cell>
          <cell r="F200">
            <v>0</v>
          </cell>
          <cell r="G200"/>
          <cell r="H200">
            <v>0</v>
          </cell>
          <cell r="I200">
            <v>0</v>
          </cell>
          <cell r="J200">
            <v>0</v>
          </cell>
          <cell r="K200">
            <v>0</v>
          </cell>
          <cell r="L200">
            <v>101368</v>
          </cell>
          <cell r="M200">
            <v>1</v>
          </cell>
          <cell r="N200">
            <v>0</v>
          </cell>
          <cell r="O200">
            <v>0</v>
          </cell>
          <cell r="P200">
            <v>0</v>
          </cell>
          <cell r="Q200">
            <v>0</v>
          </cell>
          <cell r="R200">
            <v>0</v>
          </cell>
          <cell r="S200">
            <v>0</v>
          </cell>
        </row>
        <row r="201">
          <cell r="A201">
            <v>101369</v>
          </cell>
          <cell r="B201" t="str">
            <v>Recoverable from Syntel Canada</v>
          </cell>
          <cell r="C201">
            <v>0</v>
          </cell>
          <cell r="D201">
            <v>0</v>
          </cell>
          <cell r="E201">
            <v>0</v>
          </cell>
          <cell r="F201">
            <v>0</v>
          </cell>
          <cell r="G201"/>
          <cell r="H201">
            <v>0</v>
          </cell>
          <cell r="I201">
            <v>0</v>
          </cell>
          <cell r="J201">
            <v>0</v>
          </cell>
          <cell r="K201">
            <v>0</v>
          </cell>
          <cell r="L201">
            <v>101369</v>
          </cell>
          <cell r="M201">
            <v>1</v>
          </cell>
          <cell r="N201">
            <v>0</v>
          </cell>
          <cell r="O201">
            <v>0</v>
          </cell>
          <cell r="P201">
            <v>0</v>
          </cell>
          <cell r="Q201">
            <v>0</v>
          </cell>
          <cell r="R201">
            <v>0</v>
          </cell>
          <cell r="S201">
            <v>0</v>
          </cell>
        </row>
        <row r="202">
          <cell r="A202">
            <v>101370</v>
          </cell>
          <cell r="B202" t="str">
            <v>Officer Advances</v>
          </cell>
          <cell r="C202">
            <v>0</v>
          </cell>
          <cell r="D202">
            <v>0</v>
          </cell>
          <cell r="E202">
            <v>0</v>
          </cell>
          <cell r="F202">
            <v>0</v>
          </cell>
          <cell r="G202"/>
          <cell r="H202">
            <v>0</v>
          </cell>
          <cell r="I202">
            <v>0</v>
          </cell>
          <cell r="J202">
            <v>0</v>
          </cell>
          <cell r="K202">
            <v>0</v>
          </cell>
          <cell r="L202">
            <v>101370</v>
          </cell>
          <cell r="M202">
            <v>1</v>
          </cell>
          <cell r="N202">
            <v>0</v>
          </cell>
          <cell r="O202">
            <v>0</v>
          </cell>
          <cell r="P202">
            <v>0</v>
          </cell>
          <cell r="Q202">
            <v>0</v>
          </cell>
          <cell r="R202">
            <v>0</v>
          </cell>
          <cell r="S202">
            <v>0</v>
          </cell>
        </row>
        <row r="203">
          <cell r="A203">
            <v>101371</v>
          </cell>
          <cell r="B203" t="str">
            <v>Recoverable from Europe</v>
          </cell>
          <cell r="C203">
            <v>0</v>
          </cell>
          <cell r="D203">
            <v>0</v>
          </cell>
          <cell r="E203">
            <v>0</v>
          </cell>
          <cell r="F203">
            <v>0</v>
          </cell>
          <cell r="G203"/>
          <cell r="H203">
            <v>0</v>
          </cell>
          <cell r="I203">
            <v>0</v>
          </cell>
          <cell r="J203">
            <v>0</v>
          </cell>
          <cell r="K203">
            <v>0</v>
          </cell>
          <cell r="L203">
            <v>101371</v>
          </cell>
          <cell r="M203">
            <v>1</v>
          </cell>
          <cell r="N203">
            <v>0</v>
          </cell>
          <cell r="O203">
            <v>0</v>
          </cell>
          <cell r="P203">
            <v>0</v>
          </cell>
          <cell r="Q203">
            <v>0</v>
          </cell>
          <cell r="R203">
            <v>0</v>
          </cell>
          <cell r="S203">
            <v>0</v>
          </cell>
        </row>
        <row r="204">
          <cell r="A204">
            <v>101372</v>
          </cell>
          <cell r="B204" t="str">
            <v>Recoverable from Singapore</v>
          </cell>
          <cell r="C204">
            <v>0</v>
          </cell>
          <cell r="D204">
            <v>0</v>
          </cell>
          <cell r="E204">
            <v>0</v>
          </cell>
          <cell r="F204">
            <v>0</v>
          </cell>
          <cell r="G204"/>
          <cell r="H204">
            <v>0</v>
          </cell>
          <cell r="I204">
            <v>0</v>
          </cell>
          <cell r="J204">
            <v>0</v>
          </cell>
          <cell r="K204">
            <v>0</v>
          </cell>
          <cell r="L204">
            <v>101372</v>
          </cell>
          <cell r="M204">
            <v>1</v>
          </cell>
          <cell r="N204">
            <v>0</v>
          </cell>
          <cell r="O204">
            <v>0</v>
          </cell>
          <cell r="P204">
            <v>0</v>
          </cell>
          <cell r="Q204">
            <v>0</v>
          </cell>
          <cell r="R204">
            <v>0</v>
          </cell>
          <cell r="S204">
            <v>0</v>
          </cell>
        </row>
        <row r="205">
          <cell r="A205">
            <v>101373</v>
          </cell>
          <cell r="B205" t="str">
            <v>Recoverable from Syntel Germany</v>
          </cell>
          <cell r="C205">
            <v>0</v>
          </cell>
          <cell r="D205">
            <v>0</v>
          </cell>
          <cell r="E205">
            <v>0</v>
          </cell>
          <cell r="F205">
            <v>0</v>
          </cell>
          <cell r="G205"/>
          <cell r="H205">
            <v>0</v>
          </cell>
          <cell r="I205">
            <v>0</v>
          </cell>
          <cell r="J205">
            <v>0</v>
          </cell>
          <cell r="K205">
            <v>0</v>
          </cell>
          <cell r="L205">
            <v>101373</v>
          </cell>
          <cell r="M205">
            <v>1</v>
          </cell>
          <cell r="N205">
            <v>0</v>
          </cell>
          <cell r="O205">
            <v>0</v>
          </cell>
          <cell r="P205">
            <v>0</v>
          </cell>
          <cell r="Q205">
            <v>0</v>
          </cell>
          <cell r="R205">
            <v>0</v>
          </cell>
          <cell r="S205">
            <v>0</v>
          </cell>
        </row>
        <row r="206">
          <cell r="A206">
            <v>101374</v>
          </cell>
          <cell r="B206" t="str">
            <v>Recoverable from Syntel Inc.</v>
          </cell>
          <cell r="C206">
            <v>0</v>
          </cell>
          <cell r="D206">
            <v>0</v>
          </cell>
          <cell r="E206">
            <v>0</v>
          </cell>
          <cell r="F206">
            <v>0</v>
          </cell>
          <cell r="G206"/>
          <cell r="H206">
            <v>0</v>
          </cell>
          <cell r="I206">
            <v>0</v>
          </cell>
          <cell r="J206">
            <v>0</v>
          </cell>
          <cell r="K206">
            <v>0</v>
          </cell>
          <cell r="L206">
            <v>101374</v>
          </cell>
          <cell r="M206">
            <v>1</v>
          </cell>
          <cell r="N206">
            <v>0</v>
          </cell>
          <cell r="O206">
            <v>0</v>
          </cell>
          <cell r="P206">
            <v>0</v>
          </cell>
          <cell r="Q206">
            <v>0</v>
          </cell>
          <cell r="R206">
            <v>0</v>
          </cell>
          <cell r="S206">
            <v>0</v>
          </cell>
        </row>
        <row r="207">
          <cell r="A207">
            <v>101376</v>
          </cell>
          <cell r="B207" t="str">
            <v>Recoverable SIL</v>
          </cell>
          <cell r="C207">
            <v>0</v>
          </cell>
          <cell r="D207">
            <v>0</v>
          </cell>
          <cell r="E207">
            <v>0</v>
          </cell>
          <cell r="F207">
            <v>0</v>
          </cell>
          <cell r="G207"/>
          <cell r="H207">
            <v>0</v>
          </cell>
          <cell r="I207">
            <v>0</v>
          </cell>
          <cell r="J207">
            <v>0</v>
          </cell>
          <cell r="K207">
            <v>0</v>
          </cell>
          <cell r="L207">
            <v>101376</v>
          </cell>
          <cell r="M207">
            <v>1</v>
          </cell>
          <cell r="N207">
            <v>0</v>
          </cell>
          <cell r="O207">
            <v>0</v>
          </cell>
          <cell r="P207">
            <v>-845858</v>
          </cell>
          <cell r="Q207">
            <v>845858</v>
          </cell>
          <cell r="R207">
            <v>0</v>
          </cell>
          <cell r="S207">
            <v>0</v>
          </cell>
        </row>
        <row r="208">
          <cell r="A208">
            <v>101377</v>
          </cell>
          <cell r="B208" t="str">
            <v>Recoverable from Syntel Delaware</v>
          </cell>
          <cell r="C208">
            <v>0</v>
          </cell>
          <cell r="D208">
            <v>0</v>
          </cell>
          <cell r="E208">
            <v>0</v>
          </cell>
          <cell r="F208">
            <v>0</v>
          </cell>
          <cell r="G208"/>
          <cell r="H208">
            <v>0</v>
          </cell>
          <cell r="I208">
            <v>0</v>
          </cell>
          <cell r="J208">
            <v>0</v>
          </cell>
          <cell r="K208">
            <v>0</v>
          </cell>
          <cell r="L208">
            <v>101377</v>
          </cell>
          <cell r="M208">
            <v>1</v>
          </cell>
          <cell r="N208">
            <v>0</v>
          </cell>
          <cell r="O208">
            <v>0</v>
          </cell>
          <cell r="P208">
            <v>0</v>
          </cell>
          <cell r="Q208">
            <v>0</v>
          </cell>
          <cell r="R208">
            <v>0</v>
          </cell>
          <cell r="S208">
            <v>0</v>
          </cell>
        </row>
        <row r="209">
          <cell r="A209">
            <v>101378</v>
          </cell>
          <cell r="B209" t="str">
            <v>Recoverable from Synt Sourcing</v>
          </cell>
          <cell r="C209">
            <v>0</v>
          </cell>
          <cell r="D209">
            <v>0</v>
          </cell>
          <cell r="E209">
            <v>0</v>
          </cell>
          <cell r="F209">
            <v>0</v>
          </cell>
          <cell r="G209"/>
          <cell r="H209">
            <v>0</v>
          </cell>
          <cell r="I209">
            <v>0</v>
          </cell>
          <cell r="J209">
            <v>0</v>
          </cell>
          <cell r="K209">
            <v>0</v>
          </cell>
          <cell r="L209">
            <v>101378</v>
          </cell>
          <cell r="M209">
            <v>1</v>
          </cell>
          <cell r="N209">
            <v>0</v>
          </cell>
          <cell r="O209">
            <v>0</v>
          </cell>
          <cell r="P209">
            <v>0</v>
          </cell>
          <cell r="Q209">
            <v>0</v>
          </cell>
          <cell r="R209">
            <v>0</v>
          </cell>
          <cell r="S209">
            <v>0</v>
          </cell>
        </row>
        <row r="210">
          <cell r="A210">
            <v>101379</v>
          </cell>
          <cell r="B210" t="str">
            <v>Recoverable from Synt Bestshor</v>
          </cell>
          <cell r="C210">
            <v>0</v>
          </cell>
          <cell r="D210">
            <v>0</v>
          </cell>
          <cell r="E210">
            <v>0</v>
          </cell>
          <cell r="F210">
            <v>0</v>
          </cell>
          <cell r="G210"/>
          <cell r="H210">
            <v>0</v>
          </cell>
          <cell r="I210">
            <v>0</v>
          </cell>
          <cell r="J210">
            <v>0</v>
          </cell>
          <cell r="K210">
            <v>0</v>
          </cell>
          <cell r="L210">
            <v>101379</v>
          </cell>
          <cell r="M210">
            <v>1</v>
          </cell>
          <cell r="N210">
            <v>0</v>
          </cell>
          <cell r="O210">
            <v>0</v>
          </cell>
          <cell r="P210">
            <v>0</v>
          </cell>
          <cell r="Q210">
            <v>0</v>
          </cell>
          <cell r="R210">
            <v>0</v>
          </cell>
          <cell r="S210">
            <v>0</v>
          </cell>
        </row>
        <row r="211">
          <cell r="A211">
            <v>101380</v>
          </cell>
          <cell r="B211" t="str">
            <v>Recoverable from Synt Global</v>
          </cell>
          <cell r="C211">
            <v>0</v>
          </cell>
          <cell r="D211">
            <v>0</v>
          </cell>
          <cell r="E211">
            <v>0</v>
          </cell>
          <cell r="F211">
            <v>0</v>
          </cell>
          <cell r="G211"/>
          <cell r="H211">
            <v>0</v>
          </cell>
          <cell r="I211">
            <v>0</v>
          </cell>
          <cell r="J211">
            <v>0</v>
          </cell>
          <cell r="K211">
            <v>0</v>
          </cell>
          <cell r="L211">
            <v>101380</v>
          </cell>
          <cell r="M211">
            <v>1</v>
          </cell>
          <cell r="N211">
            <v>0</v>
          </cell>
          <cell r="O211">
            <v>0</v>
          </cell>
          <cell r="P211">
            <v>0</v>
          </cell>
          <cell r="Q211">
            <v>0</v>
          </cell>
          <cell r="R211">
            <v>0</v>
          </cell>
          <cell r="S211">
            <v>0</v>
          </cell>
        </row>
        <row r="212">
          <cell r="A212">
            <v>101381</v>
          </cell>
          <cell r="B212" t="str">
            <v>Recoverable from Syntel Consulting</v>
          </cell>
          <cell r="C212">
            <v>0</v>
          </cell>
          <cell r="D212">
            <v>0</v>
          </cell>
          <cell r="E212">
            <v>0</v>
          </cell>
          <cell r="F212">
            <v>0</v>
          </cell>
          <cell r="G212"/>
          <cell r="H212">
            <v>0</v>
          </cell>
          <cell r="I212">
            <v>0</v>
          </cell>
          <cell r="J212">
            <v>0</v>
          </cell>
          <cell r="K212">
            <v>0</v>
          </cell>
          <cell r="L212">
            <v>101381</v>
          </cell>
          <cell r="M212">
            <v>1</v>
          </cell>
          <cell r="N212">
            <v>0</v>
          </cell>
          <cell r="O212">
            <v>0</v>
          </cell>
          <cell r="P212">
            <v>0</v>
          </cell>
          <cell r="Q212">
            <v>0</v>
          </cell>
          <cell r="R212">
            <v>0</v>
          </cell>
          <cell r="S212">
            <v>0</v>
          </cell>
        </row>
        <row r="213">
          <cell r="A213">
            <v>101382</v>
          </cell>
          <cell r="B213" t="str">
            <v>Recoverable from Syntel Intern</v>
          </cell>
          <cell r="C213">
            <v>0</v>
          </cell>
          <cell r="D213">
            <v>0</v>
          </cell>
          <cell r="E213">
            <v>0</v>
          </cell>
          <cell r="F213">
            <v>0</v>
          </cell>
          <cell r="G213"/>
          <cell r="H213">
            <v>0</v>
          </cell>
          <cell r="I213">
            <v>0</v>
          </cell>
          <cell r="J213">
            <v>0</v>
          </cell>
          <cell r="K213">
            <v>0</v>
          </cell>
          <cell r="L213">
            <v>101382</v>
          </cell>
          <cell r="M213">
            <v>1</v>
          </cell>
          <cell r="N213">
            <v>0</v>
          </cell>
          <cell r="O213">
            <v>0</v>
          </cell>
          <cell r="P213">
            <v>0</v>
          </cell>
          <cell r="Q213">
            <v>0</v>
          </cell>
          <cell r="R213">
            <v>0</v>
          </cell>
          <cell r="S213">
            <v>0</v>
          </cell>
        </row>
        <row r="214">
          <cell r="A214">
            <v>101383</v>
          </cell>
          <cell r="B214" t="str">
            <v>Recover from Direct Customer</v>
          </cell>
          <cell r="C214">
            <v>-1.4551915228366852E-11</v>
          </cell>
          <cell r="D214">
            <v>0</v>
          </cell>
          <cell r="E214">
            <v>0</v>
          </cell>
          <cell r="F214">
            <v>-1.4551915228366852E-11</v>
          </cell>
          <cell r="G214"/>
          <cell r="H214">
            <v>-1.4551915228366852E-11</v>
          </cell>
          <cell r="I214">
            <v>0</v>
          </cell>
          <cell r="J214">
            <v>0</v>
          </cell>
          <cell r="K214">
            <v>-1.4551915228366852E-11</v>
          </cell>
          <cell r="L214">
            <v>101383</v>
          </cell>
          <cell r="M214">
            <v>1</v>
          </cell>
          <cell r="N214">
            <v>0</v>
          </cell>
          <cell r="O214">
            <v>0</v>
          </cell>
          <cell r="P214">
            <v>66737.919999999984</v>
          </cell>
          <cell r="Q214">
            <v>-66737.919999999998</v>
          </cell>
          <cell r="R214">
            <v>0</v>
          </cell>
          <cell r="S214">
            <v>0</v>
          </cell>
        </row>
        <row r="215">
          <cell r="A215">
            <v>101384</v>
          </cell>
          <cell r="B215" t="str">
            <v>Recoverabl Fm Syntel Australia</v>
          </cell>
          <cell r="C215">
            <v>0</v>
          </cell>
          <cell r="D215">
            <v>0</v>
          </cell>
          <cell r="E215">
            <v>0</v>
          </cell>
          <cell r="F215">
            <v>0</v>
          </cell>
          <cell r="G215"/>
          <cell r="H215">
            <v>0</v>
          </cell>
          <cell r="I215">
            <v>0</v>
          </cell>
          <cell r="J215">
            <v>0</v>
          </cell>
          <cell r="K215">
            <v>0</v>
          </cell>
          <cell r="L215">
            <v>101384</v>
          </cell>
          <cell r="M215">
            <v>1</v>
          </cell>
          <cell r="N215">
            <v>0</v>
          </cell>
          <cell r="O215">
            <v>0</v>
          </cell>
          <cell r="P215">
            <v>0</v>
          </cell>
          <cell r="Q215">
            <v>0</v>
          </cell>
          <cell r="R215">
            <v>0</v>
          </cell>
          <cell r="S215">
            <v>0</v>
          </cell>
        </row>
        <row r="216">
          <cell r="A216">
            <v>101385</v>
          </cell>
          <cell r="B216" t="str">
            <v>Advance - Syntel Australia</v>
          </cell>
          <cell r="C216">
            <v>0</v>
          </cell>
          <cell r="D216">
            <v>0</v>
          </cell>
          <cell r="E216">
            <v>0</v>
          </cell>
          <cell r="F216">
            <v>0</v>
          </cell>
          <cell r="G216"/>
          <cell r="H216">
            <v>0</v>
          </cell>
          <cell r="I216">
            <v>0</v>
          </cell>
          <cell r="J216">
            <v>0</v>
          </cell>
          <cell r="K216">
            <v>0</v>
          </cell>
          <cell r="L216">
            <v>101385</v>
          </cell>
          <cell r="M216">
            <v>1</v>
          </cell>
          <cell r="N216">
            <v>0</v>
          </cell>
          <cell r="O216">
            <v>0</v>
          </cell>
          <cell r="P216">
            <v>0</v>
          </cell>
          <cell r="Q216">
            <v>0</v>
          </cell>
          <cell r="R216">
            <v>0</v>
          </cell>
          <cell r="S216">
            <v>0</v>
          </cell>
        </row>
        <row r="217">
          <cell r="A217">
            <v>101386</v>
          </cell>
          <cell r="B217" t="str">
            <v>Advance to Direct Customers</v>
          </cell>
          <cell r="C217">
            <v>1.9740388088393956E-3</v>
          </cell>
          <cell r="D217">
            <v>0</v>
          </cell>
          <cell r="E217">
            <v>0</v>
          </cell>
          <cell r="F217">
            <v>1.9740388088393956E-3</v>
          </cell>
          <cell r="G217"/>
          <cell r="H217">
            <v>1.9740388088393956E-3</v>
          </cell>
          <cell r="I217">
            <v>0</v>
          </cell>
          <cell r="J217">
            <v>0</v>
          </cell>
          <cell r="K217">
            <v>1.9740388088393956E-3</v>
          </cell>
          <cell r="L217">
            <v>101386</v>
          </cell>
          <cell r="M217">
            <v>1</v>
          </cell>
          <cell r="N217">
            <v>0</v>
          </cell>
          <cell r="O217">
            <v>0</v>
          </cell>
          <cell r="P217">
            <v>1.9740388088393956E-3</v>
          </cell>
          <cell r="Q217">
            <v>0</v>
          </cell>
          <cell r="R217">
            <v>0</v>
          </cell>
          <cell r="S217">
            <v>0</v>
          </cell>
        </row>
        <row r="218">
          <cell r="A218">
            <v>101387</v>
          </cell>
          <cell r="B218" t="str">
            <v>Advance  - Syntel Limited</v>
          </cell>
          <cell r="C218">
            <v>0</v>
          </cell>
          <cell r="D218">
            <v>0</v>
          </cell>
          <cell r="E218">
            <v>0</v>
          </cell>
          <cell r="F218">
            <v>0</v>
          </cell>
          <cell r="G218"/>
          <cell r="H218">
            <v>0</v>
          </cell>
          <cell r="I218">
            <v>0</v>
          </cell>
          <cell r="J218">
            <v>0</v>
          </cell>
          <cell r="K218">
            <v>0</v>
          </cell>
          <cell r="L218">
            <v>101387</v>
          </cell>
          <cell r="M218">
            <v>1</v>
          </cell>
          <cell r="N218">
            <v>0</v>
          </cell>
          <cell r="O218">
            <v>0</v>
          </cell>
          <cell r="P218">
            <v>0</v>
          </cell>
          <cell r="Q218">
            <v>0</v>
          </cell>
          <cell r="R218">
            <v>0</v>
          </cell>
          <cell r="S218">
            <v>0</v>
          </cell>
        </row>
        <row r="219">
          <cell r="A219">
            <v>101388</v>
          </cell>
          <cell r="B219" t="str">
            <v>Advance from Synt Bestshores</v>
          </cell>
          <cell r="C219">
            <v>0</v>
          </cell>
          <cell r="D219">
            <v>0</v>
          </cell>
          <cell r="E219">
            <v>0</v>
          </cell>
          <cell r="F219">
            <v>0</v>
          </cell>
          <cell r="G219"/>
          <cell r="H219">
            <v>0</v>
          </cell>
          <cell r="I219">
            <v>0</v>
          </cell>
          <cell r="J219">
            <v>0</v>
          </cell>
          <cell r="K219">
            <v>0</v>
          </cell>
          <cell r="L219">
            <v>101388</v>
          </cell>
          <cell r="M219">
            <v>1</v>
          </cell>
          <cell r="N219">
            <v>0</v>
          </cell>
          <cell r="O219">
            <v>0</v>
          </cell>
          <cell r="P219">
            <v>0</v>
          </cell>
          <cell r="Q219">
            <v>0</v>
          </cell>
          <cell r="R219">
            <v>0</v>
          </cell>
          <cell r="S219">
            <v>0</v>
          </cell>
        </row>
        <row r="220">
          <cell r="A220">
            <v>101389</v>
          </cell>
          <cell r="B220" t="str">
            <v>Advnace Syntel Consulting</v>
          </cell>
          <cell r="C220">
            <v>0</v>
          </cell>
          <cell r="D220">
            <v>0</v>
          </cell>
          <cell r="E220">
            <v>0</v>
          </cell>
          <cell r="F220">
            <v>0</v>
          </cell>
          <cell r="G220"/>
          <cell r="H220">
            <v>0</v>
          </cell>
          <cell r="I220">
            <v>0</v>
          </cell>
          <cell r="J220">
            <v>0</v>
          </cell>
          <cell r="K220">
            <v>0</v>
          </cell>
          <cell r="L220">
            <v>101389</v>
          </cell>
          <cell r="M220">
            <v>1</v>
          </cell>
          <cell r="N220">
            <v>0</v>
          </cell>
          <cell r="O220">
            <v>0</v>
          </cell>
          <cell r="P220">
            <v>0</v>
          </cell>
          <cell r="Q220">
            <v>0</v>
          </cell>
          <cell r="R220">
            <v>0</v>
          </cell>
          <cell r="S220">
            <v>0</v>
          </cell>
        </row>
        <row r="221">
          <cell r="A221">
            <v>101390</v>
          </cell>
          <cell r="B221" t="str">
            <v>Other Misc Advances</v>
          </cell>
          <cell r="C221">
            <v>0</v>
          </cell>
          <cell r="D221">
            <v>0</v>
          </cell>
          <cell r="E221">
            <v>0</v>
          </cell>
          <cell r="F221">
            <v>0</v>
          </cell>
          <cell r="G221"/>
          <cell r="H221">
            <v>0</v>
          </cell>
          <cell r="I221">
            <v>0</v>
          </cell>
          <cell r="J221">
            <v>0</v>
          </cell>
          <cell r="K221">
            <v>0</v>
          </cell>
          <cell r="L221">
            <v>101390</v>
          </cell>
          <cell r="M221">
            <v>1</v>
          </cell>
          <cell r="N221">
            <v>0</v>
          </cell>
          <cell r="O221">
            <v>0</v>
          </cell>
          <cell r="P221">
            <v>1475356</v>
          </cell>
          <cell r="Q221">
            <v>-1475356</v>
          </cell>
          <cell r="R221">
            <v>0</v>
          </cell>
          <cell r="S221">
            <v>0</v>
          </cell>
        </row>
        <row r="222">
          <cell r="A222">
            <v>101391</v>
          </cell>
          <cell r="B222" t="str">
            <v>Advance - Syntel Internat. P L</v>
          </cell>
          <cell r="C222">
            <v>0</v>
          </cell>
          <cell r="D222">
            <v>0</v>
          </cell>
          <cell r="E222">
            <v>0</v>
          </cell>
          <cell r="F222">
            <v>0</v>
          </cell>
          <cell r="G222"/>
          <cell r="H222">
            <v>0</v>
          </cell>
          <cell r="I222">
            <v>0</v>
          </cell>
          <cell r="J222">
            <v>0</v>
          </cell>
          <cell r="K222">
            <v>0</v>
          </cell>
          <cell r="L222">
            <v>101391</v>
          </cell>
          <cell r="M222">
            <v>1</v>
          </cell>
          <cell r="N222">
            <v>0</v>
          </cell>
          <cell r="O222">
            <v>0</v>
          </cell>
          <cell r="P222">
            <v>0</v>
          </cell>
          <cell r="Q222">
            <v>0</v>
          </cell>
          <cell r="R222">
            <v>0</v>
          </cell>
          <cell r="S222">
            <v>0</v>
          </cell>
        </row>
        <row r="223">
          <cell r="A223">
            <v>101392</v>
          </cell>
          <cell r="B223" t="str">
            <v>Advance - Syntel Sourcing P L</v>
          </cell>
          <cell r="C223">
            <v>0</v>
          </cell>
          <cell r="D223">
            <v>0</v>
          </cell>
          <cell r="E223">
            <v>0</v>
          </cell>
          <cell r="F223">
            <v>0</v>
          </cell>
          <cell r="G223"/>
          <cell r="H223">
            <v>0</v>
          </cell>
          <cell r="I223">
            <v>0</v>
          </cell>
          <cell r="J223">
            <v>0</v>
          </cell>
          <cell r="K223">
            <v>0</v>
          </cell>
          <cell r="L223">
            <v>101392</v>
          </cell>
          <cell r="M223">
            <v>1</v>
          </cell>
          <cell r="N223">
            <v>0</v>
          </cell>
          <cell r="O223">
            <v>0</v>
          </cell>
          <cell r="P223">
            <v>0</v>
          </cell>
          <cell r="Q223">
            <v>0</v>
          </cell>
          <cell r="R223">
            <v>0</v>
          </cell>
          <cell r="S223">
            <v>0</v>
          </cell>
        </row>
        <row r="224">
          <cell r="A224">
            <v>101393</v>
          </cell>
          <cell r="B224" t="str">
            <v>Advance - Syntel Inc.</v>
          </cell>
          <cell r="C224">
            <v>0.24729999946430326</v>
          </cell>
          <cell r="D224">
            <v>0</v>
          </cell>
          <cell r="E224">
            <v>0</v>
          </cell>
          <cell r="F224">
            <v>0.24729999946430326</v>
          </cell>
          <cell r="G224"/>
          <cell r="H224">
            <v>0.24729999946430326</v>
          </cell>
          <cell r="I224">
            <v>0</v>
          </cell>
          <cell r="J224">
            <v>0</v>
          </cell>
          <cell r="K224">
            <v>0.24729999946430326</v>
          </cell>
          <cell r="L224">
            <v>101393</v>
          </cell>
          <cell r="M224">
            <v>1</v>
          </cell>
          <cell r="N224">
            <v>0</v>
          </cell>
          <cell r="O224">
            <v>0</v>
          </cell>
          <cell r="P224">
            <v>0</v>
          </cell>
          <cell r="Q224">
            <v>0.24729999946430326</v>
          </cell>
          <cell r="R224">
            <v>0</v>
          </cell>
          <cell r="S224">
            <v>0</v>
          </cell>
        </row>
        <row r="225">
          <cell r="A225">
            <v>101394</v>
          </cell>
          <cell r="B225" t="str">
            <v>Advance - Syntel Europe</v>
          </cell>
          <cell r="C225">
            <v>0</v>
          </cell>
          <cell r="D225">
            <v>0</v>
          </cell>
          <cell r="E225">
            <v>0</v>
          </cell>
          <cell r="F225">
            <v>0</v>
          </cell>
          <cell r="G225"/>
          <cell r="H225">
            <v>0</v>
          </cell>
          <cell r="I225">
            <v>0</v>
          </cell>
          <cell r="J225">
            <v>0</v>
          </cell>
          <cell r="K225">
            <v>0</v>
          </cell>
          <cell r="L225">
            <v>101394</v>
          </cell>
          <cell r="M225">
            <v>1</v>
          </cell>
          <cell r="N225">
            <v>0</v>
          </cell>
          <cell r="O225">
            <v>0</v>
          </cell>
          <cell r="P225">
            <v>0</v>
          </cell>
          <cell r="Q225">
            <v>0</v>
          </cell>
          <cell r="R225">
            <v>0</v>
          </cell>
          <cell r="S225">
            <v>0</v>
          </cell>
        </row>
        <row r="226">
          <cell r="A226">
            <v>101395</v>
          </cell>
          <cell r="B226" t="str">
            <v>Advance - Syntel Singapore</v>
          </cell>
          <cell r="C226">
            <v>0</v>
          </cell>
          <cell r="D226">
            <v>0</v>
          </cell>
          <cell r="E226">
            <v>0</v>
          </cell>
          <cell r="F226">
            <v>0</v>
          </cell>
          <cell r="G226"/>
          <cell r="H226">
            <v>0</v>
          </cell>
          <cell r="I226">
            <v>0</v>
          </cell>
          <cell r="J226">
            <v>0</v>
          </cell>
          <cell r="K226">
            <v>0</v>
          </cell>
          <cell r="L226">
            <v>101395</v>
          </cell>
          <cell r="M226">
            <v>1</v>
          </cell>
          <cell r="N226">
            <v>0</v>
          </cell>
          <cell r="O226">
            <v>0</v>
          </cell>
          <cell r="P226">
            <v>0</v>
          </cell>
          <cell r="Q226">
            <v>0</v>
          </cell>
          <cell r="R226">
            <v>0</v>
          </cell>
          <cell r="S226">
            <v>0</v>
          </cell>
        </row>
        <row r="227">
          <cell r="A227">
            <v>101396</v>
          </cell>
          <cell r="B227" t="str">
            <v>Advance - Syntel Germany</v>
          </cell>
          <cell r="C227">
            <v>0</v>
          </cell>
          <cell r="D227">
            <v>0</v>
          </cell>
          <cell r="E227">
            <v>0</v>
          </cell>
          <cell r="F227">
            <v>0</v>
          </cell>
          <cell r="G227"/>
          <cell r="H227">
            <v>0</v>
          </cell>
          <cell r="I227">
            <v>0</v>
          </cell>
          <cell r="J227">
            <v>0</v>
          </cell>
          <cell r="K227">
            <v>0</v>
          </cell>
          <cell r="L227">
            <v>101396</v>
          </cell>
          <cell r="M227">
            <v>1</v>
          </cell>
          <cell r="N227">
            <v>0</v>
          </cell>
          <cell r="O227">
            <v>0</v>
          </cell>
          <cell r="P227">
            <v>0</v>
          </cell>
          <cell r="Q227">
            <v>0</v>
          </cell>
          <cell r="R227">
            <v>0</v>
          </cell>
          <cell r="S227">
            <v>0</v>
          </cell>
        </row>
        <row r="228">
          <cell r="A228">
            <v>101397</v>
          </cell>
          <cell r="B228" t="str">
            <v>Advance - Syntel Delaware</v>
          </cell>
          <cell r="C228">
            <v>0</v>
          </cell>
          <cell r="D228">
            <v>0</v>
          </cell>
          <cell r="E228">
            <v>0</v>
          </cell>
          <cell r="F228">
            <v>0</v>
          </cell>
          <cell r="G228"/>
          <cell r="H228">
            <v>0</v>
          </cell>
          <cell r="I228">
            <v>0</v>
          </cell>
          <cell r="J228">
            <v>0</v>
          </cell>
          <cell r="K228">
            <v>0</v>
          </cell>
          <cell r="L228">
            <v>101397</v>
          </cell>
          <cell r="M228">
            <v>1</v>
          </cell>
          <cell r="N228">
            <v>0</v>
          </cell>
          <cell r="O228">
            <v>0</v>
          </cell>
          <cell r="P228">
            <v>0</v>
          </cell>
          <cell r="Q228">
            <v>0</v>
          </cell>
          <cell r="R228">
            <v>0</v>
          </cell>
          <cell r="S228">
            <v>0</v>
          </cell>
        </row>
        <row r="229">
          <cell r="A229">
            <v>101398</v>
          </cell>
          <cell r="B229" t="str">
            <v>Advance - Syntel Global P L</v>
          </cell>
          <cell r="C229">
            <v>0</v>
          </cell>
          <cell r="D229">
            <v>0</v>
          </cell>
          <cell r="E229">
            <v>0</v>
          </cell>
          <cell r="F229">
            <v>0</v>
          </cell>
          <cell r="G229"/>
          <cell r="H229">
            <v>0</v>
          </cell>
          <cell r="I229">
            <v>0</v>
          </cell>
          <cell r="J229">
            <v>0</v>
          </cell>
          <cell r="K229">
            <v>0</v>
          </cell>
          <cell r="L229">
            <v>101398</v>
          </cell>
          <cell r="M229">
            <v>1</v>
          </cell>
          <cell r="N229">
            <v>0</v>
          </cell>
          <cell r="O229">
            <v>0</v>
          </cell>
          <cell r="P229">
            <v>0</v>
          </cell>
          <cell r="Q229">
            <v>0</v>
          </cell>
          <cell r="R229">
            <v>0</v>
          </cell>
          <cell r="S229">
            <v>0</v>
          </cell>
        </row>
        <row r="230">
          <cell r="A230">
            <v>101399</v>
          </cell>
          <cell r="B230" t="str">
            <v>Provisions - Doubtful Advances</v>
          </cell>
          <cell r="C230">
            <v>0</v>
          </cell>
          <cell r="D230">
            <v>0</v>
          </cell>
          <cell r="E230">
            <v>0</v>
          </cell>
          <cell r="F230">
            <v>0</v>
          </cell>
          <cell r="G230"/>
          <cell r="H230">
            <v>0</v>
          </cell>
          <cell r="I230">
            <v>0</v>
          </cell>
          <cell r="J230">
            <v>0</v>
          </cell>
          <cell r="K230">
            <v>0</v>
          </cell>
          <cell r="L230">
            <v>101399</v>
          </cell>
          <cell r="M230">
            <v>1</v>
          </cell>
          <cell r="N230">
            <v>0</v>
          </cell>
          <cell r="O230">
            <v>0</v>
          </cell>
          <cell r="P230">
            <v>-1475356</v>
          </cell>
          <cell r="Q230">
            <v>1475356</v>
          </cell>
          <cell r="R230">
            <v>0</v>
          </cell>
          <cell r="S230">
            <v>0</v>
          </cell>
        </row>
        <row r="231">
          <cell r="A231">
            <v>101400</v>
          </cell>
          <cell r="B231" t="str">
            <v>Recoverable fr Syn Netherland</v>
          </cell>
          <cell r="C231">
            <v>0</v>
          </cell>
          <cell r="D231">
            <v>0</v>
          </cell>
          <cell r="E231">
            <v>0</v>
          </cell>
          <cell r="F231">
            <v>0</v>
          </cell>
          <cell r="G231"/>
          <cell r="H231">
            <v>0</v>
          </cell>
          <cell r="I231">
            <v>0</v>
          </cell>
          <cell r="J231">
            <v>0</v>
          </cell>
          <cell r="K231">
            <v>0</v>
          </cell>
          <cell r="L231">
            <v>101400</v>
          </cell>
          <cell r="M231">
            <v>1</v>
          </cell>
          <cell r="N231">
            <v>0</v>
          </cell>
          <cell r="O231">
            <v>0</v>
          </cell>
          <cell r="P231">
            <v>0</v>
          </cell>
          <cell r="Q231">
            <v>0</v>
          </cell>
          <cell r="R231">
            <v>0</v>
          </cell>
          <cell r="S231">
            <v>0</v>
          </cell>
        </row>
        <row r="232">
          <cell r="A232">
            <v>101410</v>
          </cell>
          <cell r="B232" t="str">
            <v>Deposit</v>
          </cell>
          <cell r="C232">
            <v>0</v>
          </cell>
          <cell r="D232">
            <v>0</v>
          </cell>
          <cell r="E232">
            <v>0</v>
          </cell>
          <cell r="F232">
            <v>0</v>
          </cell>
          <cell r="G232"/>
          <cell r="H232">
            <v>0</v>
          </cell>
          <cell r="I232">
            <v>0</v>
          </cell>
          <cell r="J232">
            <v>0</v>
          </cell>
          <cell r="K232">
            <v>0</v>
          </cell>
          <cell r="L232">
            <v>101410</v>
          </cell>
          <cell r="M232">
            <v>1</v>
          </cell>
          <cell r="N232">
            <v>0</v>
          </cell>
          <cell r="O232">
            <v>0</v>
          </cell>
          <cell r="P232">
            <v>0</v>
          </cell>
          <cell r="Q232">
            <v>0</v>
          </cell>
          <cell r="R232">
            <v>0</v>
          </cell>
          <cell r="S232">
            <v>0</v>
          </cell>
        </row>
        <row r="233">
          <cell r="A233">
            <v>101415</v>
          </cell>
          <cell r="B233" t="str">
            <v>Prepaid Rent - Office</v>
          </cell>
          <cell r="C233">
            <v>0</v>
          </cell>
          <cell r="D233">
            <v>0</v>
          </cell>
          <cell r="E233">
            <v>0</v>
          </cell>
          <cell r="F233">
            <v>0</v>
          </cell>
          <cell r="G233"/>
          <cell r="H233">
            <v>0</v>
          </cell>
          <cell r="I233">
            <v>0</v>
          </cell>
          <cell r="J233">
            <v>0</v>
          </cell>
          <cell r="K233">
            <v>0</v>
          </cell>
          <cell r="L233">
            <v>101415</v>
          </cell>
          <cell r="M233">
            <v>1</v>
          </cell>
          <cell r="N233">
            <v>0</v>
          </cell>
          <cell r="O233">
            <v>0</v>
          </cell>
          <cell r="P233">
            <v>0</v>
          </cell>
          <cell r="Q233">
            <v>0</v>
          </cell>
          <cell r="R233">
            <v>0</v>
          </cell>
          <cell r="S233">
            <v>0</v>
          </cell>
        </row>
        <row r="234">
          <cell r="A234">
            <v>101416</v>
          </cell>
          <cell r="B234" t="str">
            <v>Prepaid Rent - Flat for Empl.</v>
          </cell>
          <cell r="C234">
            <v>0</v>
          </cell>
          <cell r="D234">
            <v>0</v>
          </cell>
          <cell r="E234">
            <v>0</v>
          </cell>
          <cell r="F234">
            <v>0</v>
          </cell>
          <cell r="G234"/>
          <cell r="H234">
            <v>0</v>
          </cell>
          <cell r="I234">
            <v>0</v>
          </cell>
          <cell r="J234">
            <v>0</v>
          </cell>
          <cell r="K234">
            <v>0</v>
          </cell>
          <cell r="L234">
            <v>101416</v>
          </cell>
          <cell r="M234">
            <v>1</v>
          </cell>
          <cell r="N234">
            <v>0</v>
          </cell>
          <cell r="O234">
            <v>0</v>
          </cell>
          <cell r="P234">
            <v>0</v>
          </cell>
          <cell r="Q234">
            <v>0</v>
          </cell>
          <cell r="R234">
            <v>0</v>
          </cell>
          <cell r="S234">
            <v>0</v>
          </cell>
        </row>
        <row r="235">
          <cell r="A235">
            <v>101417</v>
          </cell>
          <cell r="B235" t="str">
            <v>Prepaid Rent - Guest House</v>
          </cell>
          <cell r="C235">
            <v>0</v>
          </cell>
          <cell r="D235">
            <v>0</v>
          </cell>
          <cell r="E235">
            <v>0</v>
          </cell>
          <cell r="F235">
            <v>0</v>
          </cell>
          <cell r="G235"/>
          <cell r="H235">
            <v>0</v>
          </cell>
          <cell r="I235">
            <v>0</v>
          </cell>
          <cell r="J235">
            <v>0</v>
          </cell>
          <cell r="K235">
            <v>0</v>
          </cell>
          <cell r="L235">
            <v>101417</v>
          </cell>
          <cell r="M235">
            <v>1</v>
          </cell>
          <cell r="N235">
            <v>0</v>
          </cell>
          <cell r="O235">
            <v>0</v>
          </cell>
          <cell r="P235">
            <v>0</v>
          </cell>
          <cell r="Q235">
            <v>0</v>
          </cell>
          <cell r="R235">
            <v>0</v>
          </cell>
          <cell r="S235">
            <v>0</v>
          </cell>
        </row>
        <row r="236">
          <cell r="A236">
            <v>101418</v>
          </cell>
          <cell r="B236" t="str">
            <v>Prepaid Rent - Others</v>
          </cell>
          <cell r="C236">
            <v>0</v>
          </cell>
          <cell r="D236">
            <v>0</v>
          </cell>
          <cell r="E236">
            <v>0</v>
          </cell>
          <cell r="F236">
            <v>0</v>
          </cell>
          <cell r="G236"/>
          <cell r="H236">
            <v>0</v>
          </cell>
          <cell r="I236">
            <v>0</v>
          </cell>
          <cell r="J236">
            <v>0</v>
          </cell>
          <cell r="K236">
            <v>0</v>
          </cell>
          <cell r="L236">
            <v>101418</v>
          </cell>
          <cell r="M236">
            <v>1</v>
          </cell>
          <cell r="N236">
            <v>0</v>
          </cell>
          <cell r="O236">
            <v>0</v>
          </cell>
          <cell r="P236">
            <v>0</v>
          </cell>
          <cell r="Q236">
            <v>0</v>
          </cell>
          <cell r="R236">
            <v>0</v>
          </cell>
          <cell r="S236">
            <v>0</v>
          </cell>
        </row>
        <row r="237">
          <cell r="A237">
            <v>101420</v>
          </cell>
          <cell r="B237" t="str">
            <v>Prepaid Insurance</v>
          </cell>
          <cell r="C237">
            <v>0</v>
          </cell>
          <cell r="D237">
            <v>0</v>
          </cell>
          <cell r="E237">
            <v>0</v>
          </cell>
          <cell r="F237">
            <v>0</v>
          </cell>
          <cell r="G237"/>
          <cell r="H237">
            <v>0</v>
          </cell>
          <cell r="I237">
            <v>0</v>
          </cell>
          <cell r="J237">
            <v>0</v>
          </cell>
          <cell r="K237">
            <v>0</v>
          </cell>
          <cell r="L237">
            <v>101420</v>
          </cell>
          <cell r="M237">
            <v>1</v>
          </cell>
          <cell r="N237">
            <v>0</v>
          </cell>
          <cell r="O237">
            <v>0</v>
          </cell>
          <cell r="P237">
            <v>146523</v>
          </cell>
          <cell r="Q237">
            <v>-146523</v>
          </cell>
          <cell r="R237">
            <v>0</v>
          </cell>
          <cell r="S237">
            <v>0</v>
          </cell>
        </row>
        <row r="238">
          <cell r="A238">
            <v>101421</v>
          </cell>
          <cell r="B238" t="str">
            <v>Prepaid Overseas Insu</v>
          </cell>
          <cell r="C238">
            <v>0</v>
          </cell>
          <cell r="D238">
            <v>0</v>
          </cell>
          <cell r="E238">
            <v>0</v>
          </cell>
          <cell r="F238">
            <v>0</v>
          </cell>
          <cell r="G238"/>
          <cell r="H238">
            <v>0</v>
          </cell>
          <cell r="I238">
            <v>0</v>
          </cell>
          <cell r="J238">
            <v>0</v>
          </cell>
          <cell r="K238">
            <v>0</v>
          </cell>
          <cell r="L238">
            <v>101421</v>
          </cell>
          <cell r="M238">
            <v>1</v>
          </cell>
          <cell r="N238">
            <v>0</v>
          </cell>
          <cell r="O238">
            <v>0</v>
          </cell>
          <cell r="P238">
            <v>0</v>
          </cell>
          <cell r="Q238">
            <v>0</v>
          </cell>
          <cell r="R238">
            <v>0</v>
          </cell>
          <cell r="S238">
            <v>0</v>
          </cell>
        </row>
        <row r="239">
          <cell r="A239">
            <v>101425</v>
          </cell>
          <cell r="B239" t="str">
            <v>Prepaid Prop Taxes</v>
          </cell>
          <cell r="C239">
            <v>0</v>
          </cell>
          <cell r="D239">
            <v>0</v>
          </cell>
          <cell r="E239">
            <v>0</v>
          </cell>
          <cell r="F239">
            <v>0</v>
          </cell>
          <cell r="G239"/>
          <cell r="H239">
            <v>0</v>
          </cell>
          <cell r="I239">
            <v>0</v>
          </cell>
          <cell r="J239">
            <v>0</v>
          </cell>
          <cell r="K239">
            <v>0</v>
          </cell>
          <cell r="L239">
            <v>101425</v>
          </cell>
          <cell r="M239">
            <v>1</v>
          </cell>
          <cell r="N239">
            <v>0</v>
          </cell>
          <cell r="O239">
            <v>0</v>
          </cell>
          <cell r="P239">
            <v>0</v>
          </cell>
          <cell r="Q239">
            <v>0</v>
          </cell>
          <cell r="R239">
            <v>0</v>
          </cell>
          <cell r="S239">
            <v>0</v>
          </cell>
        </row>
        <row r="240">
          <cell r="A240">
            <v>101430</v>
          </cell>
          <cell r="B240" t="str">
            <v>Prepaid Licenses</v>
          </cell>
          <cell r="C240">
            <v>0</v>
          </cell>
          <cell r="D240">
            <v>0</v>
          </cell>
          <cell r="E240">
            <v>0</v>
          </cell>
          <cell r="F240">
            <v>0</v>
          </cell>
          <cell r="G240"/>
          <cell r="H240">
            <v>0</v>
          </cell>
          <cell r="I240">
            <v>0</v>
          </cell>
          <cell r="J240">
            <v>0</v>
          </cell>
          <cell r="K240">
            <v>0</v>
          </cell>
          <cell r="L240">
            <v>101430</v>
          </cell>
          <cell r="M240">
            <v>1</v>
          </cell>
          <cell r="N240">
            <v>0</v>
          </cell>
          <cell r="O240">
            <v>0</v>
          </cell>
          <cell r="P240">
            <v>0</v>
          </cell>
          <cell r="Q240">
            <v>0</v>
          </cell>
          <cell r="R240">
            <v>0</v>
          </cell>
          <cell r="S240">
            <v>0</v>
          </cell>
        </row>
        <row r="241">
          <cell r="A241">
            <v>101435</v>
          </cell>
          <cell r="B241" t="str">
            <v>Prepaid Link expenses</v>
          </cell>
          <cell r="C241">
            <v>0</v>
          </cell>
          <cell r="D241">
            <v>0</v>
          </cell>
          <cell r="E241">
            <v>0</v>
          </cell>
          <cell r="F241">
            <v>0</v>
          </cell>
          <cell r="G241"/>
          <cell r="H241">
            <v>0</v>
          </cell>
          <cell r="I241">
            <v>0</v>
          </cell>
          <cell r="J241">
            <v>0</v>
          </cell>
          <cell r="K241">
            <v>0</v>
          </cell>
          <cell r="L241">
            <v>101435</v>
          </cell>
          <cell r="M241">
            <v>1</v>
          </cell>
          <cell r="N241">
            <v>0</v>
          </cell>
          <cell r="O241">
            <v>0</v>
          </cell>
          <cell r="P241">
            <v>0</v>
          </cell>
          <cell r="Q241">
            <v>0</v>
          </cell>
          <cell r="R241">
            <v>0</v>
          </cell>
          <cell r="S241">
            <v>0</v>
          </cell>
        </row>
        <row r="242">
          <cell r="A242">
            <v>101436</v>
          </cell>
          <cell r="B242" t="str">
            <v>Prepaid Internet Charges</v>
          </cell>
          <cell r="C242">
            <v>0</v>
          </cell>
          <cell r="D242">
            <v>0</v>
          </cell>
          <cell r="E242">
            <v>0</v>
          </cell>
          <cell r="F242">
            <v>0</v>
          </cell>
          <cell r="G242"/>
          <cell r="H242">
            <v>0</v>
          </cell>
          <cell r="I242">
            <v>0</v>
          </cell>
          <cell r="J242">
            <v>0</v>
          </cell>
          <cell r="K242">
            <v>0</v>
          </cell>
          <cell r="L242">
            <v>101436</v>
          </cell>
          <cell r="M242">
            <v>1</v>
          </cell>
          <cell r="N242">
            <v>0</v>
          </cell>
          <cell r="O242">
            <v>0</v>
          </cell>
          <cell r="P242">
            <v>0</v>
          </cell>
          <cell r="Q242">
            <v>0</v>
          </cell>
          <cell r="R242">
            <v>0</v>
          </cell>
          <cell r="S242">
            <v>0</v>
          </cell>
        </row>
        <row r="243">
          <cell r="A243">
            <v>101437</v>
          </cell>
          <cell r="B243" t="str">
            <v>Prepaid Membership fees</v>
          </cell>
          <cell r="C243">
            <v>0</v>
          </cell>
          <cell r="D243">
            <v>0</v>
          </cell>
          <cell r="E243">
            <v>0</v>
          </cell>
          <cell r="F243">
            <v>0</v>
          </cell>
          <cell r="G243"/>
          <cell r="H243">
            <v>0</v>
          </cell>
          <cell r="I243">
            <v>0</v>
          </cell>
          <cell r="J243">
            <v>0</v>
          </cell>
          <cell r="K243">
            <v>0</v>
          </cell>
          <cell r="L243">
            <v>101437</v>
          </cell>
          <cell r="M243">
            <v>1</v>
          </cell>
          <cell r="N243">
            <v>0</v>
          </cell>
          <cell r="O243">
            <v>0</v>
          </cell>
          <cell r="P243">
            <v>0</v>
          </cell>
          <cell r="Q243">
            <v>0</v>
          </cell>
          <cell r="R243">
            <v>0</v>
          </cell>
          <cell r="S243">
            <v>0</v>
          </cell>
        </row>
        <row r="244">
          <cell r="A244">
            <v>101438</v>
          </cell>
          <cell r="B244" t="str">
            <v>Prepaid Subscription fees</v>
          </cell>
          <cell r="C244">
            <v>0</v>
          </cell>
          <cell r="D244">
            <v>0</v>
          </cell>
          <cell r="E244">
            <v>0</v>
          </cell>
          <cell r="F244">
            <v>0</v>
          </cell>
          <cell r="G244"/>
          <cell r="H244">
            <v>0</v>
          </cell>
          <cell r="I244">
            <v>0</v>
          </cell>
          <cell r="J244">
            <v>0</v>
          </cell>
          <cell r="K244">
            <v>0</v>
          </cell>
          <cell r="L244">
            <v>101438</v>
          </cell>
          <cell r="M244">
            <v>1</v>
          </cell>
          <cell r="N244">
            <v>0</v>
          </cell>
          <cell r="O244">
            <v>0</v>
          </cell>
          <cell r="P244">
            <v>0</v>
          </cell>
          <cell r="Q244">
            <v>0</v>
          </cell>
          <cell r="R244">
            <v>0</v>
          </cell>
          <cell r="S244">
            <v>0</v>
          </cell>
        </row>
        <row r="245">
          <cell r="A245">
            <v>101439</v>
          </cell>
          <cell r="B245" t="str">
            <v>Prepaid Pager expenses</v>
          </cell>
          <cell r="C245">
            <v>0</v>
          </cell>
          <cell r="D245">
            <v>0</v>
          </cell>
          <cell r="E245">
            <v>0</v>
          </cell>
          <cell r="F245">
            <v>0</v>
          </cell>
          <cell r="G245"/>
          <cell r="H245">
            <v>0</v>
          </cell>
          <cell r="I245">
            <v>0</v>
          </cell>
          <cell r="J245">
            <v>0</v>
          </cell>
          <cell r="K245">
            <v>0</v>
          </cell>
          <cell r="L245">
            <v>101439</v>
          </cell>
          <cell r="M245">
            <v>1</v>
          </cell>
          <cell r="N245">
            <v>0</v>
          </cell>
          <cell r="O245">
            <v>0</v>
          </cell>
          <cell r="P245">
            <v>0</v>
          </cell>
          <cell r="Q245">
            <v>0</v>
          </cell>
          <cell r="R245">
            <v>0</v>
          </cell>
          <cell r="S245">
            <v>0</v>
          </cell>
        </row>
        <row r="246">
          <cell r="A246">
            <v>101440</v>
          </cell>
          <cell r="B246" t="str">
            <v>Prepaid BMC Taxes</v>
          </cell>
          <cell r="C246">
            <v>0</v>
          </cell>
          <cell r="D246">
            <v>0</v>
          </cell>
          <cell r="E246">
            <v>0</v>
          </cell>
          <cell r="F246">
            <v>0</v>
          </cell>
          <cell r="G246"/>
          <cell r="H246">
            <v>0</v>
          </cell>
          <cell r="I246">
            <v>0</v>
          </cell>
          <cell r="J246">
            <v>0</v>
          </cell>
          <cell r="K246">
            <v>0</v>
          </cell>
          <cell r="L246">
            <v>101440</v>
          </cell>
          <cell r="M246">
            <v>1</v>
          </cell>
          <cell r="N246">
            <v>0</v>
          </cell>
          <cell r="O246">
            <v>0</v>
          </cell>
          <cell r="P246">
            <v>0</v>
          </cell>
          <cell r="Q246">
            <v>0</v>
          </cell>
          <cell r="R246">
            <v>0</v>
          </cell>
          <cell r="S246">
            <v>0</v>
          </cell>
        </row>
        <row r="247">
          <cell r="A247">
            <v>101441</v>
          </cell>
          <cell r="B247" t="str">
            <v>Prepaid R&amp;M</v>
          </cell>
          <cell r="C247">
            <v>0</v>
          </cell>
          <cell r="D247">
            <v>0</v>
          </cell>
          <cell r="E247">
            <v>0</v>
          </cell>
          <cell r="F247">
            <v>0</v>
          </cell>
          <cell r="G247"/>
          <cell r="H247">
            <v>0</v>
          </cell>
          <cell r="I247">
            <v>0</v>
          </cell>
          <cell r="J247">
            <v>0</v>
          </cell>
          <cell r="K247">
            <v>0</v>
          </cell>
          <cell r="L247">
            <v>101441</v>
          </cell>
          <cell r="M247">
            <v>1</v>
          </cell>
          <cell r="N247">
            <v>0</v>
          </cell>
          <cell r="O247">
            <v>0</v>
          </cell>
          <cell r="P247">
            <v>0</v>
          </cell>
          <cell r="Q247">
            <v>0</v>
          </cell>
          <cell r="R247">
            <v>0</v>
          </cell>
          <cell r="S247">
            <v>0</v>
          </cell>
        </row>
        <row r="248">
          <cell r="A248">
            <v>101442</v>
          </cell>
          <cell r="B248" t="str">
            <v>Prepaid Rates &amp; Taxes</v>
          </cell>
          <cell r="C248">
            <v>0</v>
          </cell>
          <cell r="D248">
            <v>0</v>
          </cell>
          <cell r="E248">
            <v>0</v>
          </cell>
          <cell r="F248">
            <v>0</v>
          </cell>
          <cell r="G248"/>
          <cell r="H248">
            <v>0</v>
          </cell>
          <cell r="I248">
            <v>0</v>
          </cell>
          <cell r="J248">
            <v>0</v>
          </cell>
          <cell r="K248">
            <v>0</v>
          </cell>
          <cell r="L248">
            <v>101442</v>
          </cell>
          <cell r="M248">
            <v>1</v>
          </cell>
          <cell r="N248">
            <v>0</v>
          </cell>
          <cell r="O248">
            <v>0</v>
          </cell>
          <cell r="P248">
            <v>0</v>
          </cell>
          <cell r="Q248">
            <v>0</v>
          </cell>
          <cell r="R248">
            <v>0</v>
          </cell>
          <cell r="S248">
            <v>0</v>
          </cell>
        </row>
        <row r="249">
          <cell r="A249">
            <v>101443</v>
          </cell>
          <cell r="B249" t="str">
            <v>Prepaid Professional Fees</v>
          </cell>
          <cell r="C249">
            <v>-0.45999999999912689</v>
          </cell>
          <cell r="D249">
            <v>0</v>
          </cell>
          <cell r="E249">
            <v>0</v>
          </cell>
          <cell r="F249">
            <v>-0.45999999999912689</v>
          </cell>
          <cell r="G249"/>
          <cell r="H249">
            <v>-0.45999999999912689</v>
          </cell>
          <cell r="I249">
            <v>0</v>
          </cell>
          <cell r="J249">
            <v>0</v>
          </cell>
          <cell r="K249">
            <v>-0.45999999999912689</v>
          </cell>
          <cell r="L249">
            <v>101443</v>
          </cell>
          <cell r="M249">
            <v>1</v>
          </cell>
          <cell r="N249">
            <v>0</v>
          </cell>
          <cell r="O249">
            <v>0</v>
          </cell>
          <cell r="P249">
            <v>17496.54</v>
          </cell>
          <cell r="Q249">
            <v>-17497</v>
          </cell>
          <cell r="R249">
            <v>0</v>
          </cell>
          <cell r="S249">
            <v>0</v>
          </cell>
        </row>
        <row r="250">
          <cell r="A250">
            <v>101444</v>
          </cell>
          <cell r="B250" t="str">
            <v>Prepaid Profession Tax Co.</v>
          </cell>
          <cell r="C250">
            <v>0</v>
          </cell>
          <cell r="D250">
            <v>0</v>
          </cell>
          <cell r="E250">
            <v>0</v>
          </cell>
          <cell r="F250">
            <v>0</v>
          </cell>
          <cell r="G250"/>
          <cell r="H250">
            <v>0</v>
          </cell>
          <cell r="I250">
            <v>0</v>
          </cell>
          <cell r="J250">
            <v>0</v>
          </cell>
          <cell r="K250">
            <v>0</v>
          </cell>
          <cell r="L250">
            <v>101444</v>
          </cell>
          <cell r="M250">
            <v>1</v>
          </cell>
          <cell r="N250">
            <v>0</v>
          </cell>
          <cell r="O250">
            <v>0</v>
          </cell>
          <cell r="P250">
            <v>0</v>
          </cell>
          <cell r="Q250">
            <v>0</v>
          </cell>
          <cell r="R250">
            <v>0</v>
          </cell>
          <cell r="S250">
            <v>0</v>
          </cell>
        </row>
        <row r="251">
          <cell r="A251">
            <v>101445</v>
          </cell>
          <cell r="B251" t="str">
            <v>Prepaid Locker Rent</v>
          </cell>
          <cell r="C251">
            <v>0</v>
          </cell>
          <cell r="D251">
            <v>0</v>
          </cell>
          <cell r="E251">
            <v>0</v>
          </cell>
          <cell r="F251">
            <v>0</v>
          </cell>
          <cell r="G251"/>
          <cell r="H251">
            <v>0</v>
          </cell>
          <cell r="I251">
            <v>0</v>
          </cell>
          <cell r="J251">
            <v>0</v>
          </cell>
          <cell r="K251">
            <v>0</v>
          </cell>
          <cell r="L251">
            <v>101445</v>
          </cell>
          <cell r="M251">
            <v>1</v>
          </cell>
          <cell r="N251">
            <v>0</v>
          </cell>
          <cell r="O251">
            <v>0</v>
          </cell>
          <cell r="P251">
            <v>0</v>
          </cell>
          <cell r="Q251">
            <v>0</v>
          </cell>
          <cell r="R251">
            <v>0</v>
          </cell>
          <cell r="S251">
            <v>0</v>
          </cell>
        </row>
        <row r="252">
          <cell r="A252">
            <v>101475</v>
          </cell>
          <cell r="B252" t="str">
            <v>Prepaid Other</v>
          </cell>
          <cell r="C252">
            <v>0</v>
          </cell>
          <cell r="D252">
            <v>0</v>
          </cell>
          <cell r="E252">
            <v>0</v>
          </cell>
          <cell r="F252">
            <v>0</v>
          </cell>
          <cell r="G252"/>
          <cell r="H252">
            <v>0</v>
          </cell>
          <cell r="I252">
            <v>0</v>
          </cell>
          <cell r="J252">
            <v>0</v>
          </cell>
          <cell r="K252">
            <v>0</v>
          </cell>
          <cell r="L252">
            <v>101475</v>
          </cell>
          <cell r="M252">
            <v>1</v>
          </cell>
          <cell r="N252">
            <v>0</v>
          </cell>
          <cell r="O252">
            <v>0</v>
          </cell>
          <cell r="P252">
            <v>204621.13</v>
          </cell>
          <cell r="Q252">
            <v>-204621.13</v>
          </cell>
          <cell r="R252">
            <v>0</v>
          </cell>
          <cell r="S252">
            <v>0</v>
          </cell>
        </row>
        <row r="253">
          <cell r="A253">
            <v>101495</v>
          </cell>
          <cell r="B253" t="str">
            <v>Early Paymt Disc Def. - Int Co</v>
          </cell>
          <cell r="C253">
            <v>0</v>
          </cell>
          <cell r="D253">
            <v>0</v>
          </cell>
          <cell r="E253">
            <v>0</v>
          </cell>
          <cell r="F253">
            <v>0</v>
          </cell>
          <cell r="G253"/>
          <cell r="H253">
            <v>0</v>
          </cell>
          <cell r="I253">
            <v>0</v>
          </cell>
          <cell r="J253">
            <v>0</v>
          </cell>
          <cell r="K253">
            <v>0</v>
          </cell>
          <cell r="L253">
            <v>101495</v>
          </cell>
          <cell r="M253">
            <v>1</v>
          </cell>
          <cell r="N253">
            <v>0</v>
          </cell>
          <cell r="O253">
            <v>0</v>
          </cell>
          <cell r="P253">
            <v>0</v>
          </cell>
          <cell r="Q253">
            <v>0</v>
          </cell>
          <cell r="R253">
            <v>0</v>
          </cell>
          <cell r="S253">
            <v>0</v>
          </cell>
        </row>
        <row r="254">
          <cell r="A254">
            <v>101701</v>
          </cell>
          <cell r="B254" t="str">
            <v>MAH. SEZ - SGST Recoverable</v>
          </cell>
          <cell r="C254">
            <v>0</v>
          </cell>
          <cell r="D254">
            <v>0</v>
          </cell>
          <cell r="E254">
            <v>0</v>
          </cell>
          <cell r="F254">
            <v>0</v>
          </cell>
          <cell r="G254"/>
          <cell r="H254">
            <v>0</v>
          </cell>
          <cell r="I254">
            <v>0</v>
          </cell>
          <cell r="J254">
            <v>0</v>
          </cell>
          <cell r="K254">
            <v>0</v>
          </cell>
          <cell r="L254">
            <v>101701</v>
          </cell>
          <cell r="M254">
            <v>1</v>
          </cell>
          <cell r="N254">
            <v>0</v>
          </cell>
          <cell r="O254">
            <v>0</v>
          </cell>
          <cell r="P254"/>
          <cell r="Q254"/>
          <cell r="R254">
            <v>0</v>
          </cell>
          <cell r="S254">
            <v>0</v>
          </cell>
        </row>
        <row r="255">
          <cell r="A255">
            <v>101702</v>
          </cell>
          <cell r="B255" t="str">
            <v>MAH. SEZ - CGST Recoverable</v>
          </cell>
          <cell r="C255">
            <v>0</v>
          </cell>
          <cell r="D255">
            <v>0</v>
          </cell>
          <cell r="E255">
            <v>0</v>
          </cell>
          <cell r="F255">
            <v>0</v>
          </cell>
          <cell r="G255"/>
          <cell r="H255">
            <v>0</v>
          </cell>
          <cell r="I255">
            <v>0</v>
          </cell>
          <cell r="J255">
            <v>0</v>
          </cell>
          <cell r="K255">
            <v>0</v>
          </cell>
          <cell r="L255">
            <v>101702</v>
          </cell>
          <cell r="M255">
            <v>1</v>
          </cell>
          <cell r="N255">
            <v>0</v>
          </cell>
          <cell r="O255">
            <v>0</v>
          </cell>
          <cell r="P255"/>
          <cell r="Q255"/>
          <cell r="R255">
            <v>0</v>
          </cell>
          <cell r="S255">
            <v>0</v>
          </cell>
        </row>
        <row r="256">
          <cell r="A256">
            <v>101703</v>
          </cell>
          <cell r="B256" t="str">
            <v>MAH. SEZ - IGST Recoverable</v>
          </cell>
          <cell r="C256">
            <v>0</v>
          </cell>
          <cell r="D256">
            <v>0</v>
          </cell>
          <cell r="E256">
            <v>0</v>
          </cell>
          <cell r="F256">
            <v>0</v>
          </cell>
          <cell r="G256"/>
          <cell r="H256">
            <v>0</v>
          </cell>
          <cell r="I256">
            <v>0</v>
          </cell>
          <cell r="J256">
            <v>0</v>
          </cell>
          <cell r="K256">
            <v>0</v>
          </cell>
          <cell r="L256">
            <v>101703</v>
          </cell>
          <cell r="M256">
            <v>1</v>
          </cell>
          <cell r="N256">
            <v>0</v>
          </cell>
          <cell r="O256">
            <v>0</v>
          </cell>
          <cell r="P256"/>
          <cell r="Q256"/>
          <cell r="R256">
            <v>0</v>
          </cell>
          <cell r="S256">
            <v>0</v>
          </cell>
        </row>
        <row r="257">
          <cell r="A257">
            <v>101704</v>
          </cell>
          <cell r="B257" t="str">
            <v>MAH. NSEZ - SGST Recoverable</v>
          </cell>
          <cell r="C257">
            <v>1</v>
          </cell>
          <cell r="D257">
            <v>0</v>
          </cell>
          <cell r="E257">
            <v>0</v>
          </cell>
          <cell r="F257">
            <v>1</v>
          </cell>
          <cell r="G257"/>
          <cell r="H257">
            <v>1</v>
          </cell>
          <cell r="I257">
            <v>0</v>
          </cell>
          <cell r="J257">
            <v>0</v>
          </cell>
          <cell r="K257">
            <v>1</v>
          </cell>
          <cell r="L257">
            <v>101704</v>
          </cell>
          <cell r="M257">
            <v>1</v>
          </cell>
          <cell r="N257">
            <v>0</v>
          </cell>
          <cell r="O257">
            <v>0</v>
          </cell>
          <cell r="P257"/>
          <cell r="Q257"/>
          <cell r="R257">
            <v>0</v>
          </cell>
          <cell r="S257">
            <v>0</v>
          </cell>
        </row>
        <row r="258">
          <cell r="A258">
            <v>101705</v>
          </cell>
          <cell r="B258" t="str">
            <v>MAH. NSEZ - CGST Recoverable</v>
          </cell>
          <cell r="C258">
            <v>1</v>
          </cell>
          <cell r="D258">
            <v>0</v>
          </cell>
          <cell r="E258">
            <v>0</v>
          </cell>
          <cell r="F258">
            <v>1</v>
          </cell>
          <cell r="G258"/>
          <cell r="H258">
            <v>1</v>
          </cell>
          <cell r="I258">
            <v>0</v>
          </cell>
          <cell r="J258">
            <v>0</v>
          </cell>
          <cell r="K258">
            <v>1</v>
          </cell>
          <cell r="L258">
            <v>101705</v>
          </cell>
          <cell r="M258">
            <v>1</v>
          </cell>
          <cell r="N258">
            <v>0</v>
          </cell>
          <cell r="O258">
            <v>0</v>
          </cell>
          <cell r="P258"/>
          <cell r="Q258"/>
          <cell r="R258">
            <v>0</v>
          </cell>
          <cell r="S258">
            <v>0</v>
          </cell>
        </row>
        <row r="259">
          <cell r="A259">
            <v>101741</v>
          </cell>
          <cell r="B259" t="str">
            <v>Contra control account</v>
          </cell>
          <cell r="C259">
            <v>0</v>
          </cell>
          <cell r="D259">
            <v>0</v>
          </cell>
          <cell r="E259">
            <v>0</v>
          </cell>
          <cell r="F259">
            <v>0</v>
          </cell>
          <cell r="G259"/>
          <cell r="H259">
            <v>0</v>
          </cell>
          <cell r="I259">
            <v>0</v>
          </cell>
          <cell r="J259">
            <v>0</v>
          </cell>
          <cell r="K259">
            <v>0</v>
          </cell>
          <cell r="L259" t="e">
            <v>#N/A</v>
          </cell>
          <cell r="M259">
            <v>1</v>
          </cell>
          <cell r="N259">
            <v>0</v>
          </cell>
          <cell r="O259">
            <v>0</v>
          </cell>
          <cell r="P259">
            <v>0</v>
          </cell>
          <cell r="Q259">
            <v>0</v>
          </cell>
          <cell r="R259">
            <v>0</v>
          </cell>
          <cell r="S259">
            <v>0</v>
          </cell>
        </row>
        <row r="260">
          <cell r="A260">
            <v>101750</v>
          </cell>
          <cell r="B260" t="str">
            <v>Service Tax Recoverable - non</v>
          </cell>
          <cell r="C260">
            <v>0</v>
          </cell>
          <cell r="D260">
            <v>0</v>
          </cell>
          <cell r="E260">
            <v>0</v>
          </cell>
          <cell r="F260">
            <v>0</v>
          </cell>
          <cell r="G260"/>
          <cell r="H260">
            <v>0</v>
          </cell>
          <cell r="I260">
            <v>0</v>
          </cell>
          <cell r="J260">
            <v>0</v>
          </cell>
          <cell r="K260">
            <v>0</v>
          </cell>
          <cell r="L260">
            <v>101750</v>
          </cell>
          <cell r="M260">
            <v>1</v>
          </cell>
          <cell r="N260">
            <v>0</v>
          </cell>
          <cell r="O260">
            <v>0</v>
          </cell>
          <cell r="P260"/>
          <cell r="Q260"/>
          <cell r="R260">
            <v>0</v>
          </cell>
          <cell r="S260">
            <v>0</v>
          </cell>
        </row>
        <row r="261">
          <cell r="A261">
            <v>101760</v>
          </cell>
          <cell r="B261" t="str">
            <v>Service Tax Recoverable - non</v>
          </cell>
          <cell r="C261">
            <v>0</v>
          </cell>
          <cell r="D261">
            <v>0</v>
          </cell>
          <cell r="E261">
            <v>0</v>
          </cell>
          <cell r="F261">
            <v>0</v>
          </cell>
          <cell r="G261"/>
          <cell r="H261">
            <v>0</v>
          </cell>
          <cell r="I261">
            <v>0</v>
          </cell>
          <cell r="J261">
            <v>0</v>
          </cell>
          <cell r="K261">
            <v>0</v>
          </cell>
          <cell r="L261">
            <v>101760</v>
          </cell>
          <cell r="M261">
            <v>1</v>
          </cell>
          <cell r="N261">
            <v>0</v>
          </cell>
          <cell r="O261">
            <v>0</v>
          </cell>
          <cell r="P261"/>
          <cell r="Q261"/>
          <cell r="R261">
            <v>0</v>
          </cell>
          <cell r="S261">
            <v>0</v>
          </cell>
        </row>
        <row r="262">
          <cell r="A262">
            <v>101751</v>
          </cell>
          <cell r="B262" t="str">
            <v>Service Tax Refundable</v>
          </cell>
          <cell r="C262">
            <v>0</v>
          </cell>
          <cell r="D262">
            <v>0</v>
          </cell>
          <cell r="E262">
            <v>0</v>
          </cell>
          <cell r="F262">
            <v>0</v>
          </cell>
          <cell r="G262"/>
          <cell r="H262">
            <v>0</v>
          </cell>
          <cell r="I262">
            <v>0</v>
          </cell>
          <cell r="J262">
            <v>0</v>
          </cell>
          <cell r="K262">
            <v>0</v>
          </cell>
          <cell r="L262">
            <v>101751</v>
          </cell>
          <cell r="M262">
            <v>1</v>
          </cell>
          <cell r="N262">
            <v>0</v>
          </cell>
          <cell r="O262">
            <v>0</v>
          </cell>
          <cell r="P262">
            <v>0</v>
          </cell>
          <cell r="Q262">
            <v>0</v>
          </cell>
          <cell r="R262">
            <v>0</v>
          </cell>
          <cell r="S262">
            <v>0</v>
          </cell>
        </row>
        <row r="263">
          <cell r="A263">
            <v>101780</v>
          </cell>
          <cell r="B263" t="str">
            <v>Deferred Tax Assets - Current</v>
          </cell>
          <cell r="C263">
            <v>4.4299999863142148E-3</v>
          </cell>
          <cell r="D263">
            <v>0</v>
          </cell>
          <cell r="E263">
            <v>0</v>
          </cell>
          <cell r="F263">
            <v>4.4299999863142148E-3</v>
          </cell>
          <cell r="G263"/>
          <cell r="H263">
            <v>4.4299999863142148E-3</v>
          </cell>
          <cell r="I263">
            <v>0</v>
          </cell>
          <cell r="J263">
            <v>0</v>
          </cell>
          <cell r="K263">
            <v>4.4299999863142148E-3</v>
          </cell>
          <cell r="L263">
            <v>101780</v>
          </cell>
          <cell r="M263">
            <v>1</v>
          </cell>
          <cell r="N263">
            <v>0</v>
          </cell>
          <cell r="O263">
            <v>0</v>
          </cell>
          <cell r="P263">
            <v>102741.07442999999</v>
          </cell>
          <cell r="Q263">
            <v>-102741.07</v>
          </cell>
          <cell r="R263">
            <v>0</v>
          </cell>
          <cell r="S263">
            <v>0</v>
          </cell>
        </row>
        <row r="264">
          <cell r="A264">
            <v>101785</v>
          </cell>
          <cell r="B264" t="str">
            <v>Line of Credit-New2usa.com</v>
          </cell>
          <cell r="C264">
            <v>0</v>
          </cell>
          <cell r="D264">
            <v>0</v>
          </cell>
          <cell r="E264">
            <v>0</v>
          </cell>
          <cell r="F264">
            <v>0</v>
          </cell>
          <cell r="G264"/>
          <cell r="H264">
            <v>0</v>
          </cell>
          <cell r="I264">
            <v>0</v>
          </cell>
          <cell r="J264">
            <v>0</v>
          </cell>
          <cell r="K264">
            <v>0</v>
          </cell>
          <cell r="L264">
            <v>101785</v>
          </cell>
          <cell r="M264">
            <v>1</v>
          </cell>
          <cell r="N264">
            <v>0</v>
          </cell>
          <cell r="O264">
            <v>0</v>
          </cell>
          <cell r="P264">
            <v>0</v>
          </cell>
          <cell r="Q264">
            <v>0</v>
          </cell>
          <cell r="R264">
            <v>0</v>
          </cell>
          <cell r="S264">
            <v>0</v>
          </cell>
        </row>
        <row r="265">
          <cell r="A265">
            <v>101788</v>
          </cell>
          <cell r="B265" t="str">
            <v>Educational Cess Recoverable</v>
          </cell>
          <cell r="C265">
            <v>-5.1999999996041879E-3</v>
          </cell>
          <cell r="D265">
            <v>0</v>
          </cell>
          <cell r="E265">
            <v>0</v>
          </cell>
          <cell r="F265">
            <v>-5.1999999996041879E-3</v>
          </cell>
          <cell r="G265"/>
          <cell r="H265">
            <v>-5.1999999996041879E-3</v>
          </cell>
          <cell r="I265">
            <v>0</v>
          </cell>
          <cell r="J265">
            <v>0</v>
          </cell>
          <cell r="K265">
            <v>-5.1999999996041879E-3</v>
          </cell>
          <cell r="L265">
            <v>101788</v>
          </cell>
          <cell r="M265">
            <v>1</v>
          </cell>
          <cell r="N265">
            <v>0</v>
          </cell>
          <cell r="O265">
            <v>0</v>
          </cell>
          <cell r="P265">
            <v>-5.1999999996041879E-3</v>
          </cell>
          <cell r="Q265">
            <v>0</v>
          </cell>
          <cell r="R265">
            <v>0</v>
          </cell>
          <cell r="S265">
            <v>0</v>
          </cell>
        </row>
        <row r="266">
          <cell r="A266">
            <v>101789</v>
          </cell>
          <cell r="B266" t="str">
            <v>Derivative Assets</v>
          </cell>
          <cell r="C266">
            <v>0</v>
          </cell>
          <cell r="D266">
            <v>0</v>
          </cell>
          <cell r="E266">
            <v>0</v>
          </cell>
          <cell r="F266">
            <v>0</v>
          </cell>
          <cell r="G266"/>
          <cell r="H266">
            <v>0</v>
          </cell>
          <cell r="I266">
            <v>0</v>
          </cell>
          <cell r="J266">
            <v>0</v>
          </cell>
          <cell r="K266">
            <v>0</v>
          </cell>
          <cell r="L266">
            <v>101789</v>
          </cell>
          <cell r="M266">
            <v>1</v>
          </cell>
          <cell r="N266">
            <v>0</v>
          </cell>
          <cell r="O266">
            <v>0</v>
          </cell>
          <cell r="P266">
            <v>0</v>
          </cell>
          <cell r="Q266">
            <v>0</v>
          </cell>
          <cell r="R266">
            <v>0</v>
          </cell>
          <cell r="S266">
            <v>0</v>
          </cell>
        </row>
        <row r="267">
          <cell r="A267">
            <v>101790</v>
          </cell>
          <cell r="B267" t="str">
            <v>Advance Tax Payments</v>
          </cell>
          <cell r="C267">
            <v>-4.9404799938201904E-3</v>
          </cell>
          <cell r="D267">
            <v>0</v>
          </cell>
          <cell r="E267">
            <v>0</v>
          </cell>
          <cell r="F267">
            <v>-4.9404799938201904E-3</v>
          </cell>
          <cell r="G267"/>
          <cell r="H267">
            <v>-4.9404799938201904E-3</v>
          </cell>
          <cell r="I267">
            <v>0</v>
          </cell>
          <cell r="J267">
            <v>0</v>
          </cell>
          <cell r="K267">
            <v>-4.9404799938201904E-3</v>
          </cell>
          <cell r="L267">
            <v>101790</v>
          </cell>
          <cell r="M267">
            <v>1</v>
          </cell>
          <cell r="N267">
            <v>0</v>
          </cell>
          <cell r="O267">
            <v>0</v>
          </cell>
          <cell r="P267">
            <v>-4.9404799938201904E-3</v>
          </cell>
          <cell r="Q267">
            <v>0</v>
          </cell>
          <cell r="R267">
            <v>0</v>
          </cell>
          <cell r="S267">
            <v>0</v>
          </cell>
        </row>
        <row r="268">
          <cell r="A268">
            <v>101791</v>
          </cell>
          <cell r="B268" t="str">
            <v>CST Refundable</v>
          </cell>
          <cell r="C268">
            <v>0</v>
          </cell>
          <cell r="D268">
            <v>0</v>
          </cell>
          <cell r="E268">
            <v>0</v>
          </cell>
          <cell r="F268">
            <v>0</v>
          </cell>
          <cell r="G268"/>
          <cell r="H268">
            <v>0</v>
          </cell>
          <cell r="I268">
            <v>0</v>
          </cell>
          <cell r="J268">
            <v>0</v>
          </cell>
          <cell r="K268">
            <v>0</v>
          </cell>
          <cell r="L268">
            <v>101791</v>
          </cell>
          <cell r="M268">
            <v>1</v>
          </cell>
          <cell r="N268">
            <v>0</v>
          </cell>
          <cell r="O268">
            <v>0</v>
          </cell>
          <cell r="P268">
            <v>0</v>
          </cell>
          <cell r="Q268">
            <v>0</v>
          </cell>
          <cell r="R268">
            <v>0</v>
          </cell>
          <cell r="S268">
            <v>0</v>
          </cell>
        </row>
        <row r="269">
          <cell r="A269">
            <v>101792</v>
          </cell>
          <cell r="B269" t="str">
            <v>Vat recoverable</v>
          </cell>
          <cell r="C269">
            <v>0</v>
          </cell>
          <cell r="D269">
            <v>0</v>
          </cell>
          <cell r="E269">
            <v>0</v>
          </cell>
          <cell r="F269">
            <v>0</v>
          </cell>
          <cell r="G269"/>
          <cell r="H269">
            <v>0</v>
          </cell>
          <cell r="I269">
            <v>0</v>
          </cell>
          <cell r="J269">
            <v>0</v>
          </cell>
          <cell r="K269">
            <v>0</v>
          </cell>
          <cell r="L269">
            <v>101792</v>
          </cell>
          <cell r="M269">
            <v>1</v>
          </cell>
          <cell r="N269">
            <v>0</v>
          </cell>
          <cell r="O269">
            <v>0</v>
          </cell>
          <cell r="P269">
            <v>0</v>
          </cell>
          <cell r="Q269">
            <v>0</v>
          </cell>
          <cell r="R269">
            <v>0</v>
          </cell>
          <cell r="S269">
            <v>0</v>
          </cell>
        </row>
        <row r="270">
          <cell r="A270">
            <v>101365</v>
          </cell>
          <cell r="B270" t="str">
            <v>Service Tax Accrual Account</v>
          </cell>
          <cell r="C270">
            <v>0</v>
          </cell>
          <cell r="D270">
            <v>0</v>
          </cell>
          <cell r="E270">
            <v>0</v>
          </cell>
          <cell r="F270">
            <v>0</v>
          </cell>
          <cell r="G270"/>
          <cell r="H270">
            <v>0</v>
          </cell>
          <cell r="I270">
            <v>0</v>
          </cell>
          <cell r="J270">
            <v>0</v>
          </cell>
          <cell r="K270">
            <v>0</v>
          </cell>
          <cell r="L270">
            <v>101365</v>
          </cell>
          <cell r="M270">
            <v>1</v>
          </cell>
          <cell r="N270">
            <v>0</v>
          </cell>
          <cell r="O270">
            <v>0</v>
          </cell>
          <cell r="P270">
            <v>0</v>
          </cell>
          <cell r="Q270">
            <v>0</v>
          </cell>
          <cell r="R270">
            <v>0</v>
          </cell>
          <cell r="S270">
            <v>0</v>
          </cell>
        </row>
        <row r="271">
          <cell r="A271">
            <v>101793</v>
          </cell>
          <cell r="B271" t="str">
            <v>Service Tax Recoverable</v>
          </cell>
          <cell r="C271">
            <v>0</v>
          </cell>
          <cell r="D271">
            <v>0</v>
          </cell>
          <cell r="E271">
            <v>0</v>
          </cell>
          <cell r="F271">
            <v>0</v>
          </cell>
          <cell r="G271"/>
          <cell r="H271">
            <v>0</v>
          </cell>
          <cell r="I271">
            <v>0</v>
          </cell>
          <cell r="J271">
            <v>0</v>
          </cell>
          <cell r="K271">
            <v>0</v>
          </cell>
          <cell r="L271">
            <v>101793</v>
          </cell>
          <cell r="M271">
            <v>1</v>
          </cell>
          <cell r="N271">
            <v>0</v>
          </cell>
          <cell r="O271">
            <v>0</v>
          </cell>
          <cell r="P271">
            <v>6220514.3000000007</v>
          </cell>
          <cell r="Q271">
            <v>-6220514.3000000007</v>
          </cell>
          <cell r="R271">
            <v>0</v>
          </cell>
          <cell r="S271">
            <v>0</v>
          </cell>
        </row>
        <row r="272">
          <cell r="A272">
            <v>101794</v>
          </cell>
          <cell r="B272" t="str">
            <v>Sales Tax Recoverable</v>
          </cell>
          <cell r="C272">
            <v>0</v>
          </cell>
          <cell r="D272">
            <v>0</v>
          </cell>
          <cell r="E272">
            <v>0</v>
          </cell>
          <cell r="F272">
            <v>0</v>
          </cell>
          <cell r="G272"/>
          <cell r="H272">
            <v>0</v>
          </cell>
          <cell r="I272">
            <v>0</v>
          </cell>
          <cell r="J272">
            <v>0</v>
          </cell>
          <cell r="K272">
            <v>0</v>
          </cell>
          <cell r="L272">
            <v>101794</v>
          </cell>
          <cell r="M272">
            <v>1</v>
          </cell>
          <cell r="N272">
            <v>0</v>
          </cell>
          <cell r="O272">
            <v>0</v>
          </cell>
          <cell r="P272">
            <v>0</v>
          </cell>
          <cell r="Q272">
            <v>0</v>
          </cell>
          <cell r="R272">
            <v>0</v>
          </cell>
          <cell r="S272">
            <v>0</v>
          </cell>
        </row>
        <row r="273">
          <cell r="A273">
            <v>101795</v>
          </cell>
          <cell r="B273" t="str">
            <v>Preliminary Expenses</v>
          </cell>
          <cell r="C273">
            <v>0</v>
          </cell>
          <cell r="D273">
            <v>0</v>
          </cell>
          <cell r="E273">
            <v>0</v>
          </cell>
          <cell r="F273">
            <v>0</v>
          </cell>
          <cell r="G273"/>
          <cell r="H273">
            <v>0</v>
          </cell>
          <cell r="I273">
            <v>0</v>
          </cell>
          <cell r="J273">
            <v>0</v>
          </cell>
          <cell r="K273">
            <v>0</v>
          </cell>
          <cell r="L273">
            <v>101795</v>
          </cell>
          <cell r="M273">
            <v>1</v>
          </cell>
          <cell r="N273">
            <v>0</v>
          </cell>
          <cell r="O273">
            <v>0</v>
          </cell>
          <cell r="P273">
            <v>0</v>
          </cell>
          <cell r="Q273">
            <v>0</v>
          </cell>
          <cell r="R273">
            <v>0</v>
          </cell>
          <cell r="S273">
            <v>0</v>
          </cell>
        </row>
        <row r="274">
          <cell r="A274">
            <v>101796</v>
          </cell>
          <cell r="B274" t="str">
            <v>Octroi Recoverable</v>
          </cell>
          <cell r="C274">
            <v>0</v>
          </cell>
          <cell r="D274">
            <v>0</v>
          </cell>
          <cell r="E274">
            <v>0</v>
          </cell>
          <cell r="F274">
            <v>0</v>
          </cell>
          <cell r="G274"/>
          <cell r="H274">
            <v>0</v>
          </cell>
          <cell r="I274">
            <v>0</v>
          </cell>
          <cell r="J274">
            <v>0</v>
          </cell>
          <cell r="K274">
            <v>0</v>
          </cell>
          <cell r="L274">
            <v>101796</v>
          </cell>
          <cell r="M274">
            <v>1</v>
          </cell>
          <cell r="N274">
            <v>0</v>
          </cell>
          <cell r="O274">
            <v>0</v>
          </cell>
          <cell r="P274">
            <v>399960</v>
          </cell>
          <cell r="Q274">
            <v>-399960</v>
          </cell>
          <cell r="R274">
            <v>0</v>
          </cell>
          <cell r="S274">
            <v>0</v>
          </cell>
        </row>
        <row r="275">
          <cell r="A275">
            <v>101797</v>
          </cell>
          <cell r="B275" t="str">
            <v>VAT Recoverable ( Chennai)</v>
          </cell>
          <cell r="C275">
            <v>0</v>
          </cell>
          <cell r="D275">
            <v>0</v>
          </cell>
          <cell r="E275">
            <v>0</v>
          </cell>
          <cell r="F275">
            <v>0</v>
          </cell>
          <cell r="G275"/>
          <cell r="H275">
            <v>0</v>
          </cell>
          <cell r="I275">
            <v>0</v>
          </cell>
          <cell r="J275">
            <v>0</v>
          </cell>
          <cell r="K275">
            <v>0</v>
          </cell>
          <cell r="L275">
            <v>101797</v>
          </cell>
          <cell r="M275">
            <v>1</v>
          </cell>
          <cell r="N275">
            <v>0</v>
          </cell>
          <cell r="O275">
            <v>0</v>
          </cell>
          <cell r="P275">
            <v>0</v>
          </cell>
          <cell r="Q275">
            <v>0</v>
          </cell>
          <cell r="R275">
            <v>0</v>
          </cell>
          <cell r="S275">
            <v>0</v>
          </cell>
        </row>
        <row r="276">
          <cell r="A276">
            <v>101798</v>
          </cell>
          <cell r="B276" t="str">
            <v>Min Alt Tax Credit entitlement</v>
          </cell>
          <cell r="C276">
            <v>0</v>
          </cell>
          <cell r="D276">
            <v>0</v>
          </cell>
          <cell r="E276">
            <v>0</v>
          </cell>
          <cell r="F276">
            <v>0</v>
          </cell>
          <cell r="G276"/>
          <cell r="H276">
            <v>0</v>
          </cell>
          <cell r="I276">
            <v>0</v>
          </cell>
          <cell r="J276">
            <v>0</v>
          </cell>
          <cell r="K276">
            <v>0</v>
          </cell>
          <cell r="L276">
            <v>101798</v>
          </cell>
          <cell r="M276">
            <v>1</v>
          </cell>
          <cell r="N276">
            <v>0</v>
          </cell>
          <cell r="O276">
            <v>0</v>
          </cell>
          <cell r="P276">
            <v>8099779.4593531191</v>
          </cell>
          <cell r="Q276">
            <v>-8099779.4593531191</v>
          </cell>
          <cell r="R276">
            <v>0</v>
          </cell>
          <cell r="S276">
            <v>0</v>
          </cell>
        </row>
        <row r="277">
          <cell r="A277">
            <v>101799</v>
          </cell>
          <cell r="B277" t="str">
            <v>S&amp;H Educational Cess Recover</v>
          </cell>
          <cell r="C277">
            <v>2.4000000012165401E-3</v>
          </cell>
          <cell r="D277">
            <v>0</v>
          </cell>
          <cell r="E277">
            <v>0</v>
          </cell>
          <cell r="F277">
            <v>2.4000000012165401E-3</v>
          </cell>
          <cell r="G277"/>
          <cell r="H277">
            <v>2.4000000012165401E-3</v>
          </cell>
          <cell r="I277">
            <v>0</v>
          </cell>
          <cell r="J277">
            <v>0</v>
          </cell>
          <cell r="K277">
            <v>2.4000000012165401E-3</v>
          </cell>
          <cell r="L277">
            <v>101799</v>
          </cell>
          <cell r="M277">
            <v>1</v>
          </cell>
          <cell r="N277">
            <v>0</v>
          </cell>
          <cell r="O277">
            <v>0</v>
          </cell>
          <cell r="P277">
            <v>2.4000000012165401E-3</v>
          </cell>
          <cell r="Q277">
            <v>0</v>
          </cell>
          <cell r="R277">
            <v>0</v>
          </cell>
          <cell r="S277">
            <v>0</v>
          </cell>
        </row>
        <row r="278">
          <cell r="A278">
            <v>101800</v>
          </cell>
          <cell r="B278" t="str">
            <v>DEPB/DBK Claims Receivable</v>
          </cell>
          <cell r="C278">
            <v>0</v>
          </cell>
          <cell r="D278">
            <v>0</v>
          </cell>
          <cell r="E278">
            <v>0</v>
          </cell>
          <cell r="F278">
            <v>0</v>
          </cell>
          <cell r="G278"/>
          <cell r="H278">
            <v>0</v>
          </cell>
          <cell r="I278">
            <v>0</v>
          </cell>
          <cell r="J278">
            <v>0</v>
          </cell>
          <cell r="K278">
            <v>0</v>
          </cell>
          <cell r="L278">
            <v>101800</v>
          </cell>
          <cell r="M278">
            <v>1</v>
          </cell>
          <cell r="N278">
            <v>0</v>
          </cell>
          <cell r="O278">
            <v>0</v>
          </cell>
          <cell r="P278">
            <v>0</v>
          </cell>
          <cell r="Q278">
            <v>0</v>
          </cell>
          <cell r="R278">
            <v>0</v>
          </cell>
          <cell r="S278">
            <v>0</v>
          </cell>
        </row>
        <row r="279">
          <cell r="A279">
            <v>101801</v>
          </cell>
          <cell r="B279" t="str">
            <v>Service Tax Recoverable - SEZ</v>
          </cell>
          <cell r="C279">
            <v>0.15219999942928553</v>
          </cell>
          <cell r="D279">
            <v>0</v>
          </cell>
          <cell r="E279">
            <v>0</v>
          </cell>
          <cell r="F279">
            <v>0.15219999942928553</v>
          </cell>
          <cell r="G279"/>
          <cell r="H279">
            <v>0.15219999942928553</v>
          </cell>
          <cell r="I279">
            <v>0</v>
          </cell>
          <cell r="J279">
            <v>0</v>
          </cell>
          <cell r="K279">
            <v>0.15219999942928553</v>
          </cell>
          <cell r="L279">
            <v>101801</v>
          </cell>
          <cell r="M279">
            <v>1</v>
          </cell>
          <cell r="N279">
            <v>0</v>
          </cell>
          <cell r="O279">
            <v>0</v>
          </cell>
          <cell r="P279">
            <v>4629952.8221999994</v>
          </cell>
          <cell r="Q279">
            <v>-4629952.67</v>
          </cell>
          <cell r="R279">
            <v>0</v>
          </cell>
          <cell r="S279">
            <v>0</v>
          </cell>
        </row>
        <row r="280">
          <cell r="A280">
            <v>101802</v>
          </cell>
          <cell r="B280" t="str">
            <v xml:space="preserve">Provision for doubtful Service tax recoverable </v>
          </cell>
          <cell r="C280">
            <v>0</v>
          </cell>
          <cell r="D280">
            <v>0</v>
          </cell>
          <cell r="E280">
            <v>0</v>
          </cell>
          <cell r="F280">
            <v>0</v>
          </cell>
          <cell r="G280"/>
          <cell r="H280">
            <v>0</v>
          </cell>
          <cell r="I280">
            <v>0</v>
          </cell>
          <cell r="J280">
            <v>0</v>
          </cell>
          <cell r="K280">
            <v>0</v>
          </cell>
          <cell r="L280">
            <v>101802</v>
          </cell>
          <cell r="M280">
            <v>1</v>
          </cell>
          <cell r="N280">
            <v>0</v>
          </cell>
          <cell r="O280">
            <v>0</v>
          </cell>
          <cell r="P280">
            <v>0</v>
          </cell>
          <cell r="Q280">
            <v>0</v>
          </cell>
          <cell r="R280">
            <v>0</v>
          </cell>
          <cell r="S280">
            <v>0</v>
          </cell>
        </row>
        <row r="281">
          <cell r="A281">
            <v>101803</v>
          </cell>
          <cell r="B281" t="str">
            <v>VAT Recoverable-SEZ purchase</v>
          </cell>
          <cell r="C281">
            <v>0</v>
          </cell>
          <cell r="D281">
            <v>0</v>
          </cell>
          <cell r="E281">
            <v>0</v>
          </cell>
          <cell r="F281">
            <v>0</v>
          </cell>
          <cell r="G281"/>
          <cell r="H281">
            <v>0</v>
          </cell>
          <cell r="I281">
            <v>0</v>
          </cell>
          <cell r="J281">
            <v>0</v>
          </cell>
          <cell r="K281">
            <v>0</v>
          </cell>
          <cell r="L281">
            <v>101803</v>
          </cell>
          <cell r="M281">
            <v>1</v>
          </cell>
          <cell r="N281">
            <v>0</v>
          </cell>
          <cell r="O281">
            <v>0</v>
          </cell>
          <cell r="P281">
            <v>223</v>
          </cell>
          <cell r="Q281">
            <v>-223</v>
          </cell>
          <cell r="R281">
            <v>0</v>
          </cell>
          <cell r="S281">
            <v>0</v>
          </cell>
        </row>
        <row r="282">
          <cell r="A282">
            <v>101804</v>
          </cell>
          <cell r="B282" t="str">
            <v>VAT Recoverable-STPI purchase</v>
          </cell>
          <cell r="C282">
            <v>0</v>
          </cell>
          <cell r="D282">
            <v>0</v>
          </cell>
          <cell r="E282">
            <v>0</v>
          </cell>
          <cell r="F282">
            <v>0</v>
          </cell>
          <cell r="G282"/>
          <cell r="H282">
            <v>0</v>
          </cell>
          <cell r="I282">
            <v>0</v>
          </cell>
          <cell r="J282">
            <v>0</v>
          </cell>
          <cell r="K282">
            <v>0</v>
          </cell>
          <cell r="L282">
            <v>101804</v>
          </cell>
          <cell r="M282">
            <v>1</v>
          </cell>
          <cell r="N282">
            <v>0</v>
          </cell>
          <cell r="O282">
            <v>0</v>
          </cell>
          <cell r="P282">
            <v>0</v>
          </cell>
          <cell r="Q282">
            <v>0</v>
          </cell>
          <cell r="R282">
            <v>0</v>
          </cell>
          <cell r="S282">
            <v>0</v>
          </cell>
        </row>
        <row r="283">
          <cell r="A283">
            <v>101806</v>
          </cell>
          <cell r="B283" t="str">
            <v>Prov doubtful VAT reco-SEZ BS</v>
          </cell>
          <cell r="C283">
            <v>0</v>
          </cell>
          <cell r="D283">
            <v>0</v>
          </cell>
          <cell r="E283">
            <v>0</v>
          </cell>
          <cell r="F283">
            <v>0</v>
          </cell>
          <cell r="G283"/>
          <cell r="H283">
            <v>0</v>
          </cell>
          <cell r="I283">
            <v>0</v>
          </cell>
          <cell r="J283">
            <v>0</v>
          </cell>
          <cell r="K283">
            <v>0</v>
          </cell>
          <cell r="L283">
            <v>101806</v>
          </cell>
          <cell r="M283">
            <v>1</v>
          </cell>
          <cell r="N283">
            <v>0</v>
          </cell>
          <cell r="O283">
            <v>0</v>
          </cell>
          <cell r="P283">
            <v>0</v>
          </cell>
          <cell r="Q283">
            <v>0</v>
          </cell>
          <cell r="R283">
            <v>0</v>
          </cell>
          <cell r="S283">
            <v>0</v>
          </cell>
        </row>
        <row r="284">
          <cell r="A284">
            <v>101807</v>
          </cell>
          <cell r="B284" t="str">
            <v>Swacch Bharat Cess</v>
          </cell>
          <cell r="C284">
            <v>0</v>
          </cell>
          <cell r="D284">
            <v>0</v>
          </cell>
          <cell r="E284">
            <v>0</v>
          </cell>
          <cell r="F284">
            <v>0</v>
          </cell>
          <cell r="G284"/>
          <cell r="H284">
            <v>0</v>
          </cell>
          <cell r="I284">
            <v>0</v>
          </cell>
          <cell r="J284">
            <v>0</v>
          </cell>
          <cell r="K284">
            <v>0</v>
          </cell>
          <cell r="L284">
            <v>101807</v>
          </cell>
          <cell r="M284">
            <v>1</v>
          </cell>
          <cell r="N284">
            <v>0</v>
          </cell>
          <cell r="O284">
            <v>0</v>
          </cell>
          <cell r="P284">
            <v>17606.68</v>
          </cell>
          <cell r="Q284">
            <v>-17606.68</v>
          </cell>
          <cell r="R284">
            <v>0</v>
          </cell>
          <cell r="S284">
            <v>0</v>
          </cell>
        </row>
        <row r="285">
          <cell r="A285">
            <v>101808</v>
          </cell>
          <cell r="B285" t="str">
            <v>Prov-Doubtful Octroi&amp;DEPB/DBK</v>
          </cell>
          <cell r="C285">
            <v>0</v>
          </cell>
          <cell r="D285">
            <v>0</v>
          </cell>
          <cell r="E285">
            <v>0</v>
          </cell>
          <cell r="F285">
            <v>0</v>
          </cell>
          <cell r="G285"/>
          <cell r="H285">
            <v>0</v>
          </cell>
          <cell r="I285">
            <v>0</v>
          </cell>
          <cell r="J285">
            <v>0</v>
          </cell>
          <cell r="K285">
            <v>0</v>
          </cell>
          <cell r="L285">
            <v>101808</v>
          </cell>
          <cell r="M285">
            <v>1</v>
          </cell>
          <cell r="N285">
            <v>0</v>
          </cell>
          <cell r="O285">
            <v>0</v>
          </cell>
          <cell r="P285">
            <v>-399960</v>
          </cell>
          <cell r="Q285">
            <v>399960</v>
          </cell>
          <cell r="R285">
            <v>0</v>
          </cell>
          <cell r="S285">
            <v>0</v>
          </cell>
        </row>
        <row r="286">
          <cell r="A286">
            <v>101809</v>
          </cell>
          <cell r="B286" t="str">
            <v>Krishi Kalyan Cess Recoverable</v>
          </cell>
          <cell r="C286">
            <v>0</v>
          </cell>
          <cell r="D286">
            <v>0</v>
          </cell>
          <cell r="E286">
            <v>0</v>
          </cell>
          <cell r="F286">
            <v>0</v>
          </cell>
          <cell r="G286"/>
          <cell r="H286">
            <v>0</v>
          </cell>
          <cell r="I286">
            <v>0</v>
          </cell>
          <cell r="J286">
            <v>0</v>
          </cell>
          <cell r="K286">
            <v>0</v>
          </cell>
          <cell r="L286">
            <v>101809</v>
          </cell>
          <cell r="M286">
            <v>1</v>
          </cell>
          <cell r="N286">
            <v>0</v>
          </cell>
          <cell r="O286">
            <v>0</v>
          </cell>
          <cell r="P286">
            <v>0</v>
          </cell>
          <cell r="Q286">
            <v>0</v>
          </cell>
          <cell r="R286">
            <v>0</v>
          </cell>
          <cell r="S286">
            <v>0</v>
          </cell>
        </row>
        <row r="287">
          <cell r="A287">
            <v>101811</v>
          </cell>
          <cell r="B287" t="str">
            <v>Deposits - Electricity</v>
          </cell>
          <cell r="C287">
            <v>0</v>
          </cell>
          <cell r="D287">
            <v>0</v>
          </cell>
          <cell r="E287">
            <v>0</v>
          </cell>
          <cell r="F287">
            <v>0</v>
          </cell>
          <cell r="G287"/>
          <cell r="H287">
            <v>0</v>
          </cell>
          <cell r="I287">
            <v>0</v>
          </cell>
          <cell r="J287">
            <v>0</v>
          </cell>
          <cell r="K287">
            <v>0</v>
          </cell>
          <cell r="L287">
            <v>101811</v>
          </cell>
          <cell r="M287">
            <v>1</v>
          </cell>
          <cell r="N287">
            <v>0</v>
          </cell>
          <cell r="O287">
            <v>0</v>
          </cell>
          <cell r="P287">
            <v>0</v>
          </cell>
          <cell r="Q287">
            <v>0</v>
          </cell>
          <cell r="R287">
            <v>0</v>
          </cell>
          <cell r="S287">
            <v>0</v>
          </cell>
        </row>
        <row r="288">
          <cell r="A288">
            <v>101812</v>
          </cell>
          <cell r="B288" t="str">
            <v>Deposits - Water meter</v>
          </cell>
          <cell r="C288">
            <v>0</v>
          </cell>
          <cell r="D288">
            <v>0</v>
          </cell>
          <cell r="E288">
            <v>0</v>
          </cell>
          <cell r="F288">
            <v>0</v>
          </cell>
          <cell r="G288"/>
          <cell r="H288">
            <v>0</v>
          </cell>
          <cell r="I288">
            <v>0</v>
          </cell>
          <cell r="J288">
            <v>0</v>
          </cell>
          <cell r="K288">
            <v>0</v>
          </cell>
          <cell r="L288">
            <v>101812</v>
          </cell>
          <cell r="M288">
            <v>1</v>
          </cell>
          <cell r="N288">
            <v>0</v>
          </cell>
          <cell r="O288">
            <v>0</v>
          </cell>
          <cell r="P288">
            <v>0</v>
          </cell>
          <cell r="Q288">
            <v>0</v>
          </cell>
          <cell r="R288">
            <v>0</v>
          </cell>
          <cell r="S288">
            <v>0</v>
          </cell>
        </row>
        <row r="289">
          <cell r="A289">
            <v>101813</v>
          </cell>
          <cell r="B289" t="str">
            <v>Deposits - Telephone</v>
          </cell>
          <cell r="C289">
            <v>0</v>
          </cell>
          <cell r="D289">
            <v>0</v>
          </cell>
          <cell r="E289">
            <v>0</v>
          </cell>
          <cell r="F289">
            <v>0</v>
          </cell>
          <cell r="G289"/>
          <cell r="H289">
            <v>0</v>
          </cell>
          <cell r="I289">
            <v>0</v>
          </cell>
          <cell r="J289">
            <v>0</v>
          </cell>
          <cell r="K289">
            <v>0</v>
          </cell>
          <cell r="L289">
            <v>101813</v>
          </cell>
          <cell r="M289">
            <v>1</v>
          </cell>
          <cell r="N289">
            <v>0</v>
          </cell>
          <cell r="O289">
            <v>0</v>
          </cell>
          <cell r="P289">
            <v>0</v>
          </cell>
          <cell r="Q289">
            <v>0</v>
          </cell>
          <cell r="R289">
            <v>0</v>
          </cell>
          <cell r="S289">
            <v>0</v>
          </cell>
        </row>
        <row r="290">
          <cell r="A290">
            <v>101814</v>
          </cell>
          <cell r="B290" t="str">
            <v>Deposits - Cellphones</v>
          </cell>
          <cell r="C290">
            <v>0</v>
          </cell>
          <cell r="D290">
            <v>0</v>
          </cell>
          <cell r="E290">
            <v>0</v>
          </cell>
          <cell r="F290">
            <v>0</v>
          </cell>
          <cell r="G290"/>
          <cell r="H290">
            <v>0</v>
          </cell>
          <cell r="I290">
            <v>0</v>
          </cell>
          <cell r="J290">
            <v>0</v>
          </cell>
          <cell r="K290">
            <v>0</v>
          </cell>
          <cell r="L290">
            <v>101814</v>
          </cell>
          <cell r="M290">
            <v>1</v>
          </cell>
          <cell r="N290">
            <v>0</v>
          </cell>
          <cell r="O290">
            <v>0</v>
          </cell>
          <cell r="P290">
            <v>0</v>
          </cell>
          <cell r="Q290">
            <v>0</v>
          </cell>
          <cell r="R290">
            <v>0</v>
          </cell>
          <cell r="S290">
            <v>0</v>
          </cell>
        </row>
        <row r="291">
          <cell r="A291">
            <v>101815</v>
          </cell>
          <cell r="B291" t="str">
            <v>Deposits - Satellite Link</v>
          </cell>
          <cell r="C291">
            <v>0</v>
          </cell>
          <cell r="D291">
            <v>0</v>
          </cell>
          <cell r="E291">
            <v>0</v>
          </cell>
          <cell r="F291">
            <v>0</v>
          </cell>
          <cell r="G291"/>
          <cell r="H291">
            <v>0</v>
          </cell>
          <cell r="I291">
            <v>0</v>
          </cell>
          <cell r="J291">
            <v>0</v>
          </cell>
          <cell r="K291">
            <v>0</v>
          </cell>
          <cell r="L291">
            <v>101815</v>
          </cell>
          <cell r="M291">
            <v>1</v>
          </cell>
          <cell r="N291">
            <v>0</v>
          </cell>
          <cell r="O291">
            <v>0</v>
          </cell>
          <cell r="P291">
            <v>0</v>
          </cell>
          <cell r="Q291">
            <v>0</v>
          </cell>
          <cell r="R291">
            <v>0</v>
          </cell>
          <cell r="S291">
            <v>0</v>
          </cell>
        </row>
        <row r="292">
          <cell r="A292">
            <v>101816</v>
          </cell>
          <cell r="B292" t="str">
            <v>Deposits - Office Premises</v>
          </cell>
          <cell r="C292">
            <v>0</v>
          </cell>
          <cell r="D292">
            <v>0</v>
          </cell>
          <cell r="E292">
            <v>0</v>
          </cell>
          <cell r="F292">
            <v>0</v>
          </cell>
          <cell r="G292"/>
          <cell r="H292">
            <v>0</v>
          </cell>
          <cell r="I292">
            <v>0</v>
          </cell>
          <cell r="J292">
            <v>0</v>
          </cell>
          <cell r="K292">
            <v>0</v>
          </cell>
          <cell r="L292">
            <v>101816</v>
          </cell>
          <cell r="M292">
            <v>1</v>
          </cell>
          <cell r="N292">
            <v>0</v>
          </cell>
          <cell r="O292">
            <v>0</v>
          </cell>
          <cell r="P292">
            <v>17047470</v>
          </cell>
          <cell r="Q292">
            <v>-17047470</v>
          </cell>
          <cell r="R292">
            <v>0</v>
          </cell>
          <cell r="S292">
            <v>0</v>
          </cell>
        </row>
        <row r="293">
          <cell r="A293">
            <v>101861</v>
          </cell>
          <cell r="B293" t="str">
            <v>JPMorgan Chase Bank FD</v>
          </cell>
          <cell r="C293">
            <v>0</v>
          </cell>
          <cell r="D293">
            <v>0</v>
          </cell>
          <cell r="E293">
            <v>0</v>
          </cell>
          <cell r="F293">
            <v>0</v>
          </cell>
          <cell r="G293"/>
          <cell r="H293">
            <v>0</v>
          </cell>
          <cell r="I293">
            <v>0</v>
          </cell>
          <cell r="J293">
            <v>0</v>
          </cell>
          <cell r="K293">
            <v>0</v>
          </cell>
          <cell r="L293">
            <v>101861</v>
          </cell>
          <cell r="M293">
            <v>1</v>
          </cell>
          <cell r="N293">
            <v>0</v>
          </cell>
          <cell r="O293">
            <v>0</v>
          </cell>
          <cell r="P293"/>
          <cell r="Q293"/>
          <cell r="R293">
            <v>0</v>
          </cell>
          <cell r="S293">
            <v>0</v>
          </cell>
        </row>
        <row r="294">
          <cell r="A294">
            <v>101872</v>
          </cell>
          <cell r="B294" t="str">
            <v>Prepaid rent - intrnl deposits</v>
          </cell>
          <cell r="C294">
            <v>0</v>
          </cell>
          <cell r="D294">
            <v>0</v>
          </cell>
          <cell r="E294">
            <v>0</v>
          </cell>
          <cell r="F294">
            <v>0</v>
          </cell>
          <cell r="G294"/>
          <cell r="H294">
            <v>0</v>
          </cell>
          <cell r="I294">
            <v>0</v>
          </cell>
          <cell r="J294">
            <v>0</v>
          </cell>
          <cell r="K294">
            <v>0</v>
          </cell>
          <cell r="L294">
            <v>101872</v>
          </cell>
          <cell r="M294">
            <v>1</v>
          </cell>
          <cell r="N294">
            <v>0</v>
          </cell>
          <cell r="O294">
            <v>0</v>
          </cell>
          <cell r="P294"/>
          <cell r="Q294"/>
          <cell r="R294">
            <v>0</v>
          </cell>
          <cell r="S294">
            <v>0</v>
          </cell>
        </row>
        <row r="295">
          <cell r="A295">
            <v>101817</v>
          </cell>
          <cell r="B295" t="str">
            <v>Deposits - Guest House</v>
          </cell>
          <cell r="C295">
            <v>0</v>
          </cell>
          <cell r="D295">
            <v>0</v>
          </cell>
          <cell r="E295">
            <v>0</v>
          </cell>
          <cell r="F295">
            <v>0</v>
          </cell>
          <cell r="G295"/>
          <cell r="H295">
            <v>0</v>
          </cell>
          <cell r="I295">
            <v>0</v>
          </cell>
          <cell r="J295">
            <v>0</v>
          </cell>
          <cell r="K295">
            <v>0</v>
          </cell>
          <cell r="L295">
            <v>101817</v>
          </cell>
          <cell r="M295">
            <v>1</v>
          </cell>
          <cell r="N295">
            <v>0</v>
          </cell>
          <cell r="O295">
            <v>0</v>
          </cell>
          <cell r="P295">
            <v>0</v>
          </cell>
          <cell r="Q295">
            <v>0</v>
          </cell>
          <cell r="R295">
            <v>0</v>
          </cell>
          <cell r="S295">
            <v>0</v>
          </cell>
        </row>
        <row r="296">
          <cell r="A296">
            <v>101818</v>
          </cell>
          <cell r="B296" t="str">
            <v>Deposits - Flat for Employees</v>
          </cell>
          <cell r="C296">
            <v>0</v>
          </cell>
          <cell r="D296">
            <v>0</v>
          </cell>
          <cell r="E296">
            <v>0</v>
          </cell>
          <cell r="F296">
            <v>0</v>
          </cell>
          <cell r="G296"/>
          <cell r="H296">
            <v>0</v>
          </cell>
          <cell r="I296">
            <v>0</v>
          </cell>
          <cell r="J296">
            <v>0</v>
          </cell>
          <cell r="K296">
            <v>0</v>
          </cell>
          <cell r="L296">
            <v>101818</v>
          </cell>
          <cell r="M296">
            <v>1</v>
          </cell>
          <cell r="N296">
            <v>0</v>
          </cell>
          <cell r="O296">
            <v>0</v>
          </cell>
          <cell r="P296">
            <v>0</v>
          </cell>
          <cell r="Q296">
            <v>0</v>
          </cell>
          <cell r="R296">
            <v>0</v>
          </cell>
          <cell r="S296">
            <v>0</v>
          </cell>
        </row>
        <row r="297">
          <cell r="A297">
            <v>101819</v>
          </cell>
          <cell r="B297" t="str">
            <v>Deposits - Petrol Pumps</v>
          </cell>
          <cell r="C297">
            <v>0</v>
          </cell>
          <cell r="D297">
            <v>0</v>
          </cell>
          <cell r="E297">
            <v>0</v>
          </cell>
          <cell r="F297">
            <v>0</v>
          </cell>
          <cell r="G297"/>
          <cell r="H297">
            <v>0</v>
          </cell>
          <cell r="I297">
            <v>0</v>
          </cell>
          <cell r="J297">
            <v>0</v>
          </cell>
          <cell r="K297">
            <v>0</v>
          </cell>
          <cell r="L297">
            <v>101819</v>
          </cell>
          <cell r="M297">
            <v>1</v>
          </cell>
          <cell r="N297">
            <v>0</v>
          </cell>
          <cell r="O297">
            <v>0</v>
          </cell>
          <cell r="P297">
            <v>0</v>
          </cell>
          <cell r="Q297">
            <v>0</v>
          </cell>
          <cell r="R297">
            <v>0</v>
          </cell>
          <cell r="S297">
            <v>0</v>
          </cell>
        </row>
        <row r="298">
          <cell r="A298">
            <v>101820</v>
          </cell>
          <cell r="B298" t="str">
            <v>Deposits - F &amp; F Hired</v>
          </cell>
          <cell r="C298">
            <v>0</v>
          </cell>
          <cell r="D298">
            <v>0</v>
          </cell>
          <cell r="E298">
            <v>0</v>
          </cell>
          <cell r="F298">
            <v>0</v>
          </cell>
          <cell r="G298"/>
          <cell r="H298">
            <v>0</v>
          </cell>
          <cell r="I298">
            <v>0</v>
          </cell>
          <cell r="J298">
            <v>0</v>
          </cell>
          <cell r="K298">
            <v>0</v>
          </cell>
          <cell r="L298">
            <v>101820</v>
          </cell>
          <cell r="M298">
            <v>1</v>
          </cell>
          <cell r="N298">
            <v>0</v>
          </cell>
          <cell r="O298">
            <v>0</v>
          </cell>
          <cell r="P298">
            <v>0</v>
          </cell>
          <cell r="Q298">
            <v>0</v>
          </cell>
          <cell r="R298">
            <v>0</v>
          </cell>
          <cell r="S298">
            <v>0</v>
          </cell>
        </row>
        <row r="299">
          <cell r="A299">
            <v>101821</v>
          </cell>
          <cell r="B299" t="str">
            <v>Deposits - Plants Hired</v>
          </cell>
          <cell r="C299">
            <v>0</v>
          </cell>
          <cell r="D299">
            <v>0</v>
          </cell>
          <cell r="E299">
            <v>0</v>
          </cell>
          <cell r="F299">
            <v>0</v>
          </cell>
          <cell r="G299"/>
          <cell r="H299">
            <v>0</v>
          </cell>
          <cell r="I299">
            <v>0</v>
          </cell>
          <cell r="J299">
            <v>0</v>
          </cell>
          <cell r="K299">
            <v>0</v>
          </cell>
          <cell r="L299">
            <v>101821</v>
          </cell>
          <cell r="M299">
            <v>1</v>
          </cell>
          <cell r="N299">
            <v>0</v>
          </cell>
          <cell r="O299">
            <v>0</v>
          </cell>
          <cell r="P299">
            <v>0</v>
          </cell>
          <cell r="Q299">
            <v>0</v>
          </cell>
          <cell r="R299">
            <v>0</v>
          </cell>
          <cell r="S299">
            <v>0</v>
          </cell>
        </row>
        <row r="300">
          <cell r="A300">
            <v>101822</v>
          </cell>
          <cell r="B300" t="str">
            <v>Deposits - Oriental - F Travel</v>
          </cell>
          <cell r="C300">
            <v>0</v>
          </cell>
          <cell r="D300">
            <v>0</v>
          </cell>
          <cell r="E300">
            <v>0</v>
          </cell>
          <cell r="F300">
            <v>0</v>
          </cell>
          <cell r="G300"/>
          <cell r="H300">
            <v>0</v>
          </cell>
          <cell r="I300">
            <v>0</v>
          </cell>
          <cell r="J300">
            <v>0</v>
          </cell>
          <cell r="K300">
            <v>0</v>
          </cell>
          <cell r="L300">
            <v>101822</v>
          </cell>
          <cell r="M300">
            <v>1</v>
          </cell>
          <cell r="N300">
            <v>0</v>
          </cell>
          <cell r="O300">
            <v>0</v>
          </cell>
          <cell r="P300">
            <v>0</v>
          </cell>
          <cell r="Q300">
            <v>0</v>
          </cell>
          <cell r="R300">
            <v>0</v>
          </cell>
          <cell r="S300">
            <v>0</v>
          </cell>
        </row>
        <row r="301">
          <cell r="A301">
            <v>101823</v>
          </cell>
          <cell r="B301" t="str">
            <v>Deposits - Oriental - Others</v>
          </cell>
          <cell r="C301">
            <v>0</v>
          </cell>
          <cell r="D301">
            <v>0</v>
          </cell>
          <cell r="E301">
            <v>0</v>
          </cell>
          <cell r="F301">
            <v>0</v>
          </cell>
          <cell r="G301"/>
          <cell r="H301">
            <v>0</v>
          </cell>
          <cell r="I301">
            <v>0</v>
          </cell>
          <cell r="J301">
            <v>0</v>
          </cell>
          <cell r="K301">
            <v>0</v>
          </cell>
          <cell r="L301">
            <v>101823</v>
          </cell>
          <cell r="M301">
            <v>1</v>
          </cell>
          <cell r="N301">
            <v>0</v>
          </cell>
          <cell r="O301">
            <v>0</v>
          </cell>
          <cell r="P301">
            <v>0</v>
          </cell>
          <cell r="Q301">
            <v>0</v>
          </cell>
          <cell r="R301">
            <v>0</v>
          </cell>
          <cell r="S301">
            <v>0</v>
          </cell>
        </row>
        <row r="302">
          <cell r="A302">
            <v>101824</v>
          </cell>
          <cell r="B302" t="str">
            <v>Deposits - Books</v>
          </cell>
          <cell r="C302">
            <v>0</v>
          </cell>
          <cell r="D302">
            <v>0</v>
          </cell>
          <cell r="E302">
            <v>0</v>
          </cell>
          <cell r="F302">
            <v>0</v>
          </cell>
          <cell r="G302"/>
          <cell r="H302">
            <v>0</v>
          </cell>
          <cell r="I302">
            <v>0</v>
          </cell>
          <cell r="J302">
            <v>0</v>
          </cell>
          <cell r="K302">
            <v>0</v>
          </cell>
          <cell r="L302">
            <v>101824</v>
          </cell>
          <cell r="M302">
            <v>1</v>
          </cell>
          <cell r="N302">
            <v>0</v>
          </cell>
          <cell r="O302">
            <v>0</v>
          </cell>
          <cell r="P302">
            <v>0</v>
          </cell>
          <cell r="Q302">
            <v>0</v>
          </cell>
          <cell r="R302">
            <v>0</v>
          </cell>
          <cell r="S302">
            <v>0</v>
          </cell>
        </row>
        <row r="303">
          <cell r="A303">
            <v>101825</v>
          </cell>
          <cell r="B303" t="str">
            <v>Deposits - Hospitals</v>
          </cell>
          <cell r="C303">
            <v>0</v>
          </cell>
          <cell r="D303">
            <v>0</v>
          </cell>
          <cell r="E303">
            <v>0</v>
          </cell>
          <cell r="F303">
            <v>0</v>
          </cell>
          <cell r="G303"/>
          <cell r="H303">
            <v>0</v>
          </cell>
          <cell r="I303">
            <v>0</v>
          </cell>
          <cell r="J303">
            <v>0</v>
          </cell>
          <cell r="K303">
            <v>0</v>
          </cell>
          <cell r="L303">
            <v>101825</v>
          </cell>
          <cell r="M303">
            <v>1</v>
          </cell>
          <cell r="N303">
            <v>0</v>
          </cell>
          <cell r="O303">
            <v>0</v>
          </cell>
          <cell r="P303">
            <v>0</v>
          </cell>
          <cell r="Q303">
            <v>0</v>
          </cell>
          <cell r="R303">
            <v>0</v>
          </cell>
          <cell r="S303">
            <v>0</v>
          </cell>
        </row>
        <row r="304">
          <cell r="A304">
            <v>101826</v>
          </cell>
          <cell r="B304" t="str">
            <v>Deposits - Membership</v>
          </cell>
          <cell r="C304">
            <v>0</v>
          </cell>
          <cell r="D304">
            <v>0</v>
          </cell>
          <cell r="E304">
            <v>0</v>
          </cell>
          <cell r="F304">
            <v>0</v>
          </cell>
          <cell r="G304"/>
          <cell r="H304">
            <v>0</v>
          </cell>
          <cell r="I304">
            <v>0</v>
          </cell>
          <cell r="J304">
            <v>0</v>
          </cell>
          <cell r="K304">
            <v>0</v>
          </cell>
          <cell r="L304">
            <v>101826</v>
          </cell>
          <cell r="M304">
            <v>1</v>
          </cell>
          <cell r="N304">
            <v>0</v>
          </cell>
          <cell r="O304">
            <v>0</v>
          </cell>
          <cell r="P304">
            <v>15000</v>
          </cell>
          <cell r="Q304">
            <v>-15000</v>
          </cell>
          <cell r="R304">
            <v>0</v>
          </cell>
          <cell r="S304">
            <v>0</v>
          </cell>
        </row>
        <row r="305">
          <cell r="A305">
            <v>101827</v>
          </cell>
          <cell r="B305" t="str">
            <v>Deposits - Security Dep.</v>
          </cell>
          <cell r="C305">
            <v>0</v>
          </cell>
          <cell r="D305">
            <v>0</v>
          </cell>
          <cell r="E305">
            <v>0</v>
          </cell>
          <cell r="F305">
            <v>0</v>
          </cell>
          <cell r="G305"/>
          <cell r="H305">
            <v>0</v>
          </cell>
          <cell r="I305">
            <v>0</v>
          </cell>
          <cell r="J305">
            <v>0</v>
          </cell>
          <cell r="K305">
            <v>0</v>
          </cell>
          <cell r="L305">
            <v>101827</v>
          </cell>
          <cell r="M305">
            <v>1</v>
          </cell>
          <cell r="N305">
            <v>0</v>
          </cell>
          <cell r="O305">
            <v>0</v>
          </cell>
          <cell r="P305">
            <v>0</v>
          </cell>
          <cell r="Q305">
            <v>0</v>
          </cell>
          <cell r="R305">
            <v>0</v>
          </cell>
          <cell r="S305">
            <v>0</v>
          </cell>
        </row>
        <row r="306">
          <cell r="A306">
            <v>101828</v>
          </cell>
          <cell r="B306" t="str">
            <v>Deposits - Pagers</v>
          </cell>
          <cell r="C306">
            <v>0</v>
          </cell>
          <cell r="D306">
            <v>0</v>
          </cell>
          <cell r="E306">
            <v>0</v>
          </cell>
          <cell r="F306">
            <v>0</v>
          </cell>
          <cell r="G306"/>
          <cell r="H306">
            <v>0</v>
          </cell>
          <cell r="I306">
            <v>0</v>
          </cell>
          <cell r="J306">
            <v>0</v>
          </cell>
          <cell r="K306">
            <v>0</v>
          </cell>
          <cell r="L306">
            <v>101828</v>
          </cell>
          <cell r="M306">
            <v>1</v>
          </cell>
          <cell r="N306">
            <v>0</v>
          </cell>
          <cell r="O306">
            <v>0</v>
          </cell>
          <cell r="P306">
            <v>0</v>
          </cell>
          <cell r="Q306">
            <v>0</v>
          </cell>
          <cell r="R306">
            <v>0</v>
          </cell>
          <cell r="S306">
            <v>0</v>
          </cell>
        </row>
        <row r="307">
          <cell r="A307">
            <v>101829</v>
          </cell>
          <cell r="B307" t="str">
            <v>Deposits - Water Cooler Hired</v>
          </cell>
          <cell r="C307">
            <v>0</v>
          </cell>
          <cell r="D307">
            <v>0</v>
          </cell>
          <cell r="E307">
            <v>0</v>
          </cell>
          <cell r="F307">
            <v>0</v>
          </cell>
          <cell r="G307"/>
          <cell r="H307">
            <v>0</v>
          </cell>
          <cell r="I307">
            <v>0</v>
          </cell>
          <cell r="J307">
            <v>0</v>
          </cell>
          <cell r="K307">
            <v>0</v>
          </cell>
          <cell r="L307">
            <v>101829</v>
          </cell>
          <cell r="M307">
            <v>1</v>
          </cell>
          <cell r="N307">
            <v>0</v>
          </cell>
          <cell r="O307">
            <v>0</v>
          </cell>
          <cell r="P307">
            <v>0</v>
          </cell>
          <cell r="Q307">
            <v>0</v>
          </cell>
          <cell r="R307">
            <v>0</v>
          </cell>
          <cell r="S307">
            <v>0</v>
          </cell>
        </row>
        <row r="308">
          <cell r="A308">
            <v>101830</v>
          </cell>
          <cell r="B308" t="str">
            <v>Deposits - TATA AIG Overseas Insurance</v>
          </cell>
          <cell r="C308">
            <v>0</v>
          </cell>
          <cell r="D308">
            <v>0</v>
          </cell>
          <cell r="E308">
            <v>0</v>
          </cell>
          <cell r="F308">
            <v>0</v>
          </cell>
          <cell r="G308"/>
          <cell r="H308">
            <v>0</v>
          </cell>
          <cell r="I308">
            <v>0</v>
          </cell>
          <cell r="J308">
            <v>0</v>
          </cell>
          <cell r="K308">
            <v>0</v>
          </cell>
          <cell r="L308">
            <v>101830</v>
          </cell>
          <cell r="M308">
            <v>1</v>
          </cell>
          <cell r="N308">
            <v>0</v>
          </cell>
          <cell r="O308">
            <v>0</v>
          </cell>
          <cell r="P308">
            <v>0</v>
          </cell>
          <cell r="Q308">
            <v>0</v>
          </cell>
          <cell r="R308">
            <v>0</v>
          </cell>
          <cell r="S308">
            <v>0</v>
          </cell>
        </row>
        <row r="309">
          <cell r="A309">
            <v>101831</v>
          </cell>
          <cell r="B309" t="str">
            <v>Deposits - Bajaj Allianz</v>
          </cell>
          <cell r="C309">
            <v>0</v>
          </cell>
          <cell r="D309">
            <v>0</v>
          </cell>
          <cell r="E309">
            <v>0</v>
          </cell>
          <cell r="F309">
            <v>0</v>
          </cell>
          <cell r="G309"/>
          <cell r="H309">
            <v>0</v>
          </cell>
          <cell r="I309">
            <v>0</v>
          </cell>
          <cell r="J309">
            <v>0</v>
          </cell>
          <cell r="K309">
            <v>0</v>
          </cell>
          <cell r="L309">
            <v>101831</v>
          </cell>
          <cell r="M309">
            <v>1</v>
          </cell>
          <cell r="N309">
            <v>0</v>
          </cell>
          <cell r="O309">
            <v>0</v>
          </cell>
          <cell r="P309">
            <v>0</v>
          </cell>
          <cell r="Q309">
            <v>0</v>
          </cell>
          <cell r="R309">
            <v>0</v>
          </cell>
          <cell r="S309">
            <v>0</v>
          </cell>
        </row>
        <row r="310">
          <cell r="A310">
            <v>101832</v>
          </cell>
          <cell r="B310" t="str">
            <v>Deposits - Inter Company</v>
          </cell>
          <cell r="C310">
            <v>0</v>
          </cell>
          <cell r="D310">
            <v>0</v>
          </cell>
          <cell r="E310">
            <v>0</v>
          </cell>
          <cell r="F310">
            <v>0</v>
          </cell>
          <cell r="G310"/>
          <cell r="H310">
            <v>0</v>
          </cell>
          <cell r="I310">
            <v>0</v>
          </cell>
          <cell r="J310">
            <v>0</v>
          </cell>
          <cell r="K310">
            <v>0</v>
          </cell>
          <cell r="L310">
            <v>101832</v>
          </cell>
          <cell r="M310">
            <v>1</v>
          </cell>
          <cell r="N310">
            <v>0</v>
          </cell>
          <cell r="O310">
            <v>0</v>
          </cell>
          <cell r="P310">
            <v>0</v>
          </cell>
          <cell r="Q310">
            <v>0</v>
          </cell>
          <cell r="R310">
            <v>0</v>
          </cell>
          <cell r="S310">
            <v>0</v>
          </cell>
        </row>
        <row r="311">
          <cell r="A311">
            <v>101833</v>
          </cell>
          <cell r="B311" t="str">
            <v>Deposits-Sec. Dep. Canada Rev</v>
          </cell>
          <cell r="C311">
            <v>0</v>
          </cell>
          <cell r="D311">
            <v>0</v>
          </cell>
          <cell r="E311">
            <v>0</v>
          </cell>
          <cell r="F311">
            <v>0</v>
          </cell>
          <cell r="G311"/>
          <cell r="H311">
            <v>0</v>
          </cell>
          <cell r="I311">
            <v>0</v>
          </cell>
          <cell r="J311">
            <v>0</v>
          </cell>
          <cell r="K311">
            <v>0</v>
          </cell>
          <cell r="L311">
            <v>101833</v>
          </cell>
          <cell r="M311">
            <v>1</v>
          </cell>
          <cell r="N311">
            <v>0</v>
          </cell>
          <cell r="O311">
            <v>0</v>
          </cell>
          <cell r="P311">
            <v>0</v>
          </cell>
          <cell r="Q311">
            <v>0</v>
          </cell>
          <cell r="R311">
            <v>0</v>
          </cell>
          <cell r="S311">
            <v>0</v>
          </cell>
        </row>
        <row r="312">
          <cell r="A312">
            <v>101834</v>
          </cell>
          <cell r="B312" t="str">
            <v>Earnest Money Deposit</v>
          </cell>
          <cell r="C312">
            <v>0</v>
          </cell>
          <cell r="D312">
            <v>0</v>
          </cell>
          <cell r="E312">
            <v>0</v>
          </cell>
          <cell r="F312">
            <v>0</v>
          </cell>
          <cell r="G312"/>
          <cell r="H312">
            <v>0</v>
          </cell>
          <cell r="I312">
            <v>0</v>
          </cell>
          <cell r="J312">
            <v>0</v>
          </cell>
          <cell r="K312">
            <v>0</v>
          </cell>
          <cell r="L312">
            <v>101834</v>
          </cell>
          <cell r="M312">
            <v>1</v>
          </cell>
          <cell r="N312">
            <v>0</v>
          </cell>
          <cell r="O312">
            <v>0</v>
          </cell>
          <cell r="P312">
            <v>0</v>
          </cell>
          <cell r="Q312">
            <v>0</v>
          </cell>
          <cell r="R312">
            <v>0</v>
          </cell>
          <cell r="S312">
            <v>0</v>
          </cell>
        </row>
        <row r="313">
          <cell r="A313">
            <v>101835</v>
          </cell>
          <cell r="B313" t="str">
            <v>Deposit -Metlife</v>
          </cell>
          <cell r="C313">
            <v>0</v>
          </cell>
          <cell r="D313">
            <v>0</v>
          </cell>
          <cell r="E313">
            <v>0</v>
          </cell>
          <cell r="F313">
            <v>0</v>
          </cell>
          <cell r="G313"/>
          <cell r="H313">
            <v>0</v>
          </cell>
          <cell r="I313">
            <v>0</v>
          </cell>
          <cell r="J313">
            <v>0</v>
          </cell>
          <cell r="K313">
            <v>0</v>
          </cell>
          <cell r="L313">
            <v>101835</v>
          </cell>
          <cell r="M313">
            <v>1</v>
          </cell>
          <cell r="N313">
            <v>0</v>
          </cell>
          <cell r="O313">
            <v>0</v>
          </cell>
          <cell r="P313">
            <v>151855.72</v>
          </cell>
          <cell r="Q313">
            <v>-151855.72</v>
          </cell>
          <cell r="R313">
            <v>0</v>
          </cell>
          <cell r="S313">
            <v>0</v>
          </cell>
        </row>
        <row r="314">
          <cell r="A314">
            <v>101836</v>
          </cell>
          <cell r="B314" t="str">
            <v>Deposit - ICICI Lombard</v>
          </cell>
          <cell r="C314">
            <v>0</v>
          </cell>
          <cell r="D314">
            <v>0</v>
          </cell>
          <cell r="E314">
            <v>0</v>
          </cell>
          <cell r="F314">
            <v>0</v>
          </cell>
          <cell r="G314"/>
          <cell r="H314">
            <v>0</v>
          </cell>
          <cell r="I314">
            <v>0</v>
          </cell>
          <cell r="J314">
            <v>0</v>
          </cell>
          <cell r="K314">
            <v>0</v>
          </cell>
          <cell r="L314">
            <v>101836</v>
          </cell>
          <cell r="M314">
            <v>1</v>
          </cell>
          <cell r="N314">
            <v>0</v>
          </cell>
          <cell r="O314">
            <v>0</v>
          </cell>
          <cell r="P314">
            <v>127844.39999999991</v>
          </cell>
          <cell r="Q314">
            <v>-127844.39999999991</v>
          </cell>
          <cell r="R314">
            <v>0</v>
          </cell>
          <cell r="S314">
            <v>0</v>
          </cell>
        </row>
        <row r="315">
          <cell r="A315">
            <v>101837</v>
          </cell>
          <cell r="B315" t="str">
            <v>Deposit-HDFC ERGO General Ins</v>
          </cell>
          <cell r="C315">
            <v>0</v>
          </cell>
          <cell r="D315">
            <v>0</v>
          </cell>
          <cell r="E315">
            <v>0</v>
          </cell>
          <cell r="F315">
            <v>0</v>
          </cell>
          <cell r="G315"/>
          <cell r="H315">
            <v>0</v>
          </cell>
          <cell r="I315">
            <v>0</v>
          </cell>
          <cell r="J315">
            <v>0</v>
          </cell>
          <cell r="K315">
            <v>0</v>
          </cell>
          <cell r="L315">
            <v>101837</v>
          </cell>
          <cell r="M315">
            <v>1</v>
          </cell>
          <cell r="N315">
            <v>0</v>
          </cell>
          <cell r="O315">
            <v>0</v>
          </cell>
          <cell r="P315">
            <v>0</v>
          </cell>
          <cell r="Q315">
            <v>0</v>
          </cell>
          <cell r="R315">
            <v>0</v>
          </cell>
          <cell r="S315">
            <v>0</v>
          </cell>
        </row>
        <row r="316">
          <cell r="A316">
            <v>101838</v>
          </cell>
          <cell r="B316" t="str">
            <v>Deposit The New India Assuranc</v>
          </cell>
          <cell r="C316">
            <v>0</v>
          </cell>
          <cell r="D316">
            <v>0</v>
          </cell>
          <cell r="E316">
            <v>0</v>
          </cell>
          <cell r="F316">
            <v>0</v>
          </cell>
          <cell r="G316"/>
          <cell r="H316">
            <v>0</v>
          </cell>
          <cell r="I316">
            <v>0</v>
          </cell>
          <cell r="J316">
            <v>0</v>
          </cell>
          <cell r="K316">
            <v>0</v>
          </cell>
          <cell r="L316">
            <v>101838</v>
          </cell>
          <cell r="M316">
            <v>1</v>
          </cell>
          <cell r="N316">
            <v>0</v>
          </cell>
          <cell r="O316">
            <v>0</v>
          </cell>
          <cell r="P316">
            <v>0</v>
          </cell>
          <cell r="Q316">
            <v>0</v>
          </cell>
          <cell r="R316">
            <v>0</v>
          </cell>
          <cell r="S316">
            <v>0</v>
          </cell>
        </row>
        <row r="317">
          <cell r="A317">
            <v>101839</v>
          </cell>
          <cell r="B317" t="str">
            <v>Deposit-Futur Gener Life Insur</v>
          </cell>
          <cell r="C317">
            <v>0</v>
          </cell>
          <cell r="D317">
            <v>0</v>
          </cell>
          <cell r="E317">
            <v>0</v>
          </cell>
          <cell r="F317">
            <v>0</v>
          </cell>
          <cell r="G317"/>
          <cell r="H317">
            <v>0</v>
          </cell>
          <cell r="I317">
            <v>0</v>
          </cell>
          <cell r="J317">
            <v>0</v>
          </cell>
          <cell r="K317">
            <v>0</v>
          </cell>
          <cell r="L317">
            <v>101839</v>
          </cell>
          <cell r="M317">
            <v>1</v>
          </cell>
          <cell r="N317">
            <v>0</v>
          </cell>
          <cell r="O317">
            <v>0</v>
          </cell>
          <cell r="P317">
            <v>0</v>
          </cell>
          <cell r="Q317">
            <v>0</v>
          </cell>
          <cell r="R317">
            <v>0</v>
          </cell>
          <cell r="S317">
            <v>0</v>
          </cell>
        </row>
        <row r="318">
          <cell r="A318">
            <v>101843</v>
          </cell>
          <cell r="B318" t="str">
            <v>Regrou Non Cur Advanc Tax less</v>
          </cell>
          <cell r="C318">
            <v>0</v>
          </cell>
          <cell r="D318">
            <v>0</v>
          </cell>
          <cell r="E318">
            <v>0</v>
          </cell>
          <cell r="F318">
            <v>0</v>
          </cell>
          <cell r="G318"/>
          <cell r="H318">
            <v>0</v>
          </cell>
          <cell r="I318">
            <v>0</v>
          </cell>
          <cell r="J318">
            <v>0</v>
          </cell>
          <cell r="K318">
            <v>0</v>
          </cell>
          <cell r="L318">
            <v>101843</v>
          </cell>
          <cell r="M318">
            <v>1</v>
          </cell>
          <cell r="N318">
            <v>0</v>
          </cell>
          <cell r="O318">
            <v>0</v>
          </cell>
          <cell r="P318"/>
          <cell r="Q318"/>
          <cell r="R318">
            <v>0</v>
          </cell>
          <cell r="S318">
            <v>0</v>
          </cell>
        </row>
        <row r="319">
          <cell r="A319">
            <v>101848</v>
          </cell>
          <cell r="B319" t="str">
            <v>Regrou Non Cur Advance Tax add</v>
          </cell>
          <cell r="C319">
            <v>0</v>
          </cell>
          <cell r="D319">
            <v>0</v>
          </cell>
          <cell r="E319">
            <v>0</v>
          </cell>
          <cell r="F319">
            <v>0</v>
          </cell>
          <cell r="G319"/>
          <cell r="H319">
            <v>0</v>
          </cell>
          <cell r="I319">
            <v>0</v>
          </cell>
          <cell r="J319">
            <v>0</v>
          </cell>
          <cell r="K319">
            <v>0</v>
          </cell>
          <cell r="L319">
            <v>101848</v>
          </cell>
          <cell r="M319">
            <v>1</v>
          </cell>
          <cell r="N319">
            <v>0</v>
          </cell>
          <cell r="O319">
            <v>0</v>
          </cell>
          <cell r="P319"/>
          <cell r="Q319"/>
          <cell r="R319">
            <v>0</v>
          </cell>
          <cell r="S319">
            <v>0</v>
          </cell>
        </row>
        <row r="320">
          <cell r="A320">
            <v>101850</v>
          </cell>
          <cell r="B320" t="str">
            <v>Deposits - Inter Corporate</v>
          </cell>
          <cell r="C320">
            <v>0</v>
          </cell>
          <cell r="D320">
            <v>0</v>
          </cell>
          <cell r="E320">
            <v>0</v>
          </cell>
          <cell r="F320">
            <v>0</v>
          </cell>
          <cell r="G320"/>
          <cell r="H320">
            <v>0</v>
          </cell>
          <cell r="I320">
            <v>0</v>
          </cell>
          <cell r="J320">
            <v>0</v>
          </cell>
          <cell r="K320">
            <v>0</v>
          </cell>
          <cell r="L320">
            <v>101850</v>
          </cell>
          <cell r="M320">
            <v>1</v>
          </cell>
          <cell r="N320">
            <v>0</v>
          </cell>
          <cell r="O320">
            <v>0</v>
          </cell>
          <cell r="P320">
            <v>0</v>
          </cell>
          <cell r="Q320">
            <v>0</v>
          </cell>
          <cell r="R320">
            <v>0</v>
          </cell>
          <cell r="S320">
            <v>0</v>
          </cell>
        </row>
        <row r="321">
          <cell r="A321">
            <v>101851</v>
          </cell>
          <cell r="B321" t="str">
            <v>Provision for Doubtful Deposits</v>
          </cell>
          <cell r="C321">
            <v>0</v>
          </cell>
          <cell r="D321">
            <v>0</v>
          </cell>
          <cell r="E321">
            <v>0</v>
          </cell>
          <cell r="F321">
            <v>0</v>
          </cell>
          <cell r="G321"/>
          <cell r="H321">
            <v>0</v>
          </cell>
          <cell r="I321">
            <v>0</v>
          </cell>
          <cell r="J321">
            <v>0</v>
          </cell>
          <cell r="K321">
            <v>0</v>
          </cell>
          <cell r="L321">
            <v>101851</v>
          </cell>
          <cell r="M321">
            <v>1</v>
          </cell>
          <cell r="N321">
            <v>0</v>
          </cell>
          <cell r="O321">
            <v>0</v>
          </cell>
          <cell r="P321">
            <v>0</v>
          </cell>
          <cell r="Q321">
            <v>0</v>
          </cell>
          <cell r="R321">
            <v>0</v>
          </cell>
          <cell r="S321">
            <v>0</v>
          </cell>
        </row>
        <row r="322">
          <cell r="A322">
            <v>101852</v>
          </cell>
          <cell r="B322" t="str">
            <v>Deposit - Kotak M Old Mut Life</v>
          </cell>
          <cell r="C322">
            <v>0</v>
          </cell>
          <cell r="D322">
            <v>0</v>
          </cell>
          <cell r="E322">
            <v>0</v>
          </cell>
          <cell r="F322">
            <v>0</v>
          </cell>
          <cell r="G322"/>
          <cell r="H322">
            <v>0</v>
          </cell>
          <cell r="I322">
            <v>0</v>
          </cell>
          <cell r="J322">
            <v>0</v>
          </cell>
          <cell r="K322">
            <v>0</v>
          </cell>
          <cell r="L322">
            <v>101852</v>
          </cell>
          <cell r="M322">
            <v>1</v>
          </cell>
          <cell r="N322">
            <v>0</v>
          </cell>
          <cell r="O322">
            <v>0</v>
          </cell>
          <cell r="P322">
            <v>0</v>
          </cell>
          <cell r="Q322">
            <v>0</v>
          </cell>
          <cell r="R322">
            <v>0</v>
          </cell>
          <cell r="S322">
            <v>0</v>
          </cell>
        </row>
        <row r="323">
          <cell r="A323">
            <v>101853</v>
          </cell>
          <cell r="B323" t="str">
            <v>Deposit - United India Ins.</v>
          </cell>
          <cell r="C323">
            <v>0</v>
          </cell>
          <cell r="D323">
            <v>0</v>
          </cell>
          <cell r="E323">
            <v>0</v>
          </cell>
          <cell r="F323">
            <v>0</v>
          </cell>
          <cell r="G323"/>
          <cell r="H323">
            <v>0</v>
          </cell>
          <cell r="I323">
            <v>0</v>
          </cell>
          <cell r="J323">
            <v>0</v>
          </cell>
          <cell r="K323">
            <v>0</v>
          </cell>
          <cell r="L323">
            <v>101853</v>
          </cell>
          <cell r="M323">
            <v>1</v>
          </cell>
          <cell r="N323">
            <v>0</v>
          </cell>
          <cell r="O323">
            <v>0</v>
          </cell>
          <cell r="P323">
            <v>0</v>
          </cell>
          <cell r="Q323">
            <v>0</v>
          </cell>
          <cell r="R323">
            <v>0</v>
          </cell>
          <cell r="S323">
            <v>0</v>
          </cell>
        </row>
        <row r="324">
          <cell r="A324">
            <v>101858</v>
          </cell>
          <cell r="B324" t="str">
            <v>Deposit-National India Insuran</v>
          </cell>
          <cell r="C324">
            <v>0</v>
          </cell>
          <cell r="D324">
            <v>0</v>
          </cell>
          <cell r="E324">
            <v>0</v>
          </cell>
          <cell r="F324">
            <v>0</v>
          </cell>
          <cell r="G324"/>
          <cell r="H324">
            <v>0</v>
          </cell>
          <cell r="I324">
            <v>0</v>
          </cell>
          <cell r="J324">
            <v>0</v>
          </cell>
          <cell r="K324">
            <v>0</v>
          </cell>
          <cell r="L324">
            <v>101858</v>
          </cell>
          <cell r="M324">
            <v>1</v>
          </cell>
          <cell r="N324">
            <v>0</v>
          </cell>
          <cell r="O324">
            <v>0</v>
          </cell>
          <cell r="P324"/>
          <cell r="Q324"/>
          <cell r="R324">
            <v>0</v>
          </cell>
          <cell r="S324">
            <v>0</v>
          </cell>
        </row>
        <row r="325">
          <cell r="A325">
            <v>110020</v>
          </cell>
          <cell r="B325" t="str">
            <v>Automobiles</v>
          </cell>
          <cell r="C325">
            <v>0</v>
          </cell>
          <cell r="D325">
            <v>0</v>
          </cell>
          <cell r="E325">
            <v>0</v>
          </cell>
          <cell r="F325">
            <v>0</v>
          </cell>
          <cell r="G325"/>
          <cell r="H325">
            <v>0</v>
          </cell>
          <cell r="I325">
            <v>0</v>
          </cell>
          <cell r="J325">
            <v>0</v>
          </cell>
          <cell r="K325">
            <v>0</v>
          </cell>
          <cell r="L325">
            <v>110020</v>
          </cell>
          <cell r="M325">
            <v>1</v>
          </cell>
          <cell r="N325">
            <v>0</v>
          </cell>
          <cell r="O325">
            <v>0</v>
          </cell>
          <cell r="P325">
            <v>0</v>
          </cell>
          <cell r="Q325">
            <v>0</v>
          </cell>
          <cell r="R325">
            <v>0</v>
          </cell>
          <cell r="S325">
            <v>0</v>
          </cell>
        </row>
        <row r="326">
          <cell r="A326">
            <v>110025</v>
          </cell>
          <cell r="B326" t="str">
            <v>Automobile-Emp Vehicle Policy</v>
          </cell>
          <cell r="C326">
            <v>0</v>
          </cell>
          <cell r="D326">
            <v>0</v>
          </cell>
          <cell r="E326">
            <v>0</v>
          </cell>
          <cell r="F326">
            <v>0</v>
          </cell>
          <cell r="G326"/>
          <cell r="H326">
            <v>0</v>
          </cell>
          <cell r="I326">
            <v>0</v>
          </cell>
          <cell r="J326">
            <v>0</v>
          </cell>
          <cell r="K326">
            <v>0</v>
          </cell>
          <cell r="L326">
            <v>110025</v>
          </cell>
          <cell r="M326">
            <v>1</v>
          </cell>
          <cell r="N326">
            <v>0</v>
          </cell>
          <cell r="O326">
            <v>0</v>
          </cell>
          <cell r="P326">
            <v>0</v>
          </cell>
          <cell r="Q326">
            <v>0</v>
          </cell>
          <cell r="R326">
            <v>0</v>
          </cell>
          <cell r="S326">
            <v>0</v>
          </cell>
        </row>
        <row r="327">
          <cell r="A327">
            <v>110030</v>
          </cell>
          <cell r="B327" t="str">
            <v>Computer Equipment</v>
          </cell>
          <cell r="C327">
            <v>0</v>
          </cell>
          <cell r="D327">
            <v>0</v>
          </cell>
          <cell r="E327">
            <v>0</v>
          </cell>
          <cell r="F327">
            <v>0</v>
          </cell>
          <cell r="G327"/>
          <cell r="H327">
            <v>0</v>
          </cell>
          <cell r="I327">
            <v>0</v>
          </cell>
          <cell r="J327">
            <v>0</v>
          </cell>
          <cell r="K327">
            <v>0</v>
          </cell>
          <cell r="L327">
            <v>110030</v>
          </cell>
          <cell r="M327">
            <v>1</v>
          </cell>
          <cell r="N327">
            <v>0</v>
          </cell>
          <cell r="O327">
            <v>0</v>
          </cell>
          <cell r="P327">
            <v>13485280</v>
          </cell>
          <cell r="Q327">
            <v>-13485280</v>
          </cell>
          <cell r="R327">
            <v>0</v>
          </cell>
          <cell r="S327">
            <v>0</v>
          </cell>
        </row>
        <row r="328">
          <cell r="A328">
            <v>110031</v>
          </cell>
          <cell r="B328" t="str">
            <v>CWIP – Computers</v>
          </cell>
          <cell r="C328">
            <v>0</v>
          </cell>
          <cell r="D328">
            <v>0</v>
          </cell>
          <cell r="E328">
            <v>0</v>
          </cell>
          <cell r="F328">
            <v>0</v>
          </cell>
          <cell r="G328"/>
          <cell r="H328">
            <v>0</v>
          </cell>
          <cell r="I328">
            <v>0</v>
          </cell>
          <cell r="J328">
            <v>0</v>
          </cell>
          <cell r="K328">
            <v>0</v>
          </cell>
          <cell r="L328">
            <v>110031</v>
          </cell>
          <cell r="M328">
            <v>1</v>
          </cell>
          <cell r="N328">
            <v>0</v>
          </cell>
          <cell r="O328">
            <v>0</v>
          </cell>
          <cell r="P328">
            <v>0</v>
          </cell>
          <cell r="Q328">
            <v>0</v>
          </cell>
          <cell r="R328">
            <v>0</v>
          </cell>
          <cell r="S328">
            <v>0</v>
          </cell>
        </row>
        <row r="329">
          <cell r="A329">
            <v>110035</v>
          </cell>
          <cell r="B329" t="str">
            <v>Office Building</v>
          </cell>
          <cell r="C329">
            <v>0</v>
          </cell>
          <cell r="D329">
            <v>0</v>
          </cell>
          <cell r="E329">
            <v>0</v>
          </cell>
          <cell r="F329">
            <v>0</v>
          </cell>
          <cell r="G329"/>
          <cell r="H329">
            <v>0</v>
          </cell>
          <cell r="I329">
            <v>0</v>
          </cell>
          <cell r="J329">
            <v>0</v>
          </cell>
          <cell r="K329">
            <v>0</v>
          </cell>
          <cell r="L329">
            <v>110035</v>
          </cell>
          <cell r="M329">
            <v>1</v>
          </cell>
          <cell r="N329">
            <v>0</v>
          </cell>
          <cell r="O329">
            <v>0</v>
          </cell>
          <cell r="P329">
            <v>0</v>
          </cell>
          <cell r="Q329">
            <v>0</v>
          </cell>
          <cell r="R329">
            <v>0</v>
          </cell>
          <cell r="S329">
            <v>0</v>
          </cell>
        </row>
        <row r="330">
          <cell r="A330">
            <v>110040</v>
          </cell>
          <cell r="B330" t="str">
            <v>Furniture and Fixtures</v>
          </cell>
          <cell r="C330">
            <v>0</v>
          </cell>
          <cell r="D330">
            <v>0</v>
          </cell>
          <cell r="E330">
            <v>0</v>
          </cell>
          <cell r="F330">
            <v>0</v>
          </cell>
          <cell r="G330"/>
          <cell r="H330">
            <v>0</v>
          </cell>
          <cell r="I330">
            <v>0</v>
          </cell>
          <cell r="J330">
            <v>0</v>
          </cell>
          <cell r="K330">
            <v>0</v>
          </cell>
          <cell r="L330">
            <v>110040</v>
          </cell>
          <cell r="M330">
            <v>1</v>
          </cell>
          <cell r="N330">
            <v>0</v>
          </cell>
          <cell r="O330">
            <v>0</v>
          </cell>
          <cell r="P330">
            <v>0</v>
          </cell>
          <cell r="Q330">
            <v>0</v>
          </cell>
          <cell r="R330">
            <v>0</v>
          </cell>
          <cell r="S330">
            <v>0</v>
          </cell>
        </row>
        <row r="331">
          <cell r="A331">
            <v>110050</v>
          </cell>
          <cell r="B331" t="str">
            <v>Leasehold Improvements</v>
          </cell>
          <cell r="C331">
            <v>0</v>
          </cell>
          <cell r="D331">
            <v>0</v>
          </cell>
          <cell r="E331">
            <v>0</v>
          </cell>
          <cell r="F331">
            <v>0</v>
          </cell>
          <cell r="G331"/>
          <cell r="H331">
            <v>0</v>
          </cell>
          <cell r="I331">
            <v>0</v>
          </cell>
          <cell r="J331">
            <v>0</v>
          </cell>
          <cell r="K331">
            <v>0</v>
          </cell>
          <cell r="L331">
            <v>110050</v>
          </cell>
          <cell r="M331">
            <v>1</v>
          </cell>
          <cell r="N331">
            <v>0</v>
          </cell>
          <cell r="O331">
            <v>0</v>
          </cell>
          <cell r="P331">
            <v>0</v>
          </cell>
          <cell r="Q331">
            <v>0</v>
          </cell>
          <cell r="R331">
            <v>0</v>
          </cell>
          <cell r="S331">
            <v>0</v>
          </cell>
        </row>
        <row r="332">
          <cell r="A332">
            <v>110055</v>
          </cell>
          <cell r="B332" t="str">
            <v>Leasehold Land - GDC</v>
          </cell>
          <cell r="C332">
            <v>0</v>
          </cell>
          <cell r="D332">
            <v>0</v>
          </cell>
          <cell r="E332">
            <v>0</v>
          </cell>
          <cell r="F332">
            <v>0</v>
          </cell>
          <cell r="G332"/>
          <cell r="H332">
            <v>0</v>
          </cell>
          <cell r="I332">
            <v>0</v>
          </cell>
          <cell r="J332">
            <v>0</v>
          </cell>
          <cell r="K332">
            <v>0</v>
          </cell>
          <cell r="L332">
            <v>110055</v>
          </cell>
          <cell r="M332">
            <v>1</v>
          </cell>
          <cell r="N332">
            <v>0</v>
          </cell>
          <cell r="O332">
            <v>0</v>
          </cell>
          <cell r="P332">
            <v>0</v>
          </cell>
          <cell r="Q332">
            <v>0</v>
          </cell>
          <cell r="R332">
            <v>0</v>
          </cell>
          <cell r="S332">
            <v>0</v>
          </cell>
        </row>
        <row r="333">
          <cell r="A333">
            <v>110060</v>
          </cell>
          <cell r="B333" t="str">
            <v>Communications Equipment</v>
          </cell>
          <cell r="C333">
            <v>0</v>
          </cell>
          <cell r="D333">
            <v>0</v>
          </cell>
          <cell r="E333">
            <v>0</v>
          </cell>
          <cell r="F333">
            <v>0</v>
          </cell>
          <cell r="G333"/>
          <cell r="H333">
            <v>0</v>
          </cell>
          <cell r="I333">
            <v>0</v>
          </cell>
          <cell r="J333">
            <v>0</v>
          </cell>
          <cell r="K333">
            <v>0</v>
          </cell>
          <cell r="L333">
            <v>110060</v>
          </cell>
          <cell r="M333">
            <v>1</v>
          </cell>
          <cell r="N333">
            <v>0</v>
          </cell>
          <cell r="O333">
            <v>0</v>
          </cell>
          <cell r="P333">
            <v>0</v>
          </cell>
          <cell r="Q333">
            <v>0</v>
          </cell>
          <cell r="R333">
            <v>0</v>
          </cell>
          <cell r="S333">
            <v>0</v>
          </cell>
        </row>
        <row r="334">
          <cell r="A334">
            <v>110061</v>
          </cell>
          <cell r="B334" t="str">
            <v>Air Conditioners</v>
          </cell>
          <cell r="C334">
            <v>0</v>
          </cell>
          <cell r="D334">
            <v>0</v>
          </cell>
          <cell r="E334">
            <v>0</v>
          </cell>
          <cell r="F334">
            <v>0</v>
          </cell>
          <cell r="G334"/>
          <cell r="H334">
            <v>0</v>
          </cell>
          <cell r="I334">
            <v>0</v>
          </cell>
          <cell r="J334">
            <v>0</v>
          </cell>
          <cell r="K334">
            <v>0</v>
          </cell>
          <cell r="L334">
            <v>110061</v>
          </cell>
          <cell r="M334">
            <v>1</v>
          </cell>
          <cell r="N334">
            <v>0</v>
          </cell>
          <cell r="O334">
            <v>0</v>
          </cell>
          <cell r="P334">
            <v>0</v>
          </cell>
          <cell r="Q334">
            <v>0</v>
          </cell>
          <cell r="R334">
            <v>0</v>
          </cell>
          <cell r="S334">
            <v>0</v>
          </cell>
        </row>
        <row r="335">
          <cell r="A335">
            <v>110062</v>
          </cell>
          <cell r="B335" t="str">
            <v>Electrical Equipments</v>
          </cell>
          <cell r="C335">
            <v>0</v>
          </cell>
          <cell r="D335">
            <v>0</v>
          </cell>
          <cell r="E335">
            <v>0</v>
          </cell>
          <cell r="F335">
            <v>0</v>
          </cell>
          <cell r="G335"/>
          <cell r="H335">
            <v>0</v>
          </cell>
          <cell r="I335">
            <v>0</v>
          </cell>
          <cell r="J335">
            <v>0</v>
          </cell>
          <cell r="K335">
            <v>0</v>
          </cell>
          <cell r="L335">
            <v>110062</v>
          </cell>
          <cell r="M335">
            <v>1</v>
          </cell>
          <cell r="N335">
            <v>0</v>
          </cell>
          <cell r="O335">
            <v>0</v>
          </cell>
          <cell r="P335">
            <v>0</v>
          </cell>
          <cell r="Q335">
            <v>0</v>
          </cell>
          <cell r="R335">
            <v>0</v>
          </cell>
          <cell r="S335">
            <v>0</v>
          </cell>
        </row>
        <row r="336">
          <cell r="A336">
            <v>110063</v>
          </cell>
          <cell r="B336" t="str">
            <v>Electrical Fittings</v>
          </cell>
          <cell r="C336">
            <v>0</v>
          </cell>
          <cell r="D336">
            <v>0</v>
          </cell>
          <cell r="E336">
            <v>0</v>
          </cell>
          <cell r="F336">
            <v>0</v>
          </cell>
          <cell r="G336"/>
          <cell r="H336">
            <v>0</v>
          </cell>
          <cell r="I336">
            <v>0</v>
          </cell>
          <cell r="J336">
            <v>0</v>
          </cell>
          <cell r="K336">
            <v>0</v>
          </cell>
          <cell r="L336">
            <v>110063</v>
          </cell>
          <cell r="M336">
            <v>1</v>
          </cell>
          <cell r="N336">
            <v>0</v>
          </cell>
          <cell r="O336">
            <v>0</v>
          </cell>
          <cell r="P336">
            <v>0</v>
          </cell>
          <cell r="Q336">
            <v>0</v>
          </cell>
          <cell r="R336">
            <v>0</v>
          </cell>
          <cell r="S336">
            <v>0</v>
          </cell>
        </row>
        <row r="337">
          <cell r="A337">
            <v>110064</v>
          </cell>
          <cell r="B337" t="str">
            <v>Office Equipments</v>
          </cell>
          <cell r="C337">
            <v>0</v>
          </cell>
          <cell r="D337">
            <v>0</v>
          </cell>
          <cell r="E337">
            <v>0</v>
          </cell>
          <cell r="F337">
            <v>0</v>
          </cell>
          <cell r="G337"/>
          <cell r="H337">
            <v>0</v>
          </cell>
          <cell r="I337">
            <v>0</v>
          </cell>
          <cell r="J337">
            <v>0</v>
          </cell>
          <cell r="K337">
            <v>0</v>
          </cell>
          <cell r="L337">
            <v>110064</v>
          </cell>
          <cell r="M337">
            <v>1</v>
          </cell>
          <cell r="N337">
            <v>0</v>
          </cell>
          <cell r="O337">
            <v>0</v>
          </cell>
          <cell r="P337">
            <v>72924</v>
          </cell>
          <cell r="Q337">
            <v>-72924</v>
          </cell>
          <cell r="R337">
            <v>0</v>
          </cell>
          <cell r="S337">
            <v>0</v>
          </cell>
        </row>
        <row r="338">
          <cell r="A338">
            <v>110065</v>
          </cell>
          <cell r="B338" t="str">
            <v>Residential Property</v>
          </cell>
          <cell r="C338">
            <v>0</v>
          </cell>
          <cell r="D338">
            <v>0</v>
          </cell>
          <cell r="E338">
            <v>0</v>
          </cell>
          <cell r="F338">
            <v>0</v>
          </cell>
          <cell r="G338"/>
          <cell r="H338">
            <v>0</v>
          </cell>
          <cell r="I338">
            <v>0</v>
          </cell>
          <cell r="J338">
            <v>0</v>
          </cell>
          <cell r="K338">
            <v>0</v>
          </cell>
          <cell r="L338">
            <v>110065</v>
          </cell>
          <cell r="M338">
            <v>1</v>
          </cell>
          <cell r="N338">
            <v>0</v>
          </cell>
          <cell r="O338">
            <v>0</v>
          </cell>
          <cell r="P338">
            <v>0</v>
          </cell>
          <cell r="Q338">
            <v>0</v>
          </cell>
          <cell r="R338">
            <v>0</v>
          </cell>
          <cell r="S338">
            <v>0</v>
          </cell>
        </row>
        <row r="339">
          <cell r="A339">
            <v>110066</v>
          </cell>
          <cell r="B339" t="str">
            <v>CWIP – Air Conditioners</v>
          </cell>
          <cell r="C339">
            <v>0</v>
          </cell>
          <cell r="D339">
            <v>0</v>
          </cell>
          <cell r="E339">
            <v>0</v>
          </cell>
          <cell r="F339">
            <v>0</v>
          </cell>
          <cell r="G339"/>
          <cell r="H339">
            <v>0</v>
          </cell>
          <cell r="I339">
            <v>0</v>
          </cell>
          <cell r="J339">
            <v>0</v>
          </cell>
          <cell r="K339">
            <v>0</v>
          </cell>
          <cell r="L339">
            <v>110066</v>
          </cell>
          <cell r="M339">
            <v>1</v>
          </cell>
          <cell r="N339">
            <v>0</v>
          </cell>
          <cell r="O339">
            <v>0</v>
          </cell>
          <cell r="P339">
            <v>0</v>
          </cell>
          <cell r="Q339">
            <v>0</v>
          </cell>
          <cell r="R339">
            <v>0</v>
          </cell>
          <cell r="S339">
            <v>0</v>
          </cell>
        </row>
        <row r="340">
          <cell r="A340">
            <v>110067</v>
          </cell>
          <cell r="B340" t="str">
            <v>CWIP – Electrical Fittings</v>
          </cell>
          <cell r="C340">
            <v>0</v>
          </cell>
          <cell r="D340">
            <v>0</v>
          </cell>
          <cell r="E340">
            <v>0</v>
          </cell>
          <cell r="F340">
            <v>0</v>
          </cell>
          <cell r="G340"/>
          <cell r="H340">
            <v>0</v>
          </cell>
          <cell r="I340">
            <v>0</v>
          </cell>
          <cell r="J340">
            <v>0</v>
          </cell>
          <cell r="K340">
            <v>0</v>
          </cell>
          <cell r="L340">
            <v>110067</v>
          </cell>
          <cell r="M340">
            <v>1</v>
          </cell>
          <cell r="N340">
            <v>0</v>
          </cell>
          <cell r="O340">
            <v>0</v>
          </cell>
          <cell r="P340">
            <v>0</v>
          </cell>
          <cell r="Q340">
            <v>0</v>
          </cell>
          <cell r="R340">
            <v>0</v>
          </cell>
          <cell r="S340">
            <v>0</v>
          </cell>
        </row>
        <row r="341">
          <cell r="A341">
            <v>110068</v>
          </cell>
          <cell r="B341" t="str">
            <v>CWIP – Office equipment</v>
          </cell>
          <cell r="C341">
            <v>0</v>
          </cell>
          <cell r="D341">
            <v>0</v>
          </cell>
          <cell r="E341">
            <v>0</v>
          </cell>
          <cell r="F341">
            <v>0</v>
          </cell>
          <cell r="G341"/>
          <cell r="H341">
            <v>0</v>
          </cell>
          <cell r="I341">
            <v>0</v>
          </cell>
          <cell r="J341">
            <v>0</v>
          </cell>
          <cell r="K341">
            <v>0</v>
          </cell>
          <cell r="L341">
            <v>110068</v>
          </cell>
          <cell r="M341">
            <v>1</v>
          </cell>
          <cell r="N341">
            <v>0</v>
          </cell>
          <cell r="O341">
            <v>0</v>
          </cell>
          <cell r="P341">
            <v>0</v>
          </cell>
          <cell r="Q341">
            <v>0</v>
          </cell>
          <cell r="R341">
            <v>0</v>
          </cell>
          <cell r="S341">
            <v>0</v>
          </cell>
        </row>
        <row r="342">
          <cell r="A342">
            <v>110070</v>
          </cell>
          <cell r="B342" t="str">
            <v>Capitalized Software</v>
          </cell>
          <cell r="C342">
            <v>0.48000000044703484</v>
          </cell>
          <cell r="D342">
            <v>0</v>
          </cell>
          <cell r="E342">
            <v>0</v>
          </cell>
          <cell r="F342">
            <v>0.48000000044703484</v>
          </cell>
          <cell r="G342"/>
          <cell r="H342">
            <v>0.48000000044703484</v>
          </cell>
          <cell r="I342">
            <v>0</v>
          </cell>
          <cell r="J342">
            <v>0</v>
          </cell>
          <cell r="K342">
            <v>0.48000000044703484</v>
          </cell>
          <cell r="L342">
            <v>110070</v>
          </cell>
          <cell r="M342">
            <v>1</v>
          </cell>
          <cell r="N342">
            <v>0</v>
          </cell>
          <cell r="O342">
            <v>0</v>
          </cell>
          <cell r="P342">
            <v>6846730.4800000004</v>
          </cell>
          <cell r="Q342">
            <v>-6846730</v>
          </cell>
          <cell r="R342">
            <v>0</v>
          </cell>
          <cell r="S342">
            <v>0</v>
          </cell>
        </row>
        <row r="343">
          <cell r="A343">
            <v>110080</v>
          </cell>
          <cell r="B343" t="str">
            <v>Captilized Dev Costs-P/Soft</v>
          </cell>
          <cell r="C343">
            <v>0</v>
          </cell>
          <cell r="D343">
            <v>0</v>
          </cell>
          <cell r="E343">
            <v>0</v>
          </cell>
          <cell r="F343">
            <v>0</v>
          </cell>
          <cell r="G343"/>
          <cell r="H343">
            <v>0</v>
          </cell>
          <cell r="I343">
            <v>0</v>
          </cell>
          <cell r="J343">
            <v>0</v>
          </cell>
          <cell r="K343">
            <v>0</v>
          </cell>
          <cell r="L343">
            <v>110080</v>
          </cell>
          <cell r="M343">
            <v>1</v>
          </cell>
          <cell r="N343">
            <v>0</v>
          </cell>
          <cell r="O343">
            <v>0</v>
          </cell>
          <cell r="P343">
            <v>0</v>
          </cell>
          <cell r="Q343">
            <v>0</v>
          </cell>
          <cell r="R343">
            <v>0</v>
          </cell>
          <cell r="S343">
            <v>0</v>
          </cell>
        </row>
        <row r="344">
          <cell r="A344">
            <v>110085</v>
          </cell>
          <cell r="B344" t="str">
            <v>Capitalized Dev Costs-skillbay</v>
          </cell>
          <cell r="C344">
            <v>0</v>
          </cell>
          <cell r="D344">
            <v>0</v>
          </cell>
          <cell r="E344">
            <v>0</v>
          </cell>
          <cell r="F344">
            <v>0</v>
          </cell>
          <cell r="G344"/>
          <cell r="H344">
            <v>0</v>
          </cell>
          <cell r="I344">
            <v>0</v>
          </cell>
          <cell r="J344">
            <v>0</v>
          </cell>
          <cell r="K344">
            <v>0</v>
          </cell>
          <cell r="L344">
            <v>110085</v>
          </cell>
          <cell r="M344">
            <v>1</v>
          </cell>
          <cell r="N344">
            <v>0</v>
          </cell>
          <cell r="O344">
            <v>0</v>
          </cell>
          <cell r="P344">
            <v>0</v>
          </cell>
          <cell r="Q344">
            <v>0</v>
          </cell>
          <cell r="R344">
            <v>0</v>
          </cell>
          <cell r="S344">
            <v>0</v>
          </cell>
        </row>
        <row r="345">
          <cell r="A345">
            <v>110089</v>
          </cell>
          <cell r="B345" t="str">
            <v>CWIP - Computer Software</v>
          </cell>
          <cell r="C345">
            <v>0</v>
          </cell>
          <cell r="D345">
            <v>0</v>
          </cell>
          <cell r="E345">
            <v>0</v>
          </cell>
          <cell r="F345">
            <v>0</v>
          </cell>
          <cell r="G345"/>
          <cell r="H345">
            <v>0</v>
          </cell>
          <cell r="I345">
            <v>0</v>
          </cell>
          <cell r="J345">
            <v>0</v>
          </cell>
          <cell r="K345">
            <v>0</v>
          </cell>
          <cell r="L345">
            <v>110089</v>
          </cell>
          <cell r="M345">
            <v>1</v>
          </cell>
          <cell r="N345">
            <v>0</v>
          </cell>
          <cell r="O345">
            <v>0</v>
          </cell>
          <cell r="P345">
            <v>0</v>
          </cell>
          <cell r="Q345">
            <v>0</v>
          </cell>
          <cell r="R345">
            <v>0</v>
          </cell>
          <cell r="S345">
            <v>0</v>
          </cell>
        </row>
        <row r="346">
          <cell r="A346">
            <v>110090</v>
          </cell>
          <cell r="B346" t="str">
            <v xml:space="preserve">Metier Fixed Assets           </v>
          </cell>
          <cell r="C346">
            <v>0</v>
          </cell>
          <cell r="D346">
            <v>0</v>
          </cell>
          <cell r="E346">
            <v>0</v>
          </cell>
          <cell r="F346">
            <v>0</v>
          </cell>
          <cell r="G346"/>
          <cell r="H346">
            <v>0</v>
          </cell>
          <cell r="I346">
            <v>0</v>
          </cell>
          <cell r="J346">
            <v>0</v>
          </cell>
          <cell r="K346">
            <v>0</v>
          </cell>
          <cell r="L346">
            <v>110090</v>
          </cell>
          <cell r="M346">
            <v>1</v>
          </cell>
          <cell r="N346">
            <v>0</v>
          </cell>
          <cell r="O346">
            <v>0</v>
          </cell>
          <cell r="P346">
            <v>0</v>
          </cell>
          <cell r="Q346">
            <v>0</v>
          </cell>
          <cell r="R346">
            <v>0</v>
          </cell>
          <cell r="S346">
            <v>0</v>
          </cell>
        </row>
        <row r="347">
          <cell r="A347">
            <v>110091</v>
          </cell>
          <cell r="B347" t="str">
            <v>Capital work in Progress - GDC</v>
          </cell>
          <cell r="C347">
            <v>0</v>
          </cell>
          <cell r="D347">
            <v>0</v>
          </cell>
          <cell r="E347">
            <v>0</v>
          </cell>
          <cell r="F347">
            <v>0</v>
          </cell>
          <cell r="G347"/>
          <cell r="H347">
            <v>0</v>
          </cell>
          <cell r="I347">
            <v>0</v>
          </cell>
          <cell r="J347">
            <v>0</v>
          </cell>
          <cell r="K347">
            <v>0</v>
          </cell>
          <cell r="L347">
            <v>110091</v>
          </cell>
          <cell r="M347">
            <v>1</v>
          </cell>
          <cell r="N347">
            <v>0</v>
          </cell>
          <cell r="O347">
            <v>0</v>
          </cell>
          <cell r="P347">
            <v>0</v>
          </cell>
          <cell r="Q347">
            <v>0</v>
          </cell>
          <cell r="R347">
            <v>0</v>
          </cell>
          <cell r="S347">
            <v>0</v>
          </cell>
        </row>
        <row r="348">
          <cell r="A348">
            <v>110092</v>
          </cell>
          <cell r="B348" t="str">
            <v>Capital Advances-Regrouped</v>
          </cell>
          <cell r="C348">
            <v>0</v>
          </cell>
          <cell r="D348">
            <v>0</v>
          </cell>
          <cell r="E348">
            <v>0</v>
          </cell>
          <cell r="F348">
            <v>0</v>
          </cell>
          <cell r="G348"/>
          <cell r="H348">
            <v>0</v>
          </cell>
          <cell r="I348">
            <v>0</v>
          </cell>
          <cell r="J348">
            <v>0</v>
          </cell>
          <cell r="K348">
            <v>0</v>
          </cell>
          <cell r="L348">
            <v>110092</v>
          </cell>
          <cell r="M348">
            <v>1</v>
          </cell>
          <cell r="N348">
            <v>0</v>
          </cell>
          <cell r="O348">
            <v>0</v>
          </cell>
          <cell r="P348">
            <v>0</v>
          </cell>
          <cell r="Q348">
            <v>0</v>
          </cell>
          <cell r="R348">
            <v>0</v>
          </cell>
          <cell r="S348">
            <v>0</v>
          </cell>
        </row>
        <row r="349">
          <cell r="A349">
            <v>110093</v>
          </cell>
          <cell r="B349" t="str">
            <v>Capital work in Progress</v>
          </cell>
          <cell r="C349">
            <v>0</v>
          </cell>
          <cell r="D349">
            <v>0</v>
          </cell>
          <cell r="E349">
            <v>0</v>
          </cell>
          <cell r="F349">
            <v>0</v>
          </cell>
          <cell r="G349"/>
          <cell r="H349">
            <v>0</v>
          </cell>
          <cell r="I349">
            <v>0</v>
          </cell>
          <cell r="J349">
            <v>0</v>
          </cell>
          <cell r="K349">
            <v>0</v>
          </cell>
          <cell r="L349">
            <v>110093</v>
          </cell>
          <cell r="M349">
            <v>1</v>
          </cell>
          <cell r="N349">
            <v>0</v>
          </cell>
          <cell r="O349">
            <v>0</v>
          </cell>
          <cell r="P349">
            <v>0</v>
          </cell>
          <cell r="Q349">
            <v>0</v>
          </cell>
          <cell r="R349">
            <v>0</v>
          </cell>
          <cell r="S349">
            <v>0</v>
          </cell>
        </row>
        <row r="350">
          <cell r="A350">
            <v>110094</v>
          </cell>
          <cell r="B350" t="str">
            <v>CWIP - Communication equipment</v>
          </cell>
          <cell r="C350">
            <v>0</v>
          </cell>
          <cell r="D350">
            <v>0</v>
          </cell>
          <cell r="E350">
            <v>0</v>
          </cell>
          <cell r="F350">
            <v>0</v>
          </cell>
          <cell r="G350"/>
          <cell r="H350">
            <v>0</v>
          </cell>
          <cell r="I350">
            <v>0</v>
          </cell>
          <cell r="J350">
            <v>0</v>
          </cell>
          <cell r="K350">
            <v>0</v>
          </cell>
          <cell r="L350">
            <v>110094</v>
          </cell>
          <cell r="M350">
            <v>1</v>
          </cell>
          <cell r="N350">
            <v>0</v>
          </cell>
          <cell r="O350">
            <v>0</v>
          </cell>
          <cell r="P350">
            <v>0</v>
          </cell>
          <cell r="Q350">
            <v>0</v>
          </cell>
          <cell r="R350">
            <v>0</v>
          </cell>
          <cell r="S350">
            <v>0</v>
          </cell>
        </row>
        <row r="351">
          <cell r="A351">
            <v>110095</v>
          </cell>
          <cell r="B351" t="str">
            <v>IMG Fixed Assets</v>
          </cell>
          <cell r="C351">
            <v>0</v>
          </cell>
          <cell r="D351">
            <v>0</v>
          </cell>
          <cell r="E351">
            <v>0</v>
          </cell>
          <cell r="F351">
            <v>0</v>
          </cell>
          <cell r="G351"/>
          <cell r="H351">
            <v>0</v>
          </cell>
          <cell r="I351">
            <v>0</v>
          </cell>
          <cell r="J351">
            <v>0</v>
          </cell>
          <cell r="K351">
            <v>0</v>
          </cell>
          <cell r="L351">
            <v>110095</v>
          </cell>
          <cell r="M351">
            <v>1</v>
          </cell>
          <cell r="N351">
            <v>0</v>
          </cell>
          <cell r="O351">
            <v>0</v>
          </cell>
          <cell r="P351">
            <v>0</v>
          </cell>
          <cell r="Q351">
            <v>0</v>
          </cell>
          <cell r="R351">
            <v>0</v>
          </cell>
          <cell r="S351">
            <v>0</v>
          </cell>
        </row>
        <row r="352">
          <cell r="A352">
            <v>110096</v>
          </cell>
          <cell r="B352" t="str">
            <v>CWIP - Electrical equipments</v>
          </cell>
          <cell r="C352">
            <v>0</v>
          </cell>
          <cell r="D352">
            <v>0</v>
          </cell>
          <cell r="E352">
            <v>0</v>
          </cell>
          <cell r="F352">
            <v>0</v>
          </cell>
          <cell r="G352"/>
          <cell r="H352">
            <v>0</v>
          </cell>
          <cell r="I352">
            <v>0</v>
          </cell>
          <cell r="J352">
            <v>0</v>
          </cell>
          <cell r="K352">
            <v>0</v>
          </cell>
          <cell r="L352">
            <v>110096</v>
          </cell>
          <cell r="M352">
            <v>1</v>
          </cell>
          <cell r="N352">
            <v>0</v>
          </cell>
          <cell r="O352">
            <v>0</v>
          </cell>
          <cell r="P352">
            <v>0</v>
          </cell>
          <cell r="Q352">
            <v>0</v>
          </cell>
          <cell r="R352">
            <v>0</v>
          </cell>
          <cell r="S352">
            <v>0</v>
          </cell>
        </row>
        <row r="353">
          <cell r="A353">
            <v>110097</v>
          </cell>
          <cell r="B353" t="str">
            <v>CWIP - Furniture &amp; Fixtures</v>
          </cell>
          <cell r="C353">
            <v>0</v>
          </cell>
          <cell r="D353">
            <v>0</v>
          </cell>
          <cell r="E353">
            <v>0</v>
          </cell>
          <cell r="F353">
            <v>0</v>
          </cell>
          <cell r="G353"/>
          <cell r="H353">
            <v>0</v>
          </cell>
          <cell r="I353">
            <v>0</v>
          </cell>
          <cell r="J353">
            <v>0</v>
          </cell>
          <cell r="K353">
            <v>0</v>
          </cell>
          <cell r="L353">
            <v>110097</v>
          </cell>
          <cell r="M353">
            <v>1</v>
          </cell>
          <cell r="N353">
            <v>0</v>
          </cell>
          <cell r="O353">
            <v>0</v>
          </cell>
          <cell r="P353">
            <v>0</v>
          </cell>
          <cell r="Q353">
            <v>0</v>
          </cell>
          <cell r="R353">
            <v>0</v>
          </cell>
          <cell r="S353">
            <v>0</v>
          </cell>
        </row>
        <row r="354">
          <cell r="A354">
            <v>110099</v>
          </cell>
          <cell r="B354" t="str">
            <v>CWIP - Buildings</v>
          </cell>
          <cell r="C354">
            <v>0</v>
          </cell>
          <cell r="D354">
            <v>0</v>
          </cell>
          <cell r="E354">
            <v>0</v>
          </cell>
          <cell r="F354">
            <v>0</v>
          </cell>
          <cell r="G354"/>
          <cell r="H354">
            <v>0</v>
          </cell>
          <cell r="I354">
            <v>0</v>
          </cell>
          <cell r="J354">
            <v>0</v>
          </cell>
          <cell r="K354">
            <v>0</v>
          </cell>
          <cell r="L354">
            <v>110099</v>
          </cell>
          <cell r="M354">
            <v>1</v>
          </cell>
          <cell r="N354">
            <v>0</v>
          </cell>
          <cell r="O354">
            <v>0</v>
          </cell>
          <cell r="P354">
            <v>0</v>
          </cell>
          <cell r="Q354">
            <v>0</v>
          </cell>
          <cell r="R354">
            <v>0</v>
          </cell>
          <cell r="S354">
            <v>0</v>
          </cell>
        </row>
        <row r="355">
          <cell r="A355">
            <v>110098</v>
          </cell>
          <cell r="B355" t="str">
            <v>CWIP - Leasehold Improvements</v>
          </cell>
          <cell r="C355">
            <v>0</v>
          </cell>
          <cell r="D355">
            <v>0</v>
          </cell>
          <cell r="E355">
            <v>0</v>
          </cell>
          <cell r="F355">
            <v>0</v>
          </cell>
          <cell r="G355"/>
          <cell r="H355">
            <v>0</v>
          </cell>
          <cell r="I355">
            <v>0</v>
          </cell>
          <cell r="J355">
            <v>0</v>
          </cell>
          <cell r="K355">
            <v>0</v>
          </cell>
          <cell r="L355">
            <v>110098</v>
          </cell>
          <cell r="M355">
            <v>1</v>
          </cell>
          <cell r="N355">
            <v>0</v>
          </cell>
          <cell r="O355">
            <v>0</v>
          </cell>
          <cell r="P355">
            <v>0</v>
          </cell>
          <cell r="Q355">
            <v>0</v>
          </cell>
          <cell r="R355">
            <v>0</v>
          </cell>
          <cell r="S355">
            <v>0</v>
          </cell>
        </row>
        <row r="356">
          <cell r="A356">
            <v>110120</v>
          </cell>
          <cell r="B356" t="str">
            <v>Accumulated Dep-Automobile</v>
          </cell>
          <cell r="C356">
            <v>0</v>
          </cell>
          <cell r="D356">
            <v>0</v>
          </cell>
          <cell r="E356">
            <v>0</v>
          </cell>
          <cell r="F356">
            <v>0</v>
          </cell>
          <cell r="G356"/>
          <cell r="H356">
            <v>0</v>
          </cell>
          <cell r="I356">
            <v>0</v>
          </cell>
          <cell r="J356">
            <v>0</v>
          </cell>
          <cell r="K356">
            <v>0</v>
          </cell>
          <cell r="L356">
            <v>110120</v>
          </cell>
          <cell r="M356">
            <v>1</v>
          </cell>
          <cell r="N356">
            <v>0</v>
          </cell>
          <cell r="O356">
            <v>0</v>
          </cell>
          <cell r="P356">
            <v>0</v>
          </cell>
          <cell r="Q356">
            <v>0</v>
          </cell>
          <cell r="R356">
            <v>0</v>
          </cell>
          <cell r="S356">
            <v>0</v>
          </cell>
        </row>
        <row r="357">
          <cell r="A357">
            <v>110125</v>
          </cell>
          <cell r="B357" t="str">
            <v>Accumulat Dep-Auto-Emp Vehicle</v>
          </cell>
          <cell r="C357">
            <v>0</v>
          </cell>
          <cell r="D357">
            <v>0</v>
          </cell>
          <cell r="E357">
            <v>0</v>
          </cell>
          <cell r="F357">
            <v>0</v>
          </cell>
          <cell r="G357"/>
          <cell r="H357">
            <v>0</v>
          </cell>
          <cell r="I357">
            <v>0</v>
          </cell>
          <cell r="J357">
            <v>0</v>
          </cell>
          <cell r="K357">
            <v>0</v>
          </cell>
          <cell r="L357">
            <v>110125</v>
          </cell>
          <cell r="M357">
            <v>1</v>
          </cell>
          <cell r="N357">
            <v>0</v>
          </cell>
          <cell r="O357">
            <v>0</v>
          </cell>
          <cell r="P357">
            <v>0</v>
          </cell>
          <cell r="Q357">
            <v>0</v>
          </cell>
          <cell r="R357">
            <v>0</v>
          </cell>
          <cell r="S357">
            <v>0</v>
          </cell>
        </row>
        <row r="358">
          <cell r="A358">
            <v>110130</v>
          </cell>
          <cell r="B358" t="str">
            <v>Accumulated Dep-Computer</v>
          </cell>
          <cell r="C358">
            <v>0.37000000104308128</v>
          </cell>
          <cell r="D358">
            <v>0</v>
          </cell>
          <cell r="E358">
            <v>0</v>
          </cell>
          <cell r="F358">
            <v>0.37000000104308128</v>
          </cell>
          <cell r="G358"/>
          <cell r="H358">
            <v>0.37000000104308128</v>
          </cell>
          <cell r="I358">
            <v>0</v>
          </cell>
          <cell r="J358">
            <v>0</v>
          </cell>
          <cell r="K358">
            <v>0.37000000104308128</v>
          </cell>
          <cell r="L358">
            <v>110130</v>
          </cell>
          <cell r="M358">
            <v>1</v>
          </cell>
          <cell r="N358">
            <v>0</v>
          </cell>
          <cell r="O358">
            <v>0</v>
          </cell>
          <cell r="P358">
            <v>-13485280.629999999</v>
          </cell>
          <cell r="Q358">
            <v>13485281</v>
          </cell>
          <cell r="R358">
            <v>0</v>
          </cell>
          <cell r="S358">
            <v>0</v>
          </cell>
        </row>
        <row r="359">
          <cell r="A359">
            <v>110135</v>
          </cell>
          <cell r="B359" t="str">
            <v>Accum Depn - Office Building</v>
          </cell>
          <cell r="C359">
            <v>0</v>
          </cell>
          <cell r="D359">
            <v>0</v>
          </cell>
          <cell r="E359">
            <v>0</v>
          </cell>
          <cell r="F359">
            <v>0</v>
          </cell>
          <cell r="G359"/>
          <cell r="H359">
            <v>0</v>
          </cell>
          <cell r="I359">
            <v>0</v>
          </cell>
          <cell r="J359">
            <v>0</v>
          </cell>
          <cell r="K359">
            <v>0</v>
          </cell>
          <cell r="L359">
            <v>110135</v>
          </cell>
          <cell r="M359">
            <v>1</v>
          </cell>
          <cell r="N359">
            <v>0</v>
          </cell>
          <cell r="O359">
            <v>0</v>
          </cell>
          <cell r="P359">
            <v>0</v>
          </cell>
          <cell r="Q359">
            <v>0</v>
          </cell>
          <cell r="R359">
            <v>0</v>
          </cell>
          <cell r="S359">
            <v>0</v>
          </cell>
        </row>
        <row r="360">
          <cell r="A360">
            <v>110140</v>
          </cell>
          <cell r="B360" t="str">
            <v>Accumulated Dep-Furniture</v>
          </cell>
          <cell r="C360">
            <v>0</v>
          </cell>
          <cell r="D360">
            <v>0</v>
          </cell>
          <cell r="E360">
            <v>0</v>
          </cell>
          <cell r="F360">
            <v>0</v>
          </cell>
          <cell r="G360"/>
          <cell r="H360">
            <v>0</v>
          </cell>
          <cell r="I360">
            <v>0</v>
          </cell>
          <cell r="J360">
            <v>0</v>
          </cell>
          <cell r="K360">
            <v>0</v>
          </cell>
          <cell r="L360">
            <v>110140</v>
          </cell>
          <cell r="M360">
            <v>1</v>
          </cell>
          <cell r="N360">
            <v>0</v>
          </cell>
          <cell r="O360">
            <v>0</v>
          </cell>
          <cell r="P360">
            <v>0</v>
          </cell>
          <cell r="Q360">
            <v>0</v>
          </cell>
          <cell r="R360">
            <v>0</v>
          </cell>
          <cell r="S360">
            <v>0</v>
          </cell>
        </row>
        <row r="361">
          <cell r="A361">
            <v>110150</v>
          </cell>
          <cell r="B361" t="str">
            <v>Accumulated Dep-LHI</v>
          </cell>
          <cell r="C361">
            <v>0</v>
          </cell>
          <cell r="D361">
            <v>0</v>
          </cell>
          <cell r="E361">
            <v>0</v>
          </cell>
          <cell r="F361">
            <v>0</v>
          </cell>
          <cell r="G361"/>
          <cell r="H361">
            <v>0</v>
          </cell>
          <cell r="I361">
            <v>0</v>
          </cell>
          <cell r="J361">
            <v>0</v>
          </cell>
          <cell r="K361">
            <v>0</v>
          </cell>
          <cell r="L361">
            <v>110150</v>
          </cell>
          <cell r="M361">
            <v>1</v>
          </cell>
          <cell r="N361">
            <v>0</v>
          </cell>
          <cell r="O361">
            <v>0</v>
          </cell>
          <cell r="P361">
            <v>0</v>
          </cell>
          <cell r="Q361">
            <v>0</v>
          </cell>
          <cell r="R361">
            <v>0</v>
          </cell>
          <cell r="S361">
            <v>0</v>
          </cell>
        </row>
        <row r="362">
          <cell r="A362">
            <v>110155</v>
          </cell>
          <cell r="B362" t="str">
            <v>Accumulated Dep-LHLand</v>
          </cell>
          <cell r="C362">
            <v>0</v>
          </cell>
          <cell r="D362">
            <v>0</v>
          </cell>
          <cell r="E362">
            <v>0</v>
          </cell>
          <cell r="F362">
            <v>0</v>
          </cell>
          <cell r="G362"/>
          <cell r="H362">
            <v>0</v>
          </cell>
          <cell r="I362">
            <v>0</v>
          </cell>
          <cell r="J362">
            <v>0</v>
          </cell>
          <cell r="K362">
            <v>0</v>
          </cell>
          <cell r="L362">
            <v>110155</v>
          </cell>
          <cell r="M362">
            <v>1</v>
          </cell>
          <cell r="N362">
            <v>0</v>
          </cell>
          <cell r="O362">
            <v>0</v>
          </cell>
          <cell r="P362">
            <v>0</v>
          </cell>
          <cell r="Q362">
            <v>0</v>
          </cell>
          <cell r="R362">
            <v>0</v>
          </cell>
          <cell r="S362">
            <v>0</v>
          </cell>
        </row>
        <row r="363">
          <cell r="A363">
            <v>110160</v>
          </cell>
          <cell r="B363" t="str">
            <v>Accumulated Dep-Comm.Eq.</v>
          </cell>
          <cell r="C363">
            <v>0</v>
          </cell>
          <cell r="D363">
            <v>0</v>
          </cell>
          <cell r="E363">
            <v>0</v>
          </cell>
          <cell r="F363">
            <v>0</v>
          </cell>
          <cell r="G363"/>
          <cell r="H363">
            <v>0</v>
          </cell>
          <cell r="I363">
            <v>0</v>
          </cell>
          <cell r="J363">
            <v>0</v>
          </cell>
          <cell r="K363">
            <v>0</v>
          </cell>
          <cell r="L363">
            <v>110160</v>
          </cell>
          <cell r="M363">
            <v>1</v>
          </cell>
          <cell r="N363">
            <v>0</v>
          </cell>
          <cell r="O363">
            <v>0</v>
          </cell>
          <cell r="P363">
            <v>0</v>
          </cell>
          <cell r="Q363">
            <v>0</v>
          </cell>
          <cell r="R363">
            <v>0</v>
          </cell>
          <cell r="S363">
            <v>0</v>
          </cell>
        </row>
        <row r="364">
          <cell r="A364">
            <v>110161</v>
          </cell>
          <cell r="B364" t="str">
            <v>Accumulated Dep-Air Con.</v>
          </cell>
          <cell r="C364">
            <v>0</v>
          </cell>
          <cell r="D364">
            <v>0</v>
          </cell>
          <cell r="E364">
            <v>0</v>
          </cell>
          <cell r="F364">
            <v>0</v>
          </cell>
          <cell r="G364"/>
          <cell r="H364">
            <v>0</v>
          </cell>
          <cell r="I364">
            <v>0</v>
          </cell>
          <cell r="J364">
            <v>0</v>
          </cell>
          <cell r="K364">
            <v>0</v>
          </cell>
          <cell r="L364">
            <v>110161</v>
          </cell>
          <cell r="M364">
            <v>1</v>
          </cell>
          <cell r="N364">
            <v>0</v>
          </cell>
          <cell r="O364">
            <v>0</v>
          </cell>
          <cell r="P364">
            <v>0</v>
          </cell>
          <cell r="Q364">
            <v>0</v>
          </cell>
          <cell r="R364">
            <v>0</v>
          </cell>
          <cell r="S364">
            <v>0</v>
          </cell>
        </row>
        <row r="365">
          <cell r="A365">
            <v>110162</v>
          </cell>
          <cell r="B365" t="str">
            <v>Accumulated Dep-Elec. Eq.</v>
          </cell>
          <cell r="C365">
            <v>0</v>
          </cell>
          <cell r="D365">
            <v>0</v>
          </cell>
          <cell r="E365">
            <v>0</v>
          </cell>
          <cell r="F365">
            <v>0</v>
          </cell>
          <cell r="G365"/>
          <cell r="H365">
            <v>0</v>
          </cell>
          <cell r="I365">
            <v>0</v>
          </cell>
          <cell r="J365">
            <v>0</v>
          </cell>
          <cell r="K365">
            <v>0</v>
          </cell>
          <cell r="L365">
            <v>110162</v>
          </cell>
          <cell r="M365">
            <v>1</v>
          </cell>
          <cell r="N365">
            <v>0</v>
          </cell>
          <cell r="O365">
            <v>0</v>
          </cell>
          <cell r="P365">
            <v>0</v>
          </cell>
          <cell r="Q365">
            <v>0</v>
          </cell>
          <cell r="R365">
            <v>0</v>
          </cell>
          <cell r="S365">
            <v>0</v>
          </cell>
        </row>
        <row r="366">
          <cell r="A366">
            <v>110163</v>
          </cell>
          <cell r="B366" t="str">
            <v>Accumulated Dep-Elec. Fit.</v>
          </cell>
          <cell r="C366">
            <v>0</v>
          </cell>
          <cell r="D366">
            <v>0</v>
          </cell>
          <cell r="E366">
            <v>0</v>
          </cell>
          <cell r="F366">
            <v>0</v>
          </cell>
          <cell r="G366"/>
          <cell r="H366">
            <v>0</v>
          </cell>
          <cell r="I366">
            <v>0</v>
          </cell>
          <cell r="J366">
            <v>0</v>
          </cell>
          <cell r="K366">
            <v>0</v>
          </cell>
          <cell r="L366">
            <v>110163</v>
          </cell>
          <cell r="M366">
            <v>1</v>
          </cell>
          <cell r="N366">
            <v>0</v>
          </cell>
          <cell r="O366">
            <v>0</v>
          </cell>
          <cell r="P366">
            <v>0</v>
          </cell>
          <cell r="Q366">
            <v>0</v>
          </cell>
          <cell r="R366">
            <v>0</v>
          </cell>
          <cell r="S366">
            <v>0</v>
          </cell>
        </row>
        <row r="367">
          <cell r="A367">
            <v>110164</v>
          </cell>
          <cell r="B367" t="str">
            <v>Accumulated Dep-Office Eq.</v>
          </cell>
          <cell r="C367">
            <v>-0.12825534246803727</v>
          </cell>
          <cell r="D367">
            <v>0</v>
          </cell>
          <cell r="E367">
            <v>0</v>
          </cell>
          <cell r="F367">
            <v>-0.12825534246803727</v>
          </cell>
          <cell r="G367"/>
          <cell r="H367">
            <v>-0.12825534246803727</v>
          </cell>
          <cell r="I367">
            <v>0</v>
          </cell>
          <cell r="J367">
            <v>0</v>
          </cell>
          <cell r="K367">
            <v>-0.12825534246803727</v>
          </cell>
          <cell r="L367">
            <v>110164</v>
          </cell>
          <cell r="M367">
            <v>1</v>
          </cell>
          <cell r="N367">
            <v>0</v>
          </cell>
          <cell r="O367">
            <v>0</v>
          </cell>
          <cell r="P367">
            <v>-49137.228255342467</v>
          </cell>
          <cell r="Q367">
            <v>49137.1</v>
          </cell>
          <cell r="R367">
            <v>0</v>
          </cell>
          <cell r="S367">
            <v>0</v>
          </cell>
        </row>
        <row r="368">
          <cell r="A368">
            <v>110165</v>
          </cell>
          <cell r="B368" t="str">
            <v>Accumulated Dep-Resi. Pr.</v>
          </cell>
          <cell r="C368">
            <v>0</v>
          </cell>
          <cell r="D368">
            <v>0</v>
          </cell>
          <cell r="E368">
            <v>0</v>
          </cell>
          <cell r="F368">
            <v>0</v>
          </cell>
          <cell r="G368"/>
          <cell r="H368">
            <v>0</v>
          </cell>
          <cell r="I368">
            <v>0</v>
          </cell>
          <cell r="J368">
            <v>0</v>
          </cell>
          <cell r="K368">
            <v>0</v>
          </cell>
          <cell r="L368">
            <v>110165</v>
          </cell>
          <cell r="M368">
            <v>1</v>
          </cell>
          <cell r="N368">
            <v>0</v>
          </cell>
          <cell r="O368">
            <v>0</v>
          </cell>
          <cell r="P368">
            <v>0</v>
          </cell>
          <cell r="Q368">
            <v>0</v>
          </cell>
          <cell r="R368">
            <v>0</v>
          </cell>
          <cell r="S368">
            <v>0</v>
          </cell>
        </row>
        <row r="369">
          <cell r="A369">
            <v>110170</v>
          </cell>
          <cell r="B369" t="str">
            <v>Accumulated Software Amortizat</v>
          </cell>
          <cell r="C369">
            <v>0</v>
          </cell>
          <cell r="D369">
            <v>0</v>
          </cell>
          <cell r="E369">
            <v>0</v>
          </cell>
          <cell r="F369">
            <v>0</v>
          </cell>
          <cell r="G369"/>
          <cell r="H369">
            <v>0</v>
          </cell>
          <cell r="I369">
            <v>0</v>
          </cell>
          <cell r="J369">
            <v>0</v>
          </cell>
          <cell r="K369">
            <v>0</v>
          </cell>
          <cell r="L369">
            <v>110170</v>
          </cell>
          <cell r="M369">
            <v>1</v>
          </cell>
          <cell r="N369">
            <v>0</v>
          </cell>
          <cell r="O369">
            <v>0</v>
          </cell>
          <cell r="P369">
            <v>-6842145.7786301365</v>
          </cell>
          <cell r="Q369">
            <v>6842145.7786301365</v>
          </cell>
          <cell r="R369">
            <v>0</v>
          </cell>
          <cell r="S369">
            <v>0</v>
          </cell>
        </row>
        <row r="370">
          <cell r="A370">
            <v>110175</v>
          </cell>
          <cell r="B370" t="str">
            <v>Accum Amort-Cap Dev-P/Soft</v>
          </cell>
          <cell r="C370">
            <v>0</v>
          </cell>
          <cell r="D370">
            <v>0</v>
          </cell>
          <cell r="E370">
            <v>0</v>
          </cell>
          <cell r="F370">
            <v>0</v>
          </cell>
          <cell r="G370"/>
          <cell r="H370">
            <v>0</v>
          </cell>
          <cell r="I370">
            <v>0</v>
          </cell>
          <cell r="J370">
            <v>0</v>
          </cell>
          <cell r="K370">
            <v>0</v>
          </cell>
          <cell r="L370">
            <v>110175</v>
          </cell>
          <cell r="M370">
            <v>1</v>
          </cell>
          <cell r="N370">
            <v>0</v>
          </cell>
          <cell r="O370">
            <v>0</v>
          </cell>
          <cell r="P370">
            <v>0</v>
          </cell>
          <cell r="Q370">
            <v>0</v>
          </cell>
          <cell r="R370">
            <v>0</v>
          </cell>
          <cell r="S370">
            <v>0</v>
          </cell>
        </row>
        <row r="371">
          <cell r="A371">
            <v>110180</v>
          </cell>
          <cell r="B371" t="str">
            <v>Accum Amort-Cap Dev-Proj 98</v>
          </cell>
          <cell r="C371">
            <v>0</v>
          </cell>
          <cell r="D371">
            <v>0</v>
          </cell>
          <cell r="E371">
            <v>0</v>
          </cell>
          <cell r="F371">
            <v>0</v>
          </cell>
          <cell r="G371"/>
          <cell r="H371">
            <v>0</v>
          </cell>
          <cell r="I371">
            <v>0</v>
          </cell>
          <cell r="J371">
            <v>0</v>
          </cell>
          <cell r="K371">
            <v>0</v>
          </cell>
          <cell r="L371">
            <v>110180</v>
          </cell>
          <cell r="M371">
            <v>1</v>
          </cell>
          <cell r="N371">
            <v>0</v>
          </cell>
          <cell r="O371">
            <v>0</v>
          </cell>
          <cell r="P371">
            <v>0</v>
          </cell>
          <cell r="Q371">
            <v>0</v>
          </cell>
          <cell r="R371">
            <v>0</v>
          </cell>
          <cell r="S371">
            <v>0</v>
          </cell>
        </row>
        <row r="372">
          <cell r="A372">
            <v>110190</v>
          </cell>
          <cell r="B372" t="str">
            <v>Accum Depr-Metier</v>
          </cell>
          <cell r="C372">
            <v>0</v>
          </cell>
          <cell r="D372">
            <v>0</v>
          </cell>
          <cell r="E372">
            <v>0</v>
          </cell>
          <cell r="F372">
            <v>0</v>
          </cell>
          <cell r="G372"/>
          <cell r="H372">
            <v>0</v>
          </cell>
          <cell r="I372">
            <v>0</v>
          </cell>
          <cell r="J372">
            <v>0</v>
          </cell>
          <cell r="K372">
            <v>0</v>
          </cell>
          <cell r="L372">
            <v>110190</v>
          </cell>
          <cell r="M372">
            <v>1</v>
          </cell>
          <cell r="N372">
            <v>0</v>
          </cell>
          <cell r="O372">
            <v>0</v>
          </cell>
          <cell r="P372">
            <v>0</v>
          </cell>
          <cell r="Q372">
            <v>0</v>
          </cell>
          <cell r="R372">
            <v>0</v>
          </cell>
          <cell r="S372">
            <v>0</v>
          </cell>
        </row>
        <row r="373">
          <cell r="A373">
            <v>110195</v>
          </cell>
          <cell r="B373" t="str">
            <v>Accum Depr-IMG</v>
          </cell>
          <cell r="C373">
            <v>0</v>
          </cell>
          <cell r="D373">
            <v>0</v>
          </cell>
          <cell r="E373">
            <v>0</v>
          </cell>
          <cell r="F373">
            <v>0</v>
          </cell>
          <cell r="G373"/>
          <cell r="H373">
            <v>0</v>
          </cell>
          <cell r="I373">
            <v>0</v>
          </cell>
          <cell r="J373">
            <v>0</v>
          </cell>
          <cell r="K373">
            <v>0</v>
          </cell>
          <cell r="L373">
            <v>110195</v>
          </cell>
          <cell r="M373">
            <v>1</v>
          </cell>
          <cell r="N373">
            <v>0</v>
          </cell>
          <cell r="O373">
            <v>0</v>
          </cell>
          <cell r="P373">
            <v>0</v>
          </cell>
          <cell r="Q373">
            <v>0</v>
          </cell>
          <cell r="R373">
            <v>0</v>
          </cell>
          <cell r="S373">
            <v>0</v>
          </cell>
        </row>
        <row r="374">
          <cell r="A374">
            <v>110510</v>
          </cell>
          <cell r="B374" t="str">
            <v>Investment in Singapore</v>
          </cell>
          <cell r="C374">
            <v>0</v>
          </cell>
          <cell r="D374">
            <v>0</v>
          </cell>
          <cell r="E374">
            <v>0</v>
          </cell>
          <cell r="F374">
            <v>0</v>
          </cell>
          <cell r="G374"/>
          <cell r="H374">
            <v>0</v>
          </cell>
          <cell r="I374">
            <v>0</v>
          </cell>
          <cell r="J374">
            <v>0</v>
          </cell>
          <cell r="K374">
            <v>0</v>
          </cell>
          <cell r="L374">
            <v>110510</v>
          </cell>
          <cell r="M374">
            <v>1</v>
          </cell>
          <cell r="N374">
            <v>0</v>
          </cell>
          <cell r="O374">
            <v>0</v>
          </cell>
          <cell r="P374">
            <v>0</v>
          </cell>
          <cell r="Q374">
            <v>0</v>
          </cell>
          <cell r="R374">
            <v>0</v>
          </cell>
          <cell r="S374">
            <v>0</v>
          </cell>
        </row>
        <row r="375">
          <cell r="A375">
            <v>110520</v>
          </cell>
          <cell r="B375" t="str">
            <v>Investment in India</v>
          </cell>
          <cell r="C375">
            <v>0</v>
          </cell>
          <cell r="D375">
            <v>0</v>
          </cell>
          <cell r="E375">
            <v>0</v>
          </cell>
          <cell r="F375">
            <v>0</v>
          </cell>
          <cell r="G375"/>
          <cell r="H375">
            <v>0</v>
          </cell>
          <cell r="I375">
            <v>0</v>
          </cell>
          <cell r="J375">
            <v>0</v>
          </cell>
          <cell r="K375">
            <v>0</v>
          </cell>
          <cell r="L375">
            <v>110520</v>
          </cell>
          <cell r="M375">
            <v>1</v>
          </cell>
          <cell r="N375">
            <v>0</v>
          </cell>
          <cell r="O375">
            <v>0</v>
          </cell>
          <cell r="P375">
            <v>0</v>
          </cell>
          <cell r="Q375">
            <v>0</v>
          </cell>
          <cell r="R375">
            <v>0</v>
          </cell>
          <cell r="S375">
            <v>0</v>
          </cell>
        </row>
        <row r="376">
          <cell r="A376">
            <v>110530</v>
          </cell>
          <cell r="B376" t="str">
            <v>Investment in new2usa.com</v>
          </cell>
          <cell r="C376">
            <v>0</v>
          </cell>
          <cell r="D376">
            <v>0</v>
          </cell>
          <cell r="E376">
            <v>0</v>
          </cell>
          <cell r="F376">
            <v>0</v>
          </cell>
          <cell r="G376"/>
          <cell r="H376">
            <v>0</v>
          </cell>
          <cell r="I376">
            <v>0</v>
          </cell>
          <cell r="J376">
            <v>0</v>
          </cell>
          <cell r="K376">
            <v>0</v>
          </cell>
          <cell r="L376">
            <v>110530</v>
          </cell>
          <cell r="M376">
            <v>1</v>
          </cell>
          <cell r="N376">
            <v>0</v>
          </cell>
          <cell r="O376">
            <v>0</v>
          </cell>
          <cell r="P376">
            <v>0</v>
          </cell>
          <cell r="Q376">
            <v>0</v>
          </cell>
          <cell r="R376">
            <v>0</v>
          </cell>
          <cell r="S376">
            <v>0</v>
          </cell>
        </row>
        <row r="377">
          <cell r="A377">
            <v>110540</v>
          </cell>
          <cell r="B377" t="str">
            <v>Investment in skillbay.com</v>
          </cell>
          <cell r="C377">
            <v>0</v>
          </cell>
          <cell r="D377">
            <v>0</v>
          </cell>
          <cell r="E377">
            <v>0</v>
          </cell>
          <cell r="F377">
            <v>0</v>
          </cell>
          <cell r="G377"/>
          <cell r="H377">
            <v>0</v>
          </cell>
          <cell r="I377">
            <v>0</v>
          </cell>
          <cell r="J377">
            <v>0</v>
          </cell>
          <cell r="K377">
            <v>0</v>
          </cell>
          <cell r="L377">
            <v>110540</v>
          </cell>
          <cell r="M377">
            <v>1</v>
          </cell>
          <cell r="N377">
            <v>0</v>
          </cell>
          <cell r="O377">
            <v>0</v>
          </cell>
          <cell r="P377">
            <v>0</v>
          </cell>
          <cell r="Q377">
            <v>0</v>
          </cell>
          <cell r="R377">
            <v>0</v>
          </cell>
          <cell r="S377">
            <v>0</v>
          </cell>
        </row>
        <row r="378">
          <cell r="A378">
            <v>110550</v>
          </cell>
          <cell r="B378" t="str">
            <v>Investment in Textiles Online</v>
          </cell>
          <cell r="C378">
            <v>0</v>
          </cell>
          <cell r="D378">
            <v>0</v>
          </cell>
          <cell r="E378">
            <v>0</v>
          </cell>
          <cell r="F378">
            <v>0</v>
          </cell>
          <cell r="G378"/>
          <cell r="H378">
            <v>0</v>
          </cell>
          <cell r="I378">
            <v>0</v>
          </cell>
          <cell r="J378">
            <v>0</v>
          </cell>
          <cell r="K378">
            <v>0</v>
          </cell>
          <cell r="L378">
            <v>110550</v>
          </cell>
          <cell r="M378">
            <v>1</v>
          </cell>
          <cell r="N378">
            <v>0</v>
          </cell>
          <cell r="O378">
            <v>0</v>
          </cell>
          <cell r="P378">
            <v>0</v>
          </cell>
          <cell r="Q378">
            <v>0</v>
          </cell>
          <cell r="R378">
            <v>0</v>
          </cell>
          <cell r="S378">
            <v>0</v>
          </cell>
        </row>
        <row r="379">
          <cell r="A379">
            <v>110560</v>
          </cell>
          <cell r="B379" t="str">
            <v>Investment in Vianetta Commun</v>
          </cell>
          <cell r="C379">
            <v>0</v>
          </cell>
          <cell r="D379">
            <v>0</v>
          </cell>
          <cell r="E379">
            <v>0</v>
          </cell>
          <cell r="F379">
            <v>0</v>
          </cell>
          <cell r="G379"/>
          <cell r="H379">
            <v>0</v>
          </cell>
          <cell r="I379">
            <v>0</v>
          </cell>
          <cell r="J379">
            <v>0</v>
          </cell>
          <cell r="K379">
            <v>0</v>
          </cell>
          <cell r="L379">
            <v>110560</v>
          </cell>
          <cell r="M379">
            <v>1</v>
          </cell>
          <cell r="N379">
            <v>0</v>
          </cell>
          <cell r="O379">
            <v>0</v>
          </cell>
          <cell r="P379">
            <v>0</v>
          </cell>
          <cell r="Q379">
            <v>0</v>
          </cell>
          <cell r="R379">
            <v>0</v>
          </cell>
          <cell r="S379">
            <v>0</v>
          </cell>
        </row>
        <row r="380">
          <cell r="A380">
            <v>110570</v>
          </cell>
          <cell r="B380" t="str">
            <v>Investmnt in Utilitiesmart.com</v>
          </cell>
          <cell r="C380">
            <v>0</v>
          </cell>
          <cell r="D380">
            <v>0</v>
          </cell>
          <cell r="E380">
            <v>0</v>
          </cell>
          <cell r="F380">
            <v>0</v>
          </cell>
          <cell r="G380"/>
          <cell r="H380">
            <v>0</v>
          </cell>
          <cell r="I380">
            <v>0</v>
          </cell>
          <cell r="J380">
            <v>0</v>
          </cell>
          <cell r="K380">
            <v>0</v>
          </cell>
          <cell r="L380">
            <v>110570</v>
          </cell>
          <cell r="M380">
            <v>1</v>
          </cell>
          <cell r="N380">
            <v>0</v>
          </cell>
          <cell r="O380">
            <v>0</v>
          </cell>
          <cell r="P380">
            <v>0</v>
          </cell>
          <cell r="Q380">
            <v>0</v>
          </cell>
          <cell r="R380">
            <v>0</v>
          </cell>
          <cell r="S380">
            <v>0</v>
          </cell>
        </row>
        <row r="381">
          <cell r="A381">
            <v>110580</v>
          </cell>
          <cell r="B381" t="str">
            <v>Investment in Convergent Appli</v>
          </cell>
          <cell r="C381">
            <v>0</v>
          </cell>
          <cell r="D381">
            <v>0</v>
          </cell>
          <cell r="E381">
            <v>0</v>
          </cell>
          <cell r="F381">
            <v>0</v>
          </cell>
          <cell r="G381"/>
          <cell r="H381">
            <v>0</v>
          </cell>
          <cell r="I381">
            <v>0</v>
          </cell>
          <cell r="J381">
            <v>0</v>
          </cell>
          <cell r="K381">
            <v>0</v>
          </cell>
          <cell r="L381">
            <v>110580</v>
          </cell>
          <cell r="M381">
            <v>1</v>
          </cell>
          <cell r="N381">
            <v>0</v>
          </cell>
          <cell r="O381">
            <v>0</v>
          </cell>
          <cell r="P381">
            <v>0</v>
          </cell>
          <cell r="Q381">
            <v>0</v>
          </cell>
          <cell r="R381">
            <v>0</v>
          </cell>
          <cell r="S381">
            <v>0</v>
          </cell>
        </row>
        <row r="382">
          <cell r="A382">
            <v>110590</v>
          </cell>
          <cell r="B382" t="str">
            <v>Invst In Nekema.com</v>
          </cell>
          <cell r="C382">
            <v>0</v>
          </cell>
          <cell r="D382">
            <v>0</v>
          </cell>
          <cell r="E382">
            <v>0</v>
          </cell>
          <cell r="F382">
            <v>0</v>
          </cell>
          <cell r="G382"/>
          <cell r="H382">
            <v>0</v>
          </cell>
          <cell r="I382">
            <v>0</v>
          </cell>
          <cell r="J382">
            <v>0</v>
          </cell>
          <cell r="K382">
            <v>0</v>
          </cell>
          <cell r="L382">
            <v>110590</v>
          </cell>
          <cell r="M382">
            <v>1</v>
          </cell>
          <cell r="N382">
            <v>0</v>
          </cell>
          <cell r="O382">
            <v>0</v>
          </cell>
          <cell r="P382">
            <v>0</v>
          </cell>
          <cell r="Q382">
            <v>0</v>
          </cell>
          <cell r="R382">
            <v>0</v>
          </cell>
          <cell r="S382">
            <v>0</v>
          </cell>
        </row>
        <row r="383">
          <cell r="A383">
            <v>110591</v>
          </cell>
          <cell r="B383" t="str">
            <v>Syntel International Pref.Sh.3</v>
          </cell>
          <cell r="C383">
            <v>0</v>
          </cell>
          <cell r="D383">
            <v>0</v>
          </cell>
          <cell r="E383">
            <v>0</v>
          </cell>
          <cell r="F383">
            <v>0</v>
          </cell>
          <cell r="G383"/>
          <cell r="H383">
            <v>0</v>
          </cell>
          <cell r="I383">
            <v>0</v>
          </cell>
          <cell r="J383">
            <v>0</v>
          </cell>
          <cell r="K383">
            <v>0</v>
          </cell>
          <cell r="L383">
            <v>110591</v>
          </cell>
          <cell r="M383">
            <v>1</v>
          </cell>
          <cell r="N383">
            <v>0</v>
          </cell>
          <cell r="O383">
            <v>0</v>
          </cell>
          <cell r="P383">
            <v>0</v>
          </cell>
          <cell r="Q383">
            <v>0</v>
          </cell>
          <cell r="R383">
            <v>0</v>
          </cell>
          <cell r="S383">
            <v>0</v>
          </cell>
        </row>
        <row r="384">
          <cell r="A384">
            <v>110592</v>
          </cell>
          <cell r="B384" t="str">
            <v>Syntel Sourcing  Pref.Sh.3%</v>
          </cell>
          <cell r="C384">
            <v>0</v>
          </cell>
          <cell r="D384">
            <v>0</v>
          </cell>
          <cell r="E384">
            <v>0</v>
          </cell>
          <cell r="F384">
            <v>0</v>
          </cell>
          <cell r="G384"/>
          <cell r="H384">
            <v>0</v>
          </cell>
          <cell r="I384">
            <v>0</v>
          </cell>
          <cell r="J384">
            <v>0</v>
          </cell>
          <cell r="K384">
            <v>0</v>
          </cell>
          <cell r="L384">
            <v>110592</v>
          </cell>
          <cell r="M384">
            <v>1</v>
          </cell>
          <cell r="N384">
            <v>0</v>
          </cell>
          <cell r="O384">
            <v>0</v>
          </cell>
          <cell r="P384">
            <v>0</v>
          </cell>
          <cell r="Q384">
            <v>0</v>
          </cell>
          <cell r="R384">
            <v>0</v>
          </cell>
          <cell r="S384">
            <v>0</v>
          </cell>
        </row>
        <row r="385">
          <cell r="A385">
            <v>110593</v>
          </cell>
          <cell r="B385" t="str">
            <v>3% Pref Shares - SSBS</v>
          </cell>
          <cell r="C385">
            <v>0</v>
          </cell>
          <cell r="D385">
            <v>0</v>
          </cell>
          <cell r="E385">
            <v>0</v>
          </cell>
          <cell r="F385">
            <v>0</v>
          </cell>
          <cell r="G385"/>
          <cell r="H385">
            <v>0</v>
          </cell>
          <cell r="I385">
            <v>0</v>
          </cell>
          <cell r="J385">
            <v>0</v>
          </cell>
          <cell r="K385">
            <v>0</v>
          </cell>
          <cell r="L385">
            <v>110593</v>
          </cell>
          <cell r="M385">
            <v>1</v>
          </cell>
          <cell r="N385">
            <v>0</v>
          </cell>
          <cell r="O385">
            <v>0</v>
          </cell>
          <cell r="P385">
            <v>0</v>
          </cell>
          <cell r="Q385">
            <v>0</v>
          </cell>
          <cell r="R385">
            <v>0</v>
          </cell>
          <cell r="S385">
            <v>0</v>
          </cell>
        </row>
        <row r="386">
          <cell r="A386">
            <v>110594</v>
          </cell>
          <cell r="B386" t="str">
            <v>Syntel Global Pvt. Ltd Pref shares</v>
          </cell>
          <cell r="C386">
            <v>0</v>
          </cell>
          <cell r="D386">
            <v>0</v>
          </cell>
          <cell r="E386">
            <v>0</v>
          </cell>
          <cell r="F386">
            <v>0</v>
          </cell>
          <cell r="G386"/>
          <cell r="H386">
            <v>0</v>
          </cell>
          <cell r="I386">
            <v>0</v>
          </cell>
          <cell r="J386">
            <v>0</v>
          </cell>
          <cell r="K386">
            <v>0</v>
          </cell>
          <cell r="L386">
            <v>110594</v>
          </cell>
          <cell r="M386">
            <v>1</v>
          </cell>
          <cell r="N386">
            <v>0</v>
          </cell>
          <cell r="O386">
            <v>0</v>
          </cell>
          <cell r="P386">
            <v>0</v>
          </cell>
          <cell r="Q386">
            <v>0</v>
          </cell>
          <cell r="R386">
            <v>0</v>
          </cell>
          <cell r="S386">
            <v>0</v>
          </cell>
        </row>
        <row r="387">
          <cell r="A387">
            <v>110595</v>
          </cell>
          <cell r="B387" t="str">
            <v>Investment in Syntel Germany</v>
          </cell>
          <cell r="C387">
            <v>0</v>
          </cell>
          <cell r="D387">
            <v>0</v>
          </cell>
          <cell r="E387">
            <v>0</v>
          </cell>
          <cell r="F387">
            <v>0</v>
          </cell>
          <cell r="G387"/>
          <cell r="H387">
            <v>0</v>
          </cell>
          <cell r="I387">
            <v>0</v>
          </cell>
          <cell r="J387">
            <v>0</v>
          </cell>
          <cell r="K387">
            <v>0</v>
          </cell>
          <cell r="L387">
            <v>110595</v>
          </cell>
          <cell r="M387">
            <v>1</v>
          </cell>
          <cell r="N387">
            <v>0</v>
          </cell>
          <cell r="O387">
            <v>0</v>
          </cell>
          <cell r="P387">
            <v>0</v>
          </cell>
          <cell r="Q387">
            <v>0</v>
          </cell>
          <cell r="R387">
            <v>0</v>
          </cell>
          <cell r="S387">
            <v>0</v>
          </cell>
        </row>
        <row r="388">
          <cell r="A388">
            <v>110610</v>
          </cell>
          <cell r="B388" t="str">
            <v>Deferred Tax Assets - Long Ter</v>
          </cell>
          <cell r="C388">
            <v>0</v>
          </cell>
          <cell r="D388">
            <v>0</v>
          </cell>
          <cell r="E388">
            <v>0</v>
          </cell>
          <cell r="F388">
            <v>0</v>
          </cell>
          <cell r="G388"/>
          <cell r="H388">
            <v>0</v>
          </cell>
          <cell r="I388">
            <v>0</v>
          </cell>
          <cell r="J388">
            <v>0</v>
          </cell>
          <cell r="K388">
            <v>0</v>
          </cell>
          <cell r="L388">
            <v>110610</v>
          </cell>
          <cell r="M388">
            <v>1</v>
          </cell>
          <cell r="N388">
            <v>0</v>
          </cell>
          <cell r="O388">
            <v>0</v>
          </cell>
          <cell r="P388">
            <v>652430.61658799998</v>
          </cell>
          <cell r="Q388">
            <v>-652430.61658799998</v>
          </cell>
          <cell r="R388">
            <v>0</v>
          </cell>
          <cell r="S388">
            <v>0</v>
          </cell>
        </row>
        <row r="389">
          <cell r="A389">
            <v>120101</v>
          </cell>
          <cell r="B389" t="str">
            <v>Goodwill-IMG</v>
          </cell>
          <cell r="C389">
            <v>0</v>
          </cell>
          <cell r="D389">
            <v>0</v>
          </cell>
          <cell r="E389">
            <v>0</v>
          </cell>
          <cell r="F389">
            <v>0</v>
          </cell>
          <cell r="G389"/>
          <cell r="H389">
            <v>0</v>
          </cell>
          <cell r="I389">
            <v>0</v>
          </cell>
          <cell r="J389">
            <v>0</v>
          </cell>
          <cell r="K389">
            <v>0</v>
          </cell>
          <cell r="L389">
            <v>120101</v>
          </cell>
          <cell r="M389">
            <v>1</v>
          </cell>
          <cell r="N389">
            <v>0</v>
          </cell>
          <cell r="O389">
            <v>0</v>
          </cell>
          <cell r="P389">
            <v>0</v>
          </cell>
          <cell r="Q389">
            <v>0</v>
          </cell>
          <cell r="R389">
            <v>0</v>
          </cell>
          <cell r="S389">
            <v>0</v>
          </cell>
        </row>
        <row r="390">
          <cell r="A390">
            <v>120201</v>
          </cell>
          <cell r="B390" t="str">
            <v>Goodwill Amortz-IMG</v>
          </cell>
          <cell r="C390">
            <v>0</v>
          </cell>
          <cell r="D390">
            <v>0</v>
          </cell>
          <cell r="E390">
            <v>0</v>
          </cell>
          <cell r="F390">
            <v>0</v>
          </cell>
          <cell r="G390"/>
          <cell r="H390">
            <v>0</v>
          </cell>
          <cell r="I390">
            <v>0</v>
          </cell>
          <cell r="J390">
            <v>0</v>
          </cell>
          <cell r="K390">
            <v>0</v>
          </cell>
          <cell r="L390">
            <v>120201</v>
          </cell>
          <cell r="M390">
            <v>1</v>
          </cell>
          <cell r="N390">
            <v>0</v>
          </cell>
          <cell r="O390">
            <v>0</v>
          </cell>
          <cell r="P390">
            <v>0</v>
          </cell>
          <cell r="Q390">
            <v>0</v>
          </cell>
          <cell r="R390">
            <v>0</v>
          </cell>
          <cell r="S390">
            <v>0</v>
          </cell>
        </row>
        <row r="391">
          <cell r="A391">
            <v>200010</v>
          </cell>
          <cell r="B391" t="str">
            <v>Accounts Payable</v>
          </cell>
          <cell r="C391">
            <v>0</v>
          </cell>
          <cell r="D391">
            <v>0</v>
          </cell>
          <cell r="E391">
            <v>0</v>
          </cell>
          <cell r="F391">
            <v>0</v>
          </cell>
          <cell r="G391"/>
          <cell r="H391">
            <v>0</v>
          </cell>
          <cell r="I391">
            <v>0</v>
          </cell>
          <cell r="J391">
            <v>0</v>
          </cell>
          <cell r="K391">
            <v>0</v>
          </cell>
          <cell r="L391">
            <v>200010</v>
          </cell>
          <cell r="M391">
            <v>1</v>
          </cell>
          <cell r="N391">
            <v>0</v>
          </cell>
          <cell r="O391">
            <v>0</v>
          </cell>
          <cell r="P391">
            <v>-201537.36000000499</v>
          </cell>
          <cell r="Q391">
            <v>201537.36000000499</v>
          </cell>
          <cell r="R391">
            <v>0</v>
          </cell>
          <cell r="S391">
            <v>0</v>
          </cell>
        </row>
        <row r="392">
          <cell r="A392">
            <v>200011</v>
          </cell>
          <cell r="B392" t="str">
            <v>Capital Adv. Trfd</v>
          </cell>
          <cell r="C392">
            <v>0</v>
          </cell>
          <cell r="D392">
            <v>0</v>
          </cell>
          <cell r="E392">
            <v>0</v>
          </cell>
          <cell r="F392">
            <v>0</v>
          </cell>
          <cell r="G392"/>
          <cell r="H392">
            <v>0</v>
          </cell>
          <cell r="I392">
            <v>0</v>
          </cell>
          <cell r="J392">
            <v>0</v>
          </cell>
          <cell r="K392">
            <v>0</v>
          </cell>
          <cell r="L392">
            <v>200011</v>
          </cell>
          <cell r="M392">
            <v>1</v>
          </cell>
          <cell r="N392">
            <v>0</v>
          </cell>
          <cell r="O392">
            <v>0</v>
          </cell>
          <cell r="P392">
            <v>0</v>
          </cell>
          <cell r="Q392">
            <v>0</v>
          </cell>
          <cell r="R392">
            <v>0</v>
          </cell>
          <cell r="S392">
            <v>0</v>
          </cell>
        </row>
        <row r="393">
          <cell r="A393">
            <v>200012</v>
          </cell>
          <cell r="B393" t="str">
            <v>Advances to customers regrouped</v>
          </cell>
          <cell r="C393">
            <v>0</v>
          </cell>
          <cell r="D393">
            <v>0</v>
          </cell>
          <cell r="E393">
            <v>0</v>
          </cell>
          <cell r="F393">
            <v>0</v>
          </cell>
          <cell r="G393"/>
          <cell r="H393">
            <v>0</v>
          </cell>
          <cell r="I393">
            <v>0</v>
          </cell>
          <cell r="J393">
            <v>0</v>
          </cell>
          <cell r="K393">
            <v>0</v>
          </cell>
          <cell r="L393">
            <v>200012</v>
          </cell>
          <cell r="M393">
            <v>1</v>
          </cell>
          <cell r="N393">
            <v>0</v>
          </cell>
          <cell r="O393">
            <v>0</v>
          </cell>
          <cell r="P393">
            <v>0</v>
          </cell>
          <cell r="Q393">
            <v>0</v>
          </cell>
          <cell r="R393">
            <v>0</v>
          </cell>
          <cell r="S393">
            <v>0</v>
          </cell>
        </row>
        <row r="394">
          <cell r="A394">
            <v>200013</v>
          </cell>
          <cell r="B394" t="str">
            <v>Insurance claim payable</v>
          </cell>
          <cell r="C394">
            <v>0</v>
          </cell>
          <cell r="D394">
            <v>0</v>
          </cell>
          <cell r="E394">
            <v>0</v>
          </cell>
          <cell r="F394">
            <v>0</v>
          </cell>
          <cell r="G394"/>
          <cell r="H394">
            <v>0</v>
          </cell>
          <cell r="I394">
            <v>0</v>
          </cell>
          <cell r="J394">
            <v>0</v>
          </cell>
          <cell r="K394">
            <v>0</v>
          </cell>
          <cell r="L394">
            <v>200013</v>
          </cell>
          <cell r="M394">
            <v>1</v>
          </cell>
          <cell r="N394">
            <v>0</v>
          </cell>
          <cell r="O394">
            <v>0</v>
          </cell>
          <cell r="P394">
            <v>0</v>
          </cell>
          <cell r="Q394">
            <v>0</v>
          </cell>
          <cell r="R394">
            <v>0</v>
          </cell>
          <cell r="S394">
            <v>0</v>
          </cell>
        </row>
        <row r="395">
          <cell r="A395">
            <v>200014</v>
          </cell>
          <cell r="B395" t="str">
            <v>Other Payables</v>
          </cell>
          <cell r="C395">
            <v>0</v>
          </cell>
          <cell r="D395">
            <v>0</v>
          </cell>
          <cell r="E395">
            <v>0</v>
          </cell>
          <cell r="F395">
            <v>0</v>
          </cell>
          <cell r="G395"/>
          <cell r="H395">
            <v>0</v>
          </cell>
          <cell r="I395">
            <v>0</v>
          </cell>
          <cell r="J395">
            <v>0</v>
          </cell>
          <cell r="K395">
            <v>0</v>
          </cell>
          <cell r="L395">
            <v>200014</v>
          </cell>
          <cell r="M395">
            <v>1</v>
          </cell>
          <cell r="N395">
            <v>0</v>
          </cell>
          <cell r="O395">
            <v>0</v>
          </cell>
          <cell r="P395">
            <v>0</v>
          </cell>
          <cell r="Q395">
            <v>0</v>
          </cell>
          <cell r="R395">
            <v>0</v>
          </cell>
          <cell r="S395">
            <v>0</v>
          </cell>
        </row>
        <row r="396">
          <cell r="A396">
            <v>200015</v>
          </cell>
          <cell r="B396" t="str">
            <v>Provision for capital</v>
          </cell>
          <cell r="C396">
            <v>0</v>
          </cell>
          <cell r="D396">
            <v>0</v>
          </cell>
          <cell r="E396">
            <v>0</v>
          </cell>
          <cell r="F396">
            <v>0</v>
          </cell>
          <cell r="G396"/>
          <cell r="H396">
            <v>0</v>
          </cell>
          <cell r="I396">
            <v>0</v>
          </cell>
          <cell r="J396">
            <v>0</v>
          </cell>
          <cell r="K396">
            <v>0</v>
          </cell>
          <cell r="L396">
            <v>200015</v>
          </cell>
          <cell r="M396">
            <v>1</v>
          </cell>
          <cell r="N396">
            <v>0</v>
          </cell>
          <cell r="O396">
            <v>0</v>
          </cell>
          <cell r="P396">
            <v>0</v>
          </cell>
          <cell r="Q396">
            <v>0</v>
          </cell>
          <cell r="R396">
            <v>0</v>
          </cell>
          <cell r="S396">
            <v>0</v>
          </cell>
        </row>
        <row r="397">
          <cell r="A397">
            <v>200016</v>
          </cell>
          <cell r="B397" t="str">
            <v>Expenses Payable</v>
          </cell>
          <cell r="C397">
            <v>0</v>
          </cell>
          <cell r="D397">
            <v>0</v>
          </cell>
          <cell r="E397">
            <v>0</v>
          </cell>
          <cell r="F397">
            <v>0</v>
          </cell>
          <cell r="G397"/>
          <cell r="H397">
            <v>0</v>
          </cell>
          <cell r="I397">
            <v>0</v>
          </cell>
          <cell r="J397">
            <v>0</v>
          </cell>
          <cell r="K397">
            <v>0</v>
          </cell>
          <cell r="L397">
            <v>200016</v>
          </cell>
          <cell r="M397">
            <v>1</v>
          </cell>
          <cell r="N397">
            <v>0</v>
          </cell>
          <cell r="O397">
            <v>0</v>
          </cell>
          <cell r="P397">
            <v>0</v>
          </cell>
          <cell r="Q397">
            <v>0</v>
          </cell>
          <cell r="R397">
            <v>0</v>
          </cell>
          <cell r="S397">
            <v>0</v>
          </cell>
        </row>
        <row r="398">
          <cell r="A398">
            <v>200018</v>
          </cell>
          <cell r="B398" t="str">
            <v>ICICI Bank Control Account-Exp</v>
          </cell>
          <cell r="C398">
            <v>-0.9</v>
          </cell>
          <cell r="D398">
            <v>0</v>
          </cell>
          <cell r="E398">
            <v>0</v>
          </cell>
          <cell r="F398">
            <v>-0.9</v>
          </cell>
          <cell r="G398"/>
          <cell r="H398">
            <v>-0.9</v>
          </cell>
          <cell r="I398">
            <v>0</v>
          </cell>
          <cell r="J398">
            <v>0</v>
          </cell>
          <cell r="K398">
            <v>-0.9</v>
          </cell>
          <cell r="L398">
            <v>200018</v>
          </cell>
          <cell r="M398">
            <v>1</v>
          </cell>
          <cell r="N398">
            <v>0</v>
          </cell>
          <cell r="O398">
            <v>0</v>
          </cell>
          <cell r="P398">
            <v>0</v>
          </cell>
          <cell r="Q398">
            <v>-0.9</v>
          </cell>
          <cell r="R398">
            <v>0</v>
          </cell>
          <cell r="S398">
            <v>0</v>
          </cell>
        </row>
        <row r="399">
          <cell r="A399">
            <v>200019</v>
          </cell>
          <cell r="B399" t="str">
            <v>Vendor balance - Revaluation</v>
          </cell>
          <cell r="C399">
            <v>0</v>
          </cell>
          <cell r="D399">
            <v>0</v>
          </cell>
          <cell r="E399">
            <v>0</v>
          </cell>
          <cell r="F399">
            <v>0</v>
          </cell>
          <cell r="G399"/>
          <cell r="H399">
            <v>0</v>
          </cell>
          <cell r="I399">
            <v>0</v>
          </cell>
          <cell r="J399">
            <v>0</v>
          </cell>
          <cell r="K399">
            <v>0</v>
          </cell>
          <cell r="L399">
            <v>200019</v>
          </cell>
          <cell r="M399">
            <v>1</v>
          </cell>
          <cell r="N399">
            <v>0</v>
          </cell>
          <cell r="O399">
            <v>0</v>
          </cell>
          <cell r="P399">
            <v>1622.4999999998881</v>
          </cell>
          <cell r="Q399">
            <v>-1622.4999999998881</v>
          </cell>
          <cell r="R399">
            <v>0</v>
          </cell>
          <cell r="S399">
            <v>0</v>
          </cell>
        </row>
        <row r="400">
          <cell r="A400">
            <v>200021</v>
          </cell>
          <cell r="B400" t="str">
            <v>USBK1 Control Account</v>
          </cell>
          <cell r="C400">
            <v>1.0000000002037268E-2</v>
          </cell>
          <cell r="D400">
            <v>0</v>
          </cell>
          <cell r="E400">
            <v>0</v>
          </cell>
          <cell r="F400">
            <v>1.0000000002037268E-2</v>
          </cell>
          <cell r="G400"/>
          <cell r="H400">
            <v>1.0000000002037268E-2</v>
          </cell>
          <cell r="I400">
            <v>0</v>
          </cell>
          <cell r="J400">
            <v>0</v>
          </cell>
          <cell r="K400">
            <v>1.0000000002037268E-2</v>
          </cell>
          <cell r="L400">
            <v>200021</v>
          </cell>
          <cell r="M400">
            <v>1</v>
          </cell>
          <cell r="N400">
            <v>0</v>
          </cell>
          <cell r="O400">
            <v>0</v>
          </cell>
          <cell r="P400">
            <v>-0.01</v>
          </cell>
          <cell r="Q400">
            <v>2.000000000203727E-2</v>
          </cell>
          <cell r="R400">
            <v>0</v>
          </cell>
          <cell r="S400">
            <v>0</v>
          </cell>
        </row>
        <row r="401">
          <cell r="A401">
            <v>200022</v>
          </cell>
          <cell r="B401" t="str">
            <v>Vendor balance Reval Inter co</v>
          </cell>
          <cell r="C401">
            <v>0</v>
          </cell>
          <cell r="D401">
            <v>0</v>
          </cell>
          <cell r="E401">
            <v>0</v>
          </cell>
          <cell r="F401">
            <v>0</v>
          </cell>
          <cell r="G401"/>
          <cell r="H401">
            <v>0</v>
          </cell>
          <cell r="I401">
            <v>0</v>
          </cell>
          <cell r="J401">
            <v>0</v>
          </cell>
          <cell r="K401">
            <v>0</v>
          </cell>
          <cell r="L401">
            <v>200022</v>
          </cell>
          <cell r="M401">
            <v>1</v>
          </cell>
          <cell r="N401">
            <v>0</v>
          </cell>
          <cell r="O401">
            <v>0</v>
          </cell>
          <cell r="P401">
            <v>-7236.57</v>
          </cell>
          <cell r="Q401">
            <v>7236.57</v>
          </cell>
          <cell r="R401">
            <v>0</v>
          </cell>
          <cell r="S401">
            <v>0</v>
          </cell>
        </row>
        <row r="402">
          <cell r="A402">
            <v>200026</v>
          </cell>
          <cell r="B402" t="str">
            <v>Adv from Customers - Inter Co</v>
          </cell>
          <cell r="C402">
            <v>0</v>
          </cell>
          <cell r="D402">
            <v>0</v>
          </cell>
          <cell r="E402">
            <v>0</v>
          </cell>
          <cell r="F402">
            <v>0</v>
          </cell>
          <cell r="G402"/>
          <cell r="H402">
            <v>0</v>
          </cell>
          <cell r="I402">
            <v>0</v>
          </cell>
          <cell r="J402">
            <v>0</v>
          </cell>
          <cell r="K402">
            <v>0</v>
          </cell>
          <cell r="L402">
            <v>200026</v>
          </cell>
          <cell r="M402">
            <v>1</v>
          </cell>
          <cell r="N402">
            <v>0</v>
          </cell>
          <cell r="O402">
            <v>0</v>
          </cell>
          <cell r="P402">
            <v>0</v>
          </cell>
          <cell r="Q402">
            <v>0</v>
          </cell>
          <cell r="R402">
            <v>0</v>
          </cell>
          <cell r="S402">
            <v>0</v>
          </cell>
        </row>
        <row r="403">
          <cell r="A403">
            <v>200041</v>
          </cell>
          <cell r="B403" t="str">
            <v>Accounts Payable-Inter Co</v>
          </cell>
          <cell r="C403">
            <v>-3.7109993863850832E-2</v>
          </cell>
          <cell r="D403">
            <v>0</v>
          </cell>
          <cell r="E403">
            <v>0</v>
          </cell>
          <cell r="F403">
            <v>-3.7109993863850832E-2</v>
          </cell>
          <cell r="G403"/>
          <cell r="H403">
            <v>-3.7109993863850832E-2</v>
          </cell>
          <cell r="I403">
            <v>0</v>
          </cell>
          <cell r="J403">
            <v>0</v>
          </cell>
          <cell r="K403">
            <v>-3.7109993863850832E-2</v>
          </cell>
          <cell r="L403">
            <v>200041</v>
          </cell>
          <cell r="M403">
            <v>1</v>
          </cell>
          <cell r="N403">
            <v>0</v>
          </cell>
          <cell r="O403">
            <v>0</v>
          </cell>
          <cell r="P403">
            <v>-5719864.0323499916</v>
          </cell>
          <cell r="Q403">
            <v>5719863.9952399973</v>
          </cell>
          <cell r="R403">
            <v>0</v>
          </cell>
          <cell r="S403">
            <v>0</v>
          </cell>
        </row>
        <row r="404">
          <cell r="A404">
            <v>201005</v>
          </cell>
          <cell r="B404" t="str">
            <v>Accrued PC Purchases</v>
          </cell>
          <cell r="C404">
            <v>0</v>
          </cell>
          <cell r="D404">
            <v>0</v>
          </cell>
          <cell r="E404">
            <v>0</v>
          </cell>
          <cell r="F404">
            <v>0</v>
          </cell>
          <cell r="G404"/>
          <cell r="H404">
            <v>0</v>
          </cell>
          <cell r="I404">
            <v>0</v>
          </cell>
          <cell r="J404">
            <v>0</v>
          </cell>
          <cell r="K404">
            <v>0</v>
          </cell>
          <cell r="L404">
            <v>201005</v>
          </cell>
          <cell r="M404">
            <v>1</v>
          </cell>
          <cell r="N404">
            <v>0</v>
          </cell>
          <cell r="O404">
            <v>0</v>
          </cell>
          <cell r="P404">
            <v>0</v>
          </cell>
          <cell r="Q404">
            <v>0</v>
          </cell>
          <cell r="R404">
            <v>0</v>
          </cell>
          <cell r="S404">
            <v>0</v>
          </cell>
        </row>
        <row r="405">
          <cell r="A405">
            <v>201010</v>
          </cell>
          <cell r="B405" t="str">
            <v>Accrued Payroll</v>
          </cell>
          <cell r="C405">
            <v>0</v>
          </cell>
          <cell r="D405">
            <v>0</v>
          </cell>
          <cell r="E405">
            <v>0</v>
          </cell>
          <cell r="F405">
            <v>0</v>
          </cell>
          <cell r="G405"/>
          <cell r="H405">
            <v>0</v>
          </cell>
          <cell r="I405">
            <v>0</v>
          </cell>
          <cell r="J405">
            <v>0</v>
          </cell>
          <cell r="K405">
            <v>0</v>
          </cell>
          <cell r="L405">
            <v>201010</v>
          </cell>
          <cell r="M405">
            <v>1</v>
          </cell>
          <cell r="N405">
            <v>0</v>
          </cell>
          <cell r="O405">
            <v>0</v>
          </cell>
          <cell r="P405">
            <v>0</v>
          </cell>
          <cell r="Q405">
            <v>0</v>
          </cell>
          <cell r="R405">
            <v>0</v>
          </cell>
          <cell r="S405">
            <v>0</v>
          </cell>
        </row>
        <row r="406">
          <cell r="A406">
            <v>201015</v>
          </cell>
          <cell r="B406" t="str">
            <v>Accrued Bonus</v>
          </cell>
          <cell r="C406">
            <v>0</v>
          </cell>
          <cell r="D406">
            <v>0</v>
          </cell>
          <cell r="E406">
            <v>0</v>
          </cell>
          <cell r="F406">
            <v>0</v>
          </cell>
          <cell r="G406"/>
          <cell r="H406">
            <v>0</v>
          </cell>
          <cell r="I406">
            <v>0</v>
          </cell>
          <cell r="J406">
            <v>0</v>
          </cell>
          <cell r="K406">
            <v>0</v>
          </cell>
          <cell r="L406">
            <v>201015</v>
          </cell>
          <cell r="M406">
            <v>1</v>
          </cell>
          <cell r="N406">
            <v>0</v>
          </cell>
          <cell r="O406">
            <v>0</v>
          </cell>
          <cell r="P406">
            <v>-4.049999999962747</v>
          </cell>
          <cell r="Q406">
            <v>4.049999999962747</v>
          </cell>
          <cell r="R406">
            <v>0</v>
          </cell>
          <cell r="S406">
            <v>0</v>
          </cell>
        </row>
        <row r="407">
          <cell r="A407">
            <v>201017</v>
          </cell>
          <cell r="B407" t="str">
            <v>Accrued Awards</v>
          </cell>
          <cell r="C407">
            <v>0</v>
          </cell>
          <cell r="D407">
            <v>0</v>
          </cell>
          <cell r="E407">
            <v>0</v>
          </cell>
          <cell r="F407">
            <v>0</v>
          </cell>
          <cell r="G407"/>
          <cell r="H407">
            <v>0</v>
          </cell>
          <cell r="I407">
            <v>0</v>
          </cell>
          <cell r="J407">
            <v>0</v>
          </cell>
          <cell r="K407">
            <v>0</v>
          </cell>
          <cell r="L407">
            <v>201017</v>
          </cell>
          <cell r="M407">
            <v>1</v>
          </cell>
          <cell r="N407">
            <v>0</v>
          </cell>
          <cell r="O407">
            <v>0</v>
          </cell>
          <cell r="P407">
            <v>-18867.540000000005</v>
          </cell>
          <cell r="Q407">
            <v>18867.540000000005</v>
          </cell>
          <cell r="R407">
            <v>0</v>
          </cell>
          <cell r="S407">
            <v>0</v>
          </cell>
        </row>
        <row r="408">
          <cell r="A408">
            <v>201020</v>
          </cell>
          <cell r="B408" t="str">
            <v>Accrued Wages</v>
          </cell>
          <cell r="C408">
            <v>0</v>
          </cell>
          <cell r="D408">
            <v>0</v>
          </cell>
          <cell r="E408">
            <v>0</v>
          </cell>
          <cell r="F408">
            <v>0</v>
          </cell>
          <cell r="G408"/>
          <cell r="H408">
            <v>0</v>
          </cell>
          <cell r="I408">
            <v>0</v>
          </cell>
          <cell r="J408">
            <v>0</v>
          </cell>
          <cell r="K408">
            <v>0</v>
          </cell>
          <cell r="L408">
            <v>201020</v>
          </cell>
          <cell r="M408">
            <v>1</v>
          </cell>
          <cell r="N408">
            <v>0</v>
          </cell>
          <cell r="O408">
            <v>0</v>
          </cell>
          <cell r="P408">
            <v>0</v>
          </cell>
          <cell r="Q408">
            <v>0</v>
          </cell>
          <cell r="R408">
            <v>0</v>
          </cell>
          <cell r="S408">
            <v>0</v>
          </cell>
        </row>
        <row r="409">
          <cell r="A409">
            <v>201023</v>
          </cell>
          <cell r="B409" t="str">
            <v>Accrued Wages - Troy payroll</v>
          </cell>
          <cell r="C409">
            <v>0</v>
          </cell>
          <cell r="D409">
            <v>0</v>
          </cell>
          <cell r="E409">
            <v>0</v>
          </cell>
          <cell r="F409">
            <v>0</v>
          </cell>
          <cell r="G409"/>
          <cell r="H409">
            <v>0</v>
          </cell>
          <cell r="I409">
            <v>0</v>
          </cell>
          <cell r="J409">
            <v>0</v>
          </cell>
          <cell r="K409">
            <v>0</v>
          </cell>
          <cell r="L409">
            <v>201023</v>
          </cell>
          <cell r="M409">
            <v>1</v>
          </cell>
          <cell r="N409">
            <v>0</v>
          </cell>
          <cell r="O409">
            <v>0</v>
          </cell>
          <cell r="P409">
            <v>0</v>
          </cell>
          <cell r="Q409">
            <v>0</v>
          </cell>
          <cell r="R409">
            <v>0</v>
          </cell>
          <cell r="S409">
            <v>0</v>
          </cell>
        </row>
        <row r="410">
          <cell r="A410">
            <v>201035</v>
          </cell>
          <cell r="B410" t="str">
            <v>Accrued - Variable Pay</v>
          </cell>
          <cell r="C410">
            <v>0</v>
          </cell>
          <cell r="D410">
            <v>0</v>
          </cell>
          <cell r="E410">
            <v>0</v>
          </cell>
          <cell r="F410">
            <v>0</v>
          </cell>
          <cell r="G410"/>
          <cell r="H410">
            <v>0</v>
          </cell>
          <cell r="I410">
            <v>0</v>
          </cell>
          <cell r="J410">
            <v>0</v>
          </cell>
          <cell r="K410">
            <v>0</v>
          </cell>
          <cell r="L410">
            <v>201035</v>
          </cell>
          <cell r="M410">
            <v>1</v>
          </cell>
          <cell r="N410">
            <v>0</v>
          </cell>
          <cell r="O410">
            <v>0</v>
          </cell>
          <cell r="P410">
            <v>0</v>
          </cell>
          <cell r="Q410">
            <v>0</v>
          </cell>
          <cell r="R410">
            <v>0</v>
          </cell>
          <cell r="S410">
            <v>0</v>
          </cell>
        </row>
        <row r="411">
          <cell r="A411">
            <v>201030</v>
          </cell>
          <cell r="B411" t="str">
            <v>Accr Vacation Payout</v>
          </cell>
          <cell r="C411">
            <v>0</v>
          </cell>
          <cell r="D411">
            <v>0</v>
          </cell>
          <cell r="E411">
            <v>0</v>
          </cell>
          <cell r="F411">
            <v>0</v>
          </cell>
          <cell r="G411"/>
          <cell r="H411">
            <v>0</v>
          </cell>
          <cell r="I411">
            <v>0</v>
          </cell>
          <cell r="J411">
            <v>0</v>
          </cell>
          <cell r="K411">
            <v>0</v>
          </cell>
          <cell r="L411">
            <v>201030</v>
          </cell>
          <cell r="M411">
            <v>1</v>
          </cell>
          <cell r="N411">
            <v>0</v>
          </cell>
          <cell r="O411">
            <v>0</v>
          </cell>
          <cell r="P411">
            <v>0</v>
          </cell>
          <cell r="Q411">
            <v>0</v>
          </cell>
          <cell r="R411">
            <v>0</v>
          </cell>
          <cell r="S411">
            <v>0</v>
          </cell>
        </row>
        <row r="412">
          <cell r="A412">
            <v>201040</v>
          </cell>
          <cell r="B412" t="str">
            <v>Flexible Spending Liability</v>
          </cell>
          <cell r="C412">
            <v>0</v>
          </cell>
          <cell r="D412">
            <v>0</v>
          </cell>
          <cell r="E412">
            <v>0</v>
          </cell>
          <cell r="F412">
            <v>0</v>
          </cell>
          <cell r="G412"/>
          <cell r="H412">
            <v>0</v>
          </cell>
          <cell r="I412">
            <v>0</v>
          </cell>
          <cell r="J412">
            <v>0</v>
          </cell>
          <cell r="K412">
            <v>0</v>
          </cell>
          <cell r="L412">
            <v>201040</v>
          </cell>
          <cell r="M412">
            <v>1</v>
          </cell>
          <cell r="N412">
            <v>0</v>
          </cell>
          <cell r="O412">
            <v>0</v>
          </cell>
          <cell r="P412">
            <v>0</v>
          </cell>
          <cell r="Q412">
            <v>0</v>
          </cell>
          <cell r="R412">
            <v>0</v>
          </cell>
          <cell r="S412">
            <v>0</v>
          </cell>
        </row>
        <row r="413">
          <cell r="A413">
            <v>201045</v>
          </cell>
          <cell r="B413" t="str">
            <v>Accum Stock Purch-Oct-Sep</v>
          </cell>
          <cell r="C413">
            <v>0</v>
          </cell>
          <cell r="D413">
            <v>0</v>
          </cell>
          <cell r="E413">
            <v>0</v>
          </cell>
          <cell r="F413">
            <v>0</v>
          </cell>
          <cell r="G413"/>
          <cell r="H413">
            <v>0</v>
          </cell>
          <cell r="I413">
            <v>0</v>
          </cell>
          <cell r="J413">
            <v>0</v>
          </cell>
          <cell r="K413">
            <v>0</v>
          </cell>
          <cell r="L413">
            <v>201045</v>
          </cell>
          <cell r="M413">
            <v>1</v>
          </cell>
          <cell r="N413">
            <v>0</v>
          </cell>
          <cell r="O413">
            <v>0</v>
          </cell>
          <cell r="P413">
            <v>0</v>
          </cell>
          <cell r="Q413">
            <v>0</v>
          </cell>
          <cell r="R413">
            <v>0</v>
          </cell>
          <cell r="S413">
            <v>0</v>
          </cell>
        </row>
        <row r="414">
          <cell r="A414">
            <v>201046</v>
          </cell>
          <cell r="B414" t="str">
            <v>Accum Stock Plan-Apr-Mar</v>
          </cell>
          <cell r="C414">
            <v>0</v>
          </cell>
          <cell r="D414">
            <v>0</v>
          </cell>
          <cell r="E414">
            <v>0</v>
          </cell>
          <cell r="F414">
            <v>0</v>
          </cell>
          <cell r="G414"/>
          <cell r="H414">
            <v>0</v>
          </cell>
          <cell r="I414">
            <v>0</v>
          </cell>
          <cell r="J414">
            <v>0</v>
          </cell>
          <cell r="K414">
            <v>0</v>
          </cell>
          <cell r="L414">
            <v>201046</v>
          </cell>
          <cell r="M414">
            <v>1</v>
          </cell>
          <cell r="N414">
            <v>0</v>
          </cell>
          <cell r="O414">
            <v>0</v>
          </cell>
          <cell r="P414">
            <v>0</v>
          </cell>
          <cell r="Q414">
            <v>0</v>
          </cell>
          <cell r="R414">
            <v>0</v>
          </cell>
          <cell r="S414">
            <v>0</v>
          </cell>
        </row>
        <row r="415">
          <cell r="A415">
            <v>201047</v>
          </cell>
          <cell r="B415" t="str">
            <v>Accumulated Stock Plan</v>
          </cell>
          <cell r="C415">
            <v>0</v>
          </cell>
          <cell r="D415">
            <v>0</v>
          </cell>
          <cell r="E415">
            <v>0</v>
          </cell>
          <cell r="F415">
            <v>0</v>
          </cell>
          <cell r="G415"/>
          <cell r="H415">
            <v>0</v>
          </cell>
          <cell r="I415">
            <v>0</v>
          </cell>
          <cell r="J415">
            <v>0</v>
          </cell>
          <cell r="K415">
            <v>0</v>
          </cell>
          <cell r="L415">
            <v>201047</v>
          </cell>
          <cell r="M415">
            <v>1</v>
          </cell>
          <cell r="N415">
            <v>0</v>
          </cell>
          <cell r="O415">
            <v>0</v>
          </cell>
          <cell r="P415">
            <v>0</v>
          </cell>
          <cell r="Q415">
            <v>0</v>
          </cell>
          <cell r="R415">
            <v>0</v>
          </cell>
          <cell r="S415">
            <v>0</v>
          </cell>
        </row>
        <row r="416">
          <cell r="A416">
            <v>201050</v>
          </cell>
          <cell r="B416" t="str">
            <v>Accrued US Payroll Taxes</v>
          </cell>
          <cell r="C416">
            <v>0</v>
          </cell>
          <cell r="D416">
            <v>0</v>
          </cell>
          <cell r="E416">
            <v>0</v>
          </cell>
          <cell r="F416">
            <v>0</v>
          </cell>
          <cell r="G416"/>
          <cell r="H416">
            <v>0</v>
          </cell>
          <cell r="I416">
            <v>0</v>
          </cell>
          <cell r="J416">
            <v>0</v>
          </cell>
          <cell r="K416">
            <v>0</v>
          </cell>
          <cell r="L416">
            <v>201050</v>
          </cell>
          <cell r="M416">
            <v>1</v>
          </cell>
          <cell r="N416">
            <v>0</v>
          </cell>
          <cell r="O416">
            <v>0</v>
          </cell>
          <cell r="P416">
            <v>0</v>
          </cell>
          <cell r="Q416">
            <v>0</v>
          </cell>
          <cell r="R416">
            <v>0</v>
          </cell>
          <cell r="S416">
            <v>0</v>
          </cell>
        </row>
        <row r="417">
          <cell r="A417">
            <v>201052</v>
          </cell>
          <cell r="B417" t="str">
            <v>Accrued Canada Payroll Taxes</v>
          </cell>
          <cell r="C417">
            <v>0</v>
          </cell>
          <cell r="D417">
            <v>0</v>
          </cell>
          <cell r="E417">
            <v>0</v>
          </cell>
          <cell r="F417">
            <v>0</v>
          </cell>
          <cell r="G417"/>
          <cell r="H417">
            <v>0</v>
          </cell>
          <cell r="I417">
            <v>0</v>
          </cell>
          <cell r="J417">
            <v>0</v>
          </cell>
          <cell r="K417">
            <v>0</v>
          </cell>
          <cell r="L417">
            <v>201052</v>
          </cell>
          <cell r="M417">
            <v>1</v>
          </cell>
          <cell r="N417">
            <v>0</v>
          </cell>
          <cell r="O417">
            <v>0</v>
          </cell>
          <cell r="P417">
            <v>0</v>
          </cell>
          <cell r="Q417">
            <v>0</v>
          </cell>
          <cell r="R417">
            <v>0</v>
          </cell>
          <cell r="S417">
            <v>0</v>
          </cell>
        </row>
        <row r="418">
          <cell r="A418">
            <v>201065</v>
          </cell>
          <cell r="B418" t="str">
            <v>Accrued SBT</v>
          </cell>
          <cell r="C418">
            <v>0</v>
          </cell>
          <cell r="D418">
            <v>0</v>
          </cell>
          <cell r="E418">
            <v>0</v>
          </cell>
          <cell r="F418">
            <v>0</v>
          </cell>
          <cell r="G418"/>
          <cell r="H418">
            <v>0</v>
          </cell>
          <cell r="I418">
            <v>0</v>
          </cell>
          <cell r="J418">
            <v>0</v>
          </cell>
          <cell r="K418">
            <v>0</v>
          </cell>
          <cell r="L418">
            <v>201065</v>
          </cell>
          <cell r="M418">
            <v>1</v>
          </cell>
          <cell r="N418">
            <v>0</v>
          </cell>
          <cell r="O418">
            <v>0</v>
          </cell>
          <cell r="P418">
            <v>0</v>
          </cell>
          <cell r="Q418">
            <v>0</v>
          </cell>
          <cell r="R418">
            <v>0</v>
          </cell>
          <cell r="S418">
            <v>0</v>
          </cell>
        </row>
        <row r="419">
          <cell r="A419">
            <v>201066</v>
          </cell>
          <cell r="B419" t="str">
            <v>Accrued Tennesse</v>
          </cell>
          <cell r="C419">
            <v>0</v>
          </cell>
          <cell r="D419">
            <v>0</v>
          </cell>
          <cell r="E419">
            <v>0</v>
          </cell>
          <cell r="F419">
            <v>0</v>
          </cell>
          <cell r="G419"/>
          <cell r="H419">
            <v>0</v>
          </cell>
          <cell r="I419">
            <v>0</v>
          </cell>
          <cell r="J419">
            <v>0</v>
          </cell>
          <cell r="K419">
            <v>0</v>
          </cell>
          <cell r="L419">
            <v>201066</v>
          </cell>
          <cell r="M419">
            <v>1</v>
          </cell>
          <cell r="N419">
            <v>0</v>
          </cell>
          <cell r="O419">
            <v>0</v>
          </cell>
          <cell r="P419">
            <v>0</v>
          </cell>
          <cell r="Q419">
            <v>0</v>
          </cell>
          <cell r="R419">
            <v>0</v>
          </cell>
          <cell r="S419">
            <v>0</v>
          </cell>
        </row>
        <row r="420">
          <cell r="A420">
            <v>201070</v>
          </cell>
          <cell r="B420" t="str">
            <v>Accrued NM SUI</v>
          </cell>
          <cell r="C420">
            <v>0</v>
          </cell>
          <cell r="D420">
            <v>0</v>
          </cell>
          <cell r="E420">
            <v>0</v>
          </cell>
          <cell r="F420">
            <v>0</v>
          </cell>
          <cell r="G420"/>
          <cell r="H420">
            <v>0</v>
          </cell>
          <cell r="I420">
            <v>0</v>
          </cell>
          <cell r="J420">
            <v>0</v>
          </cell>
          <cell r="K420">
            <v>0</v>
          </cell>
          <cell r="L420">
            <v>201070</v>
          </cell>
          <cell r="M420">
            <v>1</v>
          </cell>
          <cell r="N420">
            <v>0</v>
          </cell>
          <cell r="O420">
            <v>0</v>
          </cell>
          <cell r="P420">
            <v>0</v>
          </cell>
          <cell r="Q420">
            <v>0</v>
          </cell>
          <cell r="R420">
            <v>0</v>
          </cell>
          <cell r="S420">
            <v>0</v>
          </cell>
        </row>
        <row r="421">
          <cell r="A421">
            <v>201075</v>
          </cell>
          <cell r="B421" t="str">
            <v>Tax Provision</v>
          </cell>
          <cell r="C421">
            <v>3.6559998989105225E-2</v>
          </cell>
          <cell r="D421">
            <v>0</v>
          </cell>
          <cell r="E421">
            <v>0</v>
          </cell>
          <cell r="F421">
            <v>3.6559998989105225E-2</v>
          </cell>
          <cell r="G421"/>
          <cell r="H421">
            <v>3.6559998989105225E-2</v>
          </cell>
          <cell r="I421">
            <v>0</v>
          </cell>
          <cell r="J421">
            <v>0</v>
          </cell>
          <cell r="K421">
            <v>3.6559998989105225E-2</v>
          </cell>
          <cell r="L421">
            <v>201075</v>
          </cell>
          <cell r="M421">
            <v>1</v>
          </cell>
          <cell r="N421">
            <v>0</v>
          </cell>
          <cell r="O421">
            <v>0</v>
          </cell>
          <cell r="P421">
            <v>0</v>
          </cell>
          <cell r="Q421">
            <v>3.6559998989105225E-2</v>
          </cell>
          <cell r="R421">
            <v>0</v>
          </cell>
          <cell r="S421">
            <v>0</v>
          </cell>
        </row>
        <row r="422">
          <cell r="A422">
            <v>201076</v>
          </cell>
          <cell r="B422" t="str">
            <v>VAT Taxes Payable</v>
          </cell>
          <cell r="C422">
            <v>0</v>
          </cell>
          <cell r="D422">
            <v>0</v>
          </cell>
          <cell r="E422">
            <v>0</v>
          </cell>
          <cell r="F422">
            <v>0</v>
          </cell>
          <cell r="G422"/>
          <cell r="H422">
            <v>0</v>
          </cell>
          <cell r="I422">
            <v>0</v>
          </cell>
          <cell r="J422">
            <v>0</v>
          </cell>
          <cell r="K422">
            <v>0</v>
          </cell>
          <cell r="L422">
            <v>201076</v>
          </cell>
          <cell r="M422">
            <v>1</v>
          </cell>
          <cell r="N422">
            <v>0</v>
          </cell>
          <cell r="O422">
            <v>0</v>
          </cell>
          <cell r="P422">
            <v>0</v>
          </cell>
          <cell r="Q422">
            <v>0</v>
          </cell>
          <cell r="R422">
            <v>0</v>
          </cell>
          <cell r="S422">
            <v>0</v>
          </cell>
        </row>
        <row r="423">
          <cell r="A423">
            <v>201080</v>
          </cell>
          <cell r="B423" t="str">
            <v>Withheld-401 (K)</v>
          </cell>
          <cell r="C423">
            <v>0</v>
          </cell>
          <cell r="D423">
            <v>0</v>
          </cell>
          <cell r="E423">
            <v>0</v>
          </cell>
          <cell r="F423">
            <v>0</v>
          </cell>
          <cell r="G423"/>
          <cell r="H423">
            <v>0</v>
          </cell>
          <cell r="I423">
            <v>0</v>
          </cell>
          <cell r="J423">
            <v>0</v>
          </cell>
          <cell r="K423">
            <v>0</v>
          </cell>
          <cell r="L423">
            <v>201080</v>
          </cell>
          <cell r="M423">
            <v>1</v>
          </cell>
          <cell r="N423">
            <v>0</v>
          </cell>
          <cell r="O423">
            <v>0</v>
          </cell>
          <cell r="P423">
            <v>0</v>
          </cell>
          <cell r="Q423">
            <v>0</v>
          </cell>
          <cell r="R423">
            <v>0</v>
          </cell>
          <cell r="S423">
            <v>0</v>
          </cell>
        </row>
        <row r="424">
          <cell r="A424">
            <v>201085</v>
          </cell>
          <cell r="B424" t="str">
            <v>W/H Friend of Cout</v>
          </cell>
          <cell r="C424">
            <v>0</v>
          </cell>
          <cell r="D424">
            <v>0</v>
          </cell>
          <cell r="E424">
            <v>0</v>
          </cell>
          <cell r="F424">
            <v>0</v>
          </cell>
          <cell r="G424"/>
          <cell r="H424">
            <v>0</v>
          </cell>
          <cell r="I424">
            <v>0</v>
          </cell>
          <cell r="J424">
            <v>0</v>
          </cell>
          <cell r="K424">
            <v>0</v>
          </cell>
          <cell r="L424">
            <v>201085</v>
          </cell>
          <cell r="M424">
            <v>1</v>
          </cell>
          <cell r="N424">
            <v>0</v>
          </cell>
          <cell r="O424">
            <v>0</v>
          </cell>
          <cell r="P424">
            <v>0</v>
          </cell>
          <cell r="Q424">
            <v>0</v>
          </cell>
          <cell r="R424">
            <v>0</v>
          </cell>
          <cell r="S424">
            <v>0</v>
          </cell>
        </row>
        <row r="425">
          <cell r="A425">
            <v>201101</v>
          </cell>
          <cell r="B425" t="str">
            <v>Accrued Bonus - Leadership</v>
          </cell>
          <cell r="C425">
            <v>0</v>
          </cell>
          <cell r="D425">
            <v>0</v>
          </cell>
          <cell r="E425">
            <v>0</v>
          </cell>
          <cell r="F425">
            <v>0</v>
          </cell>
          <cell r="G425"/>
          <cell r="H425">
            <v>0</v>
          </cell>
          <cell r="I425">
            <v>0</v>
          </cell>
          <cell r="J425">
            <v>0</v>
          </cell>
          <cell r="K425">
            <v>0</v>
          </cell>
          <cell r="L425">
            <v>201101</v>
          </cell>
          <cell r="M425">
            <v>1</v>
          </cell>
          <cell r="N425">
            <v>0</v>
          </cell>
          <cell r="O425">
            <v>0</v>
          </cell>
          <cell r="P425">
            <v>0</v>
          </cell>
          <cell r="Q425">
            <v>0</v>
          </cell>
          <cell r="R425">
            <v>0</v>
          </cell>
          <cell r="S425">
            <v>0</v>
          </cell>
        </row>
        <row r="426">
          <cell r="A426">
            <v>201102</v>
          </cell>
          <cell r="B426" t="str">
            <v>Accrued Bonus - Vertical Team</v>
          </cell>
          <cell r="C426">
            <v>0</v>
          </cell>
          <cell r="D426">
            <v>0</v>
          </cell>
          <cell r="E426">
            <v>0</v>
          </cell>
          <cell r="F426">
            <v>0</v>
          </cell>
          <cell r="G426"/>
          <cell r="H426">
            <v>0</v>
          </cell>
          <cell r="I426">
            <v>0</v>
          </cell>
          <cell r="J426">
            <v>0</v>
          </cell>
          <cell r="K426">
            <v>0</v>
          </cell>
          <cell r="L426">
            <v>201102</v>
          </cell>
          <cell r="M426">
            <v>1</v>
          </cell>
          <cell r="N426">
            <v>0</v>
          </cell>
          <cell r="O426">
            <v>0</v>
          </cell>
          <cell r="P426">
            <v>0</v>
          </cell>
          <cell r="Q426">
            <v>0</v>
          </cell>
          <cell r="R426">
            <v>0</v>
          </cell>
          <cell r="S426">
            <v>0</v>
          </cell>
        </row>
        <row r="427">
          <cell r="A427">
            <v>201103</v>
          </cell>
          <cell r="B427" t="str">
            <v>Accrued Bonus - Practice Team</v>
          </cell>
          <cell r="C427">
            <v>0</v>
          </cell>
          <cell r="D427">
            <v>0</v>
          </cell>
          <cell r="E427">
            <v>0</v>
          </cell>
          <cell r="F427">
            <v>0</v>
          </cell>
          <cell r="G427"/>
          <cell r="H427">
            <v>0</v>
          </cell>
          <cell r="I427">
            <v>0</v>
          </cell>
          <cell r="J427">
            <v>0</v>
          </cell>
          <cell r="K427">
            <v>0</v>
          </cell>
          <cell r="L427">
            <v>201103</v>
          </cell>
          <cell r="M427">
            <v>1</v>
          </cell>
          <cell r="N427">
            <v>0</v>
          </cell>
          <cell r="O427">
            <v>0</v>
          </cell>
          <cell r="P427">
            <v>0</v>
          </cell>
          <cell r="Q427">
            <v>0</v>
          </cell>
          <cell r="R427">
            <v>0</v>
          </cell>
          <cell r="S427">
            <v>0</v>
          </cell>
        </row>
        <row r="428">
          <cell r="A428">
            <v>201104</v>
          </cell>
          <cell r="B428" t="str">
            <v>Accrued Bonus - Engagement Mgr</v>
          </cell>
          <cell r="C428">
            <v>0</v>
          </cell>
          <cell r="D428">
            <v>0</v>
          </cell>
          <cell r="E428">
            <v>0</v>
          </cell>
          <cell r="F428">
            <v>0</v>
          </cell>
          <cell r="G428"/>
          <cell r="H428">
            <v>0</v>
          </cell>
          <cell r="I428">
            <v>0</v>
          </cell>
          <cell r="J428">
            <v>0</v>
          </cell>
          <cell r="K428">
            <v>0</v>
          </cell>
          <cell r="L428">
            <v>201104</v>
          </cell>
          <cell r="M428">
            <v>1</v>
          </cell>
          <cell r="N428">
            <v>0</v>
          </cell>
          <cell r="O428">
            <v>0</v>
          </cell>
          <cell r="P428">
            <v>0</v>
          </cell>
          <cell r="Q428">
            <v>0</v>
          </cell>
          <cell r="R428">
            <v>0</v>
          </cell>
          <cell r="S428">
            <v>0</v>
          </cell>
        </row>
        <row r="429">
          <cell r="A429">
            <v>201105</v>
          </cell>
          <cell r="B429" t="str">
            <v>Accrued Bonus - TIA for Revenu</v>
          </cell>
          <cell r="C429">
            <v>0</v>
          </cell>
          <cell r="D429">
            <v>0</v>
          </cell>
          <cell r="E429">
            <v>0</v>
          </cell>
          <cell r="F429">
            <v>0</v>
          </cell>
          <cell r="G429"/>
          <cell r="H429">
            <v>0</v>
          </cell>
          <cell r="I429">
            <v>0</v>
          </cell>
          <cell r="J429">
            <v>0</v>
          </cell>
          <cell r="K429">
            <v>0</v>
          </cell>
          <cell r="L429">
            <v>201105</v>
          </cell>
          <cell r="M429">
            <v>1</v>
          </cell>
          <cell r="N429">
            <v>0</v>
          </cell>
          <cell r="O429">
            <v>0</v>
          </cell>
          <cell r="P429">
            <v>0</v>
          </cell>
          <cell r="Q429">
            <v>0</v>
          </cell>
          <cell r="R429">
            <v>0</v>
          </cell>
          <cell r="S429">
            <v>0</v>
          </cell>
        </row>
        <row r="430">
          <cell r="A430">
            <v>201106</v>
          </cell>
          <cell r="B430" t="str">
            <v>Accrued Bonus - TIA for TCV</v>
          </cell>
          <cell r="C430">
            <v>0</v>
          </cell>
          <cell r="D430">
            <v>0</v>
          </cell>
          <cell r="E430">
            <v>0</v>
          </cell>
          <cell r="F430">
            <v>0</v>
          </cell>
          <cell r="G430"/>
          <cell r="H430">
            <v>0</v>
          </cell>
          <cell r="I430">
            <v>0</v>
          </cell>
          <cell r="J430">
            <v>0</v>
          </cell>
          <cell r="K430">
            <v>0</v>
          </cell>
          <cell r="L430">
            <v>201106</v>
          </cell>
          <cell r="M430">
            <v>1</v>
          </cell>
          <cell r="N430">
            <v>0</v>
          </cell>
          <cell r="O430">
            <v>0</v>
          </cell>
          <cell r="P430">
            <v>0</v>
          </cell>
          <cell r="Q430">
            <v>0</v>
          </cell>
          <cell r="R430">
            <v>0</v>
          </cell>
          <cell r="S430">
            <v>0</v>
          </cell>
        </row>
        <row r="431">
          <cell r="A431">
            <v>201107</v>
          </cell>
          <cell r="B431" t="str">
            <v>Accrued Bonus - Billable</v>
          </cell>
          <cell r="C431">
            <v>0</v>
          </cell>
          <cell r="D431">
            <v>0</v>
          </cell>
          <cell r="E431">
            <v>0</v>
          </cell>
          <cell r="F431">
            <v>0</v>
          </cell>
          <cell r="G431"/>
          <cell r="H431">
            <v>0</v>
          </cell>
          <cell r="I431">
            <v>0</v>
          </cell>
          <cell r="J431">
            <v>0</v>
          </cell>
          <cell r="K431">
            <v>0</v>
          </cell>
          <cell r="L431">
            <v>201107</v>
          </cell>
          <cell r="M431">
            <v>1</v>
          </cell>
          <cell r="N431">
            <v>0</v>
          </cell>
          <cell r="O431">
            <v>0</v>
          </cell>
          <cell r="P431">
            <v>0</v>
          </cell>
          <cell r="Q431">
            <v>0</v>
          </cell>
          <cell r="R431">
            <v>0</v>
          </cell>
          <cell r="S431">
            <v>0</v>
          </cell>
        </row>
        <row r="432">
          <cell r="A432">
            <v>201108</v>
          </cell>
          <cell r="B432" t="str">
            <v>Accrued Bonus - Corporate</v>
          </cell>
          <cell r="C432">
            <v>0</v>
          </cell>
          <cell r="D432">
            <v>0</v>
          </cell>
          <cell r="E432">
            <v>0</v>
          </cell>
          <cell r="F432">
            <v>0</v>
          </cell>
          <cell r="G432"/>
          <cell r="H432">
            <v>0</v>
          </cell>
          <cell r="I432">
            <v>0</v>
          </cell>
          <cell r="J432">
            <v>0</v>
          </cell>
          <cell r="K432">
            <v>0</v>
          </cell>
          <cell r="L432">
            <v>201108</v>
          </cell>
          <cell r="M432">
            <v>1</v>
          </cell>
          <cell r="N432">
            <v>0</v>
          </cell>
          <cell r="O432">
            <v>0</v>
          </cell>
          <cell r="P432">
            <v>0</v>
          </cell>
          <cell r="Q432">
            <v>0</v>
          </cell>
          <cell r="R432">
            <v>0</v>
          </cell>
          <cell r="S432">
            <v>0</v>
          </cell>
        </row>
        <row r="433">
          <cell r="A433">
            <v>201109</v>
          </cell>
          <cell r="B433" t="str">
            <v>Accrued Bonus - Others</v>
          </cell>
          <cell r="C433">
            <v>0</v>
          </cell>
          <cell r="D433">
            <v>0</v>
          </cell>
          <cell r="E433">
            <v>0</v>
          </cell>
          <cell r="F433">
            <v>0</v>
          </cell>
          <cell r="G433"/>
          <cell r="H433">
            <v>0</v>
          </cell>
          <cell r="I433">
            <v>0</v>
          </cell>
          <cell r="J433">
            <v>0</v>
          </cell>
          <cell r="K433">
            <v>0</v>
          </cell>
          <cell r="L433">
            <v>201109</v>
          </cell>
          <cell r="M433">
            <v>1</v>
          </cell>
          <cell r="N433">
            <v>0</v>
          </cell>
          <cell r="O433">
            <v>0</v>
          </cell>
          <cell r="P433">
            <v>0</v>
          </cell>
          <cell r="Q433">
            <v>0</v>
          </cell>
          <cell r="R433">
            <v>0</v>
          </cell>
          <cell r="S433">
            <v>0</v>
          </cell>
        </row>
        <row r="434">
          <cell r="A434">
            <v>201114</v>
          </cell>
          <cell r="B434" t="str">
            <v>HCA Billable Bonus</v>
          </cell>
          <cell r="C434">
            <v>0</v>
          </cell>
          <cell r="D434">
            <v>0</v>
          </cell>
          <cell r="E434">
            <v>0</v>
          </cell>
          <cell r="F434">
            <v>0</v>
          </cell>
          <cell r="G434"/>
          <cell r="H434">
            <v>0</v>
          </cell>
          <cell r="I434">
            <v>0</v>
          </cell>
          <cell r="J434">
            <v>0</v>
          </cell>
          <cell r="K434">
            <v>0</v>
          </cell>
          <cell r="L434">
            <v>201114</v>
          </cell>
          <cell r="M434">
            <v>1</v>
          </cell>
          <cell r="N434">
            <v>0</v>
          </cell>
          <cell r="O434">
            <v>0</v>
          </cell>
          <cell r="P434">
            <v>0</v>
          </cell>
          <cell r="Q434">
            <v>0</v>
          </cell>
          <cell r="R434">
            <v>0</v>
          </cell>
          <cell r="S434">
            <v>0</v>
          </cell>
        </row>
        <row r="435">
          <cell r="A435">
            <v>201115</v>
          </cell>
          <cell r="B435" t="str">
            <v>Prov for Increment-Comp/Bonus</v>
          </cell>
          <cell r="C435">
            <v>0</v>
          </cell>
          <cell r="D435">
            <v>0</v>
          </cell>
          <cell r="E435">
            <v>0</v>
          </cell>
          <cell r="F435">
            <v>0</v>
          </cell>
          <cell r="G435"/>
          <cell r="H435">
            <v>0</v>
          </cell>
          <cell r="I435">
            <v>0</v>
          </cell>
          <cell r="J435">
            <v>0</v>
          </cell>
          <cell r="K435">
            <v>0</v>
          </cell>
          <cell r="L435">
            <v>201115</v>
          </cell>
          <cell r="M435">
            <v>1</v>
          </cell>
          <cell r="N435">
            <v>0</v>
          </cell>
          <cell r="O435">
            <v>0</v>
          </cell>
          <cell r="P435">
            <v>0</v>
          </cell>
          <cell r="Q435">
            <v>0</v>
          </cell>
          <cell r="R435">
            <v>0</v>
          </cell>
          <cell r="S435">
            <v>0</v>
          </cell>
        </row>
        <row r="436">
          <cell r="A436">
            <v>201117</v>
          </cell>
          <cell r="B436" t="str">
            <v>Accrued Long term incentive Plan</v>
          </cell>
          <cell r="C436">
            <v>0</v>
          </cell>
          <cell r="D436">
            <v>0</v>
          </cell>
          <cell r="E436">
            <v>0</v>
          </cell>
          <cell r="F436">
            <v>0</v>
          </cell>
          <cell r="G436"/>
          <cell r="H436">
            <v>0</v>
          </cell>
          <cell r="I436">
            <v>0</v>
          </cell>
          <cell r="J436">
            <v>0</v>
          </cell>
          <cell r="K436">
            <v>0</v>
          </cell>
          <cell r="L436">
            <v>201117</v>
          </cell>
          <cell r="M436">
            <v>1</v>
          </cell>
          <cell r="N436">
            <v>0</v>
          </cell>
          <cell r="O436">
            <v>0</v>
          </cell>
          <cell r="P436">
            <v>0</v>
          </cell>
          <cell r="Q436">
            <v>0</v>
          </cell>
          <cell r="R436">
            <v>0</v>
          </cell>
          <cell r="S436">
            <v>0</v>
          </cell>
        </row>
        <row r="437">
          <cell r="A437">
            <v>201201</v>
          </cell>
          <cell r="B437" t="str">
            <v>Full &amp; Final Settlement</v>
          </cell>
          <cell r="C437">
            <v>0</v>
          </cell>
          <cell r="D437">
            <v>0</v>
          </cell>
          <cell r="E437">
            <v>0</v>
          </cell>
          <cell r="F437">
            <v>0</v>
          </cell>
          <cell r="G437"/>
          <cell r="H437">
            <v>0</v>
          </cell>
          <cell r="I437">
            <v>0</v>
          </cell>
          <cell r="J437">
            <v>0</v>
          </cell>
          <cell r="K437">
            <v>0</v>
          </cell>
          <cell r="L437">
            <v>201201</v>
          </cell>
          <cell r="M437">
            <v>1</v>
          </cell>
          <cell r="N437">
            <v>0</v>
          </cell>
          <cell r="O437">
            <v>0</v>
          </cell>
          <cell r="P437">
            <v>-203416</v>
          </cell>
          <cell r="Q437">
            <v>203416</v>
          </cell>
          <cell r="R437">
            <v>0</v>
          </cell>
          <cell r="S437">
            <v>0</v>
          </cell>
        </row>
        <row r="438">
          <cell r="A438">
            <v>201202</v>
          </cell>
          <cell r="B438" t="str">
            <v>Provisions - FFS</v>
          </cell>
          <cell r="C438">
            <v>0.12</v>
          </cell>
          <cell r="D438">
            <v>0</v>
          </cell>
          <cell r="E438">
            <v>0</v>
          </cell>
          <cell r="F438">
            <v>0.12</v>
          </cell>
          <cell r="G438"/>
          <cell r="H438">
            <v>0.12</v>
          </cell>
          <cell r="I438">
            <v>0</v>
          </cell>
          <cell r="J438">
            <v>0</v>
          </cell>
          <cell r="K438">
            <v>0.12</v>
          </cell>
          <cell r="L438">
            <v>201202</v>
          </cell>
          <cell r="M438">
            <v>1</v>
          </cell>
          <cell r="N438">
            <v>0</v>
          </cell>
          <cell r="O438">
            <v>0</v>
          </cell>
          <cell r="P438">
            <v>0.12</v>
          </cell>
          <cell r="Q438">
            <v>0</v>
          </cell>
          <cell r="R438">
            <v>0</v>
          </cell>
          <cell r="S438">
            <v>0</v>
          </cell>
        </row>
        <row r="439">
          <cell r="A439">
            <v>201203</v>
          </cell>
          <cell r="B439" t="str">
            <v>Provision NPS-Co.Contribution</v>
          </cell>
          <cell r="C439">
            <v>0</v>
          </cell>
          <cell r="D439">
            <v>0</v>
          </cell>
          <cell r="E439">
            <v>0</v>
          </cell>
          <cell r="F439">
            <v>0</v>
          </cell>
          <cell r="G439"/>
          <cell r="H439">
            <v>0</v>
          </cell>
          <cell r="I439">
            <v>0</v>
          </cell>
          <cell r="J439">
            <v>0</v>
          </cell>
          <cell r="K439">
            <v>0</v>
          </cell>
          <cell r="L439">
            <v>201203</v>
          </cell>
          <cell r="M439">
            <v>1</v>
          </cell>
          <cell r="N439">
            <v>0</v>
          </cell>
          <cell r="O439">
            <v>0</v>
          </cell>
          <cell r="P439">
            <v>0</v>
          </cell>
          <cell r="Q439">
            <v>0</v>
          </cell>
          <cell r="R439">
            <v>0</v>
          </cell>
          <cell r="S439">
            <v>0</v>
          </cell>
        </row>
        <row r="440">
          <cell r="A440">
            <v>201211</v>
          </cell>
          <cell r="B440" t="str">
            <v>TDS - Employees - 2002-03</v>
          </cell>
          <cell r="C440">
            <v>0</v>
          </cell>
          <cell r="D440">
            <v>0</v>
          </cell>
          <cell r="E440">
            <v>0</v>
          </cell>
          <cell r="F440">
            <v>0</v>
          </cell>
          <cell r="G440"/>
          <cell r="H440">
            <v>0</v>
          </cell>
          <cell r="I440">
            <v>0</v>
          </cell>
          <cell r="J440">
            <v>0</v>
          </cell>
          <cell r="K440">
            <v>0</v>
          </cell>
          <cell r="L440">
            <v>201211</v>
          </cell>
          <cell r="M440">
            <v>1</v>
          </cell>
          <cell r="N440">
            <v>0</v>
          </cell>
          <cell r="O440">
            <v>0</v>
          </cell>
          <cell r="P440">
            <v>0</v>
          </cell>
          <cell r="Q440">
            <v>0</v>
          </cell>
          <cell r="R440">
            <v>0</v>
          </cell>
          <cell r="S440">
            <v>0</v>
          </cell>
        </row>
        <row r="441">
          <cell r="A441">
            <v>201212</v>
          </cell>
          <cell r="B441" t="str">
            <v>TDS - Employees - 2003-04</v>
          </cell>
          <cell r="C441">
            <v>0</v>
          </cell>
          <cell r="D441">
            <v>0</v>
          </cell>
          <cell r="E441">
            <v>0</v>
          </cell>
          <cell r="F441">
            <v>0</v>
          </cell>
          <cell r="G441"/>
          <cell r="H441">
            <v>0</v>
          </cell>
          <cell r="I441">
            <v>0</v>
          </cell>
          <cell r="J441">
            <v>0</v>
          </cell>
          <cell r="K441">
            <v>0</v>
          </cell>
          <cell r="L441">
            <v>201212</v>
          </cell>
          <cell r="M441">
            <v>1</v>
          </cell>
          <cell r="N441">
            <v>0</v>
          </cell>
          <cell r="O441">
            <v>0</v>
          </cell>
          <cell r="P441">
            <v>0</v>
          </cell>
          <cell r="Q441">
            <v>0</v>
          </cell>
          <cell r="R441">
            <v>0</v>
          </cell>
          <cell r="S441">
            <v>0</v>
          </cell>
        </row>
        <row r="442">
          <cell r="A442">
            <v>201213</v>
          </cell>
          <cell r="B442" t="str">
            <v>Withholding - Salarie</v>
          </cell>
          <cell r="C442">
            <v>0</v>
          </cell>
          <cell r="D442">
            <v>0</v>
          </cell>
          <cell r="E442">
            <v>0</v>
          </cell>
          <cell r="F442">
            <v>0</v>
          </cell>
          <cell r="G442"/>
          <cell r="H442">
            <v>0</v>
          </cell>
          <cell r="I442">
            <v>0</v>
          </cell>
          <cell r="J442">
            <v>0</v>
          </cell>
          <cell r="K442">
            <v>0</v>
          </cell>
          <cell r="L442">
            <v>201213</v>
          </cell>
          <cell r="M442">
            <v>1</v>
          </cell>
          <cell r="N442">
            <v>0</v>
          </cell>
          <cell r="O442">
            <v>0</v>
          </cell>
          <cell r="P442">
            <v>0</v>
          </cell>
          <cell r="Q442">
            <v>0</v>
          </cell>
          <cell r="R442">
            <v>0</v>
          </cell>
          <cell r="S442">
            <v>0</v>
          </cell>
        </row>
        <row r="443">
          <cell r="A443">
            <v>201214</v>
          </cell>
          <cell r="B443" t="str">
            <v>TDS - Employees - 2004-05</v>
          </cell>
          <cell r="C443">
            <v>0</v>
          </cell>
          <cell r="D443">
            <v>0</v>
          </cell>
          <cell r="E443">
            <v>0</v>
          </cell>
          <cell r="F443">
            <v>0</v>
          </cell>
          <cell r="G443"/>
          <cell r="H443">
            <v>0</v>
          </cell>
          <cell r="I443">
            <v>0</v>
          </cell>
          <cell r="J443">
            <v>0</v>
          </cell>
          <cell r="K443">
            <v>0</v>
          </cell>
          <cell r="L443">
            <v>201214</v>
          </cell>
          <cell r="M443">
            <v>1</v>
          </cell>
          <cell r="N443">
            <v>0</v>
          </cell>
          <cell r="O443">
            <v>0</v>
          </cell>
          <cell r="P443">
            <v>0</v>
          </cell>
          <cell r="Q443">
            <v>0</v>
          </cell>
          <cell r="R443">
            <v>0</v>
          </cell>
          <cell r="S443">
            <v>0</v>
          </cell>
        </row>
        <row r="444">
          <cell r="A444">
            <v>201215</v>
          </cell>
          <cell r="B444" t="str">
            <v>TDS - Employees - 2006-07</v>
          </cell>
          <cell r="C444">
            <v>0</v>
          </cell>
          <cell r="D444">
            <v>0</v>
          </cell>
          <cell r="E444">
            <v>0</v>
          </cell>
          <cell r="F444">
            <v>0</v>
          </cell>
          <cell r="G444"/>
          <cell r="H444">
            <v>0</v>
          </cell>
          <cell r="I444">
            <v>0</v>
          </cell>
          <cell r="J444">
            <v>0</v>
          </cell>
          <cell r="K444">
            <v>0</v>
          </cell>
          <cell r="L444">
            <v>201215</v>
          </cell>
          <cell r="M444">
            <v>1</v>
          </cell>
          <cell r="N444">
            <v>0</v>
          </cell>
          <cell r="O444">
            <v>0</v>
          </cell>
          <cell r="P444">
            <v>-192772</v>
          </cell>
          <cell r="Q444">
            <v>192772</v>
          </cell>
          <cell r="R444">
            <v>0</v>
          </cell>
          <cell r="S444">
            <v>0</v>
          </cell>
        </row>
        <row r="445">
          <cell r="A445">
            <v>201221</v>
          </cell>
          <cell r="B445" t="str">
            <v>Provision PF - Co. Contribution</v>
          </cell>
          <cell r="C445">
            <v>0</v>
          </cell>
          <cell r="D445">
            <v>0</v>
          </cell>
          <cell r="E445">
            <v>0</v>
          </cell>
          <cell r="F445">
            <v>0</v>
          </cell>
          <cell r="G445"/>
          <cell r="H445">
            <v>0</v>
          </cell>
          <cell r="I445">
            <v>0</v>
          </cell>
          <cell r="J445">
            <v>0</v>
          </cell>
          <cell r="K445">
            <v>0</v>
          </cell>
          <cell r="L445">
            <v>201221</v>
          </cell>
          <cell r="M445">
            <v>1</v>
          </cell>
          <cell r="N445">
            <v>0</v>
          </cell>
          <cell r="O445">
            <v>0</v>
          </cell>
          <cell r="P445">
            <v>-38885.949999999983</v>
          </cell>
          <cell r="Q445">
            <v>38885.949999999983</v>
          </cell>
          <cell r="R445">
            <v>0</v>
          </cell>
          <cell r="S445">
            <v>0</v>
          </cell>
        </row>
        <row r="446">
          <cell r="A446">
            <v>201222</v>
          </cell>
          <cell r="B446" t="str">
            <v>Provision ESIC - Co. Contribution</v>
          </cell>
          <cell r="C446">
            <v>0</v>
          </cell>
          <cell r="D446">
            <v>0</v>
          </cell>
          <cell r="E446">
            <v>0</v>
          </cell>
          <cell r="F446">
            <v>0</v>
          </cell>
          <cell r="G446"/>
          <cell r="H446">
            <v>0</v>
          </cell>
          <cell r="I446">
            <v>0</v>
          </cell>
          <cell r="J446">
            <v>0</v>
          </cell>
          <cell r="K446">
            <v>0</v>
          </cell>
          <cell r="L446">
            <v>201222</v>
          </cell>
          <cell r="M446">
            <v>1</v>
          </cell>
          <cell r="N446">
            <v>0</v>
          </cell>
          <cell r="O446">
            <v>0</v>
          </cell>
          <cell r="P446">
            <v>0</v>
          </cell>
          <cell r="Q446">
            <v>0</v>
          </cell>
          <cell r="R446">
            <v>0</v>
          </cell>
          <cell r="S446">
            <v>0</v>
          </cell>
        </row>
        <row r="447">
          <cell r="A447">
            <v>201223</v>
          </cell>
          <cell r="B447" t="str">
            <v>Provision MLWF - Co. Contribution</v>
          </cell>
          <cell r="C447">
            <v>0</v>
          </cell>
          <cell r="D447">
            <v>0</v>
          </cell>
          <cell r="E447">
            <v>0</v>
          </cell>
          <cell r="F447">
            <v>0</v>
          </cell>
          <cell r="G447"/>
          <cell r="H447">
            <v>0</v>
          </cell>
          <cell r="I447">
            <v>0</v>
          </cell>
          <cell r="J447">
            <v>0</v>
          </cell>
          <cell r="K447">
            <v>0</v>
          </cell>
          <cell r="L447">
            <v>201223</v>
          </cell>
          <cell r="M447">
            <v>1</v>
          </cell>
          <cell r="N447">
            <v>0</v>
          </cell>
          <cell r="O447">
            <v>0</v>
          </cell>
          <cell r="P447">
            <v>0</v>
          </cell>
          <cell r="Q447">
            <v>0</v>
          </cell>
          <cell r="R447">
            <v>0</v>
          </cell>
          <cell r="S447">
            <v>0</v>
          </cell>
        </row>
        <row r="448">
          <cell r="A448">
            <v>201224</v>
          </cell>
          <cell r="B448" t="str">
            <v>Provision CLWF - Co. Contribution</v>
          </cell>
          <cell r="C448">
            <v>0</v>
          </cell>
          <cell r="D448">
            <v>0</v>
          </cell>
          <cell r="E448">
            <v>0</v>
          </cell>
          <cell r="F448">
            <v>0</v>
          </cell>
          <cell r="G448"/>
          <cell r="H448">
            <v>0</v>
          </cell>
          <cell r="I448">
            <v>0</v>
          </cell>
          <cell r="J448">
            <v>0</v>
          </cell>
          <cell r="K448">
            <v>0</v>
          </cell>
          <cell r="L448">
            <v>201224</v>
          </cell>
          <cell r="M448">
            <v>1</v>
          </cell>
          <cell r="N448">
            <v>0</v>
          </cell>
          <cell r="O448">
            <v>0</v>
          </cell>
          <cell r="P448">
            <v>0</v>
          </cell>
          <cell r="Q448">
            <v>0</v>
          </cell>
          <cell r="R448">
            <v>0</v>
          </cell>
          <cell r="S448">
            <v>0</v>
          </cell>
        </row>
        <row r="449">
          <cell r="A449">
            <v>201225</v>
          </cell>
          <cell r="B449" t="str">
            <v>TSUNAMI Contribution from Emp</v>
          </cell>
          <cell r="C449">
            <v>0</v>
          </cell>
          <cell r="D449">
            <v>0</v>
          </cell>
          <cell r="E449">
            <v>0</v>
          </cell>
          <cell r="F449">
            <v>0</v>
          </cell>
          <cell r="G449"/>
          <cell r="H449">
            <v>0</v>
          </cell>
          <cell r="I449">
            <v>0</v>
          </cell>
          <cell r="J449">
            <v>0</v>
          </cell>
          <cell r="K449">
            <v>0</v>
          </cell>
          <cell r="L449">
            <v>201225</v>
          </cell>
          <cell r="M449">
            <v>1</v>
          </cell>
          <cell r="N449">
            <v>0</v>
          </cell>
          <cell r="O449">
            <v>0</v>
          </cell>
          <cell r="P449">
            <v>0</v>
          </cell>
          <cell r="Q449">
            <v>0</v>
          </cell>
          <cell r="R449">
            <v>0</v>
          </cell>
          <cell r="S449">
            <v>0</v>
          </cell>
        </row>
        <row r="450">
          <cell r="A450">
            <v>201226</v>
          </cell>
          <cell r="B450" t="str">
            <v>Accident Victim Fund</v>
          </cell>
          <cell r="C450">
            <v>0</v>
          </cell>
          <cell r="D450">
            <v>0</v>
          </cell>
          <cell r="E450">
            <v>0</v>
          </cell>
          <cell r="F450">
            <v>0</v>
          </cell>
          <cell r="G450"/>
          <cell r="H450">
            <v>0</v>
          </cell>
          <cell r="I450">
            <v>0</v>
          </cell>
          <cell r="J450">
            <v>0</v>
          </cell>
          <cell r="K450">
            <v>0</v>
          </cell>
          <cell r="L450">
            <v>201226</v>
          </cell>
          <cell r="M450">
            <v>1</v>
          </cell>
          <cell r="N450">
            <v>0</v>
          </cell>
          <cell r="O450">
            <v>0</v>
          </cell>
          <cell r="P450">
            <v>0</v>
          </cell>
          <cell r="Q450">
            <v>0</v>
          </cell>
          <cell r="R450">
            <v>0</v>
          </cell>
          <cell r="S450">
            <v>0</v>
          </cell>
        </row>
        <row r="451">
          <cell r="A451">
            <v>201228</v>
          </cell>
          <cell r="B451" t="str">
            <v>Liability VPF-Voluntary Deduct</v>
          </cell>
          <cell r="C451">
            <v>0</v>
          </cell>
          <cell r="D451">
            <v>0</v>
          </cell>
          <cell r="E451">
            <v>0</v>
          </cell>
          <cell r="F451">
            <v>0</v>
          </cell>
          <cell r="G451"/>
          <cell r="H451">
            <v>0</v>
          </cell>
          <cell r="I451">
            <v>0</v>
          </cell>
          <cell r="J451">
            <v>0</v>
          </cell>
          <cell r="K451">
            <v>0</v>
          </cell>
          <cell r="L451">
            <v>201228</v>
          </cell>
          <cell r="M451">
            <v>1</v>
          </cell>
          <cell r="N451">
            <v>0</v>
          </cell>
          <cell r="O451">
            <v>0</v>
          </cell>
          <cell r="P451">
            <v>-14116</v>
          </cell>
          <cell r="Q451">
            <v>14116</v>
          </cell>
          <cell r="R451">
            <v>0</v>
          </cell>
          <cell r="S451">
            <v>0</v>
          </cell>
        </row>
        <row r="452">
          <cell r="A452">
            <v>201230</v>
          </cell>
          <cell r="B452" t="str">
            <v>Employee welfare trust</v>
          </cell>
          <cell r="C452">
            <v>0</v>
          </cell>
          <cell r="D452">
            <v>0</v>
          </cell>
          <cell r="E452">
            <v>0</v>
          </cell>
          <cell r="F452">
            <v>0</v>
          </cell>
          <cell r="G452"/>
          <cell r="H452">
            <v>0</v>
          </cell>
          <cell r="I452">
            <v>0</v>
          </cell>
          <cell r="J452">
            <v>0</v>
          </cell>
          <cell r="K452">
            <v>0</v>
          </cell>
          <cell r="L452">
            <v>201230</v>
          </cell>
          <cell r="M452">
            <v>1</v>
          </cell>
          <cell r="N452">
            <v>0</v>
          </cell>
          <cell r="O452">
            <v>0</v>
          </cell>
          <cell r="P452">
            <v>-700</v>
          </cell>
          <cell r="Q452">
            <v>700</v>
          </cell>
          <cell r="R452">
            <v>0</v>
          </cell>
          <cell r="S452">
            <v>0</v>
          </cell>
        </row>
        <row r="453">
          <cell r="A453">
            <v>201231</v>
          </cell>
          <cell r="B453" t="str">
            <v>Liability Payroll Processed</v>
          </cell>
          <cell r="C453">
            <v>0</v>
          </cell>
          <cell r="D453">
            <v>0</v>
          </cell>
          <cell r="E453">
            <v>0</v>
          </cell>
          <cell r="F453">
            <v>0</v>
          </cell>
          <cell r="G453"/>
          <cell r="H453">
            <v>0</v>
          </cell>
          <cell r="I453">
            <v>0</v>
          </cell>
          <cell r="J453">
            <v>0</v>
          </cell>
          <cell r="K453">
            <v>0</v>
          </cell>
          <cell r="L453">
            <v>201231</v>
          </cell>
          <cell r="M453">
            <v>1</v>
          </cell>
          <cell r="N453">
            <v>0</v>
          </cell>
          <cell r="O453">
            <v>0</v>
          </cell>
          <cell r="P453">
            <v>0</v>
          </cell>
          <cell r="Q453">
            <v>0</v>
          </cell>
          <cell r="R453">
            <v>0</v>
          </cell>
          <cell r="S453">
            <v>0</v>
          </cell>
        </row>
        <row r="454">
          <cell r="A454">
            <v>201232</v>
          </cell>
          <cell r="B454" t="str">
            <v>Liability PF - Deduction</v>
          </cell>
          <cell r="C454">
            <v>0</v>
          </cell>
          <cell r="D454">
            <v>0</v>
          </cell>
          <cell r="E454">
            <v>0</v>
          </cell>
          <cell r="F454">
            <v>0</v>
          </cell>
          <cell r="G454"/>
          <cell r="H454">
            <v>0</v>
          </cell>
          <cell r="I454">
            <v>0</v>
          </cell>
          <cell r="J454">
            <v>0</v>
          </cell>
          <cell r="K454">
            <v>0</v>
          </cell>
          <cell r="L454">
            <v>201232</v>
          </cell>
          <cell r="M454">
            <v>1</v>
          </cell>
          <cell r="N454">
            <v>0</v>
          </cell>
          <cell r="O454">
            <v>0</v>
          </cell>
          <cell r="P454">
            <v>-34774</v>
          </cell>
          <cell r="Q454">
            <v>34774</v>
          </cell>
          <cell r="R454">
            <v>0</v>
          </cell>
          <cell r="S454">
            <v>0</v>
          </cell>
        </row>
        <row r="455">
          <cell r="A455">
            <v>201233</v>
          </cell>
          <cell r="B455" t="str">
            <v>Liability ESIC - Deduction</v>
          </cell>
          <cell r="C455">
            <v>0</v>
          </cell>
          <cell r="D455">
            <v>0</v>
          </cell>
          <cell r="E455">
            <v>0</v>
          </cell>
          <cell r="F455">
            <v>0</v>
          </cell>
          <cell r="G455"/>
          <cell r="H455">
            <v>0</v>
          </cell>
          <cell r="I455">
            <v>0</v>
          </cell>
          <cell r="J455">
            <v>0</v>
          </cell>
          <cell r="K455">
            <v>0</v>
          </cell>
          <cell r="L455">
            <v>201233</v>
          </cell>
          <cell r="M455">
            <v>1</v>
          </cell>
          <cell r="N455">
            <v>0</v>
          </cell>
          <cell r="O455">
            <v>0</v>
          </cell>
          <cell r="P455">
            <v>0</v>
          </cell>
          <cell r="Q455">
            <v>0</v>
          </cell>
          <cell r="R455">
            <v>0</v>
          </cell>
          <cell r="S455">
            <v>0</v>
          </cell>
        </row>
        <row r="456">
          <cell r="A456">
            <v>201234</v>
          </cell>
          <cell r="B456" t="str">
            <v>Liability MLWF - Deduction</v>
          </cell>
          <cell r="C456">
            <v>0</v>
          </cell>
          <cell r="D456">
            <v>0</v>
          </cell>
          <cell r="E456">
            <v>0</v>
          </cell>
          <cell r="F456">
            <v>0</v>
          </cell>
          <cell r="G456"/>
          <cell r="H456">
            <v>0</v>
          </cell>
          <cell r="I456">
            <v>0</v>
          </cell>
          <cell r="J456">
            <v>0</v>
          </cell>
          <cell r="K456">
            <v>0</v>
          </cell>
          <cell r="L456">
            <v>201234</v>
          </cell>
          <cell r="M456">
            <v>1</v>
          </cell>
          <cell r="N456">
            <v>0</v>
          </cell>
          <cell r="O456">
            <v>0</v>
          </cell>
          <cell r="P456">
            <v>0</v>
          </cell>
          <cell r="Q456">
            <v>0</v>
          </cell>
          <cell r="R456">
            <v>0</v>
          </cell>
          <cell r="S456">
            <v>0</v>
          </cell>
        </row>
        <row r="457">
          <cell r="A457">
            <v>201235</v>
          </cell>
          <cell r="B457" t="str">
            <v>Liability CLWF - Deduction</v>
          </cell>
          <cell r="C457">
            <v>0</v>
          </cell>
          <cell r="D457">
            <v>0</v>
          </cell>
          <cell r="E457">
            <v>0</v>
          </cell>
          <cell r="F457">
            <v>0</v>
          </cell>
          <cell r="G457"/>
          <cell r="H457">
            <v>0</v>
          </cell>
          <cell r="I457">
            <v>0</v>
          </cell>
          <cell r="J457">
            <v>0</v>
          </cell>
          <cell r="K457">
            <v>0</v>
          </cell>
          <cell r="L457">
            <v>201235</v>
          </cell>
          <cell r="M457">
            <v>1</v>
          </cell>
          <cell r="N457">
            <v>0</v>
          </cell>
          <cell r="O457">
            <v>0</v>
          </cell>
          <cell r="P457">
            <v>0</v>
          </cell>
          <cell r="Q457">
            <v>0</v>
          </cell>
          <cell r="R457">
            <v>0</v>
          </cell>
          <cell r="S457">
            <v>0</v>
          </cell>
        </row>
        <row r="458">
          <cell r="A458">
            <v>201236</v>
          </cell>
          <cell r="B458" t="str">
            <v>Liability P Tax  - Deduction</v>
          </cell>
          <cell r="C458">
            <v>0</v>
          </cell>
          <cell r="D458">
            <v>0</v>
          </cell>
          <cell r="E458">
            <v>0</v>
          </cell>
          <cell r="F458">
            <v>0</v>
          </cell>
          <cell r="G458"/>
          <cell r="H458">
            <v>0</v>
          </cell>
          <cell r="I458">
            <v>0</v>
          </cell>
          <cell r="J458">
            <v>0</v>
          </cell>
          <cell r="K458">
            <v>0</v>
          </cell>
          <cell r="L458">
            <v>201236</v>
          </cell>
          <cell r="M458">
            <v>1</v>
          </cell>
          <cell r="N458">
            <v>0</v>
          </cell>
          <cell r="O458">
            <v>0</v>
          </cell>
          <cell r="P458">
            <v>-4400</v>
          </cell>
          <cell r="Q458">
            <v>4400</v>
          </cell>
          <cell r="R458">
            <v>0</v>
          </cell>
          <cell r="S458">
            <v>0</v>
          </cell>
        </row>
        <row r="459">
          <cell r="A459">
            <v>201241</v>
          </cell>
          <cell r="B459" t="str">
            <v>Provision - Gratuity</v>
          </cell>
          <cell r="C459">
            <v>0</v>
          </cell>
          <cell r="D459">
            <v>0</v>
          </cell>
          <cell r="E459">
            <v>0</v>
          </cell>
          <cell r="F459">
            <v>0</v>
          </cell>
          <cell r="G459"/>
          <cell r="H459">
            <v>0</v>
          </cell>
          <cell r="I459">
            <v>0</v>
          </cell>
          <cell r="J459">
            <v>0</v>
          </cell>
          <cell r="K459">
            <v>0</v>
          </cell>
          <cell r="L459">
            <v>201241</v>
          </cell>
          <cell r="M459">
            <v>1</v>
          </cell>
          <cell r="N459">
            <v>0</v>
          </cell>
          <cell r="O459">
            <v>0</v>
          </cell>
          <cell r="P459">
            <v>-2891178.6400000006</v>
          </cell>
          <cell r="Q459">
            <v>2891178.6400000006</v>
          </cell>
          <cell r="R459">
            <v>0</v>
          </cell>
          <cell r="S459">
            <v>0</v>
          </cell>
        </row>
        <row r="460">
          <cell r="A460">
            <v>201242</v>
          </cell>
          <cell r="B460" t="str">
            <v xml:space="preserve">Provision - Unutilised Leave </v>
          </cell>
          <cell r="C460">
            <v>0</v>
          </cell>
          <cell r="D460">
            <v>0</v>
          </cell>
          <cell r="E460">
            <v>0</v>
          </cell>
          <cell r="F460">
            <v>0</v>
          </cell>
          <cell r="G460"/>
          <cell r="H460">
            <v>0</v>
          </cell>
          <cell r="I460">
            <v>0</v>
          </cell>
          <cell r="J460">
            <v>0</v>
          </cell>
          <cell r="K460">
            <v>0</v>
          </cell>
          <cell r="L460">
            <v>201242</v>
          </cell>
          <cell r="M460">
            <v>1</v>
          </cell>
          <cell r="N460">
            <v>0</v>
          </cell>
          <cell r="O460">
            <v>0</v>
          </cell>
          <cell r="P460">
            <v>-1444970.4600000009</v>
          </cell>
          <cell r="Q460">
            <v>1444970.4600000009</v>
          </cell>
          <cell r="R460">
            <v>0</v>
          </cell>
          <cell r="S460">
            <v>0</v>
          </cell>
        </row>
        <row r="461">
          <cell r="A461">
            <v>201243</v>
          </cell>
          <cell r="B461" t="str">
            <v>Provision - Leave Travel</v>
          </cell>
          <cell r="C461">
            <v>-0.48999999999068677</v>
          </cell>
          <cell r="D461">
            <v>0</v>
          </cell>
          <cell r="E461">
            <v>0</v>
          </cell>
          <cell r="F461">
            <v>-0.48999999999068677</v>
          </cell>
          <cell r="G461"/>
          <cell r="H461">
            <v>-0.48999999999068677</v>
          </cell>
          <cell r="I461">
            <v>0</v>
          </cell>
          <cell r="J461">
            <v>0</v>
          </cell>
          <cell r="K461">
            <v>-0.48999999999068677</v>
          </cell>
          <cell r="L461">
            <v>201243</v>
          </cell>
          <cell r="M461">
            <v>1</v>
          </cell>
          <cell r="N461">
            <v>0</v>
          </cell>
          <cell r="O461">
            <v>0</v>
          </cell>
          <cell r="P461">
            <v>-369415</v>
          </cell>
          <cell r="Q461">
            <v>369414.51</v>
          </cell>
          <cell r="R461">
            <v>0</v>
          </cell>
          <cell r="S461">
            <v>0</v>
          </cell>
        </row>
        <row r="462">
          <cell r="A462">
            <v>201244</v>
          </cell>
          <cell r="B462" t="str">
            <v>Provision - Medical Reimbursement</v>
          </cell>
          <cell r="C462">
            <v>0</v>
          </cell>
          <cell r="D462">
            <v>0</v>
          </cell>
          <cell r="E462">
            <v>0</v>
          </cell>
          <cell r="F462">
            <v>0</v>
          </cell>
          <cell r="G462"/>
          <cell r="H462">
            <v>0</v>
          </cell>
          <cell r="I462">
            <v>0</v>
          </cell>
          <cell r="J462">
            <v>0</v>
          </cell>
          <cell r="K462">
            <v>0</v>
          </cell>
          <cell r="L462">
            <v>201244</v>
          </cell>
          <cell r="M462">
            <v>1</v>
          </cell>
          <cell r="N462">
            <v>0</v>
          </cell>
          <cell r="O462">
            <v>0</v>
          </cell>
          <cell r="P462">
            <v>0</v>
          </cell>
          <cell r="Q462">
            <v>0</v>
          </cell>
          <cell r="R462">
            <v>0</v>
          </cell>
          <cell r="S462">
            <v>0</v>
          </cell>
        </row>
        <row r="463">
          <cell r="A463">
            <v>202010</v>
          </cell>
          <cell r="B463" t="str">
            <v>Accumulated Warranty reserves</v>
          </cell>
          <cell r="C463">
            <v>0</v>
          </cell>
          <cell r="D463">
            <v>0</v>
          </cell>
          <cell r="E463">
            <v>0</v>
          </cell>
          <cell r="F463">
            <v>0</v>
          </cell>
          <cell r="G463"/>
          <cell r="H463">
            <v>0</v>
          </cell>
          <cell r="I463">
            <v>0</v>
          </cell>
          <cell r="J463">
            <v>0</v>
          </cell>
          <cell r="K463">
            <v>0</v>
          </cell>
          <cell r="L463">
            <v>202010</v>
          </cell>
          <cell r="M463">
            <v>1</v>
          </cell>
          <cell r="N463">
            <v>0</v>
          </cell>
          <cell r="O463">
            <v>0</v>
          </cell>
          <cell r="P463">
            <v>0</v>
          </cell>
          <cell r="Q463">
            <v>0</v>
          </cell>
          <cell r="R463">
            <v>0</v>
          </cell>
          <cell r="S463">
            <v>0</v>
          </cell>
        </row>
        <row r="464">
          <cell r="A464">
            <v>205010</v>
          </cell>
          <cell r="B464" t="str">
            <v>Health Insurance Accrual</v>
          </cell>
          <cell r="C464">
            <v>0</v>
          </cell>
          <cell r="D464">
            <v>0</v>
          </cell>
          <cell r="E464">
            <v>0</v>
          </cell>
          <cell r="F464">
            <v>0</v>
          </cell>
          <cell r="G464"/>
          <cell r="H464">
            <v>0</v>
          </cell>
          <cell r="I464">
            <v>0</v>
          </cell>
          <cell r="J464">
            <v>0</v>
          </cell>
          <cell r="K464">
            <v>0</v>
          </cell>
          <cell r="L464">
            <v>205010</v>
          </cell>
          <cell r="M464">
            <v>1</v>
          </cell>
          <cell r="N464">
            <v>0</v>
          </cell>
          <cell r="O464">
            <v>0</v>
          </cell>
          <cell r="P464">
            <v>0</v>
          </cell>
          <cell r="Q464">
            <v>0</v>
          </cell>
          <cell r="R464">
            <v>0</v>
          </cell>
          <cell r="S464">
            <v>0</v>
          </cell>
        </row>
        <row r="465">
          <cell r="A465">
            <v>205011</v>
          </cell>
          <cell r="B465" t="str">
            <v>Insurance - Parental Coverage</v>
          </cell>
          <cell r="C465">
            <v>0</v>
          </cell>
          <cell r="D465">
            <v>0</v>
          </cell>
          <cell r="E465">
            <v>0</v>
          </cell>
          <cell r="F465">
            <v>0</v>
          </cell>
          <cell r="G465"/>
          <cell r="H465">
            <v>0</v>
          </cell>
          <cell r="I465">
            <v>0</v>
          </cell>
          <cell r="J465">
            <v>0</v>
          </cell>
          <cell r="K465">
            <v>0</v>
          </cell>
          <cell r="L465">
            <v>205011</v>
          </cell>
          <cell r="M465">
            <v>1</v>
          </cell>
          <cell r="N465">
            <v>0</v>
          </cell>
          <cell r="O465">
            <v>0</v>
          </cell>
          <cell r="P465">
            <v>-40755.71</v>
          </cell>
          <cell r="Q465">
            <v>40755.71</v>
          </cell>
          <cell r="R465">
            <v>0</v>
          </cell>
          <cell r="S465">
            <v>0</v>
          </cell>
        </row>
        <row r="466">
          <cell r="A466">
            <v>205012</v>
          </cell>
          <cell r="B466" t="str">
            <v>Insurance-Volunt Life &amp; Medi</v>
          </cell>
          <cell r="C466">
            <v>0</v>
          </cell>
          <cell r="D466">
            <v>0</v>
          </cell>
          <cell r="E466">
            <v>0</v>
          </cell>
          <cell r="F466">
            <v>0</v>
          </cell>
          <cell r="G466"/>
          <cell r="H466">
            <v>0</v>
          </cell>
          <cell r="I466">
            <v>0</v>
          </cell>
          <cell r="J466">
            <v>0</v>
          </cell>
          <cell r="K466">
            <v>0</v>
          </cell>
          <cell r="L466">
            <v>205012</v>
          </cell>
          <cell r="M466">
            <v>1</v>
          </cell>
          <cell r="N466">
            <v>0</v>
          </cell>
          <cell r="O466">
            <v>0</v>
          </cell>
          <cell r="P466">
            <v>-1140.75</v>
          </cell>
          <cell r="Q466">
            <v>1140.75</v>
          </cell>
          <cell r="R466">
            <v>0</v>
          </cell>
          <cell r="S466">
            <v>0</v>
          </cell>
        </row>
        <row r="467">
          <cell r="A467">
            <v>205014</v>
          </cell>
          <cell r="B467" t="str">
            <v>Tax Collected at source</v>
          </cell>
          <cell r="C467">
            <v>0</v>
          </cell>
          <cell r="D467">
            <v>0</v>
          </cell>
          <cell r="E467">
            <v>0</v>
          </cell>
          <cell r="F467">
            <v>0</v>
          </cell>
          <cell r="G467"/>
          <cell r="H467">
            <v>0</v>
          </cell>
          <cell r="I467">
            <v>0</v>
          </cell>
          <cell r="J467">
            <v>0</v>
          </cell>
          <cell r="K467">
            <v>0</v>
          </cell>
          <cell r="L467">
            <v>205014</v>
          </cell>
          <cell r="M467">
            <v>1</v>
          </cell>
          <cell r="N467">
            <v>0</v>
          </cell>
          <cell r="O467">
            <v>0</v>
          </cell>
          <cell r="P467">
            <v>0</v>
          </cell>
          <cell r="Q467">
            <v>0</v>
          </cell>
          <cell r="R467">
            <v>0</v>
          </cell>
          <cell r="S467">
            <v>0</v>
          </cell>
        </row>
        <row r="468">
          <cell r="A468">
            <v>205015</v>
          </cell>
          <cell r="B468" t="str">
            <v>Connecticut Sales and Use Tax</v>
          </cell>
          <cell r="C468">
            <v>0</v>
          </cell>
          <cell r="D468">
            <v>0</v>
          </cell>
          <cell r="E468">
            <v>0</v>
          </cell>
          <cell r="F468">
            <v>0</v>
          </cell>
          <cell r="G468"/>
          <cell r="H468">
            <v>0</v>
          </cell>
          <cell r="I468">
            <v>0</v>
          </cell>
          <cell r="J468">
            <v>0</v>
          </cell>
          <cell r="K468">
            <v>0</v>
          </cell>
          <cell r="L468">
            <v>205015</v>
          </cell>
          <cell r="M468">
            <v>1</v>
          </cell>
          <cell r="N468">
            <v>0</v>
          </cell>
          <cell r="O468">
            <v>0</v>
          </cell>
          <cell r="P468">
            <v>0</v>
          </cell>
          <cell r="Q468">
            <v>0</v>
          </cell>
          <cell r="R468">
            <v>0</v>
          </cell>
          <cell r="S468">
            <v>0</v>
          </cell>
        </row>
        <row r="469">
          <cell r="A469">
            <v>205020</v>
          </cell>
          <cell r="B469" t="str">
            <v>Health Insurance Reserve</v>
          </cell>
          <cell r="C469">
            <v>0</v>
          </cell>
          <cell r="D469">
            <v>0</v>
          </cell>
          <cell r="E469">
            <v>0</v>
          </cell>
          <cell r="F469">
            <v>0</v>
          </cell>
          <cell r="G469"/>
          <cell r="H469">
            <v>0</v>
          </cell>
          <cell r="I469">
            <v>0</v>
          </cell>
          <cell r="J469">
            <v>0</v>
          </cell>
          <cell r="K469">
            <v>0</v>
          </cell>
          <cell r="L469">
            <v>205020</v>
          </cell>
          <cell r="M469">
            <v>1</v>
          </cell>
          <cell r="N469">
            <v>0</v>
          </cell>
          <cell r="O469">
            <v>0</v>
          </cell>
          <cell r="P469">
            <v>0</v>
          </cell>
          <cell r="Q469">
            <v>0</v>
          </cell>
          <cell r="R469">
            <v>0</v>
          </cell>
          <cell r="S469">
            <v>0</v>
          </cell>
        </row>
        <row r="470">
          <cell r="A470">
            <v>205030</v>
          </cell>
          <cell r="B470" t="str">
            <v>Accrued Cigna Health</v>
          </cell>
          <cell r="C470">
            <v>0</v>
          </cell>
          <cell r="D470">
            <v>0</v>
          </cell>
          <cell r="E470">
            <v>0</v>
          </cell>
          <cell r="F470">
            <v>0</v>
          </cell>
          <cell r="G470"/>
          <cell r="H470">
            <v>0</v>
          </cell>
          <cell r="I470">
            <v>0</v>
          </cell>
          <cell r="J470">
            <v>0</v>
          </cell>
          <cell r="K470">
            <v>0</v>
          </cell>
          <cell r="L470">
            <v>205030</v>
          </cell>
          <cell r="M470">
            <v>1</v>
          </cell>
          <cell r="N470">
            <v>0</v>
          </cell>
          <cell r="O470">
            <v>0</v>
          </cell>
          <cell r="P470">
            <v>0</v>
          </cell>
          <cell r="Q470">
            <v>0</v>
          </cell>
          <cell r="R470">
            <v>0</v>
          </cell>
          <cell r="S470">
            <v>0</v>
          </cell>
        </row>
        <row r="471">
          <cell r="A471">
            <v>205032</v>
          </cell>
          <cell r="B471" t="str">
            <v>Accrued Aetna Health</v>
          </cell>
          <cell r="C471">
            <v>0</v>
          </cell>
          <cell r="D471">
            <v>0</v>
          </cell>
          <cell r="E471">
            <v>0</v>
          </cell>
          <cell r="F471">
            <v>0</v>
          </cell>
          <cell r="G471"/>
          <cell r="H471">
            <v>0</v>
          </cell>
          <cell r="I471">
            <v>0</v>
          </cell>
          <cell r="J471">
            <v>0</v>
          </cell>
          <cell r="K471">
            <v>0</v>
          </cell>
          <cell r="L471">
            <v>205032</v>
          </cell>
          <cell r="M471">
            <v>1</v>
          </cell>
          <cell r="N471">
            <v>0</v>
          </cell>
          <cell r="O471">
            <v>0</v>
          </cell>
          <cell r="P471">
            <v>0</v>
          </cell>
          <cell r="Q471">
            <v>0</v>
          </cell>
          <cell r="R471">
            <v>0</v>
          </cell>
          <cell r="S471">
            <v>0</v>
          </cell>
        </row>
        <row r="472">
          <cell r="A472">
            <v>205040</v>
          </cell>
          <cell r="B472" t="str">
            <v>Accrued Expenses</v>
          </cell>
          <cell r="C472">
            <v>0</v>
          </cell>
          <cell r="D472">
            <v>0</v>
          </cell>
          <cell r="E472">
            <v>0</v>
          </cell>
          <cell r="F472">
            <v>0</v>
          </cell>
          <cell r="G472"/>
          <cell r="H472">
            <v>0</v>
          </cell>
          <cell r="I472">
            <v>0</v>
          </cell>
          <cell r="J472">
            <v>0</v>
          </cell>
          <cell r="K472">
            <v>0</v>
          </cell>
          <cell r="L472">
            <v>205040</v>
          </cell>
          <cell r="M472">
            <v>1</v>
          </cell>
          <cell r="N472">
            <v>0</v>
          </cell>
          <cell r="O472">
            <v>0</v>
          </cell>
          <cell r="P472">
            <v>-3332626.3124199952</v>
          </cell>
          <cell r="Q472">
            <v>3332626.3124199952</v>
          </cell>
          <cell r="R472">
            <v>0</v>
          </cell>
          <cell r="S472">
            <v>0</v>
          </cell>
        </row>
        <row r="473">
          <cell r="A473">
            <v>205041</v>
          </cell>
          <cell r="B473" t="str">
            <v>Accrued Expenses-Metier</v>
          </cell>
          <cell r="C473">
            <v>0</v>
          </cell>
          <cell r="D473">
            <v>0</v>
          </cell>
          <cell r="E473">
            <v>0</v>
          </cell>
          <cell r="F473">
            <v>0</v>
          </cell>
          <cell r="G473"/>
          <cell r="H473">
            <v>0</v>
          </cell>
          <cell r="I473">
            <v>0</v>
          </cell>
          <cell r="J473">
            <v>0</v>
          </cell>
          <cell r="K473">
            <v>0</v>
          </cell>
          <cell r="L473">
            <v>205041</v>
          </cell>
          <cell r="M473">
            <v>1</v>
          </cell>
          <cell r="N473">
            <v>0</v>
          </cell>
          <cell r="O473">
            <v>0</v>
          </cell>
          <cell r="P473">
            <v>0</v>
          </cell>
          <cell r="Q473">
            <v>0</v>
          </cell>
          <cell r="R473">
            <v>0</v>
          </cell>
          <cell r="S473">
            <v>0</v>
          </cell>
        </row>
        <row r="474">
          <cell r="A474">
            <v>205042</v>
          </cell>
          <cell r="B474" t="str">
            <v>Accrued Expenses-IMG</v>
          </cell>
          <cell r="C474">
            <v>0</v>
          </cell>
          <cell r="D474">
            <v>0</v>
          </cell>
          <cell r="E474">
            <v>0</v>
          </cell>
          <cell r="F474">
            <v>0</v>
          </cell>
          <cell r="G474"/>
          <cell r="H474">
            <v>0</v>
          </cell>
          <cell r="I474">
            <v>0</v>
          </cell>
          <cell r="J474">
            <v>0</v>
          </cell>
          <cell r="K474">
            <v>0</v>
          </cell>
          <cell r="L474">
            <v>205042</v>
          </cell>
          <cell r="M474">
            <v>1</v>
          </cell>
          <cell r="N474">
            <v>0</v>
          </cell>
          <cell r="O474">
            <v>0</v>
          </cell>
          <cell r="P474">
            <v>0</v>
          </cell>
          <cell r="Q474">
            <v>0</v>
          </cell>
          <cell r="R474">
            <v>0</v>
          </cell>
          <cell r="S474">
            <v>0</v>
          </cell>
        </row>
        <row r="475">
          <cell r="A475">
            <v>205043</v>
          </cell>
          <cell r="B475" t="str">
            <v>Deferred Lease equalisation</v>
          </cell>
          <cell r="C475">
            <v>0.27890000439947471</v>
          </cell>
          <cell r="D475">
            <v>0</v>
          </cell>
          <cell r="E475">
            <v>0</v>
          </cell>
          <cell r="F475">
            <v>0.27890000439947471</v>
          </cell>
          <cell r="G475"/>
          <cell r="H475">
            <v>0.27890000439947471</v>
          </cell>
          <cell r="I475">
            <v>0</v>
          </cell>
          <cell r="J475">
            <v>0</v>
          </cell>
          <cell r="K475">
            <v>0.27890000439947471</v>
          </cell>
          <cell r="L475">
            <v>205043</v>
          </cell>
          <cell r="M475">
            <v>1</v>
          </cell>
          <cell r="N475">
            <v>0</v>
          </cell>
          <cell r="O475">
            <v>0</v>
          </cell>
          <cell r="P475">
            <v>0</v>
          </cell>
          <cell r="Q475">
            <v>0.27890000439947471</v>
          </cell>
          <cell r="R475">
            <v>0</v>
          </cell>
          <cell r="S475">
            <v>0</v>
          </cell>
        </row>
        <row r="476">
          <cell r="A476">
            <v>205046</v>
          </cell>
          <cell r="B476" t="str">
            <v>Accrued F Travel Expe</v>
          </cell>
          <cell r="C476">
            <v>0</v>
          </cell>
          <cell r="D476">
            <v>0</v>
          </cell>
          <cell r="E476">
            <v>0</v>
          </cell>
          <cell r="F476">
            <v>0</v>
          </cell>
          <cell r="G476"/>
          <cell r="H476">
            <v>0</v>
          </cell>
          <cell r="I476">
            <v>0</v>
          </cell>
          <cell r="J476">
            <v>0</v>
          </cell>
          <cell r="K476">
            <v>0</v>
          </cell>
          <cell r="L476">
            <v>205046</v>
          </cell>
          <cell r="M476">
            <v>1</v>
          </cell>
          <cell r="N476">
            <v>0</v>
          </cell>
          <cell r="O476">
            <v>0</v>
          </cell>
          <cell r="P476">
            <v>-26808.600000000006</v>
          </cell>
          <cell r="Q476">
            <v>26808.600000000006</v>
          </cell>
          <cell r="R476">
            <v>0</v>
          </cell>
          <cell r="S476">
            <v>0</v>
          </cell>
        </row>
        <row r="477">
          <cell r="A477">
            <v>205047</v>
          </cell>
          <cell r="B477" t="str">
            <v>Accrued Marketing Fee</v>
          </cell>
          <cell r="C477">
            <v>0</v>
          </cell>
          <cell r="D477">
            <v>0</v>
          </cell>
          <cell r="E477">
            <v>0</v>
          </cell>
          <cell r="F477">
            <v>0</v>
          </cell>
          <cell r="G477"/>
          <cell r="H477">
            <v>0</v>
          </cell>
          <cell r="I477">
            <v>0</v>
          </cell>
          <cell r="J477">
            <v>0</v>
          </cell>
          <cell r="K477">
            <v>0</v>
          </cell>
          <cell r="L477">
            <v>205047</v>
          </cell>
          <cell r="M477">
            <v>1</v>
          </cell>
          <cell r="N477">
            <v>0</v>
          </cell>
          <cell r="O477">
            <v>0</v>
          </cell>
          <cell r="P477">
            <v>0</v>
          </cell>
          <cell r="Q477">
            <v>0</v>
          </cell>
          <cell r="R477">
            <v>0</v>
          </cell>
          <cell r="S477">
            <v>0</v>
          </cell>
        </row>
        <row r="478">
          <cell r="A478">
            <v>205048</v>
          </cell>
          <cell r="B478" t="str">
            <v>Accrued Comp – Sp Dividend</v>
          </cell>
          <cell r="C478">
            <v>0</v>
          </cell>
          <cell r="D478">
            <v>0</v>
          </cell>
          <cell r="E478">
            <v>0</v>
          </cell>
          <cell r="F478">
            <v>0</v>
          </cell>
          <cell r="G478"/>
          <cell r="H478">
            <v>0</v>
          </cell>
          <cell r="I478">
            <v>0</v>
          </cell>
          <cell r="J478">
            <v>0</v>
          </cell>
          <cell r="K478">
            <v>0</v>
          </cell>
          <cell r="L478">
            <v>205048</v>
          </cell>
          <cell r="M478">
            <v>1</v>
          </cell>
          <cell r="N478">
            <v>0</v>
          </cell>
          <cell r="O478">
            <v>0</v>
          </cell>
          <cell r="P478">
            <v>0</v>
          </cell>
          <cell r="Q478">
            <v>0</v>
          </cell>
          <cell r="R478">
            <v>0</v>
          </cell>
          <cell r="S478">
            <v>0</v>
          </cell>
        </row>
        <row r="479">
          <cell r="A479">
            <v>205056</v>
          </cell>
          <cell r="B479" t="str">
            <v>Deferred Lease equal Inter Co</v>
          </cell>
          <cell r="C479">
            <v>-8.0000126035884023E-4</v>
          </cell>
          <cell r="D479">
            <v>0</v>
          </cell>
          <cell r="E479">
            <v>0</v>
          </cell>
          <cell r="F479">
            <v>-8.0000126035884023E-4</v>
          </cell>
          <cell r="G479"/>
          <cell r="H479">
            <v>-8.0000126035884023E-4</v>
          </cell>
          <cell r="I479">
            <v>0</v>
          </cell>
          <cell r="J479">
            <v>0</v>
          </cell>
          <cell r="K479">
            <v>-8.0000126035884023E-4</v>
          </cell>
          <cell r="L479">
            <v>205056</v>
          </cell>
          <cell r="M479">
            <v>1</v>
          </cell>
          <cell r="N479">
            <v>0</v>
          </cell>
          <cell r="O479">
            <v>0</v>
          </cell>
          <cell r="P479"/>
          <cell r="Q479"/>
          <cell r="R479">
            <v>0</v>
          </cell>
          <cell r="S479">
            <v>0</v>
          </cell>
        </row>
        <row r="480">
          <cell r="A480">
            <v>205057</v>
          </cell>
          <cell r="B480" t="str">
            <v>Def Lease equal IC N-Curr Less</v>
          </cell>
          <cell r="C480">
            <v>0</v>
          </cell>
          <cell r="D480">
            <v>0</v>
          </cell>
          <cell r="E480">
            <v>0</v>
          </cell>
          <cell r="F480">
            <v>0</v>
          </cell>
          <cell r="G480"/>
          <cell r="H480">
            <v>0</v>
          </cell>
          <cell r="I480">
            <v>0</v>
          </cell>
          <cell r="J480">
            <v>0</v>
          </cell>
          <cell r="K480">
            <v>0</v>
          </cell>
          <cell r="L480">
            <v>205057</v>
          </cell>
          <cell r="M480">
            <v>1</v>
          </cell>
          <cell r="N480">
            <v>0</v>
          </cell>
          <cell r="O480">
            <v>0</v>
          </cell>
          <cell r="P480"/>
          <cell r="Q480"/>
          <cell r="R480">
            <v>0</v>
          </cell>
          <cell r="S480">
            <v>0</v>
          </cell>
        </row>
        <row r="481">
          <cell r="A481">
            <v>240007</v>
          </cell>
          <cell r="B481" t="str">
            <v>Def Lease equal IC N-Curr Add</v>
          </cell>
          <cell r="C481">
            <v>0</v>
          </cell>
          <cell r="D481">
            <v>0</v>
          </cell>
          <cell r="E481">
            <v>0</v>
          </cell>
          <cell r="F481">
            <v>0</v>
          </cell>
          <cell r="G481"/>
          <cell r="H481">
            <v>0</v>
          </cell>
          <cell r="I481">
            <v>0</v>
          </cell>
          <cell r="J481">
            <v>0</v>
          </cell>
          <cell r="K481">
            <v>0</v>
          </cell>
          <cell r="L481">
            <v>240007</v>
          </cell>
          <cell r="M481">
            <v>1</v>
          </cell>
          <cell r="N481">
            <v>0</v>
          </cell>
          <cell r="O481">
            <v>0</v>
          </cell>
          <cell r="P481"/>
          <cell r="Q481"/>
          <cell r="R481">
            <v>0</v>
          </cell>
          <cell r="S481">
            <v>0</v>
          </cell>
        </row>
        <row r="482">
          <cell r="A482">
            <v>205080</v>
          </cell>
          <cell r="B482" t="str">
            <v>Accumulated  Productivity reserve</v>
          </cell>
          <cell r="C482">
            <v>0</v>
          </cell>
          <cell r="D482">
            <v>0</v>
          </cell>
          <cell r="E482">
            <v>0</v>
          </cell>
          <cell r="F482">
            <v>0</v>
          </cell>
          <cell r="G482"/>
          <cell r="H482">
            <v>0</v>
          </cell>
          <cell r="I482">
            <v>0</v>
          </cell>
          <cell r="J482">
            <v>0</v>
          </cell>
          <cell r="K482">
            <v>0</v>
          </cell>
          <cell r="L482">
            <v>205080</v>
          </cell>
          <cell r="M482">
            <v>1</v>
          </cell>
          <cell r="N482">
            <v>0</v>
          </cell>
          <cell r="O482">
            <v>0</v>
          </cell>
          <cell r="P482">
            <v>0</v>
          </cell>
          <cell r="Q482">
            <v>0</v>
          </cell>
          <cell r="R482">
            <v>0</v>
          </cell>
          <cell r="S482">
            <v>0</v>
          </cell>
        </row>
        <row r="483">
          <cell r="A483">
            <v>205085</v>
          </cell>
          <cell r="B483" t="str">
            <v>Other Current Liabilities</v>
          </cell>
          <cell r="C483">
            <v>9.3132257461547852E-10</v>
          </cell>
          <cell r="D483">
            <v>0</v>
          </cell>
          <cell r="E483">
            <v>0</v>
          </cell>
          <cell r="F483">
            <v>9.3132257461547852E-10</v>
          </cell>
          <cell r="G483"/>
          <cell r="H483">
            <v>9.3132257461547852E-10</v>
          </cell>
          <cell r="I483">
            <v>0</v>
          </cell>
          <cell r="J483">
            <v>0</v>
          </cell>
          <cell r="K483">
            <v>9.3132257461547852E-10</v>
          </cell>
          <cell r="L483">
            <v>205085</v>
          </cell>
          <cell r="M483">
            <v>1</v>
          </cell>
          <cell r="N483">
            <v>0</v>
          </cell>
          <cell r="O483">
            <v>0</v>
          </cell>
          <cell r="P483">
            <v>9.3132257461547852E-10</v>
          </cell>
          <cell r="Q483">
            <v>0</v>
          </cell>
          <cell r="R483">
            <v>0</v>
          </cell>
          <cell r="S483">
            <v>0</v>
          </cell>
        </row>
        <row r="484">
          <cell r="A484">
            <v>205087</v>
          </cell>
          <cell r="B484" t="str">
            <v>Accrued Interest</v>
          </cell>
          <cell r="C484">
            <v>0</v>
          </cell>
          <cell r="D484">
            <v>0</v>
          </cell>
          <cell r="E484">
            <v>0</v>
          </cell>
          <cell r="F484">
            <v>0</v>
          </cell>
          <cell r="G484"/>
          <cell r="H484">
            <v>0</v>
          </cell>
          <cell r="I484">
            <v>0</v>
          </cell>
          <cell r="J484">
            <v>0</v>
          </cell>
          <cell r="K484">
            <v>0</v>
          </cell>
          <cell r="L484">
            <v>205087</v>
          </cell>
          <cell r="M484">
            <v>1</v>
          </cell>
          <cell r="N484">
            <v>0</v>
          </cell>
          <cell r="O484">
            <v>0</v>
          </cell>
          <cell r="P484">
            <v>0</v>
          </cell>
          <cell r="Q484">
            <v>0</v>
          </cell>
          <cell r="R484">
            <v>0</v>
          </cell>
          <cell r="S484">
            <v>0</v>
          </cell>
        </row>
        <row r="485">
          <cell r="A485">
            <v>205090</v>
          </cell>
          <cell r="B485" t="str">
            <v>Capital Leases-IMG</v>
          </cell>
          <cell r="C485">
            <v>0</v>
          </cell>
          <cell r="D485">
            <v>0</v>
          </cell>
          <cell r="E485">
            <v>0</v>
          </cell>
          <cell r="F485">
            <v>0</v>
          </cell>
          <cell r="G485"/>
          <cell r="H485">
            <v>0</v>
          </cell>
          <cell r="I485">
            <v>0</v>
          </cell>
          <cell r="J485">
            <v>0</v>
          </cell>
          <cell r="K485">
            <v>0</v>
          </cell>
          <cell r="L485">
            <v>205090</v>
          </cell>
          <cell r="M485">
            <v>1</v>
          </cell>
          <cell r="N485">
            <v>0</v>
          </cell>
          <cell r="O485">
            <v>0</v>
          </cell>
          <cell r="P485">
            <v>0</v>
          </cell>
          <cell r="Q485">
            <v>0</v>
          </cell>
          <cell r="R485">
            <v>0</v>
          </cell>
          <cell r="S485">
            <v>0</v>
          </cell>
        </row>
        <row r="486">
          <cell r="A486">
            <v>205091</v>
          </cell>
          <cell r="B486" t="str">
            <v>Accrued - Wealth tax</v>
          </cell>
          <cell r="C486">
            <v>0</v>
          </cell>
          <cell r="D486">
            <v>0</v>
          </cell>
          <cell r="E486">
            <v>0</v>
          </cell>
          <cell r="F486">
            <v>0</v>
          </cell>
          <cell r="G486"/>
          <cell r="H486">
            <v>0</v>
          </cell>
          <cell r="I486">
            <v>0</v>
          </cell>
          <cell r="J486">
            <v>0</v>
          </cell>
          <cell r="K486">
            <v>0</v>
          </cell>
          <cell r="L486">
            <v>205091</v>
          </cell>
          <cell r="M486">
            <v>1</v>
          </cell>
          <cell r="N486">
            <v>0</v>
          </cell>
          <cell r="O486">
            <v>0</v>
          </cell>
          <cell r="P486">
            <v>0</v>
          </cell>
          <cell r="Q486">
            <v>0</v>
          </cell>
          <cell r="R486">
            <v>0</v>
          </cell>
          <cell r="S486">
            <v>0</v>
          </cell>
        </row>
        <row r="487">
          <cell r="A487">
            <v>205092</v>
          </cell>
          <cell r="B487" t="str">
            <v>Accrued - Sales tax</v>
          </cell>
          <cell r="C487">
            <v>0</v>
          </cell>
          <cell r="D487">
            <v>0</v>
          </cell>
          <cell r="E487">
            <v>0</v>
          </cell>
          <cell r="F487">
            <v>0</v>
          </cell>
          <cell r="G487"/>
          <cell r="H487">
            <v>0</v>
          </cell>
          <cell r="I487">
            <v>0</v>
          </cell>
          <cell r="J487">
            <v>0</v>
          </cell>
          <cell r="K487">
            <v>0</v>
          </cell>
          <cell r="L487">
            <v>205092</v>
          </cell>
          <cell r="M487">
            <v>1</v>
          </cell>
          <cell r="N487">
            <v>0</v>
          </cell>
          <cell r="O487">
            <v>0</v>
          </cell>
          <cell r="P487">
            <v>0</v>
          </cell>
          <cell r="Q487">
            <v>0</v>
          </cell>
          <cell r="R487">
            <v>0</v>
          </cell>
          <cell r="S487">
            <v>0</v>
          </cell>
        </row>
        <row r="488">
          <cell r="A488">
            <v>205095</v>
          </cell>
          <cell r="B488" t="str">
            <v>Liability - Deposits Recd</v>
          </cell>
          <cell r="C488">
            <v>0</v>
          </cell>
          <cell r="D488">
            <v>0</v>
          </cell>
          <cell r="E488">
            <v>0</v>
          </cell>
          <cell r="F488">
            <v>0</v>
          </cell>
          <cell r="G488"/>
          <cell r="H488">
            <v>0</v>
          </cell>
          <cell r="I488">
            <v>0</v>
          </cell>
          <cell r="J488">
            <v>0</v>
          </cell>
          <cell r="K488">
            <v>0</v>
          </cell>
          <cell r="L488">
            <v>205095</v>
          </cell>
          <cell r="M488">
            <v>1</v>
          </cell>
          <cell r="N488">
            <v>0</v>
          </cell>
          <cell r="O488">
            <v>0</v>
          </cell>
          <cell r="P488">
            <v>0</v>
          </cell>
          <cell r="Q488">
            <v>0</v>
          </cell>
          <cell r="R488">
            <v>0</v>
          </cell>
          <cell r="S488">
            <v>0</v>
          </cell>
        </row>
        <row r="489">
          <cell r="A489">
            <v>205101</v>
          </cell>
          <cell r="B489" t="str">
            <v>TDS - Contractors</v>
          </cell>
          <cell r="C489">
            <v>-0.01</v>
          </cell>
          <cell r="D489">
            <v>0</v>
          </cell>
          <cell r="E489">
            <v>0</v>
          </cell>
          <cell r="F489">
            <v>-0.01</v>
          </cell>
          <cell r="G489"/>
          <cell r="H489">
            <v>-0.01</v>
          </cell>
          <cell r="I489">
            <v>0</v>
          </cell>
          <cell r="J489">
            <v>0</v>
          </cell>
          <cell r="K489">
            <v>-0.01</v>
          </cell>
          <cell r="L489">
            <v>205101</v>
          </cell>
          <cell r="M489">
            <v>1</v>
          </cell>
          <cell r="N489">
            <v>0</v>
          </cell>
          <cell r="O489">
            <v>0</v>
          </cell>
          <cell r="P489">
            <v>-0.01</v>
          </cell>
          <cell r="Q489">
            <v>0</v>
          </cell>
          <cell r="R489">
            <v>0</v>
          </cell>
          <cell r="S489">
            <v>0</v>
          </cell>
        </row>
        <row r="490">
          <cell r="A490">
            <v>205102</v>
          </cell>
          <cell r="B490" t="str">
            <v>TDS - Professionals</v>
          </cell>
          <cell r="C490">
            <v>-1.7300000006798655E-2</v>
          </cell>
          <cell r="D490">
            <v>0</v>
          </cell>
          <cell r="E490">
            <v>0</v>
          </cell>
          <cell r="F490">
            <v>-1.7300000006798655E-2</v>
          </cell>
          <cell r="G490"/>
          <cell r="H490">
            <v>-1.7300000006798655E-2</v>
          </cell>
          <cell r="I490">
            <v>0</v>
          </cell>
          <cell r="J490">
            <v>0</v>
          </cell>
          <cell r="K490">
            <v>-1.7300000006798655E-2</v>
          </cell>
          <cell r="L490">
            <v>205102</v>
          </cell>
          <cell r="M490">
            <v>1</v>
          </cell>
          <cell r="N490">
            <v>0</v>
          </cell>
          <cell r="O490">
            <v>0</v>
          </cell>
          <cell r="P490">
            <v>-223660.21730000002</v>
          </cell>
          <cell r="Q490">
            <v>223660.2</v>
          </cell>
          <cell r="R490">
            <v>0</v>
          </cell>
          <cell r="S490">
            <v>0</v>
          </cell>
        </row>
        <row r="491">
          <cell r="A491">
            <v>205103</v>
          </cell>
          <cell r="B491" t="str">
            <v>TDS - Rent</v>
          </cell>
          <cell r="C491">
            <v>0</v>
          </cell>
          <cell r="D491">
            <v>0</v>
          </cell>
          <cell r="E491">
            <v>0</v>
          </cell>
          <cell r="F491">
            <v>0</v>
          </cell>
          <cell r="G491"/>
          <cell r="H491">
            <v>0</v>
          </cell>
          <cell r="I491">
            <v>0</v>
          </cell>
          <cell r="J491">
            <v>0</v>
          </cell>
          <cell r="K491">
            <v>0</v>
          </cell>
          <cell r="L491">
            <v>205103</v>
          </cell>
          <cell r="M491">
            <v>1</v>
          </cell>
          <cell r="N491">
            <v>0</v>
          </cell>
          <cell r="O491">
            <v>0</v>
          </cell>
          <cell r="P491">
            <v>0</v>
          </cell>
          <cell r="Q491">
            <v>0</v>
          </cell>
          <cell r="R491">
            <v>0</v>
          </cell>
          <cell r="S491">
            <v>0</v>
          </cell>
        </row>
        <row r="492">
          <cell r="A492">
            <v>205104</v>
          </cell>
          <cell r="B492" t="str">
            <v>TDS - Advertisement</v>
          </cell>
          <cell r="C492">
            <v>0</v>
          </cell>
          <cell r="D492">
            <v>0</v>
          </cell>
          <cell r="E492">
            <v>0</v>
          </cell>
          <cell r="F492">
            <v>0</v>
          </cell>
          <cell r="G492"/>
          <cell r="H492">
            <v>0</v>
          </cell>
          <cell r="I492">
            <v>0</v>
          </cell>
          <cell r="J492">
            <v>0</v>
          </cell>
          <cell r="K492">
            <v>0</v>
          </cell>
          <cell r="L492">
            <v>205104</v>
          </cell>
          <cell r="M492">
            <v>1</v>
          </cell>
          <cell r="N492">
            <v>0</v>
          </cell>
          <cell r="O492">
            <v>0</v>
          </cell>
          <cell r="P492">
            <v>0</v>
          </cell>
          <cell r="Q492">
            <v>0</v>
          </cell>
          <cell r="R492">
            <v>0</v>
          </cell>
          <cell r="S492">
            <v>0</v>
          </cell>
        </row>
        <row r="493">
          <cell r="A493">
            <v>205105</v>
          </cell>
          <cell r="B493" t="str">
            <v>TDS - Brokerage</v>
          </cell>
          <cell r="C493">
            <v>0</v>
          </cell>
          <cell r="D493">
            <v>0</v>
          </cell>
          <cell r="E493">
            <v>0</v>
          </cell>
          <cell r="F493">
            <v>0</v>
          </cell>
          <cell r="G493"/>
          <cell r="H493">
            <v>0</v>
          </cell>
          <cell r="I493">
            <v>0</v>
          </cell>
          <cell r="J493">
            <v>0</v>
          </cell>
          <cell r="K493">
            <v>0</v>
          </cell>
          <cell r="L493">
            <v>205105</v>
          </cell>
          <cell r="M493">
            <v>1</v>
          </cell>
          <cell r="N493">
            <v>0</v>
          </cell>
          <cell r="O493">
            <v>0</v>
          </cell>
          <cell r="P493">
            <v>0</v>
          </cell>
          <cell r="Q493">
            <v>0</v>
          </cell>
          <cell r="R493">
            <v>0</v>
          </cell>
          <cell r="S493">
            <v>0</v>
          </cell>
        </row>
        <row r="494">
          <cell r="A494">
            <v>205106</v>
          </cell>
          <cell r="B494" t="str">
            <v>TDS - WCT</v>
          </cell>
          <cell r="C494">
            <v>1.0000000000218279E-2</v>
          </cell>
          <cell r="D494">
            <v>0</v>
          </cell>
          <cell r="E494">
            <v>0</v>
          </cell>
          <cell r="F494">
            <v>1.0000000000218279E-2</v>
          </cell>
          <cell r="G494"/>
          <cell r="H494">
            <v>1.0000000000218279E-2</v>
          </cell>
          <cell r="I494">
            <v>0</v>
          </cell>
          <cell r="J494">
            <v>0</v>
          </cell>
          <cell r="K494">
            <v>1.0000000000218279E-2</v>
          </cell>
          <cell r="L494">
            <v>205106</v>
          </cell>
          <cell r="M494">
            <v>1</v>
          </cell>
          <cell r="N494">
            <v>0</v>
          </cell>
          <cell r="O494">
            <v>0</v>
          </cell>
          <cell r="P494">
            <v>1.0000000000218279E-2</v>
          </cell>
          <cell r="Q494">
            <v>0</v>
          </cell>
          <cell r="R494">
            <v>0</v>
          </cell>
          <cell r="S494">
            <v>0</v>
          </cell>
        </row>
        <row r="495">
          <cell r="A495">
            <v>205107</v>
          </cell>
          <cell r="B495" t="str">
            <v>Sales Tax payable</v>
          </cell>
          <cell r="C495">
            <v>0</v>
          </cell>
          <cell r="D495">
            <v>0</v>
          </cell>
          <cell r="E495">
            <v>0</v>
          </cell>
          <cell r="F495">
            <v>0</v>
          </cell>
          <cell r="G495"/>
          <cell r="H495">
            <v>0</v>
          </cell>
          <cell r="I495">
            <v>0</v>
          </cell>
          <cell r="J495">
            <v>0</v>
          </cell>
          <cell r="K495">
            <v>0</v>
          </cell>
          <cell r="L495">
            <v>205107</v>
          </cell>
          <cell r="M495">
            <v>1</v>
          </cell>
          <cell r="N495">
            <v>0</v>
          </cell>
          <cell r="O495">
            <v>0</v>
          </cell>
          <cell r="P495">
            <v>0</v>
          </cell>
          <cell r="Q495">
            <v>0</v>
          </cell>
          <cell r="R495">
            <v>0</v>
          </cell>
          <cell r="S495">
            <v>0</v>
          </cell>
        </row>
        <row r="496">
          <cell r="A496">
            <v>205108</v>
          </cell>
          <cell r="B496" t="str">
            <v>CPF Payable</v>
          </cell>
          <cell r="C496">
            <v>0</v>
          </cell>
          <cell r="D496">
            <v>0</v>
          </cell>
          <cell r="E496">
            <v>0</v>
          </cell>
          <cell r="F496">
            <v>0</v>
          </cell>
          <cell r="G496"/>
          <cell r="H496">
            <v>0</v>
          </cell>
          <cell r="I496">
            <v>0</v>
          </cell>
          <cell r="J496">
            <v>0</v>
          </cell>
          <cell r="K496">
            <v>0</v>
          </cell>
          <cell r="L496">
            <v>205108</v>
          </cell>
          <cell r="M496">
            <v>1</v>
          </cell>
          <cell r="N496">
            <v>0</v>
          </cell>
          <cell r="O496">
            <v>0</v>
          </cell>
          <cell r="P496">
            <v>0</v>
          </cell>
          <cell r="Q496">
            <v>0</v>
          </cell>
          <cell r="R496">
            <v>0</v>
          </cell>
          <cell r="S496">
            <v>0</v>
          </cell>
        </row>
        <row r="497">
          <cell r="A497">
            <v>205109</v>
          </cell>
          <cell r="B497" t="str">
            <v>TDS - Brokerage - Companies</v>
          </cell>
          <cell r="C497">
            <v>-3.9999999999999147E-2</v>
          </cell>
          <cell r="D497">
            <v>0</v>
          </cell>
          <cell r="E497">
            <v>0</v>
          </cell>
          <cell r="F497">
            <v>-3.9999999999999147E-2</v>
          </cell>
          <cell r="G497"/>
          <cell r="H497">
            <v>-3.9999999999999147E-2</v>
          </cell>
          <cell r="I497">
            <v>0</v>
          </cell>
          <cell r="J497">
            <v>0</v>
          </cell>
          <cell r="K497">
            <v>-3.9999999999999147E-2</v>
          </cell>
          <cell r="L497">
            <v>205109</v>
          </cell>
          <cell r="M497">
            <v>1</v>
          </cell>
          <cell r="N497">
            <v>0</v>
          </cell>
          <cell r="O497">
            <v>0</v>
          </cell>
          <cell r="P497">
            <v>-1.0399999999999991</v>
          </cell>
          <cell r="Q497">
            <v>1</v>
          </cell>
          <cell r="R497">
            <v>0</v>
          </cell>
          <cell r="S497">
            <v>0</v>
          </cell>
        </row>
        <row r="498">
          <cell r="A498">
            <v>205110</v>
          </cell>
          <cell r="B498" t="str">
            <v>TDS - Advertisement - Co.</v>
          </cell>
          <cell r="C498">
            <v>0</v>
          </cell>
          <cell r="D498">
            <v>0</v>
          </cell>
          <cell r="E498">
            <v>0</v>
          </cell>
          <cell r="F498">
            <v>0</v>
          </cell>
          <cell r="G498"/>
          <cell r="H498">
            <v>0</v>
          </cell>
          <cell r="I498">
            <v>0</v>
          </cell>
          <cell r="J498">
            <v>0</v>
          </cell>
          <cell r="K498">
            <v>0</v>
          </cell>
          <cell r="L498">
            <v>205110</v>
          </cell>
          <cell r="M498">
            <v>1</v>
          </cell>
          <cell r="N498">
            <v>0</v>
          </cell>
          <cell r="O498">
            <v>0</v>
          </cell>
          <cell r="P498">
            <v>0</v>
          </cell>
          <cell r="Q498">
            <v>0</v>
          </cell>
          <cell r="R498">
            <v>0</v>
          </cell>
          <cell r="S498">
            <v>0</v>
          </cell>
        </row>
        <row r="499">
          <cell r="A499">
            <v>205111</v>
          </cell>
          <cell r="B499" t="str">
            <v>TDS - Rent - Companies</v>
          </cell>
          <cell r="C499">
            <v>0</v>
          </cell>
          <cell r="D499">
            <v>0</v>
          </cell>
          <cell r="E499">
            <v>0</v>
          </cell>
          <cell r="F499">
            <v>0</v>
          </cell>
          <cell r="G499"/>
          <cell r="H499">
            <v>0</v>
          </cell>
          <cell r="I499">
            <v>0</v>
          </cell>
          <cell r="J499">
            <v>0</v>
          </cell>
          <cell r="K499">
            <v>0</v>
          </cell>
          <cell r="L499">
            <v>205111</v>
          </cell>
          <cell r="M499">
            <v>1</v>
          </cell>
          <cell r="N499">
            <v>0</v>
          </cell>
          <cell r="O499">
            <v>0</v>
          </cell>
          <cell r="P499">
            <v>-170474.99999999901</v>
          </cell>
          <cell r="Q499">
            <v>170474.99999999901</v>
          </cell>
          <cell r="R499">
            <v>0</v>
          </cell>
          <cell r="S499">
            <v>0</v>
          </cell>
        </row>
        <row r="500">
          <cell r="A500">
            <v>205112</v>
          </cell>
          <cell r="B500" t="str">
            <v>TDS - Professionals - Companie</v>
          </cell>
          <cell r="C500">
            <v>0</v>
          </cell>
          <cell r="D500">
            <v>0</v>
          </cell>
          <cell r="E500">
            <v>0</v>
          </cell>
          <cell r="F500">
            <v>0</v>
          </cell>
          <cell r="G500"/>
          <cell r="H500">
            <v>0</v>
          </cell>
          <cell r="I500">
            <v>0</v>
          </cell>
          <cell r="J500">
            <v>0</v>
          </cell>
          <cell r="K500">
            <v>0</v>
          </cell>
          <cell r="L500">
            <v>205112</v>
          </cell>
          <cell r="M500">
            <v>1</v>
          </cell>
          <cell r="N500">
            <v>0</v>
          </cell>
          <cell r="O500">
            <v>0</v>
          </cell>
          <cell r="P500">
            <v>-241.93128000028082</v>
          </cell>
          <cell r="Q500">
            <v>241.93128000028082</v>
          </cell>
          <cell r="R500">
            <v>0</v>
          </cell>
          <cell r="S500">
            <v>0</v>
          </cell>
        </row>
        <row r="501">
          <cell r="A501">
            <v>205113</v>
          </cell>
          <cell r="B501" t="str">
            <v>TDS - Contractors - Companies</v>
          </cell>
          <cell r="C501">
            <v>-1.01</v>
          </cell>
          <cell r="D501">
            <v>0</v>
          </cell>
          <cell r="E501">
            <v>0</v>
          </cell>
          <cell r="F501">
            <v>-1.01</v>
          </cell>
          <cell r="G501"/>
          <cell r="H501">
            <v>-1.01</v>
          </cell>
          <cell r="I501">
            <v>0</v>
          </cell>
          <cell r="J501">
            <v>0</v>
          </cell>
          <cell r="K501">
            <v>-1.01</v>
          </cell>
          <cell r="L501">
            <v>205113</v>
          </cell>
          <cell r="M501">
            <v>1</v>
          </cell>
          <cell r="N501">
            <v>0</v>
          </cell>
          <cell r="O501">
            <v>0</v>
          </cell>
          <cell r="P501">
            <v>-1.01</v>
          </cell>
          <cell r="Q501">
            <v>0</v>
          </cell>
          <cell r="R501">
            <v>0</v>
          </cell>
          <cell r="S501">
            <v>0</v>
          </cell>
        </row>
        <row r="502">
          <cell r="A502">
            <v>205114</v>
          </cell>
          <cell r="B502" t="str">
            <v>Service Tax Payable</v>
          </cell>
          <cell r="C502">
            <v>0</v>
          </cell>
          <cell r="D502">
            <v>0</v>
          </cell>
          <cell r="E502">
            <v>0</v>
          </cell>
          <cell r="F502">
            <v>0</v>
          </cell>
          <cell r="G502"/>
          <cell r="H502">
            <v>0</v>
          </cell>
          <cell r="I502">
            <v>0</v>
          </cell>
          <cell r="J502">
            <v>0</v>
          </cell>
          <cell r="K502">
            <v>0</v>
          </cell>
          <cell r="L502">
            <v>205114</v>
          </cell>
          <cell r="M502">
            <v>1</v>
          </cell>
          <cell r="N502">
            <v>0</v>
          </cell>
          <cell r="O502">
            <v>0</v>
          </cell>
          <cell r="P502">
            <v>-86353.459999999992</v>
          </cell>
          <cell r="Q502">
            <v>86353.459999999992</v>
          </cell>
          <cell r="R502">
            <v>0</v>
          </cell>
          <cell r="S502">
            <v>0</v>
          </cell>
        </row>
        <row r="503">
          <cell r="A503">
            <v>205115</v>
          </cell>
          <cell r="B503" t="str">
            <v>GST Tax - Canada</v>
          </cell>
          <cell r="C503">
            <v>0</v>
          </cell>
          <cell r="D503">
            <v>0</v>
          </cell>
          <cell r="E503">
            <v>0</v>
          </cell>
          <cell r="F503">
            <v>0</v>
          </cell>
          <cell r="G503"/>
          <cell r="H503">
            <v>0</v>
          </cell>
          <cell r="I503">
            <v>0</v>
          </cell>
          <cell r="J503">
            <v>0</v>
          </cell>
          <cell r="K503">
            <v>0</v>
          </cell>
          <cell r="L503">
            <v>205115</v>
          </cell>
          <cell r="M503">
            <v>1</v>
          </cell>
          <cell r="N503">
            <v>0</v>
          </cell>
          <cell r="O503">
            <v>0</v>
          </cell>
          <cell r="P503">
            <v>0</v>
          </cell>
          <cell r="Q503">
            <v>0</v>
          </cell>
          <cell r="R503">
            <v>0</v>
          </cell>
          <cell r="S503">
            <v>0</v>
          </cell>
        </row>
        <row r="504">
          <cell r="A504">
            <v>205116</v>
          </cell>
          <cell r="B504" t="str">
            <v>GST Payable - Australia</v>
          </cell>
          <cell r="C504">
            <v>0</v>
          </cell>
          <cell r="D504">
            <v>0</v>
          </cell>
          <cell r="E504">
            <v>0</v>
          </cell>
          <cell r="F504">
            <v>0</v>
          </cell>
          <cell r="G504"/>
          <cell r="H504">
            <v>0</v>
          </cell>
          <cell r="I504">
            <v>0</v>
          </cell>
          <cell r="J504">
            <v>0</v>
          </cell>
          <cell r="K504">
            <v>0</v>
          </cell>
          <cell r="L504">
            <v>205116</v>
          </cell>
          <cell r="M504">
            <v>1</v>
          </cell>
          <cell r="N504">
            <v>0</v>
          </cell>
          <cell r="O504">
            <v>0</v>
          </cell>
          <cell r="P504">
            <v>0</v>
          </cell>
          <cell r="Q504">
            <v>0</v>
          </cell>
          <cell r="R504">
            <v>0</v>
          </cell>
          <cell r="S504">
            <v>0</v>
          </cell>
        </row>
        <row r="505">
          <cell r="A505">
            <v>205119</v>
          </cell>
          <cell r="B505" t="str">
            <v>TDS - Non Resident</v>
          </cell>
          <cell r="C505">
            <v>0</v>
          </cell>
          <cell r="D505">
            <v>0</v>
          </cell>
          <cell r="E505">
            <v>0</v>
          </cell>
          <cell r="F505">
            <v>0</v>
          </cell>
          <cell r="G505"/>
          <cell r="H505">
            <v>0</v>
          </cell>
          <cell r="I505">
            <v>0</v>
          </cell>
          <cell r="J505">
            <v>0</v>
          </cell>
          <cell r="K505">
            <v>0</v>
          </cell>
          <cell r="L505">
            <v>205119</v>
          </cell>
          <cell r="M505">
            <v>1</v>
          </cell>
          <cell r="N505">
            <v>0</v>
          </cell>
          <cell r="O505">
            <v>0</v>
          </cell>
          <cell r="P505">
            <v>0</v>
          </cell>
          <cell r="Q505">
            <v>0</v>
          </cell>
          <cell r="R505">
            <v>0</v>
          </cell>
          <cell r="S505">
            <v>0</v>
          </cell>
        </row>
        <row r="506">
          <cell r="A506">
            <v>205120</v>
          </cell>
          <cell r="B506" t="str">
            <v>Swacch Bharat Cess Payable</v>
          </cell>
          <cell r="C506">
            <v>0</v>
          </cell>
          <cell r="D506">
            <v>0</v>
          </cell>
          <cell r="E506">
            <v>0</v>
          </cell>
          <cell r="F506">
            <v>0</v>
          </cell>
          <cell r="G506"/>
          <cell r="H506">
            <v>0</v>
          </cell>
          <cell r="I506">
            <v>0</v>
          </cell>
          <cell r="J506">
            <v>0</v>
          </cell>
          <cell r="K506">
            <v>0</v>
          </cell>
          <cell r="L506">
            <v>205120</v>
          </cell>
          <cell r="M506">
            <v>1</v>
          </cell>
          <cell r="N506">
            <v>0</v>
          </cell>
          <cell r="O506">
            <v>0</v>
          </cell>
          <cell r="P506">
            <v>-1562.72</v>
          </cell>
          <cell r="Q506">
            <v>1562.72</v>
          </cell>
          <cell r="R506">
            <v>0</v>
          </cell>
          <cell r="S506">
            <v>0</v>
          </cell>
        </row>
        <row r="507">
          <cell r="A507">
            <v>205121</v>
          </cell>
          <cell r="B507" t="str">
            <v>Amount held in trust Trambak</v>
          </cell>
          <cell r="C507">
            <v>0</v>
          </cell>
          <cell r="D507">
            <v>0</v>
          </cell>
          <cell r="E507">
            <v>0</v>
          </cell>
          <cell r="F507">
            <v>0</v>
          </cell>
          <cell r="G507"/>
          <cell r="H507">
            <v>0</v>
          </cell>
          <cell r="I507">
            <v>0</v>
          </cell>
          <cell r="J507">
            <v>0</v>
          </cell>
          <cell r="K507">
            <v>0</v>
          </cell>
          <cell r="L507">
            <v>205121</v>
          </cell>
          <cell r="M507">
            <v>1</v>
          </cell>
          <cell r="N507">
            <v>0</v>
          </cell>
          <cell r="O507">
            <v>0</v>
          </cell>
          <cell r="P507">
            <v>0</v>
          </cell>
          <cell r="Q507">
            <v>0</v>
          </cell>
          <cell r="R507">
            <v>0</v>
          </cell>
          <cell r="S507">
            <v>0</v>
          </cell>
        </row>
        <row r="508">
          <cell r="A508">
            <v>205122</v>
          </cell>
          <cell r="B508" t="str">
            <v>Earnest Money - Contractors</v>
          </cell>
          <cell r="C508">
            <v>0</v>
          </cell>
          <cell r="D508">
            <v>0</v>
          </cell>
          <cell r="E508">
            <v>0</v>
          </cell>
          <cell r="F508">
            <v>0</v>
          </cell>
          <cell r="G508"/>
          <cell r="H508">
            <v>0</v>
          </cell>
          <cell r="I508">
            <v>0</v>
          </cell>
          <cell r="J508">
            <v>0</v>
          </cell>
          <cell r="K508">
            <v>0</v>
          </cell>
          <cell r="L508">
            <v>205122</v>
          </cell>
          <cell r="M508">
            <v>1</v>
          </cell>
          <cell r="N508">
            <v>0</v>
          </cell>
          <cell r="O508">
            <v>0</v>
          </cell>
          <cell r="P508">
            <v>0</v>
          </cell>
          <cell r="Q508">
            <v>0</v>
          </cell>
          <cell r="R508">
            <v>0</v>
          </cell>
          <cell r="S508">
            <v>0</v>
          </cell>
        </row>
        <row r="509">
          <cell r="A509">
            <v>205123</v>
          </cell>
          <cell r="B509" t="str">
            <v>Liability - Emp. benefit cont.</v>
          </cell>
          <cell r="C509">
            <v>0</v>
          </cell>
          <cell r="D509">
            <v>0</v>
          </cell>
          <cell r="E509">
            <v>0</v>
          </cell>
          <cell r="F509">
            <v>0</v>
          </cell>
          <cell r="G509"/>
          <cell r="H509">
            <v>0</v>
          </cell>
          <cell r="I509">
            <v>0</v>
          </cell>
          <cell r="J509">
            <v>0</v>
          </cell>
          <cell r="K509">
            <v>0</v>
          </cell>
          <cell r="L509">
            <v>205123</v>
          </cell>
          <cell r="M509">
            <v>1</v>
          </cell>
          <cell r="N509">
            <v>0</v>
          </cell>
          <cell r="O509">
            <v>0</v>
          </cell>
          <cell r="P509">
            <v>0</v>
          </cell>
          <cell r="Q509">
            <v>0</v>
          </cell>
          <cell r="R509">
            <v>0</v>
          </cell>
          <cell r="S509">
            <v>0</v>
          </cell>
        </row>
        <row r="510">
          <cell r="A510">
            <v>205124</v>
          </cell>
          <cell r="B510" t="str">
            <v>Deferred Tax liability - Current</v>
          </cell>
          <cell r="C510">
            <v>-0.58000000007450581</v>
          </cell>
          <cell r="D510">
            <v>0</v>
          </cell>
          <cell r="E510">
            <v>0</v>
          </cell>
          <cell r="F510">
            <v>-0.58000000007450581</v>
          </cell>
          <cell r="G510"/>
          <cell r="H510">
            <v>-0.58000000007450581</v>
          </cell>
          <cell r="I510">
            <v>0</v>
          </cell>
          <cell r="J510">
            <v>0</v>
          </cell>
          <cell r="K510">
            <v>-0.58000000007450581</v>
          </cell>
          <cell r="L510">
            <v>205124</v>
          </cell>
          <cell r="M510">
            <v>1</v>
          </cell>
          <cell r="N510">
            <v>0</v>
          </cell>
          <cell r="O510">
            <v>0</v>
          </cell>
          <cell r="P510">
            <v>-94046.271280755172</v>
          </cell>
          <cell r="Q510">
            <v>94045.691280755098</v>
          </cell>
          <cell r="R510">
            <v>0</v>
          </cell>
          <cell r="S510">
            <v>0</v>
          </cell>
        </row>
        <row r="511">
          <cell r="A511">
            <v>205128</v>
          </cell>
          <cell r="B511" t="str">
            <v>Krishi Kalyan Cess Payable</v>
          </cell>
          <cell r="C511">
            <v>0</v>
          </cell>
          <cell r="D511">
            <v>0</v>
          </cell>
          <cell r="E511">
            <v>0</v>
          </cell>
          <cell r="F511">
            <v>0</v>
          </cell>
          <cell r="G511"/>
          <cell r="H511">
            <v>0</v>
          </cell>
          <cell r="I511">
            <v>0</v>
          </cell>
          <cell r="J511">
            <v>0</v>
          </cell>
          <cell r="K511">
            <v>0</v>
          </cell>
          <cell r="L511">
            <v>205128</v>
          </cell>
          <cell r="M511">
            <v>1</v>
          </cell>
          <cell r="N511">
            <v>0</v>
          </cell>
          <cell r="O511">
            <v>0</v>
          </cell>
          <cell r="P511">
            <v>0</v>
          </cell>
          <cell r="Q511">
            <v>0</v>
          </cell>
          <cell r="R511">
            <v>0</v>
          </cell>
          <cell r="S511">
            <v>0</v>
          </cell>
        </row>
        <row r="512">
          <cell r="A512">
            <v>205130</v>
          </cell>
          <cell r="B512" t="str">
            <v>Derivative Liabilities</v>
          </cell>
          <cell r="C512">
            <v>0</v>
          </cell>
          <cell r="D512">
            <v>0</v>
          </cell>
          <cell r="E512">
            <v>0</v>
          </cell>
          <cell r="F512">
            <v>0</v>
          </cell>
          <cell r="G512"/>
          <cell r="H512">
            <v>0</v>
          </cell>
          <cell r="I512">
            <v>0</v>
          </cell>
          <cell r="J512">
            <v>0</v>
          </cell>
          <cell r="K512">
            <v>0</v>
          </cell>
          <cell r="L512">
            <v>205130</v>
          </cell>
          <cell r="M512">
            <v>1</v>
          </cell>
          <cell r="N512">
            <v>0</v>
          </cell>
          <cell r="O512">
            <v>0</v>
          </cell>
          <cell r="P512">
            <v>0</v>
          </cell>
          <cell r="Q512">
            <v>0</v>
          </cell>
          <cell r="R512">
            <v>0</v>
          </cell>
          <cell r="S512">
            <v>0</v>
          </cell>
        </row>
        <row r="513">
          <cell r="A513">
            <v>205133</v>
          </cell>
          <cell r="B513" t="str">
            <v>MAH. SEZ - IGST Payable</v>
          </cell>
          <cell r="C513">
            <v>0</v>
          </cell>
          <cell r="D513">
            <v>0</v>
          </cell>
          <cell r="E513">
            <v>0</v>
          </cell>
          <cell r="F513">
            <v>0</v>
          </cell>
          <cell r="G513"/>
          <cell r="H513">
            <v>0</v>
          </cell>
          <cell r="I513">
            <v>0</v>
          </cell>
          <cell r="J513">
            <v>0</v>
          </cell>
          <cell r="K513">
            <v>0</v>
          </cell>
          <cell r="L513">
            <v>205133</v>
          </cell>
          <cell r="M513">
            <v>1</v>
          </cell>
          <cell r="N513">
            <v>0</v>
          </cell>
          <cell r="O513">
            <v>0</v>
          </cell>
          <cell r="P513"/>
          <cell r="Q513"/>
          <cell r="R513">
            <v>0</v>
          </cell>
          <cell r="S513">
            <v>0</v>
          </cell>
        </row>
        <row r="514">
          <cell r="A514">
            <v>205136</v>
          </cell>
          <cell r="B514" t="str">
            <v>MAH. NSEZ - IGST Payable</v>
          </cell>
          <cell r="C514">
            <v>0</v>
          </cell>
          <cell r="D514">
            <v>0</v>
          </cell>
          <cell r="E514">
            <v>0</v>
          </cell>
          <cell r="F514">
            <v>0</v>
          </cell>
          <cell r="G514"/>
          <cell r="H514">
            <v>0</v>
          </cell>
          <cell r="I514">
            <v>0</v>
          </cell>
          <cell r="J514">
            <v>0</v>
          </cell>
          <cell r="K514">
            <v>0</v>
          </cell>
          <cell r="L514">
            <v>205136</v>
          </cell>
          <cell r="M514">
            <v>1</v>
          </cell>
          <cell r="N514">
            <v>0</v>
          </cell>
          <cell r="O514">
            <v>0</v>
          </cell>
          <cell r="P514"/>
          <cell r="Q514"/>
          <cell r="R514">
            <v>0</v>
          </cell>
          <cell r="S514">
            <v>0</v>
          </cell>
        </row>
        <row r="515">
          <cell r="A515">
            <v>206010</v>
          </cell>
          <cell r="B515" t="str">
            <v>Tax Reserve</v>
          </cell>
          <cell r="C515">
            <v>0</v>
          </cell>
          <cell r="D515">
            <v>0</v>
          </cell>
          <cell r="E515">
            <v>0</v>
          </cell>
          <cell r="F515">
            <v>0</v>
          </cell>
          <cell r="G515"/>
          <cell r="H515">
            <v>0</v>
          </cell>
          <cell r="I515">
            <v>0</v>
          </cell>
          <cell r="J515">
            <v>0</v>
          </cell>
          <cell r="K515">
            <v>0</v>
          </cell>
          <cell r="L515">
            <v>206010</v>
          </cell>
          <cell r="M515">
            <v>1</v>
          </cell>
          <cell r="N515">
            <v>0</v>
          </cell>
          <cell r="O515">
            <v>0</v>
          </cell>
          <cell r="P515">
            <v>0</v>
          </cell>
          <cell r="Q515">
            <v>0</v>
          </cell>
          <cell r="R515">
            <v>0</v>
          </cell>
          <cell r="S515">
            <v>0</v>
          </cell>
        </row>
        <row r="516">
          <cell r="A516">
            <v>206020</v>
          </cell>
          <cell r="B516" t="str">
            <v>Federal Inc Taxes Payable-Curr</v>
          </cell>
          <cell r="C516">
            <v>0</v>
          </cell>
          <cell r="D516">
            <v>0</v>
          </cell>
          <cell r="E516">
            <v>0</v>
          </cell>
          <cell r="F516">
            <v>0</v>
          </cell>
          <cell r="G516"/>
          <cell r="H516">
            <v>0</v>
          </cell>
          <cell r="I516">
            <v>0</v>
          </cell>
          <cell r="J516">
            <v>0</v>
          </cell>
          <cell r="K516">
            <v>0</v>
          </cell>
          <cell r="L516">
            <v>206020</v>
          </cell>
          <cell r="M516">
            <v>1</v>
          </cell>
          <cell r="N516">
            <v>0</v>
          </cell>
          <cell r="O516">
            <v>0</v>
          </cell>
          <cell r="P516">
            <v>-46046783.252378322</v>
          </cell>
          <cell r="Q516">
            <v>46046783.252378322</v>
          </cell>
          <cell r="R516">
            <v>0</v>
          </cell>
          <cell r="S516">
            <v>0</v>
          </cell>
        </row>
        <row r="517">
          <cell r="A517">
            <v>206023</v>
          </cell>
          <cell r="B517" t="str">
            <v>Canada - Fed Inc Taxes Pay Cur</v>
          </cell>
          <cell r="C517">
            <v>0</v>
          </cell>
          <cell r="D517">
            <v>0</v>
          </cell>
          <cell r="E517">
            <v>0</v>
          </cell>
          <cell r="F517">
            <v>0</v>
          </cell>
          <cell r="G517"/>
          <cell r="H517">
            <v>0</v>
          </cell>
          <cell r="I517">
            <v>0</v>
          </cell>
          <cell r="J517">
            <v>0</v>
          </cell>
          <cell r="K517">
            <v>0</v>
          </cell>
          <cell r="L517">
            <v>206023</v>
          </cell>
          <cell r="M517">
            <v>1</v>
          </cell>
          <cell r="N517">
            <v>0</v>
          </cell>
          <cell r="O517">
            <v>0</v>
          </cell>
          <cell r="P517">
            <v>0</v>
          </cell>
          <cell r="Q517">
            <v>0</v>
          </cell>
          <cell r="R517">
            <v>0</v>
          </cell>
          <cell r="S517">
            <v>0</v>
          </cell>
        </row>
        <row r="518">
          <cell r="A518">
            <v>206026</v>
          </cell>
          <cell r="B518" t="str">
            <v>Advance US city Income Tax</v>
          </cell>
          <cell r="C518">
            <v>0</v>
          </cell>
          <cell r="D518">
            <v>0</v>
          </cell>
          <cell r="E518">
            <v>0</v>
          </cell>
          <cell r="F518">
            <v>0</v>
          </cell>
          <cell r="G518"/>
          <cell r="H518">
            <v>0</v>
          </cell>
          <cell r="I518">
            <v>0</v>
          </cell>
          <cell r="J518">
            <v>0</v>
          </cell>
          <cell r="K518">
            <v>0</v>
          </cell>
          <cell r="L518">
            <v>206026</v>
          </cell>
          <cell r="M518">
            <v>1</v>
          </cell>
          <cell r="N518">
            <v>0</v>
          </cell>
          <cell r="O518">
            <v>0</v>
          </cell>
          <cell r="P518">
            <v>0</v>
          </cell>
          <cell r="Q518">
            <v>0</v>
          </cell>
          <cell r="R518">
            <v>0</v>
          </cell>
          <cell r="S518">
            <v>0</v>
          </cell>
        </row>
        <row r="519">
          <cell r="A519">
            <v>206033</v>
          </cell>
          <cell r="B519" t="str">
            <v>Taxes Payable - FIN 48</v>
          </cell>
          <cell r="C519">
            <v>0</v>
          </cell>
          <cell r="D519">
            <v>0</v>
          </cell>
          <cell r="E519">
            <v>0</v>
          </cell>
          <cell r="F519">
            <v>0</v>
          </cell>
          <cell r="G519"/>
          <cell r="H519">
            <v>0</v>
          </cell>
          <cell r="I519">
            <v>0</v>
          </cell>
          <cell r="J519">
            <v>0</v>
          </cell>
          <cell r="K519">
            <v>0</v>
          </cell>
          <cell r="L519" t="e">
            <v>#N/A</v>
          </cell>
          <cell r="M519">
            <v>1</v>
          </cell>
          <cell r="N519">
            <v>0</v>
          </cell>
          <cell r="O519">
            <v>0</v>
          </cell>
          <cell r="P519">
            <v>0</v>
          </cell>
          <cell r="Q519">
            <v>0</v>
          </cell>
          <cell r="R519">
            <v>0</v>
          </cell>
          <cell r="S519">
            <v>0</v>
          </cell>
        </row>
        <row r="520">
          <cell r="A520">
            <v>206034</v>
          </cell>
          <cell r="B520" t="str">
            <v>Canada - State Inc Tax Pay Cur</v>
          </cell>
          <cell r="C520">
            <v>0</v>
          </cell>
          <cell r="D520">
            <v>0</v>
          </cell>
          <cell r="E520">
            <v>0</v>
          </cell>
          <cell r="F520">
            <v>0</v>
          </cell>
          <cell r="G520"/>
          <cell r="H520">
            <v>0</v>
          </cell>
          <cell r="I520">
            <v>0</v>
          </cell>
          <cell r="J520">
            <v>0</v>
          </cell>
          <cell r="K520">
            <v>0</v>
          </cell>
          <cell r="L520">
            <v>206034</v>
          </cell>
          <cell r="M520">
            <v>1</v>
          </cell>
          <cell r="N520">
            <v>0</v>
          </cell>
          <cell r="O520">
            <v>0</v>
          </cell>
          <cell r="P520">
            <v>0</v>
          </cell>
          <cell r="Q520">
            <v>0</v>
          </cell>
          <cell r="R520">
            <v>0</v>
          </cell>
          <cell r="S520">
            <v>0</v>
          </cell>
        </row>
        <row r="521">
          <cell r="A521">
            <v>206030</v>
          </cell>
          <cell r="B521" t="str">
            <v>State Inc Taxes Payable - Curr</v>
          </cell>
          <cell r="C521">
            <v>0</v>
          </cell>
          <cell r="D521">
            <v>0</v>
          </cell>
          <cell r="E521">
            <v>0</v>
          </cell>
          <cell r="F521">
            <v>0</v>
          </cell>
          <cell r="G521"/>
          <cell r="H521">
            <v>0</v>
          </cell>
          <cell r="I521">
            <v>0</v>
          </cell>
          <cell r="J521">
            <v>0</v>
          </cell>
          <cell r="K521">
            <v>0</v>
          </cell>
          <cell r="L521">
            <v>206030</v>
          </cell>
          <cell r="M521">
            <v>1</v>
          </cell>
          <cell r="N521">
            <v>0</v>
          </cell>
          <cell r="O521">
            <v>0</v>
          </cell>
          <cell r="P521">
            <v>5025.88</v>
          </cell>
          <cell r="Q521">
            <v>-5025.88</v>
          </cell>
          <cell r="R521">
            <v>0</v>
          </cell>
          <cell r="S521">
            <v>0</v>
          </cell>
        </row>
        <row r="522">
          <cell r="A522">
            <v>206035</v>
          </cell>
          <cell r="B522" t="str">
            <v>Indian Income taxes Payable</v>
          </cell>
          <cell r="C522">
            <v>0</v>
          </cell>
          <cell r="D522">
            <v>0</v>
          </cell>
          <cell r="E522">
            <v>0</v>
          </cell>
          <cell r="F522">
            <v>0</v>
          </cell>
          <cell r="G522"/>
          <cell r="H522">
            <v>0</v>
          </cell>
          <cell r="I522">
            <v>0</v>
          </cell>
          <cell r="J522">
            <v>0</v>
          </cell>
          <cell r="K522">
            <v>0</v>
          </cell>
          <cell r="L522">
            <v>206035</v>
          </cell>
          <cell r="M522">
            <v>1</v>
          </cell>
          <cell r="N522">
            <v>0</v>
          </cell>
          <cell r="O522">
            <v>0</v>
          </cell>
          <cell r="P522">
            <v>-240433324.99954146</v>
          </cell>
          <cell r="Q522">
            <v>240433324.99954146</v>
          </cell>
          <cell r="R522">
            <v>0</v>
          </cell>
          <cell r="S522">
            <v>0</v>
          </cell>
        </row>
        <row r="523">
          <cell r="A523">
            <v>206036</v>
          </cell>
          <cell r="B523" t="str">
            <v>Corporation Tax UK</v>
          </cell>
          <cell r="C523">
            <v>0</v>
          </cell>
          <cell r="D523">
            <v>0</v>
          </cell>
          <cell r="E523">
            <v>0</v>
          </cell>
          <cell r="F523">
            <v>0</v>
          </cell>
          <cell r="G523"/>
          <cell r="H523">
            <v>0</v>
          </cell>
          <cell r="I523">
            <v>0</v>
          </cell>
          <cell r="J523">
            <v>0</v>
          </cell>
          <cell r="K523">
            <v>0</v>
          </cell>
          <cell r="L523">
            <v>206036</v>
          </cell>
          <cell r="M523">
            <v>1</v>
          </cell>
          <cell r="N523">
            <v>0</v>
          </cell>
          <cell r="O523">
            <v>0</v>
          </cell>
          <cell r="P523">
            <v>0</v>
          </cell>
          <cell r="Q523">
            <v>0</v>
          </cell>
          <cell r="R523">
            <v>0</v>
          </cell>
          <cell r="S523">
            <v>0</v>
          </cell>
        </row>
        <row r="524">
          <cell r="A524">
            <v>206037</v>
          </cell>
          <cell r="B524" t="str">
            <v>Fringe Benefit Tax</v>
          </cell>
          <cell r="C524">
            <v>0</v>
          </cell>
          <cell r="D524">
            <v>0</v>
          </cell>
          <cell r="E524">
            <v>0</v>
          </cell>
          <cell r="F524">
            <v>0</v>
          </cell>
          <cell r="G524"/>
          <cell r="H524">
            <v>0</v>
          </cell>
          <cell r="I524">
            <v>0</v>
          </cell>
          <cell r="J524">
            <v>0</v>
          </cell>
          <cell r="K524">
            <v>0</v>
          </cell>
          <cell r="L524">
            <v>206037</v>
          </cell>
          <cell r="M524">
            <v>1</v>
          </cell>
          <cell r="N524">
            <v>0</v>
          </cell>
          <cell r="O524">
            <v>0</v>
          </cell>
          <cell r="P524">
            <v>0</v>
          </cell>
          <cell r="Q524">
            <v>0</v>
          </cell>
          <cell r="R524">
            <v>0</v>
          </cell>
          <cell r="S524">
            <v>0</v>
          </cell>
        </row>
        <row r="525">
          <cell r="A525">
            <v>206038</v>
          </cell>
          <cell r="B525" t="str">
            <v>Service Tax Payable</v>
          </cell>
          <cell r="C525">
            <v>0</v>
          </cell>
          <cell r="D525">
            <v>0</v>
          </cell>
          <cell r="E525">
            <v>0</v>
          </cell>
          <cell r="F525">
            <v>0</v>
          </cell>
          <cell r="G525"/>
          <cell r="H525">
            <v>0</v>
          </cell>
          <cell r="I525">
            <v>0</v>
          </cell>
          <cell r="J525">
            <v>0</v>
          </cell>
          <cell r="K525">
            <v>0</v>
          </cell>
          <cell r="L525">
            <v>206038</v>
          </cell>
          <cell r="M525">
            <v>1</v>
          </cell>
          <cell r="N525">
            <v>0</v>
          </cell>
          <cell r="O525">
            <v>0</v>
          </cell>
          <cell r="P525">
            <v>149276.21999999997</v>
          </cell>
          <cell r="Q525">
            <v>-149276.21999999997</v>
          </cell>
          <cell r="R525">
            <v>0</v>
          </cell>
          <cell r="S525">
            <v>0</v>
          </cell>
        </row>
        <row r="526">
          <cell r="A526">
            <v>206039</v>
          </cell>
          <cell r="B526" t="str">
            <v>City Corp Income Tax Provision</v>
          </cell>
          <cell r="C526">
            <v>0</v>
          </cell>
          <cell r="D526">
            <v>0</v>
          </cell>
          <cell r="E526">
            <v>0</v>
          </cell>
          <cell r="F526">
            <v>0</v>
          </cell>
          <cell r="G526"/>
          <cell r="H526">
            <v>0</v>
          </cell>
          <cell r="I526">
            <v>0</v>
          </cell>
          <cell r="J526">
            <v>0</v>
          </cell>
          <cell r="K526">
            <v>0</v>
          </cell>
          <cell r="L526">
            <v>206039</v>
          </cell>
          <cell r="M526">
            <v>1</v>
          </cell>
          <cell r="N526">
            <v>0</v>
          </cell>
          <cell r="O526">
            <v>0</v>
          </cell>
          <cell r="P526">
            <v>0</v>
          </cell>
          <cell r="Q526">
            <v>0</v>
          </cell>
          <cell r="R526">
            <v>0</v>
          </cell>
          <cell r="S526">
            <v>0</v>
          </cell>
        </row>
        <row r="527">
          <cell r="A527">
            <v>206040</v>
          </cell>
          <cell r="B527" t="str">
            <v>Deferred Tax Liabilities-Curre</v>
          </cell>
          <cell r="C527">
            <v>0</v>
          </cell>
          <cell r="D527">
            <v>0</v>
          </cell>
          <cell r="E527">
            <v>0</v>
          </cell>
          <cell r="F527">
            <v>0</v>
          </cell>
          <cell r="G527"/>
          <cell r="H527">
            <v>0</v>
          </cell>
          <cell r="I527">
            <v>0</v>
          </cell>
          <cell r="J527">
            <v>0</v>
          </cell>
          <cell r="K527">
            <v>0</v>
          </cell>
          <cell r="L527">
            <v>206040</v>
          </cell>
          <cell r="M527">
            <v>1</v>
          </cell>
          <cell r="N527">
            <v>0</v>
          </cell>
          <cell r="O527">
            <v>0</v>
          </cell>
          <cell r="P527">
            <v>0</v>
          </cell>
          <cell r="Q527">
            <v>0</v>
          </cell>
          <cell r="R527">
            <v>0</v>
          </cell>
          <cell r="S527">
            <v>0</v>
          </cell>
        </row>
        <row r="528">
          <cell r="A528">
            <v>206041</v>
          </cell>
          <cell r="B528" t="str">
            <v xml:space="preserve">Advance Indian Income tax </v>
          </cell>
          <cell r="C528">
            <v>0</v>
          </cell>
          <cell r="D528">
            <v>0</v>
          </cell>
          <cell r="E528">
            <v>0</v>
          </cell>
          <cell r="F528">
            <v>0</v>
          </cell>
          <cell r="G528"/>
          <cell r="H528">
            <v>0</v>
          </cell>
          <cell r="I528">
            <v>0</v>
          </cell>
          <cell r="J528">
            <v>0</v>
          </cell>
          <cell r="K528">
            <v>0</v>
          </cell>
          <cell r="L528">
            <v>206041</v>
          </cell>
          <cell r="M528">
            <v>1</v>
          </cell>
          <cell r="N528">
            <v>0</v>
          </cell>
          <cell r="O528">
            <v>0</v>
          </cell>
          <cell r="P528">
            <v>242100000</v>
          </cell>
          <cell r="Q528">
            <v>-242100000</v>
          </cell>
          <cell r="R528">
            <v>0</v>
          </cell>
          <cell r="S528">
            <v>0</v>
          </cell>
        </row>
        <row r="529">
          <cell r="A529">
            <v>206042</v>
          </cell>
          <cell r="B529" t="str">
            <v>Advance Indian IT - TDS</v>
          </cell>
          <cell r="C529">
            <v>0</v>
          </cell>
          <cell r="D529">
            <v>0</v>
          </cell>
          <cell r="E529">
            <v>0</v>
          </cell>
          <cell r="F529">
            <v>0</v>
          </cell>
          <cell r="G529"/>
          <cell r="H529">
            <v>0</v>
          </cell>
          <cell r="I529">
            <v>0</v>
          </cell>
          <cell r="J529">
            <v>0</v>
          </cell>
          <cell r="K529">
            <v>0</v>
          </cell>
          <cell r="L529">
            <v>206042</v>
          </cell>
          <cell r="M529">
            <v>1</v>
          </cell>
          <cell r="N529">
            <v>0</v>
          </cell>
          <cell r="O529">
            <v>0</v>
          </cell>
          <cell r="P529">
            <v>13227416.339999998</v>
          </cell>
          <cell r="Q529">
            <v>-13227416.339999998</v>
          </cell>
          <cell r="R529">
            <v>0</v>
          </cell>
          <cell r="S529">
            <v>0</v>
          </cell>
        </row>
        <row r="530">
          <cell r="A530">
            <v>206043</v>
          </cell>
          <cell r="B530" t="str">
            <v xml:space="preserve">Advance US Federal Income Tax </v>
          </cell>
          <cell r="C530">
            <v>0</v>
          </cell>
          <cell r="D530">
            <v>0</v>
          </cell>
          <cell r="E530">
            <v>0</v>
          </cell>
          <cell r="F530">
            <v>0</v>
          </cell>
          <cell r="G530"/>
          <cell r="H530">
            <v>0</v>
          </cell>
          <cell r="I530">
            <v>0</v>
          </cell>
          <cell r="J530">
            <v>0</v>
          </cell>
          <cell r="K530">
            <v>0</v>
          </cell>
          <cell r="L530">
            <v>206043</v>
          </cell>
          <cell r="M530">
            <v>1</v>
          </cell>
          <cell r="N530">
            <v>0</v>
          </cell>
          <cell r="O530">
            <v>0</v>
          </cell>
          <cell r="P530">
            <v>44870755.200000003</v>
          </cell>
          <cell r="Q530">
            <v>-44870755.200000003</v>
          </cell>
          <cell r="R530">
            <v>0</v>
          </cell>
          <cell r="S530">
            <v>0</v>
          </cell>
        </row>
        <row r="531">
          <cell r="A531">
            <v>206044</v>
          </cell>
          <cell r="B531" t="str">
            <v xml:space="preserve">Advance US State Income Tax </v>
          </cell>
          <cell r="C531">
            <v>0</v>
          </cell>
          <cell r="D531">
            <v>0</v>
          </cell>
          <cell r="E531">
            <v>0</v>
          </cell>
          <cell r="F531">
            <v>0</v>
          </cell>
          <cell r="G531"/>
          <cell r="H531">
            <v>0</v>
          </cell>
          <cell r="I531">
            <v>0</v>
          </cell>
          <cell r="J531">
            <v>0</v>
          </cell>
          <cell r="K531">
            <v>0</v>
          </cell>
          <cell r="L531">
            <v>206044</v>
          </cell>
          <cell r="M531">
            <v>1</v>
          </cell>
          <cell r="N531">
            <v>0</v>
          </cell>
          <cell r="O531">
            <v>0</v>
          </cell>
          <cell r="P531">
            <v>10732094.4</v>
          </cell>
          <cell r="Q531">
            <v>-10732094.4</v>
          </cell>
          <cell r="R531">
            <v>0</v>
          </cell>
          <cell r="S531">
            <v>0</v>
          </cell>
        </row>
        <row r="532">
          <cell r="A532">
            <v>206045</v>
          </cell>
          <cell r="B532" t="str">
            <v>Dividend Distribtion</v>
          </cell>
          <cell r="C532">
            <v>0.16826666666758683</v>
          </cell>
          <cell r="D532">
            <v>0</v>
          </cell>
          <cell r="E532">
            <v>0</v>
          </cell>
          <cell r="F532">
            <v>0.16826666666758683</v>
          </cell>
          <cell r="G532"/>
          <cell r="H532">
            <v>0.16826666666758683</v>
          </cell>
          <cell r="I532">
            <v>0</v>
          </cell>
          <cell r="J532">
            <v>0</v>
          </cell>
          <cell r="K532">
            <v>0.16826666666758683</v>
          </cell>
          <cell r="L532">
            <v>206045</v>
          </cell>
          <cell r="M532">
            <v>1</v>
          </cell>
          <cell r="N532">
            <v>0</v>
          </cell>
          <cell r="O532">
            <v>0</v>
          </cell>
          <cell r="P532">
            <v>-687.70933333333335</v>
          </cell>
          <cell r="Q532">
            <v>687.87760000000094</v>
          </cell>
          <cell r="R532">
            <v>0</v>
          </cell>
          <cell r="S532">
            <v>0</v>
          </cell>
        </row>
        <row r="533">
          <cell r="A533">
            <v>206046</v>
          </cell>
          <cell r="B533" t="str">
            <v>Advance Fringe Benefit Tax</v>
          </cell>
          <cell r="C533">
            <v>0</v>
          </cell>
          <cell r="D533">
            <v>0</v>
          </cell>
          <cell r="E533">
            <v>0</v>
          </cell>
          <cell r="F533">
            <v>0</v>
          </cell>
          <cell r="G533"/>
          <cell r="H533">
            <v>0</v>
          </cell>
          <cell r="I533">
            <v>0</v>
          </cell>
          <cell r="J533">
            <v>0</v>
          </cell>
          <cell r="K533">
            <v>0</v>
          </cell>
          <cell r="L533">
            <v>206046</v>
          </cell>
          <cell r="M533">
            <v>1</v>
          </cell>
          <cell r="N533">
            <v>0</v>
          </cell>
          <cell r="O533">
            <v>0</v>
          </cell>
          <cell r="P533">
            <v>0</v>
          </cell>
          <cell r="Q533">
            <v>0</v>
          </cell>
          <cell r="R533">
            <v>0</v>
          </cell>
          <cell r="S533">
            <v>0</v>
          </cell>
        </row>
        <row r="534">
          <cell r="A534">
            <v>206047</v>
          </cell>
          <cell r="B534" t="str">
            <v>Forex Advance Indian IT - TDS</v>
          </cell>
          <cell r="C534">
            <v>0</v>
          </cell>
          <cell r="D534">
            <v>0</v>
          </cell>
          <cell r="E534">
            <v>0</v>
          </cell>
          <cell r="F534">
            <v>0</v>
          </cell>
          <cell r="G534"/>
          <cell r="H534">
            <v>0</v>
          </cell>
          <cell r="I534">
            <v>0</v>
          </cell>
          <cell r="J534">
            <v>0</v>
          </cell>
          <cell r="K534">
            <v>0</v>
          </cell>
          <cell r="L534">
            <v>206047</v>
          </cell>
          <cell r="M534">
            <v>1</v>
          </cell>
          <cell r="N534">
            <v>0</v>
          </cell>
          <cell r="O534">
            <v>0</v>
          </cell>
          <cell r="P534">
            <v>186521.27999999997</v>
          </cell>
          <cell r="Q534">
            <v>-186521.27999999997</v>
          </cell>
          <cell r="R534">
            <v>0</v>
          </cell>
          <cell r="S534">
            <v>0</v>
          </cell>
        </row>
        <row r="535">
          <cell r="A535">
            <v>206048</v>
          </cell>
          <cell r="B535" t="str">
            <v>Canada - Adv Tax - TDS</v>
          </cell>
          <cell r="C535">
            <v>0</v>
          </cell>
          <cell r="D535">
            <v>0</v>
          </cell>
          <cell r="E535">
            <v>0</v>
          </cell>
          <cell r="F535">
            <v>0</v>
          </cell>
          <cell r="G535"/>
          <cell r="H535">
            <v>0</v>
          </cell>
          <cell r="I535">
            <v>0</v>
          </cell>
          <cell r="J535">
            <v>0</v>
          </cell>
          <cell r="K535">
            <v>0</v>
          </cell>
          <cell r="L535">
            <v>206048</v>
          </cell>
          <cell r="M535">
            <v>1</v>
          </cell>
          <cell r="N535">
            <v>0</v>
          </cell>
          <cell r="O535">
            <v>0</v>
          </cell>
          <cell r="P535">
            <v>0</v>
          </cell>
          <cell r="Q535">
            <v>0</v>
          </cell>
          <cell r="R535">
            <v>0</v>
          </cell>
          <cell r="S535">
            <v>0</v>
          </cell>
        </row>
        <row r="536">
          <cell r="A536">
            <v>207010</v>
          </cell>
          <cell r="B536" t="str">
            <v>Dividends Payable</v>
          </cell>
          <cell r="C536">
            <v>0</v>
          </cell>
          <cell r="D536">
            <v>0</v>
          </cell>
          <cell r="E536">
            <v>0</v>
          </cell>
          <cell r="F536">
            <v>0</v>
          </cell>
          <cell r="G536"/>
          <cell r="H536">
            <v>0</v>
          </cell>
          <cell r="I536">
            <v>0</v>
          </cell>
          <cell r="J536">
            <v>0</v>
          </cell>
          <cell r="K536">
            <v>0</v>
          </cell>
          <cell r="L536">
            <v>207010</v>
          </cell>
          <cell r="M536">
            <v>1</v>
          </cell>
          <cell r="N536">
            <v>0</v>
          </cell>
          <cell r="O536">
            <v>0</v>
          </cell>
          <cell r="P536">
            <v>-3360.0000000000018</v>
          </cell>
          <cell r="Q536">
            <v>3360.0000000000018</v>
          </cell>
          <cell r="R536">
            <v>0</v>
          </cell>
          <cell r="S536">
            <v>0</v>
          </cell>
        </row>
        <row r="537">
          <cell r="A537">
            <v>210110</v>
          </cell>
          <cell r="B537" t="str">
            <v>Due to India</v>
          </cell>
          <cell r="C537">
            <v>-20714115838.976997</v>
          </cell>
          <cell r="D537">
            <v>0</v>
          </cell>
          <cell r="E537">
            <v>0</v>
          </cell>
          <cell r="F537">
            <v>-20714115838.976997</v>
          </cell>
          <cell r="G537"/>
          <cell r="H537">
            <v>-20714115838.976997</v>
          </cell>
          <cell r="I537">
            <v>0</v>
          </cell>
          <cell r="J537">
            <v>0</v>
          </cell>
          <cell r="K537">
            <v>-20714115838.976997</v>
          </cell>
          <cell r="L537">
            <v>210110</v>
          </cell>
          <cell r="M537">
            <v>1</v>
          </cell>
          <cell r="N537">
            <v>0</v>
          </cell>
          <cell r="O537">
            <v>0</v>
          </cell>
          <cell r="P537">
            <v>-16413173961.860001</v>
          </cell>
          <cell r="Q537">
            <v>-4300941877.1169968</v>
          </cell>
          <cell r="R537">
            <v>0</v>
          </cell>
          <cell r="S537">
            <v>0</v>
          </cell>
        </row>
        <row r="538">
          <cell r="A538">
            <v>210111</v>
          </cell>
          <cell r="B538" t="str">
            <v>Due to Syntel Australia</v>
          </cell>
          <cell r="C538">
            <v>0</v>
          </cell>
          <cell r="D538">
            <v>0</v>
          </cell>
          <cell r="E538">
            <v>0</v>
          </cell>
          <cell r="F538">
            <v>0</v>
          </cell>
          <cell r="G538"/>
          <cell r="H538">
            <v>0</v>
          </cell>
          <cell r="I538">
            <v>0</v>
          </cell>
          <cell r="J538">
            <v>0</v>
          </cell>
          <cell r="K538">
            <v>0</v>
          </cell>
          <cell r="L538">
            <v>210111</v>
          </cell>
          <cell r="M538">
            <v>1</v>
          </cell>
          <cell r="N538">
            <v>0</v>
          </cell>
          <cell r="O538">
            <v>0</v>
          </cell>
          <cell r="P538">
            <v>0</v>
          </cell>
          <cell r="Q538">
            <v>0</v>
          </cell>
          <cell r="R538">
            <v>0</v>
          </cell>
          <cell r="S538">
            <v>0</v>
          </cell>
        </row>
        <row r="539">
          <cell r="A539">
            <v>210112</v>
          </cell>
          <cell r="B539" t="str">
            <v>Due from Syntel Australia</v>
          </cell>
          <cell r="C539">
            <v>0</v>
          </cell>
          <cell r="D539">
            <v>0</v>
          </cell>
          <cell r="E539">
            <v>0</v>
          </cell>
          <cell r="F539">
            <v>0</v>
          </cell>
          <cell r="G539"/>
          <cell r="H539">
            <v>0</v>
          </cell>
          <cell r="I539">
            <v>0</v>
          </cell>
          <cell r="J539">
            <v>0</v>
          </cell>
          <cell r="K539">
            <v>0</v>
          </cell>
          <cell r="L539">
            <v>210112</v>
          </cell>
          <cell r="M539">
            <v>1</v>
          </cell>
          <cell r="N539">
            <v>0</v>
          </cell>
          <cell r="O539">
            <v>0</v>
          </cell>
          <cell r="P539">
            <v>0</v>
          </cell>
          <cell r="Q539">
            <v>0</v>
          </cell>
          <cell r="R539">
            <v>0</v>
          </cell>
          <cell r="S539">
            <v>0</v>
          </cell>
        </row>
        <row r="540">
          <cell r="A540">
            <v>210115</v>
          </cell>
          <cell r="B540" t="str">
            <v>Due from India</v>
          </cell>
          <cell r="C540">
            <v>20714115839.927002</v>
          </cell>
          <cell r="D540">
            <v>0</v>
          </cell>
          <cell r="E540">
            <v>0</v>
          </cell>
          <cell r="F540">
            <v>20714115839.927002</v>
          </cell>
          <cell r="G540"/>
          <cell r="H540">
            <v>20714115839.927002</v>
          </cell>
          <cell r="I540">
            <v>0</v>
          </cell>
          <cell r="J540">
            <v>0</v>
          </cell>
          <cell r="K540">
            <v>20714115839.927002</v>
          </cell>
          <cell r="L540">
            <v>210115</v>
          </cell>
          <cell r="M540">
            <v>1</v>
          </cell>
          <cell r="N540">
            <v>0</v>
          </cell>
          <cell r="O540">
            <v>0</v>
          </cell>
          <cell r="P540">
            <v>16413173961.67</v>
          </cell>
          <cell r="Q540">
            <v>4300941878.2570019</v>
          </cell>
          <cell r="R540">
            <v>0</v>
          </cell>
          <cell r="S540">
            <v>0</v>
          </cell>
        </row>
        <row r="541">
          <cell r="A541">
            <v>210120</v>
          </cell>
          <cell r="B541" t="str">
            <v>Due to Europe</v>
          </cell>
          <cell r="C541">
            <v>0</v>
          </cell>
          <cell r="D541">
            <v>0</v>
          </cell>
          <cell r="E541">
            <v>0</v>
          </cell>
          <cell r="F541">
            <v>0</v>
          </cell>
          <cell r="G541"/>
          <cell r="H541">
            <v>0</v>
          </cell>
          <cell r="I541">
            <v>0</v>
          </cell>
          <cell r="J541">
            <v>0</v>
          </cell>
          <cell r="K541">
            <v>0</v>
          </cell>
          <cell r="L541">
            <v>210120</v>
          </cell>
          <cell r="M541">
            <v>1</v>
          </cell>
          <cell r="N541">
            <v>0</v>
          </cell>
          <cell r="O541">
            <v>0</v>
          </cell>
          <cell r="P541">
            <v>0</v>
          </cell>
          <cell r="Q541">
            <v>0</v>
          </cell>
          <cell r="R541">
            <v>0</v>
          </cell>
          <cell r="S541">
            <v>0</v>
          </cell>
        </row>
        <row r="542">
          <cell r="A542">
            <v>210125</v>
          </cell>
          <cell r="B542" t="str">
            <v>Due from Europe</v>
          </cell>
          <cell r="C542">
            <v>0</v>
          </cell>
          <cell r="D542">
            <v>0</v>
          </cell>
          <cell r="E542">
            <v>0</v>
          </cell>
          <cell r="F542">
            <v>0</v>
          </cell>
          <cell r="G542"/>
          <cell r="H542">
            <v>0</v>
          </cell>
          <cell r="I542">
            <v>0</v>
          </cell>
          <cell r="J542">
            <v>0</v>
          </cell>
          <cell r="K542">
            <v>0</v>
          </cell>
          <cell r="L542">
            <v>210125</v>
          </cell>
          <cell r="M542">
            <v>1</v>
          </cell>
          <cell r="N542">
            <v>0</v>
          </cell>
          <cell r="O542">
            <v>0</v>
          </cell>
          <cell r="P542">
            <v>0</v>
          </cell>
          <cell r="Q542">
            <v>0</v>
          </cell>
          <cell r="R542">
            <v>0</v>
          </cell>
          <cell r="S542">
            <v>0</v>
          </cell>
        </row>
        <row r="543">
          <cell r="A543">
            <v>210130</v>
          </cell>
          <cell r="B543" t="str">
            <v>Due to Singapore</v>
          </cell>
          <cell r="C543">
            <v>0</v>
          </cell>
          <cell r="D543">
            <v>0</v>
          </cell>
          <cell r="E543">
            <v>0</v>
          </cell>
          <cell r="F543">
            <v>0</v>
          </cell>
          <cell r="G543"/>
          <cell r="H543">
            <v>0</v>
          </cell>
          <cell r="I543">
            <v>0</v>
          </cell>
          <cell r="J543">
            <v>0</v>
          </cell>
          <cell r="K543">
            <v>0</v>
          </cell>
          <cell r="L543">
            <v>210130</v>
          </cell>
          <cell r="M543">
            <v>1</v>
          </cell>
          <cell r="N543">
            <v>0</v>
          </cell>
          <cell r="O543">
            <v>0</v>
          </cell>
          <cell r="P543">
            <v>0</v>
          </cell>
          <cell r="Q543">
            <v>0</v>
          </cell>
          <cell r="R543">
            <v>0</v>
          </cell>
          <cell r="S543">
            <v>0</v>
          </cell>
        </row>
        <row r="544">
          <cell r="A544">
            <v>210135</v>
          </cell>
          <cell r="B544" t="str">
            <v>Due from Singapore</v>
          </cell>
          <cell r="C544">
            <v>0</v>
          </cell>
          <cell r="D544">
            <v>0</v>
          </cell>
          <cell r="E544">
            <v>0</v>
          </cell>
          <cell r="F544">
            <v>0</v>
          </cell>
          <cell r="G544"/>
          <cell r="H544">
            <v>0</v>
          </cell>
          <cell r="I544">
            <v>0</v>
          </cell>
          <cell r="J544">
            <v>0</v>
          </cell>
          <cell r="K544">
            <v>0</v>
          </cell>
          <cell r="L544">
            <v>210135</v>
          </cell>
          <cell r="M544">
            <v>1</v>
          </cell>
          <cell r="N544">
            <v>0</v>
          </cell>
          <cell r="O544">
            <v>0</v>
          </cell>
          <cell r="P544">
            <v>0</v>
          </cell>
          <cell r="Q544">
            <v>0</v>
          </cell>
          <cell r="R544">
            <v>0</v>
          </cell>
          <cell r="S544">
            <v>0</v>
          </cell>
        </row>
        <row r="545">
          <cell r="A545">
            <v>210140</v>
          </cell>
          <cell r="B545" t="str">
            <v>Due to Syntel Canada</v>
          </cell>
          <cell r="C545">
            <v>0</v>
          </cell>
          <cell r="D545">
            <v>0</v>
          </cell>
          <cell r="E545">
            <v>0</v>
          </cell>
          <cell r="F545">
            <v>0</v>
          </cell>
          <cell r="G545"/>
          <cell r="H545">
            <v>0</v>
          </cell>
          <cell r="I545">
            <v>0</v>
          </cell>
          <cell r="J545">
            <v>0</v>
          </cell>
          <cell r="K545">
            <v>0</v>
          </cell>
          <cell r="L545">
            <v>210140</v>
          </cell>
          <cell r="M545">
            <v>1</v>
          </cell>
          <cell r="N545">
            <v>0</v>
          </cell>
          <cell r="O545">
            <v>0</v>
          </cell>
          <cell r="P545">
            <v>0</v>
          </cell>
          <cell r="Q545">
            <v>0</v>
          </cell>
          <cell r="R545">
            <v>0</v>
          </cell>
          <cell r="S545">
            <v>0</v>
          </cell>
        </row>
        <row r="546">
          <cell r="A546">
            <v>210150</v>
          </cell>
          <cell r="B546" t="str">
            <v>Due to Syntel Germany</v>
          </cell>
          <cell r="C546">
            <v>0</v>
          </cell>
          <cell r="D546">
            <v>0</v>
          </cell>
          <cell r="E546">
            <v>0</v>
          </cell>
          <cell r="F546">
            <v>0</v>
          </cell>
          <cell r="G546"/>
          <cell r="H546">
            <v>0</v>
          </cell>
          <cell r="I546">
            <v>0</v>
          </cell>
          <cell r="J546">
            <v>0</v>
          </cell>
          <cell r="K546">
            <v>0</v>
          </cell>
          <cell r="L546">
            <v>210150</v>
          </cell>
          <cell r="M546">
            <v>1</v>
          </cell>
          <cell r="N546">
            <v>0</v>
          </cell>
          <cell r="O546">
            <v>0</v>
          </cell>
          <cell r="P546">
            <v>0</v>
          </cell>
          <cell r="Q546">
            <v>0</v>
          </cell>
          <cell r="R546">
            <v>0</v>
          </cell>
          <cell r="S546">
            <v>0</v>
          </cell>
        </row>
        <row r="547">
          <cell r="A547">
            <v>210155</v>
          </cell>
          <cell r="B547" t="str">
            <v>Due from Syntel Germany</v>
          </cell>
          <cell r="C547">
            <v>0</v>
          </cell>
          <cell r="D547">
            <v>0</v>
          </cell>
          <cell r="E547">
            <v>0</v>
          </cell>
          <cell r="F547">
            <v>0</v>
          </cell>
          <cell r="G547"/>
          <cell r="H547">
            <v>0</v>
          </cell>
          <cell r="I547">
            <v>0</v>
          </cell>
          <cell r="J547">
            <v>0</v>
          </cell>
          <cell r="K547">
            <v>0</v>
          </cell>
          <cell r="L547">
            <v>210155</v>
          </cell>
          <cell r="M547">
            <v>1</v>
          </cell>
          <cell r="N547">
            <v>0</v>
          </cell>
          <cell r="O547">
            <v>0</v>
          </cell>
          <cell r="P547">
            <v>0</v>
          </cell>
          <cell r="Q547">
            <v>0</v>
          </cell>
          <cell r="R547">
            <v>0</v>
          </cell>
          <cell r="S547">
            <v>0</v>
          </cell>
        </row>
        <row r="548">
          <cell r="A548">
            <v>210160</v>
          </cell>
          <cell r="B548" t="str">
            <v>Due to Syntel Inc.</v>
          </cell>
          <cell r="C548">
            <v>0</v>
          </cell>
          <cell r="D548">
            <v>0</v>
          </cell>
          <cell r="E548">
            <v>0</v>
          </cell>
          <cell r="F548">
            <v>0</v>
          </cell>
          <cell r="G548"/>
          <cell r="H548">
            <v>0</v>
          </cell>
          <cell r="I548">
            <v>0</v>
          </cell>
          <cell r="J548">
            <v>0</v>
          </cell>
          <cell r="K548">
            <v>0</v>
          </cell>
          <cell r="L548">
            <v>210160</v>
          </cell>
          <cell r="M548">
            <v>1</v>
          </cell>
          <cell r="N548">
            <v>0</v>
          </cell>
          <cell r="O548">
            <v>0</v>
          </cell>
          <cell r="P548">
            <v>0</v>
          </cell>
          <cell r="Q548">
            <v>0</v>
          </cell>
          <cell r="R548">
            <v>0</v>
          </cell>
          <cell r="S548">
            <v>0</v>
          </cell>
        </row>
        <row r="549">
          <cell r="A549">
            <v>210165</v>
          </cell>
          <cell r="B549" t="str">
            <v>Due from Syntel Inc.</v>
          </cell>
          <cell r="C549">
            <v>0</v>
          </cell>
          <cell r="D549">
            <v>0</v>
          </cell>
          <cell r="E549">
            <v>0</v>
          </cell>
          <cell r="F549">
            <v>0</v>
          </cell>
          <cell r="G549"/>
          <cell r="H549">
            <v>0</v>
          </cell>
          <cell r="I549">
            <v>0</v>
          </cell>
          <cell r="J549">
            <v>0</v>
          </cell>
          <cell r="K549">
            <v>0</v>
          </cell>
          <cell r="L549">
            <v>210165</v>
          </cell>
          <cell r="M549">
            <v>1</v>
          </cell>
          <cell r="N549">
            <v>0</v>
          </cell>
          <cell r="O549">
            <v>0</v>
          </cell>
          <cell r="P549">
            <v>0</v>
          </cell>
          <cell r="Q549">
            <v>0</v>
          </cell>
          <cell r="R549">
            <v>0</v>
          </cell>
          <cell r="S549">
            <v>0</v>
          </cell>
        </row>
        <row r="550">
          <cell r="A550">
            <v>210171</v>
          </cell>
          <cell r="B550" t="str">
            <v>Due from SIL - Mumbai</v>
          </cell>
          <cell r="C550">
            <v>0</v>
          </cell>
          <cell r="D550">
            <v>0</v>
          </cell>
          <cell r="E550">
            <v>0</v>
          </cell>
          <cell r="F550">
            <v>0</v>
          </cell>
          <cell r="G550"/>
          <cell r="H550">
            <v>0</v>
          </cell>
          <cell r="I550">
            <v>0</v>
          </cell>
          <cell r="J550">
            <v>0</v>
          </cell>
          <cell r="K550">
            <v>0</v>
          </cell>
          <cell r="L550">
            <v>210171</v>
          </cell>
          <cell r="M550">
            <v>1</v>
          </cell>
          <cell r="N550">
            <v>0</v>
          </cell>
          <cell r="O550">
            <v>0</v>
          </cell>
          <cell r="P550">
            <v>0</v>
          </cell>
          <cell r="Q550">
            <v>0</v>
          </cell>
          <cell r="R550">
            <v>0</v>
          </cell>
          <cell r="S550">
            <v>0</v>
          </cell>
        </row>
        <row r="551">
          <cell r="A551">
            <v>210172</v>
          </cell>
          <cell r="B551" t="str">
            <v>Due from SIL - Chennai</v>
          </cell>
          <cell r="C551">
            <v>0</v>
          </cell>
          <cell r="D551">
            <v>0</v>
          </cell>
          <cell r="E551">
            <v>0</v>
          </cell>
          <cell r="F551">
            <v>0</v>
          </cell>
          <cell r="G551"/>
          <cell r="H551">
            <v>0</v>
          </cell>
          <cell r="I551">
            <v>0</v>
          </cell>
          <cell r="J551">
            <v>0</v>
          </cell>
          <cell r="K551">
            <v>0</v>
          </cell>
          <cell r="L551">
            <v>210172</v>
          </cell>
          <cell r="M551">
            <v>1</v>
          </cell>
          <cell r="N551">
            <v>0</v>
          </cell>
          <cell r="O551">
            <v>0</v>
          </cell>
          <cell r="P551">
            <v>0</v>
          </cell>
          <cell r="Q551">
            <v>0</v>
          </cell>
          <cell r="R551">
            <v>0</v>
          </cell>
          <cell r="S551">
            <v>0</v>
          </cell>
        </row>
        <row r="552">
          <cell r="A552">
            <v>210173</v>
          </cell>
          <cell r="B552" t="str">
            <v>Due from SIL - Pune</v>
          </cell>
          <cell r="C552">
            <v>0</v>
          </cell>
          <cell r="D552">
            <v>0</v>
          </cell>
          <cell r="E552">
            <v>0</v>
          </cell>
          <cell r="F552">
            <v>0</v>
          </cell>
          <cell r="G552"/>
          <cell r="H552">
            <v>0</v>
          </cell>
          <cell r="I552">
            <v>0</v>
          </cell>
          <cell r="J552">
            <v>0</v>
          </cell>
          <cell r="K552">
            <v>0</v>
          </cell>
          <cell r="L552">
            <v>210173</v>
          </cell>
          <cell r="M552">
            <v>1</v>
          </cell>
          <cell r="N552">
            <v>0</v>
          </cell>
          <cell r="O552">
            <v>0</v>
          </cell>
          <cell r="P552">
            <v>0</v>
          </cell>
          <cell r="Q552">
            <v>0</v>
          </cell>
          <cell r="R552">
            <v>0</v>
          </cell>
          <cell r="S552">
            <v>0</v>
          </cell>
        </row>
        <row r="553">
          <cell r="A553">
            <v>210181</v>
          </cell>
          <cell r="B553" t="str">
            <v>Due to SIL - Mumbai</v>
          </cell>
          <cell r="C553">
            <v>0</v>
          </cell>
          <cell r="D553">
            <v>0</v>
          </cell>
          <cell r="E553">
            <v>0</v>
          </cell>
          <cell r="F553">
            <v>0</v>
          </cell>
          <cell r="G553"/>
          <cell r="H553">
            <v>0</v>
          </cell>
          <cell r="I553">
            <v>0</v>
          </cell>
          <cell r="J553">
            <v>0</v>
          </cell>
          <cell r="K553">
            <v>0</v>
          </cell>
          <cell r="L553">
            <v>210181</v>
          </cell>
          <cell r="M553">
            <v>1</v>
          </cell>
          <cell r="N553">
            <v>0</v>
          </cell>
          <cell r="O553">
            <v>0</v>
          </cell>
          <cell r="P553">
            <v>0</v>
          </cell>
          <cell r="Q553">
            <v>0</v>
          </cell>
          <cell r="R553">
            <v>0</v>
          </cell>
          <cell r="S553">
            <v>0</v>
          </cell>
        </row>
        <row r="554">
          <cell r="A554">
            <v>210182</v>
          </cell>
          <cell r="B554" t="str">
            <v>Due to SIL - Chennai</v>
          </cell>
          <cell r="C554">
            <v>0</v>
          </cell>
          <cell r="D554">
            <v>0</v>
          </cell>
          <cell r="E554">
            <v>0</v>
          </cell>
          <cell r="F554">
            <v>0</v>
          </cell>
          <cell r="G554"/>
          <cell r="H554">
            <v>0</v>
          </cell>
          <cell r="I554">
            <v>0</v>
          </cell>
          <cell r="J554">
            <v>0</v>
          </cell>
          <cell r="K554">
            <v>0</v>
          </cell>
          <cell r="L554">
            <v>210182</v>
          </cell>
          <cell r="M554">
            <v>1</v>
          </cell>
          <cell r="N554">
            <v>0</v>
          </cell>
          <cell r="O554">
            <v>0</v>
          </cell>
          <cell r="P554">
            <v>0</v>
          </cell>
          <cell r="Q554">
            <v>0</v>
          </cell>
          <cell r="R554">
            <v>0</v>
          </cell>
          <cell r="S554">
            <v>0</v>
          </cell>
        </row>
        <row r="555">
          <cell r="A555">
            <v>210183</v>
          </cell>
          <cell r="B555" t="str">
            <v>Due to SIL - Pune</v>
          </cell>
          <cell r="C555">
            <v>0</v>
          </cell>
          <cell r="D555">
            <v>0</v>
          </cell>
          <cell r="E555">
            <v>0</v>
          </cell>
          <cell r="F555">
            <v>0</v>
          </cell>
          <cell r="G555"/>
          <cell r="H555">
            <v>0</v>
          </cell>
          <cell r="I555">
            <v>0</v>
          </cell>
          <cell r="J555">
            <v>0</v>
          </cell>
          <cell r="K555">
            <v>0</v>
          </cell>
          <cell r="L555">
            <v>210183</v>
          </cell>
          <cell r="M555">
            <v>1</v>
          </cell>
          <cell r="N555">
            <v>0</v>
          </cell>
          <cell r="O555">
            <v>0</v>
          </cell>
          <cell r="P555">
            <v>0</v>
          </cell>
          <cell r="Q555">
            <v>0</v>
          </cell>
          <cell r="R555">
            <v>0</v>
          </cell>
          <cell r="S555">
            <v>0</v>
          </cell>
        </row>
        <row r="556">
          <cell r="A556">
            <v>210185</v>
          </cell>
          <cell r="B556" t="str">
            <v>Due from Syntel Sourcing</v>
          </cell>
          <cell r="C556">
            <v>0</v>
          </cell>
          <cell r="D556">
            <v>0</v>
          </cell>
          <cell r="E556">
            <v>0</v>
          </cell>
          <cell r="F556">
            <v>0</v>
          </cell>
          <cell r="G556"/>
          <cell r="H556">
            <v>0</v>
          </cell>
          <cell r="I556">
            <v>0</v>
          </cell>
          <cell r="J556">
            <v>0</v>
          </cell>
          <cell r="K556">
            <v>0</v>
          </cell>
          <cell r="L556">
            <v>210185</v>
          </cell>
          <cell r="M556">
            <v>1</v>
          </cell>
          <cell r="N556">
            <v>0</v>
          </cell>
          <cell r="O556">
            <v>0</v>
          </cell>
          <cell r="P556">
            <v>0</v>
          </cell>
          <cell r="Q556">
            <v>0</v>
          </cell>
          <cell r="R556">
            <v>0</v>
          </cell>
          <cell r="S556">
            <v>0</v>
          </cell>
        </row>
        <row r="557">
          <cell r="A557">
            <v>210168</v>
          </cell>
          <cell r="B557" t="str">
            <v>Due to Syntel Solution BV</v>
          </cell>
          <cell r="C557">
            <v>0</v>
          </cell>
          <cell r="D557">
            <v>0</v>
          </cell>
          <cell r="E557">
            <v>0</v>
          </cell>
          <cell r="F557">
            <v>0</v>
          </cell>
          <cell r="G557"/>
          <cell r="H557">
            <v>0</v>
          </cell>
          <cell r="I557">
            <v>0</v>
          </cell>
          <cell r="J557">
            <v>0</v>
          </cell>
          <cell r="K557">
            <v>0</v>
          </cell>
          <cell r="L557">
            <v>210168</v>
          </cell>
          <cell r="M557">
            <v>1</v>
          </cell>
          <cell r="N557">
            <v>0</v>
          </cell>
          <cell r="O557">
            <v>0</v>
          </cell>
          <cell r="P557">
            <v>0</v>
          </cell>
          <cell r="Q557">
            <v>0</v>
          </cell>
          <cell r="R557">
            <v>0</v>
          </cell>
          <cell r="S557">
            <v>0</v>
          </cell>
        </row>
        <row r="558">
          <cell r="A558">
            <v>220010</v>
          </cell>
          <cell r="B558" t="str">
            <v>Deferred Revenues</v>
          </cell>
          <cell r="C558">
            <v>0</v>
          </cell>
          <cell r="D558">
            <v>0</v>
          </cell>
          <cell r="E558">
            <v>0</v>
          </cell>
          <cell r="F558">
            <v>0</v>
          </cell>
          <cell r="G558"/>
          <cell r="H558">
            <v>0</v>
          </cell>
          <cell r="I558">
            <v>0</v>
          </cell>
          <cell r="J558">
            <v>0</v>
          </cell>
          <cell r="K558">
            <v>0</v>
          </cell>
          <cell r="L558">
            <v>220010</v>
          </cell>
          <cell r="M558">
            <v>1</v>
          </cell>
          <cell r="N558">
            <v>0</v>
          </cell>
          <cell r="O558">
            <v>0</v>
          </cell>
          <cell r="P558">
            <v>0</v>
          </cell>
          <cell r="Q558">
            <v>0</v>
          </cell>
          <cell r="R558">
            <v>0</v>
          </cell>
          <cell r="S558">
            <v>0</v>
          </cell>
        </row>
        <row r="559">
          <cell r="A559">
            <v>220020</v>
          </cell>
          <cell r="B559" t="str">
            <v>Advanced Billing Receipts</v>
          </cell>
          <cell r="C559">
            <v>0</v>
          </cell>
          <cell r="D559">
            <v>0</v>
          </cell>
          <cell r="E559">
            <v>0</v>
          </cell>
          <cell r="F559">
            <v>0</v>
          </cell>
          <cell r="G559"/>
          <cell r="H559">
            <v>0</v>
          </cell>
          <cell r="I559">
            <v>0</v>
          </cell>
          <cell r="J559">
            <v>0</v>
          </cell>
          <cell r="K559">
            <v>0</v>
          </cell>
          <cell r="L559">
            <v>220020</v>
          </cell>
          <cell r="M559">
            <v>1</v>
          </cell>
          <cell r="N559">
            <v>0</v>
          </cell>
          <cell r="O559">
            <v>0</v>
          </cell>
          <cell r="P559">
            <v>0</v>
          </cell>
          <cell r="Q559">
            <v>0</v>
          </cell>
          <cell r="R559">
            <v>0</v>
          </cell>
          <cell r="S559">
            <v>0</v>
          </cell>
        </row>
        <row r="560">
          <cell r="A560">
            <v>220021</v>
          </cell>
          <cell r="B560" t="str">
            <v>NO SOW - Revenue Deferral</v>
          </cell>
          <cell r="C560">
            <v>0</v>
          </cell>
          <cell r="D560">
            <v>0</v>
          </cell>
          <cell r="E560">
            <v>0</v>
          </cell>
          <cell r="F560">
            <v>0</v>
          </cell>
          <cell r="G560"/>
          <cell r="H560">
            <v>0</v>
          </cell>
          <cell r="I560">
            <v>0</v>
          </cell>
          <cell r="J560">
            <v>0</v>
          </cell>
          <cell r="K560">
            <v>0</v>
          </cell>
          <cell r="L560">
            <v>220021</v>
          </cell>
          <cell r="M560">
            <v>1</v>
          </cell>
          <cell r="N560">
            <v>0</v>
          </cell>
          <cell r="O560">
            <v>0</v>
          </cell>
          <cell r="P560">
            <v>0</v>
          </cell>
          <cell r="Q560">
            <v>0</v>
          </cell>
          <cell r="R560">
            <v>0</v>
          </cell>
          <cell r="S560">
            <v>0</v>
          </cell>
        </row>
        <row r="561">
          <cell r="A561">
            <v>220022</v>
          </cell>
          <cell r="B561" t="str">
            <v>Transition Rev Defferal</v>
          </cell>
          <cell r="C561">
            <v>0</v>
          </cell>
          <cell r="D561">
            <v>0</v>
          </cell>
          <cell r="E561">
            <v>0</v>
          </cell>
          <cell r="F561">
            <v>0</v>
          </cell>
          <cell r="G561"/>
          <cell r="H561">
            <v>0</v>
          </cell>
          <cell r="I561">
            <v>0</v>
          </cell>
          <cell r="J561">
            <v>0</v>
          </cell>
          <cell r="K561">
            <v>0</v>
          </cell>
          <cell r="L561">
            <v>220022</v>
          </cell>
          <cell r="M561">
            <v>1</v>
          </cell>
          <cell r="N561">
            <v>0</v>
          </cell>
          <cell r="O561">
            <v>0</v>
          </cell>
          <cell r="P561">
            <v>0</v>
          </cell>
          <cell r="Q561">
            <v>0</v>
          </cell>
          <cell r="R561">
            <v>0</v>
          </cell>
          <cell r="S561">
            <v>0</v>
          </cell>
        </row>
        <row r="562">
          <cell r="A562">
            <v>220030</v>
          </cell>
          <cell r="B562" t="str">
            <v>AIG Advanced Billing Receipts</v>
          </cell>
          <cell r="C562">
            <v>0</v>
          </cell>
          <cell r="D562">
            <v>0</v>
          </cell>
          <cell r="E562">
            <v>0</v>
          </cell>
          <cell r="F562">
            <v>0</v>
          </cell>
          <cell r="G562"/>
          <cell r="H562">
            <v>0</v>
          </cell>
          <cell r="I562">
            <v>0</v>
          </cell>
          <cell r="J562">
            <v>0</v>
          </cell>
          <cell r="K562">
            <v>0</v>
          </cell>
          <cell r="L562">
            <v>220030</v>
          </cell>
          <cell r="M562">
            <v>1</v>
          </cell>
          <cell r="N562">
            <v>0</v>
          </cell>
          <cell r="O562">
            <v>0</v>
          </cell>
          <cell r="P562">
            <v>0</v>
          </cell>
          <cell r="Q562">
            <v>0</v>
          </cell>
          <cell r="R562">
            <v>0</v>
          </cell>
          <cell r="S562">
            <v>0</v>
          </cell>
        </row>
        <row r="563">
          <cell r="A563">
            <v>240001</v>
          </cell>
          <cell r="B563" t="str">
            <v>Preference Share 3%</v>
          </cell>
          <cell r="C563">
            <v>0</v>
          </cell>
          <cell r="D563">
            <v>0</v>
          </cell>
          <cell r="E563">
            <v>0</v>
          </cell>
          <cell r="F563">
            <v>0</v>
          </cell>
          <cell r="G563"/>
          <cell r="H563">
            <v>0</v>
          </cell>
          <cell r="I563">
            <v>0</v>
          </cell>
          <cell r="J563">
            <v>0</v>
          </cell>
          <cell r="K563">
            <v>0</v>
          </cell>
          <cell r="L563">
            <v>240001</v>
          </cell>
          <cell r="M563">
            <v>1</v>
          </cell>
          <cell r="N563">
            <v>0</v>
          </cell>
          <cell r="O563">
            <v>0</v>
          </cell>
          <cell r="P563">
            <v>-112000</v>
          </cell>
          <cell r="Q563">
            <v>112000</v>
          </cell>
          <cell r="R563">
            <v>0</v>
          </cell>
          <cell r="S563">
            <v>0</v>
          </cell>
        </row>
        <row r="564">
          <cell r="A564">
            <v>240002</v>
          </cell>
          <cell r="B564" t="str">
            <v>Share premium on Preference Shares 3%</v>
          </cell>
          <cell r="C564">
            <v>0</v>
          </cell>
          <cell r="D564">
            <v>0</v>
          </cell>
          <cell r="E564">
            <v>0</v>
          </cell>
          <cell r="F564">
            <v>0</v>
          </cell>
          <cell r="G564"/>
          <cell r="H564">
            <v>0</v>
          </cell>
          <cell r="I564">
            <v>0</v>
          </cell>
          <cell r="J564">
            <v>0</v>
          </cell>
          <cell r="K564">
            <v>0</v>
          </cell>
          <cell r="L564">
            <v>240002</v>
          </cell>
          <cell r="M564">
            <v>1</v>
          </cell>
          <cell r="N564">
            <v>0</v>
          </cell>
          <cell r="O564">
            <v>0</v>
          </cell>
          <cell r="P564">
            <v>-128912000</v>
          </cell>
          <cell r="Q564">
            <v>128912000</v>
          </cell>
          <cell r="R564">
            <v>0</v>
          </cell>
          <cell r="S564">
            <v>0</v>
          </cell>
        </row>
        <row r="565">
          <cell r="A565">
            <v>240003</v>
          </cell>
          <cell r="B565" t="str">
            <v>Share Application money Preference Shares</v>
          </cell>
          <cell r="C565">
            <v>0</v>
          </cell>
          <cell r="D565">
            <v>0</v>
          </cell>
          <cell r="E565">
            <v>0</v>
          </cell>
          <cell r="F565">
            <v>0</v>
          </cell>
          <cell r="G565"/>
          <cell r="H565">
            <v>0</v>
          </cell>
          <cell r="I565">
            <v>0</v>
          </cell>
          <cell r="J565">
            <v>0</v>
          </cell>
          <cell r="K565">
            <v>0</v>
          </cell>
          <cell r="L565">
            <v>240003</v>
          </cell>
          <cell r="M565">
            <v>1</v>
          </cell>
          <cell r="N565">
            <v>0</v>
          </cell>
          <cell r="O565">
            <v>0</v>
          </cell>
          <cell r="P565">
            <v>0</v>
          </cell>
          <cell r="Q565">
            <v>0</v>
          </cell>
          <cell r="R565">
            <v>0</v>
          </cell>
          <cell r="S565">
            <v>0</v>
          </cell>
        </row>
        <row r="566">
          <cell r="A566">
            <v>240004</v>
          </cell>
          <cell r="B566" t="str">
            <v>Accrued Finance Costs</v>
          </cell>
          <cell r="C566">
            <v>1.3519823551177979E-4</v>
          </cell>
          <cell r="D566">
            <v>0</v>
          </cell>
          <cell r="E566">
            <v>0</v>
          </cell>
          <cell r="F566">
            <v>1.3519823551177979E-4</v>
          </cell>
          <cell r="G566"/>
          <cell r="H566">
            <v>1.3519823551177979E-4</v>
          </cell>
          <cell r="I566">
            <v>0</v>
          </cell>
          <cell r="J566">
            <v>0</v>
          </cell>
          <cell r="K566">
            <v>1.3519823551177979E-4</v>
          </cell>
          <cell r="L566">
            <v>240004</v>
          </cell>
          <cell r="M566">
            <v>1</v>
          </cell>
          <cell r="N566">
            <v>0</v>
          </cell>
          <cell r="O566">
            <v>0</v>
          </cell>
          <cell r="P566">
            <v>-31724799.759864856</v>
          </cell>
          <cell r="Q566">
            <v>31724799.760000054</v>
          </cell>
          <cell r="R566">
            <v>0</v>
          </cell>
          <cell r="S566">
            <v>0</v>
          </cell>
        </row>
        <row r="567">
          <cell r="A567">
            <v>240230</v>
          </cell>
          <cell r="B567" t="str">
            <v>Deferred Income tax, Non current</v>
          </cell>
          <cell r="C567">
            <v>0</v>
          </cell>
          <cell r="D567">
            <v>0</v>
          </cell>
          <cell r="E567">
            <v>0</v>
          </cell>
          <cell r="F567">
            <v>0</v>
          </cell>
          <cell r="G567"/>
          <cell r="H567">
            <v>0</v>
          </cell>
          <cell r="I567">
            <v>0</v>
          </cell>
          <cell r="J567">
            <v>0</v>
          </cell>
          <cell r="K567">
            <v>0</v>
          </cell>
          <cell r="L567">
            <v>240230</v>
          </cell>
          <cell r="M567">
            <v>1</v>
          </cell>
          <cell r="N567">
            <v>0</v>
          </cell>
          <cell r="O567">
            <v>0</v>
          </cell>
          <cell r="P567">
            <v>-177560.02550000002</v>
          </cell>
          <cell r="Q567">
            <v>177560.02550000002</v>
          </cell>
          <cell r="R567">
            <v>0</v>
          </cell>
          <cell r="S567">
            <v>0</v>
          </cell>
        </row>
        <row r="568">
          <cell r="A568">
            <v>240235</v>
          </cell>
          <cell r="B568" t="str">
            <v>Deferred I Tax, Non Curr-India</v>
          </cell>
          <cell r="C568">
            <v>0</v>
          </cell>
          <cell r="D568">
            <v>0</v>
          </cell>
          <cell r="E568">
            <v>0</v>
          </cell>
          <cell r="F568">
            <v>0</v>
          </cell>
          <cell r="G568"/>
          <cell r="H568">
            <v>0</v>
          </cell>
          <cell r="I568">
            <v>0</v>
          </cell>
          <cell r="J568">
            <v>0</v>
          </cell>
          <cell r="K568">
            <v>0</v>
          </cell>
          <cell r="L568">
            <v>240235</v>
          </cell>
          <cell r="M568">
            <v>1</v>
          </cell>
          <cell r="N568">
            <v>0</v>
          </cell>
          <cell r="O568">
            <v>0</v>
          </cell>
          <cell r="P568">
            <v>0</v>
          </cell>
          <cell r="Q568">
            <v>0</v>
          </cell>
          <cell r="R568">
            <v>0</v>
          </cell>
          <cell r="S568">
            <v>0</v>
          </cell>
        </row>
        <row r="569">
          <cell r="A569">
            <v>300010</v>
          </cell>
          <cell r="B569" t="str">
            <v>Common Stock</v>
          </cell>
          <cell r="C569">
            <v>0</v>
          </cell>
          <cell r="D569">
            <v>0</v>
          </cell>
          <cell r="E569">
            <v>0</v>
          </cell>
          <cell r="F569">
            <v>0</v>
          </cell>
          <cell r="G569"/>
          <cell r="H569">
            <v>0</v>
          </cell>
          <cell r="I569">
            <v>0</v>
          </cell>
          <cell r="J569">
            <v>0</v>
          </cell>
          <cell r="K569">
            <v>0</v>
          </cell>
          <cell r="L569">
            <v>300010</v>
          </cell>
          <cell r="M569">
            <v>1</v>
          </cell>
          <cell r="N569">
            <v>0</v>
          </cell>
          <cell r="O569">
            <v>0</v>
          </cell>
          <cell r="P569">
            <v>-100000</v>
          </cell>
          <cell r="Q569">
            <v>100000</v>
          </cell>
          <cell r="R569">
            <v>0</v>
          </cell>
          <cell r="S569">
            <v>0</v>
          </cell>
        </row>
        <row r="570">
          <cell r="A570">
            <v>300110</v>
          </cell>
          <cell r="B570" t="str">
            <v>Additional Paid in Capital</v>
          </cell>
          <cell r="C570">
            <v>0</v>
          </cell>
          <cell r="D570">
            <v>0</v>
          </cell>
          <cell r="E570">
            <v>0</v>
          </cell>
          <cell r="F570">
            <v>0</v>
          </cell>
          <cell r="G570"/>
          <cell r="H570">
            <v>0</v>
          </cell>
          <cell r="I570">
            <v>0</v>
          </cell>
          <cell r="J570">
            <v>0</v>
          </cell>
          <cell r="K570">
            <v>0</v>
          </cell>
          <cell r="L570">
            <v>300110</v>
          </cell>
          <cell r="M570">
            <v>1</v>
          </cell>
          <cell r="N570">
            <v>0</v>
          </cell>
          <cell r="O570">
            <v>0</v>
          </cell>
          <cell r="P570">
            <v>0</v>
          </cell>
          <cell r="Q570">
            <v>0</v>
          </cell>
          <cell r="R570">
            <v>0</v>
          </cell>
          <cell r="S570">
            <v>0</v>
          </cell>
        </row>
        <row r="571">
          <cell r="A571">
            <v>300115</v>
          </cell>
          <cell r="B571" t="str">
            <v>Deferred stock based compensation</v>
          </cell>
          <cell r="C571">
            <v>0</v>
          </cell>
          <cell r="D571">
            <v>0</v>
          </cell>
          <cell r="E571">
            <v>0</v>
          </cell>
          <cell r="F571">
            <v>0</v>
          </cell>
          <cell r="G571"/>
          <cell r="H571">
            <v>0</v>
          </cell>
          <cell r="I571">
            <v>0</v>
          </cell>
          <cell r="J571">
            <v>0</v>
          </cell>
          <cell r="K571">
            <v>0</v>
          </cell>
          <cell r="L571">
            <v>300115</v>
          </cell>
          <cell r="M571">
            <v>1</v>
          </cell>
          <cell r="N571">
            <v>0</v>
          </cell>
          <cell r="O571">
            <v>0</v>
          </cell>
          <cell r="P571">
            <v>0</v>
          </cell>
          <cell r="Q571">
            <v>0</v>
          </cell>
          <cell r="R571">
            <v>0</v>
          </cell>
          <cell r="S571">
            <v>0</v>
          </cell>
        </row>
        <row r="572">
          <cell r="A572">
            <v>300120</v>
          </cell>
          <cell r="B572" t="str">
            <v>Deferred Sales Incentive</v>
          </cell>
          <cell r="C572">
            <v>0</v>
          </cell>
          <cell r="D572">
            <v>0</v>
          </cell>
          <cell r="E572">
            <v>0</v>
          </cell>
          <cell r="F572">
            <v>0</v>
          </cell>
          <cell r="G572"/>
          <cell r="H572">
            <v>0</v>
          </cell>
          <cell r="I572">
            <v>0</v>
          </cell>
          <cell r="J572">
            <v>0</v>
          </cell>
          <cell r="K572">
            <v>0</v>
          </cell>
          <cell r="L572">
            <v>300120</v>
          </cell>
          <cell r="M572">
            <v>1</v>
          </cell>
          <cell r="N572">
            <v>0</v>
          </cell>
          <cell r="O572">
            <v>0</v>
          </cell>
          <cell r="P572">
            <v>0</v>
          </cell>
          <cell r="Q572">
            <v>0</v>
          </cell>
          <cell r="R572">
            <v>0</v>
          </cell>
          <cell r="S572">
            <v>0</v>
          </cell>
        </row>
        <row r="573">
          <cell r="A573">
            <v>301001</v>
          </cell>
          <cell r="B573" t="str">
            <v>General Reserve</v>
          </cell>
          <cell r="C573">
            <v>0</v>
          </cell>
          <cell r="D573">
            <v>0</v>
          </cell>
          <cell r="E573">
            <v>0</v>
          </cell>
          <cell r="F573">
            <v>0</v>
          </cell>
          <cell r="G573"/>
          <cell r="H573">
            <v>0</v>
          </cell>
          <cell r="I573">
            <v>0</v>
          </cell>
          <cell r="J573">
            <v>0</v>
          </cell>
          <cell r="K573">
            <v>0</v>
          </cell>
          <cell r="L573">
            <v>301001</v>
          </cell>
          <cell r="M573">
            <v>1</v>
          </cell>
          <cell r="N573">
            <v>0</v>
          </cell>
          <cell r="O573">
            <v>0</v>
          </cell>
          <cell r="P573">
            <v>0</v>
          </cell>
          <cell r="Q573">
            <v>0</v>
          </cell>
          <cell r="R573">
            <v>0</v>
          </cell>
          <cell r="S573">
            <v>0</v>
          </cell>
        </row>
        <row r="574">
          <cell r="A574">
            <v>301002</v>
          </cell>
          <cell r="B574" t="str">
            <v xml:space="preserve">Opening balance in Profit and Loss account </v>
          </cell>
          <cell r="C574">
            <v>0</v>
          </cell>
          <cell r="D574">
            <v>0</v>
          </cell>
          <cell r="E574">
            <v>0</v>
          </cell>
          <cell r="F574">
            <v>0</v>
          </cell>
          <cell r="G574"/>
          <cell r="H574">
            <v>0</v>
          </cell>
          <cell r="I574">
            <v>0</v>
          </cell>
          <cell r="J574">
            <v>0</v>
          </cell>
          <cell r="K574">
            <v>0</v>
          </cell>
          <cell r="L574">
            <v>301002</v>
          </cell>
          <cell r="M574">
            <v>1</v>
          </cell>
          <cell r="N574">
            <v>0</v>
          </cell>
          <cell r="O574">
            <v>0</v>
          </cell>
          <cell r="P574">
            <v>-983351877.94549</v>
          </cell>
          <cell r="Q574">
            <v>983351877.94549</v>
          </cell>
          <cell r="R574">
            <v>0</v>
          </cell>
          <cell r="S574">
            <v>0</v>
          </cell>
        </row>
        <row r="575">
          <cell r="A575">
            <v>301009</v>
          </cell>
          <cell r="B575" t="str">
            <v>Ind AS impact - Res. &amp; Surplus</v>
          </cell>
          <cell r="C575">
            <v>0</v>
          </cell>
          <cell r="D575">
            <v>0</v>
          </cell>
          <cell r="E575">
            <v>0</v>
          </cell>
          <cell r="F575">
            <v>0</v>
          </cell>
          <cell r="G575"/>
          <cell r="H575">
            <v>0</v>
          </cell>
          <cell r="I575">
            <v>0</v>
          </cell>
          <cell r="J575">
            <v>0</v>
          </cell>
          <cell r="K575">
            <v>0</v>
          </cell>
          <cell r="L575">
            <v>301009</v>
          </cell>
          <cell r="M575">
            <v>1</v>
          </cell>
          <cell r="N575">
            <v>0</v>
          </cell>
          <cell r="O575">
            <v>0</v>
          </cell>
          <cell r="P575"/>
          <cell r="Q575"/>
          <cell r="R575">
            <v>0</v>
          </cell>
          <cell r="S575">
            <v>0</v>
          </cell>
        </row>
        <row r="576">
          <cell r="A576">
            <v>300210</v>
          </cell>
          <cell r="B576" t="str">
            <v>Retained Earnings</v>
          </cell>
          <cell r="C576">
            <v>0</v>
          </cell>
          <cell r="D576">
            <v>0</v>
          </cell>
          <cell r="E576">
            <v>0</v>
          </cell>
          <cell r="F576">
            <v>0</v>
          </cell>
          <cell r="G576"/>
          <cell r="H576">
            <v>0</v>
          </cell>
          <cell r="I576">
            <v>0</v>
          </cell>
          <cell r="J576">
            <v>0</v>
          </cell>
          <cell r="K576">
            <v>0</v>
          </cell>
          <cell r="L576">
            <v>300210</v>
          </cell>
          <cell r="M576">
            <v>1</v>
          </cell>
          <cell r="N576">
            <v>0</v>
          </cell>
          <cell r="O576">
            <v>0</v>
          </cell>
          <cell r="P576">
            <v>0</v>
          </cell>
          <cell r="Q576">
            <v>0</v>
          </cell>
          <cell r="R576">
            <v>0</v>
          </cell>
          <cell r="S576">
            <v>0</v>
          </cell>
        </row>
        <row r="577">
          <cell r="A577">
            <v>300211</v>
          </cell>
          <cell r="B577" t="str">
            <v>Special Economic Zone Re-Investment Allowance Reserve Account</v>
          </cell>
          <cell r="C577">
            <v>0</v>
          </cell>
          <cell r="D577">
            <v>0</v>
          </cell>
          <cell r="E577">
            <v>0</v>
          </cell>
          <cell r="F577">
            <v>0</v>
          </cell>
          <cell r="G577"/>
          <cell r="H577">
            <v>0</v>
          </cell>
          <cell r="I577">
            <v>0</v>
          </cell>
          <cell r="J577">
            <v>0</v>
          </cell>
          <cell r="K577">
            <v>0</v>
          </cell>
          <cell r="L577">
            <v>300211</v>
          </cell>
          <cell r="M577">
            <v>1</v>
          </cell>
          <cell r="N577">
            <v>0</v>
          </cell>
          <cell r="O577">
            <v>0</v>
          </cell>
          <cell r="P577">
            <v>0</v>
          </cell>
          <cell r="Q577">
            <v>0</v>
          </cell>
          <cell r="R577">
            <v>0</v>
          </cell>
          <cell r="S577">
            <v>0</v>
          </cell>
        </row>
        <row r="578">
          <cell r="A578">
            <v>301003</v>
          </cell>
          <cell r="B578" t="str">
            <v>Profit and Loss account for the current period</v>
          </cell>
          <cell r="C578">
            <v>0</v>
          </cell>
          <cell r="D578">
            <v>0</v>
          </cell>
          <cell r="E578">
            <v>0</v>
          </cell>
          <cell r="F578">
            <v>0</v>
          </cell>
          <cell r="G578"/>
          <cell r="H578">
            <v>0</v>
          </cell>
          <cell r="I578">
            <v>0</v>
          </cell>
          <cell r="J578">
            <v>0</v>
          </cell>
          <cell r="K578">
            <v>0</v>
          </cell>
          <cell r="L578">
            <v>301003</v>
          </cell>
          <cell r="M578">
            <v>1</v>
          </cell>
          <cell r="N578">
            <v>0</v>
          </cell>
          <cell r="O578">
            <v>0</v>
          </cell>
          <cell r="P578">
            <v>16049.039333333334</v>
          </cell>
          <cell r="Q578">
            <v>-16049.039333333334</v>
          </cell>
          <cell r="R578">
            <v>0</v>
          </cell>
          <cell r="S578">
            <v>0</v>
          </cell>
        </row>
        <row r="579">
          <cell r="A579">
            <v>301004</v>
          </cell>
          <cell r="B579" t="str">
            <v>Accumulated and Other Comprehensive Income</v>
          </cell>
          <cell r="C579">
            <v>0</v>
          </cell>
          <cell r="D579">
            <v>0</v>
          </cell>
          <cell r="E579">
            <v>0</v>
          </cell>
          <cell r="F579">
            <v>0</v>
          </cell>
          <cell r="G579"/>
          <cell r="H579">
            <v>0</v>
          </cell>
          <cell r="I579">
            <v>0</v>
          </cell>
          <cell r="J579">
            <v>0</v>
          </cell>
          <cell r="K579">
            <v>0</v>
          </cell>
          <cell r="L579">
            <v>301004</v>
          </cell>
          <cell r="M579">
            <v>1</v>
          </cell>
          <cell r="N579">
            <v>0</v>
          </cell>
          <cell r="O579">
            <v>0</v>
          </cell>
          <cell r="P579">
            <v>0</v>
          </cell>
          <cell r="Q579">
            <v>0</v>
          </cell>
          <cell r="R579">
            <v>0</v>
          </cell>
          <cell r="S579">
            <v>0</v>
          </cell>
        </row>
        <row r="580">
          <cell r="A580">
            <v>301005</v>
          </cell>
          <cell r="B580" t="str">
            <v>Dividend Account</v>
          </cell>
          <cell r="C580">
            <v>0</v>
          </cell>
          <cell r="D580">
            <v>0</v>
          </cell>
          <cell r="E580">
            <v>0</v>
          </cell>
          <cell r="F580">
            <v>0</v>
          </cell>
          <cell r="G580"/>
          <cell r="H580">
            <v>0</v>
          </cell>
          <cell r="I580">
            <v>0</v>
          </cell>
          <cell r="J580">
            <v>0</v>
          </cell>
          <cell r="K580">
            <v>0</v>
          </cell>
          <cell r="L580">
            <v>301005</v>
          </cell>
          <cell r="M580">
            <v>1</v>
          </cell>
          <cell r="N580">
            <v>0</v>
          </cell>
          <cell r="O580">
            <v>0</v>
          </cell>
          <cell r="P580">
            <v>0</v>
          </cell>
          <cell r="Q580">
            <v>0</v>
          </cell>
          <cell r="R580">
            <v>0</v>
          </cell>
          <cell r="S580">
            <v>0</v>
          </cell>
        </row>
        <row r="581">
          <cell r="A581">
            <v>101005</v>
          </cell>
          <cell r="B581" t="str">
            <v>Regrouping - VR setoff with AR - AR</v>
          </cell>
          <cell r="C581">
            <v>0</v>
          </cell>
          <cell r="D581">
            <v>0</v>
          </cell>
          <cell r="E581">
            <v>0</v>
          </cell>
          <cell r="F581">
            <v>0</v>
          </cell>
          <cell r="G581"/>
          <cell r="H581">
            <v>0</v>
          </cell>
          <cell r="I581">
            <v>0</v>
          </cell>
          <cell r="J581">
            <v>0</v>
          </cell>
          <cell r="K581">
            <v>0</v>
          </cell>
          <cell r="L581" t="e">
            <v>#N/A</v>
          </cell>
          <cell r="M581">
            <v>1</v>
          </cell>
          <cell r="N581">
            <v>0</v>
          </cell>
          <cell r="O581">
            <v>0</v>
          </cell>
          <cell r="P581">
            <v>0</v>
          </cell>
          <cell r="Q581">
            <v>0</v>
          </cell>
          <cell r="R581">
            <v>0</v>
          </cell>
          <cell r="S581">
            <v>0</v>
          </cell>
        </row>
        <row r="582">
          <cell r="A582">
            <v>101015</v>
          </cell>
          <cell r="B582" t="str">
            <v>Regrouping - Account receivable - Internal</v>
          </cell>
          <cell r="C582">
            <v>0</v>
          </cell>
          <cell r="D582">
            <v>0</v>
          </cell>
          <cell r="E582">
            <v>0</v>
          </cell>
          <cell r="F582">
            <v>0</v>
          </cell>
          <cell r="G582"/>
          <cell r="H582">
            <v>0</v>
          </cell>
          <cell r="I582">
            <v>0</v>
          </cell>
          <cell r="J582">
            <v>0</v>
          </cell>
          <cell r="K582">
            <v>0</v>
          </cell>
          <cell r="L582" t="e">
            <v>#N/A</v>
          </cell>
          <cell r="M582">
            <v>1</v>
          </cell>
          <cell r="N582">
            <v>0</v>
          </cell>
          <cell r="O582">
            <v>0</v>
          </cell>
          <cell r="P582">
            <v>0</v>
          </cell>
          <cell r="Q582">
            <v>0</v>
          </cell>
          <cell r="R582">
            <v>0</v>
          </cell>
          <cell r="S582">
            <v>0</v>
          </cell>
        </row>
        <row r="583">
          <cell r="A583">
            <v>101010</v>
          </cell>
          <cell r="B583" t="str">
            <v>Regrouping - Account receivable - Internal</v>
          </cell>
          <cell r="C583">
            <v>0</v>
          </cell>
          <cell r="D583">
            <v>0</v>
          </cell>
          <cell r="E583">
            <v>0</v>
          </cell>
          <cell r="F583">
            <v>0</v>
          </cell>
          <cell r="G583"/>
          <cell r="H583">
            <v>0</v>
          </cell>
          <cell r="I583">
            <v>0</v>
          </cell>
          <cell r="J583">
            <v>0</v>
          </cell>
          <cell r="K583">
            <v>0</v>
          </cell>
          <cell r="L583" t="e">
            <v>#N/A</v>
          </cell>
          <cell r="M583">
            <v>1</v>
          </cell>
          <cell r="N583">
            <v>0</v>
          </cell>
          <cell r="O583">
            <v>0</v>
          </cell>
          <cell r="P583">
            <v>0</v>
          </cell>
          <cell r="Q583">
            <v>0</v>
          </cell>
          <cell r="R583">
            <v>0</v>
          </cell>
          <cell r="S583">
            <v>0</v>
          </cell>
        </row>
        <row r="584">
          <cell r="A584">
            <v>101070</v>
          </cell>
          <cell r="B584" t="str">
            <v>Regrouping - Accounts Receivable - Accrued - Internal</v>
          </cell>
          <cell r="C584">
            <v>0</v>
          </cell>
          <cell r="D584">
            <v>0</v>
          </cell>
          <cell r="E584">
            <v>0</v>
          </cell>
          <cell r="F584">
            <v>0</v>
          </cell>
          <cell r="G584"/>
          <cell r="H584">
            <v>0</v>
          </cell>
          <cell r="I584">
            <v>0</v>
          </cell>
          <cell r="J584">
            <v>0</v>
          </cell>
          <cell r="K584">
            <v>0</v>
          </cell>
          <cell r="L584" t="e">
            <v>#N/A</v>
          </cell>
          <cell r="M584">
            <v>1</v>
          </cell>
          <cell r="N584">
            <v>0</v>
          </cell>
          <cell r="O584">
            <v>0</v>
          </cell>
          <cell r="P584">
            <v>0</v>
          </cell>
          <cell r="Q584">
            <v>0</v>
          </cell>
          <cell r="R584">
            <v>0</v>
          </cell>
          <cell r="S584">
            <v>0</v>
          </cell>
        </row>
        <row r="585">
          <cell r="A585">
            <v>101075</v>
          </cell>
          <cell r="B585" t="str">
            <v>Regrouping - Accounts Receivable - Accrued - Internal</v>
          </cell>
          <cell r="C585">
            <v>0</v>
          </cell>
          <cell r="D585">
            <v>0</v>
          </cell>
          <cell r="E585">
            <v>0</v>
          </cell>
          <cell r="F585">
            <v>0</v>
          </cell>
          <cell r="G585"/>
          <cell r="H585">
            <v>0</v>
          </cell>
          <cell r="I585">
            <v>0</v>
          </cell>
          <cell r="J585">
            <v>0</v>
          </cell>
          <cell r="K585">
            <v>0</v>
          </cell>
          <cell r="L585" t="e">
            <v>#N/A</v>
          </cell>
          <cell r="M585">
            <v>1</v>
          </cell>
          <cell r="N585">
            <v>0</v>
          </cell>
          <cell r="O585">
            <v>0</v>
          </cell>
          <cell r="P585">
            <v>0</v>
          </cell>
          <cell r="Q585">
            <v>0</v>
          </cell>
          <cell r="R585">
            <v>0</v>
          </cell>
          <cell r="S585">
            <v>0</v>
          </cell>
        </row>
        <row r="586">
          <cell r="A586" t="str">
            <v>101300 - P</v>
          </cell>
          <cell r="B586" t="str">
            <v>Advance Inter Company</v>
          </cell>
          <cell r="C586">
            <v>1.0000000242143869E-2</v>
          </cell>
          <cell r="D586">
            <v>0</v>
          </cell>
          <cell r="E586">
            <v>0</v>
          </cell>
          <cell r="F586">
            <v>1.0000000242143869E-2</v>
          </cell>
          <cell r="G586"/>
          <cell r="H586">
            <v>1.0000000242143869E-2</v>
          </cell>
          <cell r="I586">
            <v>0</v>
          </cell>
          <cell r="J586">
            <v>0</v>
          </cell>
          <cell r="K586">
            <v>1.0000000242143869E-2</v>
          </cell>
          <cell r="L586" t="str">
            <v>101300 - P</v>
          </cell>
          <cell r="M586">
            <v>1</v>
          </cell>
          <cell r="N586">
            <v>0</v>
          </cell>
          <cell r="O586">
            <v>0</v>
          </cell>
          <cell r="P586">
            <v>0</v>
          </cell>
          <cell r="Q586">
            <v>1.0000000242143869E-2</v>
          </cell>
          <cell r="R586">
            <v>0</v>
          </cell>
          <cell r="S586">
            <v>0</v>
          </cell>
        </row>
        <row r="587">
          <cell r="A587">
            <v>101355</v>
          </cell>
          <cell r="B587" t="str">
            <v>Regrouping - Advances - Internal</v>
          </cell>
          <cell r="C587">
            <v>0</v>
          </cell>
          <cell r="D587">
            <v>0</v>
          </cell>
          <cell r="E587">
            <v>0</v>
          </cell>
          <cell r="F587">
            <v>0</v>
          </cell>
          <cell r="G587"/>
          <cell r="H587">
            <v>0</v>
          </cell>
          <cell r="I587">
            <v>0</v>
          </cell>
          <cell r="J587">
            <v>0</v>
          </cell>
          <cell r="K587">
            <v>0</v>
          </cell>
          <cell r="L587" t="e">
            <v>#N/A</v>
          </cell>
          <cell r="M587">
            <v>1</v>
          </cell>
          <cell r="N587">
            <v>0</v>
          </cell>
          <cell r="O587">
            <v>0</v>
          </cell>
          <cell r="P587">
            <v>0</v>
          </cell>
          <cell r="Q587">
            <v>0</v>
          </cell>
          <cell r="R587">
            <v>0</v>
          </cell>
          <cell r="S587">
            <v>0</v>
          </cell>
        </row>
        <row r="588">
          <cell r="A588">
            <v>101350</v>
          </cell>
          <cell r="B588" t="str">
            <v>Regrouping - Advances - Internal</v>
          </cell>
          <cell r="C588">
            <v>0</v>
          </cell>
          <cell r="D588">
            <v>0</v>
          </cell>
          <cell r="E588">
            <v>0</v>
          </cell>
          <cell r="F588">
            <v>0</v>
          </cell>
          <cell r="G588"/>
          <cell r="H588">
            <v>0</v>
          </cell>
          <cell r="I588">
            <v>0</v>
          </cell>
          <cell r="J588">
            <v>0</v>
          </cell>
          <cell r="K588">
            <v>0</v>
          </cell>
          <cell r="L588" t="e">
            <v>#N/A</v>
          </cell>
          <cell r="M588">
            <v>1</v>
          </cell>
          <cell r="N588">
            <v>0</v>
          </cell>
          <cell r="O588">
            <v>0</v>
          </cell>
          <cell r="P588">
            <v>0</v>
          </cell>
          <cell r="Q588">
            <v>0</v>
          </cell>
          <cell r="R588">
            <v>0</v>
          </cell>
          <cell r="S588">
            <v>0</v>
          </cell>
        </row>
        <row r="589">
          <cell r="A589">
            <v>101362</v>
          </cell>
          <cell r="B589" t="str">
            <v>TDS Refund receivable</v>
          </cell>
          <cell r="C589">
            <v>0</v>
          </cell>
          <cell r="D589">
            <v>0</v>
          </cell>
          <cell r="E589">
            <v>0</v>
          </cell>
          <cell r="F589">
            <v>0</v>
          </cell>
          <cell r="G589"/>
          <cell r="H589">
            <v>0</v>
          </cell>
          <cell r="I589">
            <v>0</v>
          </cell>
          <cell r="J589">
            <v>0</v>
          </cell>
          <cell r="K589">
            <v>0</v>
          </cell>
          <cell r="L589">
            <v>101362</v>
          </cell>
          <cell r="M589">
            <v>1</v>
          </cell>
          <cell r="N589">
            <v>0</v>
          </cell>
          <cell r="O589">
            <v>0</v>
          </cell>
          <cell r="P589">
            <v>0</v>
          </cell>
          <cell r="Q589">
            <v>0</v>
          </cell>
          <cell r="R589">
            <v>0</v>
          </cell>
          <cell r="S589">
            <v>0</v>
          </cell>
        </row>
        <row r="590">
          <cell r="A590">
            <v>101840</v>
          </cell>
          <cell r="B590" t="str">
            <v>Regrouping - current - lease deposit</v>
          </cell>
          <cell r="C590">
            <v>0</v>
          </cell>
          <cell r="D590">
            <v>0</v>
          </cell>
          <cell r="E590">
            <v>0</v>
          </cell>
          <cell r="F590">
            <v>0</v>
          </cell>
          <cell r="G590"/>
          <cell r="H590">
            <v>0</v>
          </cell>
          <cell r="I590">
            <v>0</v>
          </cell>
          <cell r="J590">
            <v>0</v>
          </cell>
          <cell r="K590">
            <v>0</v>
          </cell>
          <cell r="L590" t="e">
            <v>#N/A</v>
          </cell>
          <cell r="M590">
            <v>1</v>
          </cell>
          <cell r="N590">
            <v>0</v>
          </cell>
          <cell r="O590">
            <v>0</v>
          </cell>
          <cell r="P590">
            <v>0</v>
          </cell>
          <cell r="Q590">
            <v>0</v>
          </cell>
          <cell r="R590">
            <v>0</v>
          </cell>
          <cell r="S590">
            <v>0</v>
          </cell>
        </row>
        <row r="591">
          <cell r="A591">
            <v>101845</v>
          </cell>
          <cell r="B591" t="str">
            <v>Regrouping - current - lease deposit</v>
          </cell>
          <cell r="C591">
            <v>0</v>
          </cell>
          <cell r="D591">
            <v>0</v>
          </cell>
          <cell r="E591">
            <v>0</v>
          </cell>
          <cell r="F591">
            <v>0</v>
          </cell>
          <cell r="G591"/>
          <cell r="H591">
            <v>0</v>
          </cell>
          <cell r="I591">
            <v>0</v>
          </cell>
          <cell r="J591">
            <v>0</v>
          </cell>
          <cell r="K591">
            <v>0</v>
          </cell>
          <cell r="L591" t="e">
            <v>#N/A</v>
          </cell>
          <cell r="M591">
            <v>1</v>
          </cell>
          <cell r="N591">
            <v>0</v>
          </cell>
          <cell r="O591">
            <v>0</v>
          </cell>
          <cell r="P591">
            <v>0</v>
          </cell>
          <cell r="Q591">
            <v>0</v>
          </cell>
          <cell r="R591">
            <v>0</v>
          </cell>
          <cell r="S591">
            <v>0</v>
          </cell>
        </row>
        <row r="592">
          <cell r="A592">
            <v>101847</v>
          </cell>
          <cell r="B592" t="str">
            <v>Regrouping - Lease deposits - Internal</v>
          </cell>
          <cell r="C592">
            <v>0</v>
          </cell>
          <cell r="D592">
            <v>0</v>
          </cell>
          <cell r="E592">
            <v>0</v>
          </cell>
          <cell r="F592">
            <v>0</v>
          </cell>
          <cell r="G592"/>
          <cell r="H592">
            <v>0</v>
          </cell>
          <cell r="I592">
            <v>0</v>
          </cell>
          <cell r="J592">
            <v>0</v>
          </cell>
          <cell r="K592">
            <v>0</v>
          </cell>
          <cell r="L592" t="e">
            <v>#N/A</v>
          </cell>
          <cell r="M592">
            <v>1</v>
          </cell>
          <cell r="N592">
            <v>0</v>
          </cell>
          <cell r="O592">
            <v>0</v>
          </cell>
          <cell r="P592">
            <v>0</v>
          </cell>
          <cell r="Q592">
            <v>0</v>
          </cell>
          <cell r="R592">
            <v>0</v>
          </cell>
          <cell r="S592">
            <v>0</v>
          </cell>
        </row>
        <row r="593">
          <cell r="A593">
            <v>101846</v>
          </cell>
          <cell r="B593" t="str">
            <v>Regrouping - Lease deposits - Internal</v>
          </cell>
          <cell r="C593">
            <v>0</v>
          </cell>
          <cell r="D593">
            <v>0</v>
          </cell>
          <cell r="E593">
            <v>0</v>
          </cell>
          <cell r="F593">
            <v>0</v>
          </cell>
          <cell r="G593"/>
          <cell r="H593">
            <v>0</v>
          </cell>
          <cell r="I593">
            <v>0</v>
          </cell>
          <cell r="J593">
            <v>0</v>
          </cell>
          <cell r="K593">
            <v>0</v>
          </cell>
          <cell r="L593" t="e">
            <v>#N/A</v>
          </cell>
          <cell r="M593">
            <v>1</v>
          </cell>
          <cell r="N593">
            <v>0</v>
          </cell>
          <cell r="O593">
            <v>0</v>
          </cell>
          <cell r="P593">
            <v>0</v>
          </cell>
          <cell r="Q593">
            <v>0</v>
          </cell>
          <cell r="R593">
            <v>0</v>
          </cell>
          <cell r="S593">
            <v>0</v>
          </cell>
        </row>
        <row r="594">
          <cell r="A594">
            <v>110545</v>
          </cell>
          <cell r="B594" t="str">
            <v>Regrouping - Pref share Application Money</v>
          </cell>
          <cell r="C594">
            <v>0</v>
          </cell>
          <cell r="D594">
            <v>0</v>
          </cell>
          <cell r="E594">
            <v>0</v>
          </cell>
          <cell r="F594">
            <v>0</v>
          </cell>
          <cell r="G594"/>
          <cell r="H594">
            <v>0</v>
          </cell>
          <cell r="I594">
            <v>0</v>
          </cell>
          <cell r="J594">
            <v>0</v>
          </cell>
          <cell r="K594">
            <v>0</v>
          </cell>
          <cell r="L594" t="e">
            <v>#N/A</v>
          </cell>
          <cell r="M594">
            <v>1</v>
          </cell>
          <cell r="N594">
            <v>0</v>
          </cell>
          <cell r="O594">
            <v>0</v>
          </cell>
          <cell r="P594">
            <v>0</v>
          </cell>
          <cell r="Q594">
            <v>0</v>
          </cell>
          <cell r="R594">
            <v>0</v>
          </cell>
          <cell r="S594">
            <v>0</v>
          </cell>
        </row>
        <row r="595">
          <cell r="A595">
            <v>101781</v>
          </cell>
          <cell r="B595" t="str">
            <v>Regrouping - Pref share Application Money</v>
          </cell>
          <cell r="C595">
            <v>0</v>
          </cell>
          <cell r="D595">
            <v>0</v>
          </cell>
          <cell r="E595">
            <v>0</v>
          </cell>
          <cell r="F595">
            <v>0</v>
          </cell>
          <cell r="G595"/>
          <cell r="H595">
            <v>0</v>
          </cell>
          <cell r="I595">
            <v>0</v>
          </cell>
          <cell r="J595">
            <v>0</v>
          </cell>
          <cell r="K595">
            <v>0</v>
          </cell>
          <cell r="L595" t="e">
            <v>#N/A</v>
          </cell>
          <cell r="M595">
            <v>1</v>
          </cell>
          <cell r="N595">
            <v>0</v>
          </cell>
          <cell r="O595">
            <v>0</v>
          </cell>
          <cell r="P595">
            <v>0</v>
          </cell>
          <cell r="Q595">
            <v>0</v>
          </cell>
          <cell r="R595">
            <v>0</v>
          </cell>
          <cell r="S595">
            <v>0</v>
          </cell>
        </row>
        <row r="596">
          <cell r="A596">
            <v>200050</v>
          </cell>
          <cell r="B596" t="str">
            <v>Regrouping - Account payable - Internal</v>
          </cell>
          <cell r="C596">
            <v>0</v>
          </cell>
          <cell r="D596">
            <v>0</v>
          </cell>
          <cell r="E596">
            <v>0</v>
          </cell>
          <cell r="F596">
            <v>0</v>
          </cell>
          <cell r="G596"/>
          <cell r="H596">
            <v>0</v>
          </cell>
          <cell r="I596">
            <v>0</v>
          </cell>
          <cell r="J596">
            <v>0</v>
          </cell>
          <cell r="K596">
            <v>0</v>
          </cell>
          <cell r="L596" t="e">
            <v>#N/A</v>
          </cell>
          <cell r="M596">
            <v>1</v>
          </cell>
          <cell r="N596">
            <v>0</v>
          </cell>
          <cell r="O596">
            <v>0</v>
          </cell>
          <cell r="P596">
            <v>0</v>
          </cell>
          <cell r="Q596">
            <v>0</v>
          </cell>
          <cell r="R596">
            <v>0</v>
          </cell>
          <cell r="S596">
            <v>0</v>
          </cell>
        </row>
        <row r="597">
          <cell r="A597">
            <v>200040</v>
          </cell>
          <cell r="B597" t="str">
            <v>Regrouping - Account payable - Internal</v>
          </cell>
          <cell r="C597">
            <v>0</v>
          </cell>
          <cell r="D597">
            <v>0</v>
          </cell>
          <cell r="E597">
            <v>0</v>
          </cell>
          <cell r="F597">
            <v>0</v>
          </cell>
          <cell r="G597"/>
          <cell r="H597">
            <v>0</v>
          </cell>
          <cell r="I597">
            <v>0</v>
          </cell>
          <cell r="J597">
            <v>0</v>
          </cell>
          <cell r="K597">
            <v>0</v>
          </cell>
          <cell r="L597" t="e">
            <v>#N/A</v>
          </cell>
          <cell r="M597">
            <v>1</v>
          </cell>
          <cell r="N597">
            <v>0</v>
          </cell>
          <cell r="O597">
            <v>0</v>
          </cell>
          <cell r="P597">
            <v>0</v>
          </cell>
          <cell r="Q597">
            <v>0</v>
          </cell>
          <cell r="R597">
            <v>0</v>
          </cell>
          <cell r="S597">
            <v>0</v>
          </cell>
        </row>
        <row r="598">
          <cell r="A598">
            <v>201095</v>
          </cell>
          <cell r="B598" t="str">
            <v>Regrouping - Non current - gratuity</v>
          </cell>
          <cell r="C598">
            <v>0</v>
          </cell>
          <cell r="D598">
            <v>0</v>
          </cell>
          <cell r="E598">
            <v>0</v>
          </cell>
          <cell r="F598">
            <v>0</v>
          </cell>
          <cell r="G598"/>
          <cell r="H598">
            <v>0</v>
          </cell>
          <cell r="I598">
            <v>0</v>
          </cell>
          <cell r="J598">
            <v>0</v>
          </cell>
          <cell r="K598">
            <v>0</v>
          </cell>
          <cell r="L598" t="e">
            <v>#N/A</v>
          </cell>
          <cell r="M598">
            <v>1</v>
          </cell>
          <cell r="N598">
            <v>0</v>
          </cell>
          <cell r="O598">
            <v>0</v>
          </cell>
          <cell r="P598">
            <v>0</v>
          </cell>
          <cell r="Q598">
            <v>0</v>
          </cell>
          <cell r="R598">
            <v>0</v>
          </cell>
          <cell r="S598">
            <v>0</v>
          </cell>
        </row>
        <row r="599">
          <cell r="A599">
            <v>205035</v>
          </cell>
          <cell r="B599" t="str">
            <v>Regrouping - VR setoff with AR - accrued expense</v>
          </cell>
          <cell r="C599">
            <v>0</v>
          </cell>
          <cell r="D599">
            <v>0</v>
          </cell>
          <cell r="E599">
            <v>0</v>
          </cell>
          <cell r="F599">
            <v>0</v>
          </cell>
          <cell r="G599"/>
          <cell r="H599">
            <v>0</v>
          </cell>
          <cell r="I599">
            <v>0</v>
          </cell>
          <cell r="J599">
            <v>0</v>
          </cell>
          <cell r="K599">
            <v>0</v>
          </cell>
          <cell r="L599" t="e">
            <v>#N/A</v>
          </cell>
          <cell r="M599">
            <v>1</v>
          </cell>
          <cell r="N599">
            <v>0</v>
          </cell>
          <cell r="O599">
            <v>0</v>
          </cell>
          <cell r="P599">
            <v>0</v>
          </cell>
          <cell r="Q599">
            <v>0</v>
          </cell>
          <cell r="R599">
            <v>0</v>
          </cell>
          <cell r="S599">
            <v>0</v>
          </cell>
        </row>
        <row r="600">
          <cell r="A600">
            <v>205055</v>
          </cell>
          <cell r="B600" t="str">
            <v>Regrouping - Non current - deferred lease equalisation</v>
          </cell>
          <cell r="C600">
            <v>-352962.86</v>
          </cell>
          <cell r="D600">
            <v>0</v>
          </cell>
          <cell r="E600">
            <v>0</v>
          </cell>
          <cell r="F600">
            <v>-352962.86</v>
          </cell>
          <cell r="G600"/>
          <cell r="H600">
            <v>-352962.86</v>
          </cell>
          <cell r="I600">
            <v>0</v>
          </cell>
          <cell r="J600">
            <v>0</v>
          </cell>
          <cell r="K600">
            <v>-352962.86</v>
          </cell>
          <cell r="L600" t="e">
            <v>#N/A</v>
          </cell>
          <cell r="M600">
            <v>1</v>
          </cell>
          <cell r="N600">
            <v>0</v>
          </cell>
          <cell r="O600">
            <v>0</v>
          </cell>
          <cell r="P600">
            <v>0</v>
          </cell>
          <cell r="Q600">
            <v>-352962.86</v>
          </cell>
          <cell r="R600">
            <v>0</v>
          </cell>
          <cell r="S600">
            <v>0</v>
          </cell>
        </row>
        <row r="601">
          <cell r="A601">
            <v>205065</v>
          </cell>
          <cell r="B601" t="str">
            <v>Regrouping - current - capital lease</v>
          </cell>
          <cell r="C601">
            <v>0</v>
          </cell>
          <cell r="D601">
            <v>0</v>
          </cell>
          <cell r="E601">
            <v>0</v>
          </cell>
          <cell r="F601">
            <v>0</v>
          </cell>
          <cell r="G601"/>
          <cell r="H601">
            <v>0</v>
          </cell>
          <cell r="I601">
            <v>0</v>
          </cell>
          <cell r="J601">
            <v>0</v>
          </cell>
          <cell r="K601">
            <v>0</v>
          </cell>
          <cell r="L601" t="e">
            <v>#N/A</v>
          </cell>
          <cell r="M601">
            <v>1</v>
          </cell>
          <cell r="N601">
            <v>0</v>
          </cell>
          <cell r="O601">
            <v>0</v>
          </cell>
          <cell r="P601">
            <v>0</v>
          </cell>
          <cell r="Q601">
            <v>0</v>
          </cell>
          <cell r="R601">
            <v>0</v>
          </cell>
          <cell r="S601">
            <v>0</v>
          </cell>
        </row>
        <row r="602">
          <cell r="A602">
            <v>205096</v>
          </cell>
          <cell r="B602" t="str">
            <v>Regrouping - current - capital lease</v>
          </cell>
          <cell r="C602">
            <v>0</v>
          </cell>
          <cell r="D602">
            <v>0</v>
          </cell>
          <cell r="E602">
            <v>0</v>
          </cell>
          <cell r="F602">
            <v>0</v>
          </cell>
          <cell r="G602"/>
          <cell r="H602">
            <v>0</v>
          </cell>
          <cell r="I602">
            <v>0</v>
          </cell>
          <cell r="J602">
            <v>0</v>
          </cell>
          <cell r="K602">
            <v>0</v>
          </cell>
          <cell r="L602" t="e">
            <v>#N/A</v>
          </cell>
          <cell r="M602">
            <v>1</v>
          </cell>
          <cell r="N602">
            <v>0</v>
          </cell>
          <cell r="O602">
            <v>0</v>
          </cell>
          <cell r="P602">
            <v>0</v>
          </cell>
          <cell r="Q602">
            <v>0</v>
          </cell>
          <cell r="R602">
            <v>0</v>
          </cell>
          <cell r="S602">
            <v>0</v>
          </cell>
        </row>
        <row r="603">
          <cell r="A603">
            <v>205097</v>
          </cell>
          <cell r="B603" t="str">
            <v>Regrouping - Non current - gratuity</v>
          </cell>
          <cell r="C603">
            <v>0</v>
          </cell>
          <cell r="D603">
            <v>0</v>
          </cell>
          <cell r="E603">
            <v>0</v>
          </cell>
          <cell r="F603">
            <v>0</v>
          </cell>
          <cell r="G603"/>
          <cell r="H603">
            <v>0</v>
          </cell>
          <cell r="I603">
            <v>0</v>
          </cell>
          <cell r="J603">
            <v>0</v>
          </cell>
          <cell r="K603">
            <v>0</v>
          </cell>
          <cell r="L603" t="e">
            <v>#N/A</v>
          </cell>
          <cell r="M603">
            <v>1</v>
          </cell>
          <cell r="N603">
            <v>0</v>
          </cell>
          <cell r="O603">
            <v>0</v>
          </cell>
          <cell r="P603">
            <v>0</v>
          </cell>
          <cell r="Q603">
            <v>0</v>
          </cell>
          <cell r="R603">
            <v>0</v>
          </cell>
          <cell r="S603">
            <v>0</v>
          </cell>
        </row>
        <row r="604">
          <cell r="A604">
            <v>205098</v>
          </cell>
          <cell r="B604" t="str">
            <v>Regrouping - Non current - deferred lease equalisation</v>
          </cell>
          <cell r="C604">
            <v>352962.86</v>
          </cell>
          <cell r="D604">
            <v>0</v>
          </cell>
          <cell r="E604">
            <v>0</v>
          </cell>
          <cell r="F604">
            <v>352962.86</v>
          </cell>
          <cell r="G604"/>
          <cell r="H604">
            <v>352962.86</v>
          </cell>
          <cell r="I604">
            <v>0</v>
          </cell>
          <cell r="J604">
            <v>0</v>
          </cell>
          <cell r="K604">
            <v>352962.86</v>
          </cell>
          <cell r="L604" t="e">
            <v>#N/A</v>
          </cell>
          <cell r="M604">
            <v>1</v>
          </cell>
          <cell r="N604">
            <v>0</v>
          </cell>
          <cell r="O604">
            <v>0</v>
          </cell>
          <cell r="P604">
            <v>0</v>
          </cell>
          <cell r="Q604">
            <v>352962.86</v>
          </cell>
          <cell r="R604">
            <v>0</v>
          </cell>
          <cell r="S604">
            <v>0</v>
          </cell>
        </row>
        <row r="605">
          <cell r="A605">
            <v>301006</v>
          </cell>
          <cell r="B605" t="str">
            <v>Dividend Distribtion Tax A/c</v>
          </cell>
          <cell r="C605">
            <v>0</v>
          </cell>
          <cell r="D605">
            <v>0</v>
          </cell>
          <cell r="E605">
            <v>0</v>
          </cell>
          <cell r="F605">
            <v>0</v>
          </cell>
          <cell r="G605"/>
          <cell r="H605">
            <v>0</v>
          </cell>
          <cell r="I605">
            <v>0</v>
          </cell>
          <cell r="J605">
            <v>0</v>
          </cell>
          <cell r="K605">
            <v>0</v>
          </cell>
          <cell r="L605">
            <v>301006</v>
          </cell>
          <cell r="M605">
            <v>1</v>
          </cell>
          <cell r="N605">
            <v>0</v>
          </cell>
          <cell r="O605">
            <v>0</v>
          </cell>
          <cell r="P605">
            <v>0</v>
          </cell>
          <cell r="Q605">
            <v>0</v>
          </cell>
          <cell r="R605">
            <v>0</v>
          </cell>
          <cell r="S605">
            <v>0</v>
          </cell>
        </row>
        <row r="606">
          <cell r="A606">
            <v>301007</v>
          </cell>
          <cell r="B606" t="str">
            <v>Accumulated and Other Comprehensive Income - investmetn</v>
          </cell>
          <cell r="C606">
            <v>0</v>
          </cell>
          <cell r="D606">
            <v>0</v>
          </cell>
          <cell r="E606">
            <v>0</v>
          </cell>
          <cell r="F606">
            <v>0</v>
          </cell>
          <cell r="G606"/>
          <cell r="H606">
            <v>0</v>
          </cell>
          <cell r="I606">
            <v>0</v>
          </cell>
          <cell r="J606">
            <v>0</v>
          </cell>
          <cell r="K606">
            <v>0</v>
          </cell>
          <cell r="L606" t="e">
            <v>#N/A</v>
          </cell>
          <cell r="M606">
            <v>1</v>
          </cell>
          <cell r="N606">
            <v>0</v>
          </cell>
          <cell r="O606">
            <v>0</v>
          </cell>
          <cell r="P606">
            <v>0</v>
          </cell>
          <cell r="Q606">
            <v>0</v>
          </cell>
          <cell r="R606">
            <v>0</v>
          </cell>
          <cell r="S606">
            <v>0</v>
          </cell>
        </row>
        <row r="607">
          <cell r="A607">
            <v>301008</v>
          </cell>
          <cell r="B607" t="str">
            <v>Accumulated and Other Comprehensive Income - Gratuity</v>
          </cell>
          <cell r="C607">
            <v>0</v>
          </cell>
          <cell r="D607">
            <v>0</v>
          </cell>
          <cell r="E607">
            <v>0</v>
          </cell>
          <cell r="F607">
            <v>0</v>
          </cell>
          <cell r="G607"/>
          <cell r="H607">
            <v>0</v>
          </cell>
          <cell r="I607">
            <v>0</v>
          </cell>
          <cell r="J607">
            <v>0</v>
          </cell>
          <cell r="K607">
            <v>0</v>
          </cell>
          <cell r="L607">
            <v>301008</v>
          </cell>
          <cell r="M607">
            <v>1</v>
          </cell>
          <cell r="N607">
            <v>0</v>
          </cell>
          <cell r="O607">
            <v>0</v>
          </cell>
          <cell r="P607">
            <v>-466940.97450000001</v>
          </cell>
          <cell r="Q607">
            <v>466940.97450000001</v>
          </cell>
          <cell r="R607">
            <v>0</v>
          </cell>
          <cell r="S607">
            <v>0</v>
          </cell>
        </row>
        <row r="608">
          <cell r="A608">
            <v>888913</v>
          </cell>
          <cell r="B608" t="str">
            <v>Regrouping-Other deposits to Non Current</v>
          </cell>
          <cell r="C608">
            <v>0</v>
          </cell>
          <cell r="D608">
            <v>0</v>
          </cell>
          <cell r="E608">
            <v>0</v>
          </cell>
          <cell r="F608">
            <v>0</v>
          </cell>
          <cell r="G608"/>
          <cell r="H608">
            <v>0</v>
          </cell>
          <cell r="I608">
            <v>0</v>
          </cell>
          <cell r="J608">
            <v>0</v>
          </cell>
          <cell r="K608">
            <v>0</v>
          </cell>
          <cell r="L608" t="e">
            <v>#N/A</v>
          </cell>
          <cell r="M608">
            <v>1</v>
          </cell>
          <cell r="N608">
            <v>0</v>
          </cell>
          <cell r="O608">
            <v>0</v>
          </cell>
          <cell r="P608">
            <v>0</v>
          </cell>
          <cell r="Q608">
            <v>0</v>
          </cell>
          <cell r="R608">
            <v>0</v>
          </cell>
          <cell r="S608">
            <v>0</v>
          </cell>
        </row>
        <row r="609">
          <cell r="A609">
            <v>888914</v>
          </cell>
          <cell r="B609" t="str">
            <v>Regrouping-Other deposits to Non Current</v>
          </cell>
          <cell r="C609">
            <v>0</v>
          </cell>
          <cell r="D609">
            <v>0</v>
          </cell>
          <cell r="E609">
            <v>0</v>
          </cell>
          <cell r="F609">
            <v>0</v>
          </cell>
          <cell r="G609"/>
          <cell r="H609">
            <v>0</v>
          </cell>
          <cell r="I609">
            <v>0</v>
          </cell>
          <cell r="J609">
            <v>0</v>
          </cell>
          <cell r="K609">
            <v>0</v>
          </cell>
          <cell r="L609" t="e">
            <v>#N/A</v>
          </cell>
          <cell r="M609">
            <v>1</v>
          </cell>
          <cell r="N609">
            <v>0</v>
          </cell>
          <cell r="O609">
            <v>0</v>
          </cell>
          <cell r="P609">
            <v>0</v>
          </cell>
          <cell r="Q609">
            <v>0</v>
          </cell>
          <cell r="R609">
            <v>0</v>
          </cell>
          <cell r="S609">
            <v>0</v>
          </cell>
        </row>
        <row r="610">
          <cell r="A610">
            <v>100512</v>
          </cell>
          <cell r="B610" t="str">
            <v>Bank of India-Dividend Account</v>
          </cell>
          <cell r="C610">
            <v>0</v>
          </cell>
          <cell r="D610">
            <v>0</v>
          </cell>
          <cell r="E610">
            <v>0</v>
          </cell>
          <cell r="F610">
            <v>0</v>
          </cell>
          <cell r="G610"/>
          <cell r="H610">
            <v>0</v>
          </cell>
          <cell r="I610">
            <v>0</v>
          </cell>
          <cell r="J610">
            <v>0</v>
          </cell>
          <cell r="K610">
            <v>0</v>
          </cell>
          <cell r="L610" t="e">
            <v>#N/A</v>
          </cell>
          <cell r="M610">
            <v>1</v>
          </cell>
          <cell r="N610">
            <v>0</v>
          </cell>
          <cell r="O610">
            <v>0</v>
          </cell>
          <cell r="P610">
            <v>0</v>
          </cell>
          <cell r="Q610">
            <v>0</v>
          </cell>
          <cell r="R610">
            <v>0</v>
          </cell>
          <cell r="S610">
            <v>0</v>
          </cell>
        </row>
        <row r="611">
          <cell r="A611">
            <v>100544</v>
          </cell>
          <cell r="B611" t="str">
            <v>IDBI Mutual Fund</v>
          </cell>
          <cell r="C611">
            <v>0</v>
          </cell>
          <cell r="D611">
            <v>0</v>
          </cell>
          <cell r="E611">
            <v>0</v>
          </cell>
          <cell r="F611">
            <v>0</v>
          </cell>
          <cell r="G611"/>
          <cell r="H611">
            <v>0</v>
          </cell>
          <cell r="I611">
            <v>0</v>
          </cell>
          <cell r="J611">
            <v>0</v>
          </cell>
          <cell r="K611">
            <v>0</v>
          </cell>
          <cell r="L611">
            <v>100544</v>
          </cell>
          <cell r="M611">
            <v>1</v>
          </cell>
          <cell r="N611">
            <v>0</v>
          </cell>
          <cell r="O611">
            <v>0</v>
          </cell>
          <cell r="P611">
            <v>0</v>
          </cell>
          <cell r="Q611">
            <v>0</v>
          </cell>
          <cell r="R611">
            <v>0</v>
          </cell>
          <cell r="S611">
            <v>0</v>
          </cell>
        </row>
        <row r="612">
          <cell r="A612">
            <v>110511</v>
          </cell>
          <cell r="B612" t="str">
            <v>Investment in Trizetto Syntel</v>
          </cell>
          <cell r="C612">
            <v>0</v>
          </cell>
          <cell r="D612">
            <v>0</v>
          </cell>
          <cell r="E612">
            <v>0</v>
          </cell>
          <cell r="F612">
            <v>0</v>
          </cell>
          <cell r="G612"/>
          <cell r="H612">
            <v>0</v>
          </cell>
          <cell r="I612">
            <v>0</v>
          </cell>
          <cell r="J612">
            <v>0</v>
          </cell>
          <cell r="K612">
            <v>0</v>
          </cell>
          <cell r="L612" t="e">
            <v>#N/A</v>
          </cell>
          <cell r="M612">
            <v>1</v>
          </cell>
          <cell r="N612">
            <v>0</v>
          </cell>
          <cell r="O612">
            <v>0</v>
          </cell>
          <cell r="P612">
            <v>0</v>
          </cell>
          <cell r="Q612">
            <v>0</v>
          </cell>
          <cell r="R612">
            <v>0</v>
          </cell>
          <cell r="S612">
            <v>0</v>
          </cell>
        </row>
        <row r="613">
          <cell r="A613">
            <v>110596</v>
          </cell>
          <cell r="B613" t="str">
            <v>TSSPL Pref. Share 3%</v>
          </cell>
          <cell r="C613">
            <v>0</v>
          </cell>
          <cell r="D613">
            <v>0</v>
          </cell>
          <cell r="E613">
            <v>0</v>
          </cell>
          <cell r="F613">
            <v>0</v>
          </cell>
          <cell r="G613"/>
          <cell r="H613">
            <v>0</v>
          </cell>
          <cell r="I613">
            <v>0</v>
          </cell>
          <cell r="J613">
            <v>0</v>
          </cell>
          <cell r="K613">
            <v>0</v>
          </cell>
          <cell r="L613">
            <v>110596</v>
          </cell>
          <cell r="M613">
            <v>1</v>
          </cell>
          <cell r="N613">
            <v>0</v>
          </cell>
          <cell r="O613">
            <v>0</v>
          </cell>
          <cell r="P613">
            <v>0</v>
          </cell>
          <cell r="Q613">
            <v>0</v>
          </cell>
          <cell r="R613">
            <v>0</v>
          </cell>
          <cell r="S613">
            <v>0</v>
          </cell>
        </row>
        <row r="614">
          <cell r="A614">
            <v>101873</v>
          </cell>
          <cell r="B614" t="str">
            <v>Deferred lease expense (IndAS)</v>
          </cell>
          <cell r="C614">
            <v>0.5062559824436903</v>
          </cell>
          <cell r="D614">
            <v>0</v>
          </cell>
          <cell r="E614">
            <v>0</v>
          </cell>
          <cell r="F614">
            <v>0.5062559824436903</v>
          </cell>
          <cell r="G614"/>
          <cell r="H614">
            <v>0.5062559824436903</v>
          </cell>
          <cell r="I614">
            <v>0</v>
          </cell>
          <cell r="J614">
            <v>0</v>
          </cell>
          <cell r="K614">
            <v>0.5062559824436903</v>
          </cell>
          <cell r="L614">
            <v>101873</v>
          </cell>
          <cell r="M614">
            <v>1</v>
          </cell>
          <cell r="N614">
            <v>0</v>
          </cell>
          <cell r="O614">
            <v>0</v>
          </cell>
          <cell r="P614">
            <v>0</v>
          </cell>
          <cell r="Q614">
            <v>0.5062559824436903</v>
          </cell>
          <cell r="R614">
            <v>0</v>
          </cell>
          <cell r="S614">
            <v>0</v>
          </cell>
        </row>
        <row r="615">
          <cell r="A615">
            <v>710102</v>
          </cell>
          <cell r="B615" t="str">
            <v>Deferred Lease Income</v>
          </cell>
          <cell r="C615">
            <v>0</v>
          </cell>
          <cell r="D615">
            <v>0</v>
          </cell>
          <cell r="E615">
            <v>0</v>
          </cell>
          <cell r="F615">
            <v>0</v>
          </cell>
          <cell r="G615"/>
          <cell r="H615">
            <v>0</v>
          </cell>
          <cell r="I615">
            <v>0</v>
          </cell>
          <cell r="J615">
            <v>0</v>
          </cell>
          <cell r="K615">
            <v>0</v>
          </cell>
          <cell r="L615">
            <v>710102</v>
          </cell>
          <cell r="M615">
            <v>1</v>
          </cell>
          <cell r="N615">
            <v>0</v>
          </cell>
          <cell r="O615">
            <v>0</v>
          </cell>
          <cell r="P615">
            <v>0</v>
          </cell>
          <cell r="Q615">
            <v>0</v>
          </cell>
          <cell r="R615">
            <v>0</v>
          </cell>
          <cell r="S615">
            <v>0</v>
          </cell>
        </row>
        <row r="616">
          <cell r="A616">
            <v>300018</v>
          </cell>
          <cell r="B616" t="str">
            <v>Capital Redemption Reserve</v>
          </cell>
          <cell r="C616">
            <v>0</v>
          </cell>
          <cell r="D616">
            <v>0</v>
          </cell>
          <cell r="E616">
            <v>0</v>
          </cell>
          <cell r="F616">
            <v>0</v>
          </cell>
          <cell r="G616"/>
          <cell r="H616">
            <v>0</v>
          </cell>
          <cell r="I616">
            <v>0</v>
          </cell>
          <cell r="J616">
            <v>0</v>
          </cell>
          <cell r="K616">
            <v>0</v>
          </cell>
          <cell r="L616">
            <v>300018</v>
          </cell>
          <cell r="M616">
            <v>1</v>
          </cell>
          <cell r="N616">
            <v>0</v>
          </cell>
          <cell r="O616">
            <v>0</v>
          </cell>
          <cell r="P616">
            <v>0</v>
          </cell>
          <cell r="Q616">
            <v>0</v>
          </cell>
          <cell r="R616">
            <v>0</v>
          </cell>
          <cell r="S616">
            <v>0</v>
          </cell>
        </row>
        <row r="617">
          <cell r="A617">
            <v>300212</v>
          </cell>
          <cell r="B617" t="str">
            <v>Buy Back Tax</v>
          </cell>
          <cell r="C617">
            <v>0</v>
          </cell>
          <cell r="D617">
            <v>0</v>
          </cell>
          <cell r="E617">
            <v>0</v>
          </cell>
          <cell r="F617">
            <v>0</v>
          </cell>
          <cell r="G617"/>
          <cell r="H617">
            <v>0</v>
          </cell>
          <cell r="I617">
            <v>0</v>
          </cell>
          <cell r="J617">
            <v>0</v>
          </cell>
          <cell r="K617">
            <v>0</v>
          </cell>
          <cell r="L617">
            <v>300212</v>
          </cell>
          <cell r="M617">
            <v>1</v>
          </cell>
          <cell r="N617">
            <v>0</v>
          </cell>
          <cell r="O617">
            <v>0</v>
          </cell>
          <cell r="P617">
            <v>0</v>
          </cell>
          <cell r="Q617">
            <v>0</v>
          </cell>
          <cell r="R617">
            <v>0</v>
          </cell>
          <cell r="S617">
            <v>0</v>
          </cell>
        </row>
        <row r="618">
          <cell r="A618">
            <v>110049</v>
          </cell>
          <cell r="B618" t="str">
            <v>ROU of Lease Assets</v>
          </cell>
          <cell r="C618">
            <v>0</v>
          </cell>
          <cell r="D618">
            <v>0</v>
          </cell>
          <cell r="E618">
            <v>0</v>
          </cell>
          <cell r="F618">
            <v>0</v>
          </cell>
          <cell r="G618"/>
          <cell r="H618">
            <v>0</v>
          </cell>
          <cell r="I618">
            <v>0</v>
          </cell>
          <cell r="J618">
            <v>0</v>
          </cell>
          <cell r="K618">
            <v>0</v>
          </cell>
          <cell r="L618">
            <v>110049</v>
          </cell>
          <cell r="M618">
            <v>1</v>
          </cell>
          <cell r="N618">
            <v>0</v>
          </cell>
          <cell r="O618"/>
          <cell r="P618"/>
          <cell r="Q618"/>
          <cell r="R618">
            <v>0</v>
          </cell>
          <cell r="S618">
            <v>0</v>
          </cell>
        </row>
        <row r="619">
          <cell r="A619">
            <v>110156</v>
          </cell>
          <cell r="B619" t="str">
            <v>Acc Dep right of use Lease</v>
          </cell>
          <cell r="C619">
            <v>0</v>
          </cell>
          <cell r="D619">
            <v>0</v>
          </cell>
          <cell r="E619">
            <v>0</v>
          </cell>
          <cell r="F619">
            <v>0</v>
          </cell>
          <cell r="G619"/>
          <cell r="H619">
            <v>0</v>
          </cell>
          <cell r="I619">
            <v>0</v>
          </cell>
          <cell r="J619">
            <v>0</v>
          </cell>
          <cell r="K619">
            <v>0</v>
          </cell>
          <cell r="L619">
            <v>110156</v>
          </cell>
          <cell r="M619">
            <v>1</v>
          </cell>
          <cell r="N619">
            <v>0</v>
          </cell>
          <cell r="O619"/>
          <cell r="P619"/>
          <cell r="Q619"/>
          <cell r="R619">
            <v>0</v>
          </cell>
          <cell r="S619">
            <v>0</v>
          </cell>
        </row>
        <row r="620">
          <cell r="A620">
            <v>240236</v>
          </cell>
          <cell r="B620" t="str">
            <v>Lease Liability</v>
          </cell>
          <cell r="C620">
            <v>0</v>
          </cell>
          <cell r="D620">
            <v>0</v>
          </cell>
          <cell r="E620">
            <v>0</v>
          </cell>
          <cell r="F620">
            <v>0</v>
          </cell>
          <cell r="G620"/>
          <cell r="H620">
            <v>0</v>
          </cell>
          <cell r="I620">
            <v>0</v>
          </cell>
          <cell r="J620">
            <v>0</v>
          </cell>
          <cell r="K620">
            <v>0</v>
          </cell>
          <cell r="L620">
            <v>240236</v>
          </cell>
          <cell r="M620">
            <v>1</v>
          </cell>
          <cell r="N620">
            <v>0</v>
          </cell>
          <cell r="O620"/>
          <cell r="P620"/>
          <cell r="Q620"/>
          <cell r="R620">
            <v>0</v>
          </cell>
          <cell r="S620">
            <v>0</v>
          </cell>
        </row>
        <row r="621">
          <cell r="A621">
            <v>240237</v>
          </cell>
          <cell r="B621" t="str">
            <v>Regrp of Lease Liabil</v>
          </cell>
          <cell r="C621">
            <v>0</v>
          </cell>
          <cell r="D621">
            <v>0</v>
          </cell>
          <cell r="E621">
            <v>0</v>
          </cell>
          <cell r="F621">
            <v>0</v>
          </cell>
          <cell r="G621"/>
          <cell r="H621">
            <v>0</v>
          </cell>
          <cell r="I621">
            <v>0</v>
          </cell>
          <cell r="J621">
            <v>0</v>
          </cell>
          <cell r="K621">
            <v>0</v>
          </cell>
          <cell r="L621">
            <v>240237</v>
          </cell>
          <cell r="M621">
            <v>1</v>
          </cell>
          <cell r="N621">
            <v>0</v>
          </cell>
          <cell r="O621"/>
          <cell r="P621"/>
          <cell r="Q621"/>
          <cell r="R621">
            <v>0</v>
          </cell>
          <cell r="S621">
            <v>0</v>
          </cell>
        </row>
        <row r="622">
          <cell r="A622">
            <v>205094</v>
          </cell>
          <cell r="B622" t="str">
            <v>Regrp of Lease Liabil</v>
          </cell>
          <cell r="C622">
            <v>0</v>
          </cell>
          <cell r="D622">
            <v>0</v>
          </cell>
          <cell r="E622">
            <v>0</v>
          </cell>
          <cell r="F622">
            <v>0</v>
          </cell>
          <cell r="G622"/>
          <cell r="H622">
            <v>0</v>
          </cell>
          <cell r="I622">
            <v>0</v>
          </cell>
          <cell r="J622">
            <v>0</v>
          </cell>
          <cell r="K622">
            <v>0</v>
          </cell>
          <cell r="L622">
            <v>205094</v>
          </cell>
          <cell r="M622">
            <v>1</v>
          </cell>
          <cell r="N622">
            <v>0</v>
          </cell>
          <cell r="O622"/>
          <cell r="P622"/>
          <cell r="Q622"/>
          <cell r="R622">
            <v>0</v>
          </cell>
          <cell r="S622">
            <v>0</v>
          </cell>
        </row>
        <row r="623">
          <cell r="A623"/>
          <cell r="B623"/>
          <cell r="C623"/>
          <cell r="D623"/>
          <cell r="E623"/>
          <cell r="F623"/>
          <cell r="G623"/>
          <cell r="H623"/>
          <cell r="I623"/>
          <cell r="J623"/>
          <cell r="K623"/>
          <cell r="L623"/>
          <cell r="M623"/>
          <cell r="N623">
            <v>0</v>
          </cell>
          <cell r="O623"/>
          <cell r="R623">
            <v>0</v>
          </cell>
          <cell r="S623">
            <v>0</v>
          </cell>
        </row>
        <row r="624">
          <cell r="A624" t="str">
            <v>101300 - N</v>
          </cell>
          <cell r="B624" t="str">
            <v>CAPITAL SUBSCRIBED - CALLED AND PAID</v>
          </cell>
          <cell r="C624">
            <v>-100000</v>
          </cell>
          <cell r="D624">
            <v>0</v>
          </cell>
          <cell r="E624">
            <v>0</v>
          </cell>
          <cell r="F624">
            <v>-100000</v>
          </cell>
          <cell r="G624"/>
          <cell r="H624">
            <v>-100000</v>
          </cell>
          <cell r="I624">
            <v>0</v>
          </cell>
          <cell r="J624">
            <v>0</v>
          </cell>
          <cell r="K624">
            <v>-100000</v>
          </cell>
          <cell r="L624" t="str">
            <v>101300 - N</v>
          </cell>
          <cell r="M624">
            <v>1</v>
          </cell>
          <cell r="N624">
            <v>0</v>
          </cell>
          <cell r="O624" t="e">
            <v>#N/A</v>
          </cell>
          <cell r="R624">
            <v>0</v>
          </cell>
          <cell r="S624">
            <v>0</v>
          </cell>
        </row>
        <row r="625">
          <cell r="A625">
            <v>106810</v>
          </cell>
          <cell r="B625" t="str">
            <v>OTHER RESERVES 4</v>
          </cell>
          <cell r="C625">
            <v>1823.2139999996871</v>
          </cell>
          <cell r="D625">
            <v>0</v>
          </cell>
          <cell r="E625">
            <v>-8625780</v>
          </cell>
          <cell r="F625">
            <v>-8623956.7860000003</v>
          </cell>
          <cell r="G625"/>
          <cell r="H625">
            <v>1823.2139999996871</v>
          </cell>
          <cell r="I625">
            <v>-8625780</v>
          </cell>
          <cell r="J625">
            <v>8625780</v>
          </cell>
          <cell r="K625">
            <v>1823.2139999996871</v>
          </cell>
          <cell r="L625">
            <v>106810</v>
          </cell>
          <cell r="M625">
            <v>1</v>
          </cell>
          <cell r="N625">
            <v>0</v>
          </cell>
          <cell r="O625">
            <v>106810</v>
          </cell>
          <cell r="R625">
            <v>396209.24</v>
          </cell>
          <cell r="S625">
            <v>-8625780</v>
          </cell>
        </row>
        <row r="626">
          <cell r="A626">
            <v>106960</v>
          </cell>
          <cell r="B626" t="str">
            <v>Stat, Of Recognized Income and Expense</v>
          </cell>
          <cell r="C626">
            <v>-1101040.6171410084</v>
          </cell>
          <cell r="D626">
            <v>0</v>
          </cell>
          <cell r="E626">
            <v>209786072.00164101</v>
          </cell>
          <cell r="F626">
            <v>208685031.3845</v>
          </cell>
          <cell r="G626"/>
          <cell r="H626">
            <v>-320914.61549999169</v>
          </cell>
          <cell r="I626">
            <v>209005946</v>
          </cell>
          <cell r="J626">
            <v>-209786072.00164101</v>
          </cell>
          <cell r="K626">
            <v>-1101040.6171410084</v>
          </cell>
          <cell r="L626">
            <v>106960</v>
          </cell>
          <cell r="M626">
            <v>1</v>
          </cell>
          <cell r="N626">
            <v>0</v>
          </cell>
          <cell r="O626">
            <v>106960</v>
          </cell>
          <cell r="R626">
            <v>208685031.03</v>
          </cell>
          <cell r="S626">
            <v>209786072.00164101</v>
          </cell>
        </row>
        <row r="627">
          <cell r="A627">
            <v>110000</v>
          </cell>
          <cell r="B627" t="str">
            <v>RETAINED EARNINGS</v>
          </cell>
          <cell r="C627">
            <v>-23681183.21286571</v>
          </cell>
          <cell r="D627">
            <v>0</v>
          </cell>
          <cell r="E627">
            <v>-201256537.99814799</v>
          </cell>
          <cell r="F627">
            <v>-224937721.2110137</v>
          </cell>
          <cell r="G627"/>
          <cell r="H627">
            <v>-33760707.851636544</v>
          </cell>
          <cell r="I627">
            <v>-201270052</v>
          </cell>
          <cell r="J627">
            <v>201256537.99814799</v>
          </cell>
          <cell r="K627">
            <v>-33774221.853488535</v>
          </cell>
          <cell r="L627">
            <v>110000</v>
          </cell>
          <cell r="M627">
            <v>1</v>
          </cell>
          <cell r="N627">
            <v>10093038.640622824</v>
          </cell>
          <cell r="O627">
            <v>110000</v>
          </cell>
          <cell r="R627">
            <v>-251517154.31999999</v>
          </cell>
          <cell r="S627">
            <v>-201256537.99814799</v>
          </cell>
        </row>
        <row r="628">
          <cell r="A628">
            <v>155000</v>
          </cell>
          <cell r="B628" t="str">
            <v>DEFERRED TAX LIABILITY</v>
          </cell>
          <cell r="C628">
            <v>-26397166.281279996</v>
          </cell>
          <cell r="D628">
            <v>0</v>
          </cell>
          <cell r="E628">
            <v>6793146.2806400005</v>
          </cell>
          <cell r="F628">
            <v>-19604020.000639997</v>
          </cell>
          <cell r="G628"/>
          <cell r="H628">
            <v>-22805707.280639999</v>
          </cell>
          <cell r="I628">
            <v>3201687.28</v>
          </cell>
          <cell r="J628">
            <v>-6793146.2806400005</v>
          </cell>
          <cell r="K628">
            <v>-26397166.281279996</v>
          </cell>
          <cell r="L628">
            <v>155000</v>
          </cell>
          <cell r="M628">
            <v>1</v>
          </cell>
          <cell r="N628">
            <v>0</v>
          </cell>
          <cell r="O628">
            <v>155000</v>
          </cell>
          <cell r="R628">
            <v>-19604020</v>
          </cell>
          <cell r="S628">
            <v>6793146.2806400005</v>
          </cell>
        </row>
        <row r="629">
          <cell r="A629">
            <v>159200</v>
          </cell>
          <cell r="B629" t="str">
            <v>Unfunded post employment DB plans</v>
          </cell>
          <cell r="C629">
            <v>-2156799.3000000007</v>
          </cell>
          <cell r="D629">
            <v>37982</v>
          </cell>
          <cell r="E629">
            <v>-328606</v>
          </cell>
          <cell r="F629">
            <v>-2447423.3000000007</v>
          </cell>
          <cell r="G629"/>
          <cell r="H629">
            <v>-3098186.3000000007</v>
          </cell>
          <cell r="I629">
            <v>612781</v>
          </cell>
          <cell r="J629">
            <v>328606</v>
          </cell>
          <cell r="K629">
            <v>-2156799.3000000007</v>
          </cell>
          <cell r="L629">
            <v>159200</v>
          </cell>
          <cell r="M629">
            <v>1</v>
          </cell>
          <cell r="N629">
            <v>0</v>
          </cell>
          <cell r="O629">
            <v>159200</v>
          </cell>
          <cell r="R629">
            <v>-1381070.66</v>
          </cell>
          <cell r="S629">
            <v>-290624</v>
          </cell>
        </row>
        <row r="630">
          <cell r="A630">
            <v>159300</v>
          </cell>
          <cell r="B630" t="str">
            <v>Other long term DB plans</v>
          </cell>
          <cell r="C630">
            <v>-412933</v>
          </cell>
          <cell r="D630">
            <v>0</v>
          </cell>
          <cell r="E630">
            <v>952448</v>
          </cell>
          <cell r="F630">
            <v>539515</v>
          </cell>
          <cell r="G630"/>
          <cell r="H630">
            <v>-403271</v>
          </cell>
          <cell r="I630">
            <v>942786</v>
          </cell>
          <cell r="J630">
            <v>-952448</v>
          </cell>
          <cell r="K630">
            <v>-412933</v>
          </cell>
          <cell r="L630">
            <v>159300</v>
          </cell>
          <cell r="M630">
            <v>1</v>
          </cell>
          <cell r="N630">
            <v>0</v>
          </cell>
          <cell r="O630">
            <v>159300</v>
          </cell>
          <cell r="R630">
            <v>-564819.63</v>
          </cell>
          <cell r="S630">
            <v>952448</v>
          </cell>
        </row>
        <row r="631">
          <cell r="A631">
            <v>167211</v>
          </cell>
          <cell r="B631" t="str">
            <v>Lease liability Real estate</v>
          </cell>
          <cell r="C631">
            <v>-10286497.660366822</v>
          </cell>
          <cell r="D631">
            <v>0</v>
          </cell>
          <cell r="E631">
            <v>0</v>
          </cell>
          <cell r="F631">
            <v>-10286497.660366822</v>
          </cell>
          <cell r="G631"/>
          <cell r="H631">
            <v>-12902619</v>
          </cell>
          <cell r="I631">
            <v>0</v>
          </cell>
          <cell r="J631">
            <v>2616121.3396331789</v>
          </cell>
          <cell r="K631">
            <v>-10286497.660366822</v>
          </cell>
          <cell r="L631">
            <v>167211</v>
          </cell>
          <cell r="M631">
            <v>3</v>
          </cell>
          <cell r="N631">
            <v>0</v>
          </cell>
          <cell r="O631">
            <v>167211</v>
          </cell>
          <cell r="R631">
            <v>-12902619.310000001</v>
          </cell>
          <cell r="S631">
            <v>0</v>
          </cell>
        </row>
        <row r="632">
          <cell r="A632">
            <v>168100</v>
          </cell>
          <cell r="B632" t="str">
            <v>SUNDRY BORROWINGS</v>
          </cell>
          <cell r="C632">
            <v>-242325761.39781535</v>
          </cell>
          <cell r="D632">
            <v>7000604</v>
          </cell>
          <cell r="E632">
            <v>-3360</v>
          </cell>
          <cell r="F632">
            <v>-235328517.39781535</v>
          </cell>
          <cell r="G632"/>
          <cell r="H632">
            <v>-227281888.89781535</v>
          </cell>
          <cell r="I632">
            <v>-15050592.5</v>
          </cell>
          <cell r="J632">
            <v>6720</v>
          </cell>
          <cell r="K632">
            <v>-242325761.39781535</v>
          </cell>
          <cell r="L632">
            <v>168100</v>
          </cell>
          <cell r="M632">
            <v>1</v>
          </cell>
          <cell r="N632">
            <v>0</v>
          </cell>
          <cell r="O632">
            <v>168100</v>
          </cell>
          <cell r="R632">
            <v>-242332481.40000001</v>
          </cell>
          <cell r="S632">
            <v>6997244</v>
          </cell>
        </row>
        <row r="633">
          <cell r="A633">
            <v>205000</v>
          </cell>
          <cell r="B633" t="str">
            <v>SOFTWARE</v>
          </cell>
          <cell r="C633">
            <v>6846730</v>
          </cell>
          <cell r="D633">
            <v>0</v>
          </cell>
          <cell r="E633">
            <v>0</v>
          </cell>
          <cell r="F633">
            <v>6846730</v>
          </cell>
          <cell r="G633"/>
          <cell r="H633">
            <v>6846730</v>
          </cell>
          <cell r="I633">
            <v>0</v>
          </cell>
          <cell r="J633">
            <v>0</v>
          </cell>
          <cell r="K633">
            <v>6846730</v>
          </cell>
          <cell r="L633">
            <v>205000</v>
          </cell>
          <cell r="M633">
            <v>1</v>
          </cell>
          <cell r="N633">
            <v>0</v>
          </cell>
          <cell r="O633">
            <v>205000</v>
          </cell>
          <cell r="R633">
            <v>6846730.4800000004</v>
          </cell>
          <cell r="S633">
            <v>0</v>
          </cell>
        </row>
        <row r="634">
          <cell r="A634">
            <v>215500</v>
          </cell>
          <cell r="B634" t="str">
            <v>Personal Computers</v>
          </cell>
          <cell r="C634">
            <v>13485280</v>
          </cell>
          <cell r="D634">
            <v>0</v>
          </cell>
          <cell r="E634">
            <v>0</v>
          </cell>
          <cell r="F634">
            <v>13485280</v>
          </cell>
          <cell r="G634"/>
          <cell r="H634">
            <v>13485280</v>
          </cell>
          <cell r="I634">
            <v>0</v>
          </cell>
          <cell r="J634">
            <v>0</v>
          </cell>
          <cell r="K634">
            <v>13485280</v>
          </cell>
          <cell r="L634">
            <v>215500</v>
          </cell>
          <cell r="M634">
            <v>1</v>
          </cell>
          <cell r="N634">
            <v>0</v>
          </cell>
          <cell r="O634">
            <v>215500</v>
          </cell>
          <cell r="R634">
            <v>13485280</v>
          </cell>
          <cell r="S634">
            <v>0</v>
          </cell>
        </row>
        <row r="635">
          <cell r="A635">
            <v>217000</v>
          </cell>
          <cell r="B635" t="str">
            <v>Right of use real estate</v>
          </cell>
          <cell r="C635">
            <v>16413715.049975581</v>
          </cell>
          <cell r="D635">
            <v>0</v>
          </cell>
          <cell r="E635">
            <v>0</v>
          </cell>
          <cell r="F635">
            <v>16413715.049975581</v>
          </cell>
          <cell r="G635"/>
          <cell r="H635">
            <v>16377610.504061649</v>
          </cell>
          <cell r="I635">
            <v>0</v>
          </cell>
          <cell r="J635">
            <v>36104.545913932961</v>
          </cell>
          <cell r="K635">
            <v>16413715.049975581</v>
          </cell>
          <cell r="L635">
            <v>217000</v>
          </cell>
          <cell r="M635">
            <v>1</v>
          </cell>
          <cell r="N635">
            <v>0</v>
          </cell>
          <cell r="O635">
            <v>217000</v>
          </cell>
          <cell r="R635">
            <v>16377610.289999999</v>
          </cell>
          <cell r="S635">
            <v>0</v>
          </cell>
        </row>
        <row r="636">
          <cell r="A636">
            <v>219000</v>
          </cell>
          <cell r="B636" t="str">
            <v>OTHER TANGIBLE FIXED ASSETS</v>
          </cell>
          <cell r="C636">
            <v>72924</v>
          </cell>
          <cell r="D636">
            <v>0</v>
          </cell>
          <cell r="E636">
            <v>0</v>
          </cell>
          <cell r="F636">
            <v>72924</v>
          </cell>
          <cell r="G636"/>
          <cell r="H636">
            <v>72924</v>
          </cell>
          <cell r="I636">
            <v>0</v>
          </cell>
          <cell r="J636">
            <v>0</v>
          </cell>
          <cell r="K636">
            <v>72924</v>
          </cell>
          <cell r="L636">
            <v>219000</v>
          </cell>
          <cell r="M636">
            <v>1</v>
          </cell>
          <cell r="N636">
            <v>0</v>
          </cell>
          <cell r="O636">
            <v>219000</v>
          </cell>
          <cell r="R636">
            <v>72924</v>
          </cell>
          <cell r="S636">
            <v>0</v>
          </cell>
        </row>
        <row r="637">
          <cell r="A637">
            <v>275000</v>
          </cell>
          <cell r="B637" t="str">
            <v>DEPOSITS AND SURETIES PAID</v>
          </cell>
          <cell r="C637">
            <v>-9180.5300000000861</v>
          </cell>
          <cell r="D637">
            <v>0</v>
          </cell>
          <cell r="E637">
            <v>0</v>
          </cell>
          <cell r="F637">
            <v>-9180.5300000000861</v>
          </cell>
          <cell r="G637"/>
          <cell r="H637">
            <v>-9180.5300000000861</v>
          </cell>
          <cell r="I637">
            <v>0</v>
          </cell>
          <cell r="J637">
            <v>0</v>
          </cell>
          <cell r="K637">
            <v>-9180.5300000000861</v>
          </cell>
          <cell r="L637">
            <v>275000</v>
          </cell>
          <cell r="M637">
            <v>1</v>
          </cell>
          <cell r="N637">
            <v>0</v>
          </cell>
          <cell r="O637">
            <v>275000</v>
          </cell>
          <cell r="R637">
            <v>-9181</v>
          </cell>
          <cell r="S637">
            <v>0</v>
          </cell>
        </row>
        <row r="638">
          <cell r="A638">
            <v>276840</v>
          </cell>
          <cell r="B638" t="str">
            <v>ACCRUED INTEREST / LOANS</v>
          </cell>
          <cell r="C638">
            <v>1381029.7000000002</v>
          </cell>
          <cell r="D638">
            <v>198980.83000000194</v>
          </cell>
          <cell r="E638">
            <v>0</v>
          </cell>
          <cell r="F638">
            <v>1580010.5300000021</v>
          </cell>
          <cell r="G638"/>
          <cell r="H638">
            <v>730093.56</v>
          </cell>
          <cell r="I638">
            <v>650936.14</v>
          </cell>
          <cell r="J638">
            <v>0</v>
          </cell>
          <cell r="K638">
            <v>1381029.7000000002</v>
          </cell>
          <cell r="L638">
            <v>276840</v>
          </cell>
          <cell r="M638">
            <v>1</v>
          </cell>
          <cell r="N638">
            <v>0</v>
          </cell>
          <cell r="O638">
            <v>276840</v>
          </cell>
          <cell r="R638">
            <v>1381029.69</v>
          </cell>
          <cell r="S638">
            <v>198980.83000000194</v>
          </cell>
        </row>
        <row r="639">
          <cell r="A639">
            <v>280500</v>
          </cell>
          <cell r="B639" t="str">
            <v>DEPRECIATION - SOFTWARE</v>
          </cell>
          <cell r="C639">
            <v>-6846731.4186301362</v>
          </cell>
          <cell r="D639">
            <v>0</v>
          </cell>
          <cell r="E639">
            <v>0</v>
          </cell>
          <cell r="F639">
            <v>-6846731.4186301362</v>
          </cell>
          <cell r="G639"/>
          <cell r="H639">
            <v>-6846731.4186301362</v>
          </cell>
          <cell r="I639">
            <v>0</v>
          </cell>
          <cell r="J639">
            <v>0</v>
          </cell>
          <cell r="K639">
            <v>-6846731.4186301362</v>
          </cell>
          <cell r="L639">
            <v>280500</v>
          </cell>
          <cell r="M639">
            <v>1</v>
          </cell>
          <cell r="N639">
            <v>0</v>
          </cell>
          <cell r="O639">
            <v>280500</v>
          </cell>
          <cell r="R639">
            <v>-6846730.4800000004</v>
          </cell>
          <cell r="S639">
            <v>0</v>
          </cell>
        </row>
        <row r="640">
          <cell r="A640">
            <v>281550</v>
          </cell>
          <cell r="B640" t="str">
            <v>Depreciation - Personal Computers</v>
          </cell>
          <cell r="C640">
            <v>-13485281</v>
          </cell>
          <cell r="D640">
            <v>0</v>
          </cell>
          <cell r="E640">
            <v>0</v>
          </cell>
          <cell r="F640">
            <v>-13485281</v>
          </cell>
          <cell r="G640"/>
          <cell r="H640">
            <v>-13485281</v>
          </cell>
          <cell r="I640">
            <v>0</v>
          </cell>
          <cell r="J640">
            <v>0</v>
          </cell>
          <cell r="K640">
            <v>-13485281</v>
          </cell>
          <cell r="L640">
            <v>281550</v>
          </cell>
          <cell r="M640">
            <v>1</v>
          </cell>
          <cell r="N640">
            <v>0</v>
          </cell>
          <cell r="O640">
            <v>281550</v>
          </cell>
          <cell r="R640">
            <v>-13485280</v>
          </cell>
          <cell r="S640">
            <v>0</v>
          </cell>
        </row>
        <row r="641">
          <cell r="A641">
            <v>281700</v>
          </cell>
          <cell r="B641" t="str">
            <v>Depreciation right of use real estate</v>
          </cell>
          <cell r="C641">
            <v>-6870857.0113862976</v>
          </cell>
          <cell r="D641">
            <v>0</v>
          </cell>
          <cell r="E641">
            <v>0</v>
          </cell>
          <cell r="F641">
            <v>-6870857.0113862976</v>
          </cell>
          <cell r="G641"/>
          <cell r="H641">
            <v>-3697125</v>
          </cell>
          <cell r="I641">
            <v>0</v>
          </cell>
          <cell r="J641">
            <v>-3173732.0113862976</v>
          </cell>
          <cell r="K641">
            <v>-6870857.0113862976</v>
          </cell>
          <cell r="L641">
            <v>281700</v>
          </cell>
          <cell r="M641">
            <v>1</v>
          </cell>
          <cell r="N641">
            <v>0</v>
          </cell>
          <cell r="O641">
            <v>281700</v>
          </cell>
          <cell r="R641">
            <v>-3697125.19</v>
          </cell>
          <cell r="S641">
            <v>0</v>
          </cell>
        </row>
        <row r="642">
          <cell r="A642">
            <v>281900</v>
          </cell>
          <cell r="B642" t="str">
            <v>DEPRECIATION - OTHER TANGIBLE FIXED ASS</v>
          </cell>
          <cell r="C642">
            <v>-72924</v>
          </cell>
          <cell r="D642">
            <v>0</v>
          </cell>
          <cell r="E642">
            <v>0</v>
          </cell>
          <cell r="F642">
            <v>-72924</v>
          </cell>
          <cell r="G642"/>
          <cell r="H642">
            <v>-72924</v>
          </cell>
          <cell r="I642">
            <v>0</v>
          </cell>
          <cell r="J642">
            <v>0</v>
          </cell>
          <cell r="K642">
            <v>-72924</v>
          </cell>
          <cell r="L642">
            <v>281900</v>
          </cell>
          <cell r="M642">
            <v>1</v>
          </cell>
          <cell r="N642">
            <v>0</v>
          </cell>
          <cell r="O642">
            <v>281900</v>
          </cell>
          <cell r="R642">
            <v>-72924</v>
          </cell>
          <cell r="S642">
            <v>0</v>
          </cell>
        </row>
        <row r="643">
          <cell r="A643">
            <v>401100</v>
          </cell>
          <cell r="B643" t="str">
            <v>TRADE PAYABLES - DOMESTIC</v>
          </cell>
          <cell r="C643">
            <v>-75969.079999999987</v>
          </cell>
          <cell r="D643">
            <v>106588.20000000019</v>
          </cell>
          <cell r="E643">
            <v>0</v>
          </cell>
          <cell r="F643">
            <v>30619.120000000199</v>
          </cell>
          <cell r="G643"/>
          <cell r="H643">
            <v>-45977.479999999989</v>
          </cell>
          <cell r="I643">
            <v>-29991.599999999999</v>
          </cell>
          <cell r="J643">
            <v>0</v>
          </cell>
          <cell r="K643">
            <v>-75969.079999999987</v>
          </cell>
          <cell r="L643">
            <v>401100</v>
          </cell>
          <cell r="M643">
            <v>1</v>
          </cell>
          <cell r="N643">
            <v>0</v>
          </cell>
          <cell r="O643">
            <v>401100</v>
          </cell>
          <cell r="R643">
            <v>-75969.2</v>
          </cell>
          <cell r="S643">
            <v>106588.20000000019</v>
          </cell>
        </row>
        <row r="644">
          <cell r="A644">
            <v>401450</v>
          </cell>
          <cell r="B644" t="str">
            <v>TRADE PAYABLES - FOREIGN</v>
          </cell>
          <cell r="C644">
            <v>-19079.099999999929</v>
          </cell>
          <cell r="D644">
            <v>36542.069999999832</v>
          </cell>
          <cell r="E644">
            <v>0</v>
          </cell>
          <cell r="F644">
            <v>17462.969999999903</v>
          </cell>
          <cell r="G644"/>
          <cell r="H644">
            <v>0</v>
          </cell>
          <cell r="I644">
            <v>-19169.3</v>
          </cell>
          <cell r="J644">
            <v>90.200000000069849</v>
          </cell>
          <cell r="K644">
            <v>-19079.099999999929</v>
          </cell>
          <cell r="L644">
            <v>401450</v>
          </cell>
          <cell r="M644">
            <v>1</v>
          </cell>
          <cell r="N644">
            <v>0</v>
          </cell>
          <cell r="O644">
            <v>401450</v>
          </cell>
          <cell r="R644">
            <v>516444.93</v>
          </cell>
          <cell r="S644">
            <v>36542.069999999832</v>
          </cell>
        </row>
        <row r="645">
          <cell r="A645">
            <v>401500</v>
          </cell>
          <cell r="B645" t="str">
            <v>TRADE PAYABLES - DOMESTIC</v>
          </cell>
          <cell r="C645">
            <v>-1115075.0000000002</v>
          </cell>
          <cell r="D645">
            <v>6476.5000000018626</v>
          </cell>
          <cell r="E645">
            <v>0</v>
          </cell>
          <cell r="F645">
            <v>-1108598.4999999984</v>
          </cell>
          <cell r="G645"/>
          <cell r="H645">
            <v>-1378848.8000000003</v>
          </cell>
          <cell r="I645">
            <v>259363.7</v>
          </cell>
          <cell r="J645">
            <v>4410.1000000000004</v>
          </cell>
          <cell r="K645">
            <v>-1115075.0000000002</v>
          </cell>
          <cell r="L645">
            <v>401500</v>
          </cell>
          <cell r="M645">
            <v>1</v>
          </cell>
          <cell r="N645">
            <v>0</v>
          </cell>
          <cell r="O645">
            <v>401500</v>
          </cell>
          <cell r="R645">
            <v>-1111715</v>
          </cell>
          <cell r="S645">
            <v>6476.5000000018626</v>
          </cell>
        </row>
        <row r="646">
          <cell r="A646">
            <v>401998</v>
          </cell>
          <cell r="B646" t="str">
            <v>TRADE PAYABLES - FOREIGN CURRENCY REVAL</v>
          </cell>
          <cell r="C646">
            <v>-170879.52851063854</v>
          </cell>
          <cell r="D646">
            <v>-510.55000000074506</v>
          </cell>
          <cell r="E646">
            <v>136088.82851063844</v>
          </cell>
          <cell r="F646">
            <v>-35301.250000000844</v>
          </cell>
          <cell r="G646"/>
          <cell r="H646">
            <v>-118131.0500000001</v>
          </cell>
          <cell r="I646">
            <v>83340.350000000006</v>
          </cell>
          <cell r="J646">
            <v>-136088.82851063844</v>
          </cell>
          <cell r="K646">
            <v>-170879.52851063854</v>
          </cell>
          <cell r="L646">
            <v>401998</v>
          </cell>
          <cell r="M646">
            <v>1</v>
          </cell>
          <cell r="N646">
            <v>0</v>
          </cell>
          <cell r="O646">
            <v>401998</v>
          </cell>
          <cell r="R646">
            <v>-34790.699999999997</v>
          </cell>
          <cell r="S646">
            <v>135578.2785106377</v>
          </cell>
        </row>
        <row r="647">
          <cell r="A647">
            <v>408120</v>
          </cell>
          <cell r="B647" t="str">
            <v>TRADE PAYABLES - COSTS ACCRUALS SPECIFI</v>
          </cell>
          <cell r="C647">
            <v>-147715.53000000003</v>
          </cell>
          <cell r="D647">
            <v>82343.270000000484</v>
          </cell>
          <cell r="E647">
            <v>0</v>
          </cell>
          <cell r="F647">
            <v>-65372.259999999544</v>
          </cell>
          <cell r="G647"/>
          <cell r="H647">
            <v>-928439.85</v>
          </cell>
          <cell r="I647">
            <v>780724.32</v>
          </cell>
          <cell r="J647">
            <v>0</v>
          </cell>
          <cell r="K647">
            <v>-147715.53000000003</v>
          </cell>
          <cell r="L647">
            <v>408120</v>
          </cell>
          <cell r="M647">
            <v>1</v>
          </cell>
          <cell r="N647">
            <v>0</v>
          </cell>
          <cell r="O647">
            <v>408120</v>
          </cell>
          <cell r="R647">
            <v>-147715.53</v>
          </cell>
          <cell r="S647">
            <v>82343.270000000484</v>
          </cell>
        </row>
        <row r="648">
          <cell r="A648">
            <v>408151</v>
          </cell>
          <cell r="B648" t="str">
            <v>Outstanding Liabilities</v>
          </cell>
          <cell r="C648">
            <v>-978505</v>
          </cell>
          <cell r="D648">
            <v>-176821</v>
          </cell>
          <cell r="E648">
            <v>-289958</v>
          </cell>
          <cell r="F648">
            <v>-1445284</v>
          </cell>
          <cell r="G648"/>
          <cell r="H648">
            <v>-1909174</v>
          </cell>
          <cell r="I648">
            <v>640711</v>
          </cell>
          <cell r="J648">
            <v>289958</v>
          </cell>
          <cell r="K648">
            <v>-978505</v>
          </cell>
          <cell r="L648">
            <v>408151</v>
          </cell>
          <cell r="M648">
            <v>1</v>
          </cell>
          <cell r="N648">
            <v>0</v>
          </cell>
          <cell r="O648">
            <v>408151</v>
          </cell>
          <cell r="R648">
            <v>-1056941</v>
          </cell>
          <cell r="S648">
            <v>-466779</v>
          </cell>
        </row>
        <row r="649">
          <cell r="A649">
            <v>408500</v>
          </cell>
          <cell r="B649" t="str">
            <v>TRADE CREDITORS - PURCH. INV. ACCRUALS</v>
          </cell>
          <cell r="C649">
            <v>-370808</v>
          </cell>
          <cell r="D649">
            <v>-506083.58000000007</v>
          </cell>
          <cell r="E649">
            <v>0</v>
          </cell>
          <cell r="F649">
            <v>-876891.58000000007</v>
          </cell>
          <cell r="G649"/>
          <cell r="H649">
            <v>-851189.6</v>
          </cell>
          <cell r="I649">
            <v>416184.6</v>
          </cell>
          <cell r="J649">
            <v>64197</v>
          </cell>
          <cell r="K649">
            <v>-370808</v>
          </cell>
          <cell r="L649">
            <v>408500</v>
          </cell>
          <cell r="M649">
            <v>1</v>
          </cell>
          <cell r="N649">
            <v>0</v>
          </cell>
          <cell r="O649">
            <v>408500</v>
          </cell>
          <cell r="R649">
            <v>-468067</v>
          </cell>
          <cell r="S649">
            <v>-506083.58000000007</v>
          </cell>
        </row>
        <row r="650">
          <cell r="A650">
            <v>411450</v>
          </cell>
          <cell r="B650" t="str">
            <v>TRADE RECEIVABLES - FOREIGN</v>
          </cell>
          <cell r="C650">
            <v>6500696.4199999999</v>
          </cell>
          <cell r="D650">
            <v>-4683741.709999999</v>
          </cell>
          <cell r="E650">
            <v>0</v>
          </cell>
          <cell r="F650">
            <v>1816954.7100000009</v>
          </cell>
          <cell r="G650"/>
          <cell r="H650">
            <v>7086860.5199999996</v>
          </cell>
          <cell r="I650">
            <v>-586164.1</v>
          </cell>
          <cell r="J650">
            <v>0</v>
          </cell>
          <cell r="K650">
            <v>6500696.4199999999</v>
          </cell>
          <cell r="L650">
            <v>411450</v>
          </cell>
          <cell r="M650">
            <v>1</v>
          </cell>
          <cell r="N650">
            <v>0</v>
          </cell>
          <cell r="O650">
            <v>411450</v>
          </cell>
          <cell r="R650">
            <v>6500696.4199999999</v>
          </cell>
          <cell r="S650">
            <v>-4683741.709999999</v>
          </cell>
        </row>
        <row r="651">
          <cell r="A651">
            <v>411500</v>
          </cell>
          <cell r="B651" t="str">
            <v>TRADE RECEIVABLES - DOMESTIC</v>
          </cell>
          <cell r="C651">
            <v>0</v>
          </cell>
          <cell r="D651">
            <v>0</v>
          </cell>
          <cell r="E651">
            <v>0</v>
          </cell>
          <cell r="F651">
            <v>0</v>
          </cell>
          <cell r="G651"/>
          <cell r="H651">
            <v>241132.81</v>
          </cell>
          <cell r="I651">
            <v>-241132.81</v>
          </cell>
          <cell r="J651">
            <v>0</v>
          </cell>
          <cell r="K651">
            <v>0</v>
          </cell>
          <cell r="L651">
            <v>411500</v>
          </cell>
          <cell r="M651">
            <v>1</v>
          </cell>
          <cell r="N651">
            <v>0</v>
          </cell>
          <cell r="O651">
            <v>411500</v>
          </cell>
          <cell r="R651">
            <v>0</v>
          </cell>
          <cell r="S651">
            <v>0</v>
          </cell>
        </row>
        <row r="652">
          <cell r="A652">
            <v>411700</v>
          </cell>
          <cell r="B652" t="str">
            <v>TRADE DEBTORS - GUARANTEE RETENTIONS</v>
          </cell>
          <cell r="C652">
            <v>2306140.9383299858</v>
          </cell>
          <cell r="D652">
            <v>144240</v>
          </cell>
          <cell r="E652">
            <v>0</v>
          </cell>
          <cell r="F652">
            <v>2450380.9383299858</v>
          </cell>
          <cell r="G652"/>
          <cell r="H652">
            <v>2045801.2763440856</v>
          </cell>
          <cell r="I652">
            <v>137510</v>
          </cell>
          <cell r="J652">
            <v>122829.66198590005</v>
          </cell>
          <cell r="K652">
            <v>2306140.9383299858</v>
          </cell>
          <cell r="L652">
            <v>411700</v>
          </cell>
          <cell r="M652">
            <v>1</v>
          </cell>
          <cell r="N652">
            <v>0</v>
          </cell>
          <cell r="O652">
            <v>411700</v>
          </cell>
          <cell r="R652">
            <v>2885020</v>
          </cell>
          <cell r="S652">
            <v>144240</v>
          </cell>
        </row>
        <row r="653">
          <cell r="A653">
            <v>418150</v>
          </cell>
          <cell r="B653" t="str">
            <v>TRADE DEBTORS - SALES INVOICE ACCRUALS</v>
          </cell>
          <cell r="C653">
            <v>725408.1500916474</v>
          </cell>
          <cell r="D653">
            <v>0</v>
          </cell>
          <cell r="E653">
            <v>0</v>
          </cell>
          <cell r="F653">
            <v>725408.1500916474</v>
          </cell>
          <cell r="G653"/>
          <cell r="H653">
            <v>415017.57264928555</v>
          </cell>
          <cell r="I653">
            <v>0</v>
          </cell>
          <cell r="J653">
            <v>310390.5774423618</v>
          </cell>
          <cell r="K653">
            <v>725408.1500916474</v>
          </cell>
          <cell r="L653">
            <v>418150</v>
          </cell>
          <cell r="M653">
            <v>1</v>
          </cell>
          <cell r="N653">
            <v>0</v>
          </cell>
          <cell r="O653">
            <v>418150</v>
          </cell>
          <cell r="R653">
            <v>98431</v>
          </cell>
          <cell r="S653">
            <v>0</v>
          </cell>
        </row>
        <row r="654">
          <cell r="A654">
            <v>425000</v>
          </cell>
          <cell r="B654" t="str">
            <v>ADVANCES ON SALARIES</v>
          </cell>
          <cell r="C654">
            <v>0.39999999995052349</v>
          </cell>
          <cell r="D654">
            <v>151443</v>
          </cell>
          <cell r="E654">
            <v>0</v>
          </cell>
          <cell r="F654">
            <v>151443.39999999997</v>
          </cell>
          <cell r="G654"/>
          <cell r="H654">
            <v>0.39999999995700364</v>
          </cell>
          <cell r="I654">
            <v>87685</v>
          </cell>
          <cell r="J654">
            <v>-87685</v>
          </cell>
          <cell r="K654">
            <v>0.39999999995052349</v>
          </cell>
          <cell r="L654">
            <v>425000</v>
          </cell>
          <cell r="M654">
            <v>1</v>
          </cell>
          <cell r="N654">
            <v>0</v>
          </cell>
          <cell r="O654">
            <v>425000</v>
          </cell>
          <cell r="R654">
            <v>87685.4</v>
          </cell>
          <cell r="S654">
            <v>151443</v>
          </cell>
        </row>
        <row r="655">
          <cell r="A655">
            <v>425004</v>
          </cell>
          <cell r="B655" t="str">
            <v>Empl Personal Loan</v>
          </cell>
          <cell r="C655">
            <v>4</v>
          </cell>
          <cell r="D655">
            <v>300000</v>
          </cell>
          <cell r="E655">
            <v>0</v>
          </cell>
          <cell r="F655">
            <v>300004</v>
          </cell>
          <cell r="G655"/>
          <cell r="H655">
            <v>75001</v>
          </cell>
          <cell r="I655">
            <v>0</v>
          </cell>
          <cell r="J655">
            <v>-74997</v>
          </cell>
          <cell r="K655">
            <v>4</v>
          </cell>
          <cell r="L655">
            <v>425004</v>
          </cell>
          <cell r="M655">
            <v>1</v>
          </cell>
          <cell r="N655">
            <v>0</v>
          </cell>
          <cell r="O655">
            <v>425004</v>
          </cell>
          <cell r="R655">
            <v>75001</v>
          </cell>
          <cell r="S655">
            <v>300000</v>
          </cell>
        </row>
        <row r="656">
          <cell r="A656">
            <v>427100</v>
          </cell>
          <cell r="B656" t="str">
            <v>Payroll Clearing Account</v>
          </cell>
          <cell r="C656">
            <v>-465246.67999999993</v>
          </cell>
          <cell r="D656">
            <v>-279233</v>
          </cell>
          <cell r="E656">
            <v>430460</v>
          </cell>
          <cell r="F656">
            <v>-314019.67999999993</v>
          </cell>
          <cell r="G656"/>
          <cell r="H656">
            <v>-975383.67999999993</v>
          </cell>
          <cell r="I656">
            <v>777915</v>
          </cell>
          <cell r="J656">
            <v>-267778</v>
          </cell>
          <cell r="K656">
            <v>-465246.67999999993</v>
          </cell>
          <cell r="L656">
            <v>427100</v>
          </cell>
          <cell r="M656">
            <v>1</v>
          </cell>
          <cell r="N656">
            <v>0</v>
          </cell>
          <cell r="O656">
            <v>427100</v>
          </cell>
          <cell r="R656">
            <v>-628845.68000000005</v>
          </cell>
          <cell r="S656">
            <v>151227</v>
          </cell>
        </row>
        <row r="657">
          <cell r="A657">
            <v>427101</v>
          </cell>
          <cell r="B657" t="str">
            <v>Net Salary Payable</v>
          </cell>
          <cell r="C657">
            <v>15811</v>
          </cell>
          <cell r="D657">
            <v>-135385</v>
          </cell>
          <cell r="E657">
            <v>0</v>
          </cell>
          <cell r="F657">
            <v>-119574</v>
          </cell>
          <cell r="G657"/>
          <cell r="H657">
            <v>15811</v>
          </cell>
          <cell r="I657">
            <v>0</v>
          </cell>
          <cell r="J657">
            <v>0</v>
          </cell>
          <cell r="K657">
            <v>15811</v>
          </cell>
          <cell r="L657">
            <v>427101</v>
          </cell>
          <cell r="M657">
            <v>1</v>
          </cell>
          <cell r="N657">
            <v>0</v>
          </cell>
          <cell r="O657">
            <v>427101</v>
          </cell>
          <cell r="R657">
            <v>15811</v>
          </cell>
          <cell r="S657">
            <v>-135385</v>
          </cell>
        </row>
        <row r="658">
          <cell r="A658">
            <v>427103</v>
          </cell>
          <cell r="B658" t="str">
            <v>Provision - LTA</v>
          </cell>
          <cell r="C658">
            <v>-174495.51</v>
          </cell>
          <cell r="D658">
            <v>-12750</v>
          </cell>
          <cell r="E658">
            <v>0</v>
          </cell>
          <cell r="F658">
            <v>-187245.51</v>
          </cell>
          <cell r="G658"/>
          <cell r="H658">
            <v>-219321</v>
          </cell>
          <cell r="I658">
            <v>44825.49</v>
          </cell>
          <cell r="J658">
            <v>0</v>
          </cell>
          <cell r="K658">
            <v>-174495.51</v>
          </cell>
          <cell r="L658">
            <v>427103</v>
          </cell>
          <cell r="M658">
            <v>1</v>
          </cell>
          <cell r="N658">
            <v>0</v>
          </cell>
          <cell r="O658">
            <v>427103</v>
          </cell>
          <cell r="R658">
            <v>-174496</v>
          </cell>
          <cell r="S658">
            <v>-12750</v>
          </cell>
        </row>
        <row r="659">
          <cell r="A659">
            <v>428200</v>
          </cell>
          <cell r="B659" t="str">
            <v>PROVISION - PAID HOLIDAYS</v>
          </cell>
          <cell r="C659">
            <v>89667.874999999069</v>
          </cell>
          <cell r="D659">
            <v>-54743</v>
          </cell>
          <cell r="E659">
            <v>0</v>
          </cell>
          <cell r="F659">
            <v>34924.874999999069</v>
          </cell>
          <cell r="G659"/>
          <cell r="H659">
            <v>69456.874999999069</v>
          </cell>
          <cell r="I659">
            <v>20211</v>
          </cell>
          <cell r="J659">
            <v>0</v>
          </cell>
          <cell r="K659">
            <v>89667.874999999069</v>
          </cell>
          <cell r="L659">
            <v>428200</v>
          </cell>
          <cell r="M659">
            <v>1</v>
          </cell>
          <cell r="N659">
            <v>0</v>
          </cell>
          <cell r="O659">
            <v>428200</v>
          </cell>
          <cell r="R659">
            <v>27660</v>
          </cell>
          <cell r="S659">
            <v>-54743</v>
          </cell>
        </row>
        <row r="660">
          <cell r="A660">
            <v>428400</v>
          </cell>
          <cell r="B660" t="str">
            <v>PROVISION - EMPLOYEE PROFIT-SHARING</v>
          </cell>
          <cell r="C660">
            <v>163</v>
          </cell>
          <cell r="D660">
            <v>0</v>
          </cell>
          <cell r="E660">
            <v>0</v>
          </cell>
          <cell r="F660">
            <v>163</v>
          </cell>
          <cell r="G660"/>
          <cell r="H660">
            <v>163</v>
          </cell>
          <cell r="I660">
            <v>0</v>
          </cell>
          <cell r="J660">
            <v>0</v>
          </cell>
          <cell r="K660">
            <v>163</v>
          </cell>
          <cell r="L660">
            <v>428400</v>
          </cell>
          <cell r="M660">
            <v>1</v>
          </cell>
          <cell r="N660">
            <v>0</v>
          </cell>
          <cell r="O660">
            <v>428400</v>
          </cell>
          <cell r="R660">
            <v>163</v>
          </cell>
          <cell r="S660">
            <v>0</v>
          </cell>
        </row>
        <row r="661">
          <cell r="A661">
            <v>428610</v>
          </cell>
          <cell r="B661" t="str">
            <v>ACCRUED EXPENSES - YEAR-END BONUS</v>
          </cell>
          <cell r="C661">
            <v>-30710.28999999995</v>
          </cell>
          <cell r="D661">
            <v>-70778</v>
          </cell>
          <cell r="E661">
            <v>8793</v>
          </cell>
          <cell r="F661">
            <v>-92695.28999999995</v>
          </cell>
          <cell r="G661"/>
          <cell r="H661">
            <v>-27774.28999999995</v>
          </cell>
          <cell r="I661">
            <v>5857</v>
          </cell>
          <cell r="J661">
            <v>-8793</v>
          </cell>
          <cell r="K661">
            <v>-30710.28999999995</v>
          </cell>
          <cell r="L661">
            <v>428610</v>
          </cell>
          <cell r="M661">
            <v>1</v>
          </cell>
          <cell r="N661">
            <v>0</v>
          </cell>
          <cell r="O661">
            <v>428610</v>
          </cell>
          <cell r="R661">
            <v>-30710.51</v>
          </cell>
          <cell r="S661">
            <v>-61985</v>
          </cell>
        </row>
        <row r="662">
          <cell r="A662">
            <v>428611</v>
          </cell>
          <cell r="B662" t="str">
            <v>Accrued Expenses for Incrementals</v>
          </cell>
          <cell r="C662">
            <v>0</v>
          </cell>
          <cell r="D662">
            <v>-32160</v>
          </cell>
          <cell r="E662">
            <v>0</v>
          </cell>
          <cell r="F662">
            <v>-32160</v>
          </cell>
          <cell r="G662"/>
          <cell r="H662"/>
          <cell r="I662"/>
          <cell r="J662"/>
          <cell r="K662"/>
          <cell r="L662"/>
          <cell r="M662"/>
          <cell r="N662"/>
          <cell r="O662"/>
          <cell r="R662"/>
          <cell r="S662">
            <v>-32160</v>
          </cell>
        </row>
        <row r="663">
          <cell r="A663">
            <v>428616</v>
          </cell>
          <cell r="B663" t="str">
            <v>ACCRUED EXPENSES - PROV. OBJECTIVES BON</v>
          </cell>
          <cell r="C663">
            <v>-1343.6000000000058</v>
          </cell>
          <cell r="D663">
            <v>-20000</v>
          </cell>
          <cell r="E663">
            <v>0</v>
          </cell>
          <cell r="F663">
            <v>-21343.600000000006</v>
          </cell>
          <cell r="G663"/>
          <cell r="H663">
            <v>-38165.600000000006</v>
          </cell>
          <cell r="I663">
            <v>36822</v>
          </cell>
          <cell r="J663">
            <v>0</v>
          </cell>
          <cell r="K663">
            <v>-1343.6000000000058</v>
          </cell>
          <cell r="L663">
            <v>428616</v>
          </cell>
          <cell r="M663">
            <v>1</v>
          </cell>
          <cell r="N663">
            <v>0</v>
          </cell>
          <cell r="O663">
            <v>428616</v>
          </cell>
          <cell r="R663">
            <v>-1343.6</v>
          </cell>
          <cell r="S663">
            <v>-20000</v>
          </cell>
        </row>
        <row r="664">
          <cell r="A664">
            <v>437000</v>
          </cell>
          <cell r="B664" t="str">
            <v>HEALTH INSURANCE</v>
          </cell>
          <cell r="C664">
            <v>0</v>
          </cell>
          <cell r="D664">
            <v>-22701</v>
          </cell>
          <cell r="E664">
            <v>0</v>
          </cell>
          <cell r="F664">
            <v>-22701</v>
          </cell>
          <cell r="G664"/>
          <cell r="H664"/>
          <cell r="I664"/>
          <cell r="J664"/>
          <cell r="K664"/>
          <cell r="L664"/>
          <cell r="M664"/>
          <cell r="N664"/>
          <cell r="O664"/>
          <cell r="R664"/>
          <cell r="S664">
            <v>-22701</v>
          </cell>
        </row>
        <row r="665">
          <cell r="A665">
            <v>437200</v>
          </cell>
          <cell r="B665" t="str">
            <v>WELFARE INSTITUTIONS</v>
          </cell>
          <cell r="C665">
            <v>-250</v>
          </cell>
          <cell r="D665">
            <v>-50</v>
          </cell>
          <cell r="E665">
            <v>650</v>
          </cell>
          <cell r="F665">
            <v>350</v>
          </cell>
          <cell r="G665"/>
          <cell r="H665">
            <v>-700</v>
          </cell>
          <cell r="I665">
            <v>1100</v>
          </cell>
          <cell r="J665">
            <v>-650</v>
          </cell>
          <cell r="K665">
            <v>-250</v>
          </cell>
          <cell r="L665">
            <v>437200</v>
          </cell>
          <cell r="M665">
            <v>1</v>
          </cell>
          <cell r="N665">
            <v>0</v>
          </cell>
          <cell r="O665">
            <v>437200</v>
          </cell>
          <cell r="R665">
            <v>-250</v>
          </cell>
          <cell r="S665">
            <v>600</v>
          </cell>
        </row>
        <row r="666">
          <cell r="A666">
            <v>437407</v>
          </cell>
          <cell r="B666" t="str">
            <v>TDS - Rent</v>
          </cell>
          <cell r="C666">
            <v>-34976.099999999009</v>
          </cell>
          <cell r="D666">
            <v>-35539.39999999979</v>
          </cell>
          <cell r="E666">
            <v>51429.1</v>
          </cell>
          <cell r="F666">
            <v>-19086.399999998808</v>
          </cell>
          <cell r="G666"/>
          <cell r="H666">
            <v>-82424.99999999901</v>
          </cell>
          <cell r="I666">
            <v>98878</v>
          </cell>
          <cell r="J666">
            <v>-51429.1</v>
          </cell>
          <cell r="K666">
            <v>-34976.099999999009</v>
          </cell>
          <cell r="L666">
            <v>437407</v>
          </cell>
          <cell r="M666">
            <v>1</v>
          </cell>
          <cell r="N666">
            <v>0</v>
          </cell>
          <cell r="O666">
            <v>437407</v>
          </cell>
          <cell r="R666">
            <v>5666.9</v>
          </cell>
          <cell r="S666">
            <v>15889.700000000208</v>
          </cell>
        </row>
        <row r="667">
          <cell r="A667">
            <v>437408</v>
          </cell>
          <cell r="B667" t="str">
            <v>TDS - Professional Fees</v>
          </cell>
          <cell r="C667">
            <v>-221759.40184000024</v>
          </cell>
          <cell r="D667">
            <v>131678.77999999991</v>
          </cell>
          <cell r="E667">
            <v>54110</v>
          </cell>
          <cell r="F667">
            <v>-35970.621840000327</v>
          </cell>
          <cell r="G667"/>
          <cell r="H667">
            <v>-119750.65184000024</v>
          </cell>
          <cell r="I667">
            <v>-47898.75</v>
          </cell>
          <cell r="J667">
            <v>-54110</v>
          </cell>
          <cell r="K667">
            <v>-221759.40184000024</v>
          </cell>
          <cell r="L667">
            <v>437408</v>
          </cell>
          <cell r="M667">
            <v>1</v>
          </cell>
          <cell r="N667">
            <v>0</v>
          </cell>
          <cell r="O667">
            <v>437408</v>
          </cell>
          <cell r="R667">
            <v>-146450.4</v>
          </cell>
          <cell r="S667">
            <v>185788.77999999991</v>
          </cell>
        </row>
        <row r="668">
          <cell r="A668">
            <v>437409</v>
          </cell>
          <cell r="B668" t="str">
            <v>TDS - Foreign Payments</v>
          </cell>
          <cell r="C668">
            <v>64.069999999999993</v>
          </cell>
          <cell r="D668">
            <v>-42606.880000000005</v>
          </cell>
          <cell r="E668">
            <v>0</v>
          </cell>
          <cell r="F668">
            <v>-42542.810000000005</v>
          </cell>
          <cell r="G668"/>
          <cell r="H668">
            <v>0</v>
          </cell>
          <cell r="I668">
            <v>64.069999999999993</v>
          </cell>
          <cell r="J668">
            <v>0</v>
          </cell>
          <cell r="K668">
            <v>64.069999999999993</v>
          </cell>
          <cell r="L668">
            <v>437409</v>
          </cell>
          <cell r="M668">
            <v>1</v>
          </cell>
          <cell r="N668">
            <v>0</v>
          </cell>
          <cell r="O668">
            <v>437409</v>
          </cell>
          <cell r="R668">
            <v>64.069999999999993</v>
          </cell>
          <cell r="S668">
            <v>-42606.880000000005</v>
          </cell>
        </row>
        <row r="669">
          <cell r="A669">
            <v>437425</v>
          </cell>
          <cell r="B669" t="str">
            <v>Emp PF Pension Payable</v>
          </cell>
          <cell r="C669">
            <v>-23459.569999999992</v>
          </cell>
          <cell r="D669">
            <v>3167.5800000000163</v>
          </cell>
          <cell r="E669">
            <v>-434</v>
          </cell>
          <cell r="F669">
            <v>-20725.989999999976</v>
          </cell>
          <cell r="G669"/>
          <cell r="H669">
            <v>-26250.80999999999</v>
          </cell>
          <cell r="I669">
            <v>2357.2399999999998</v>
          </cell>
          <cell r="J669">
            <v>434</v>
          </cell>
          <cell r="K669">
            <v>-23459.569999999992</v>
          </cell>
          <cell r="L669">
            <v>437425</v>
          </cell>
          <cell r="M669">
            <v>1</v>
          </cell>
          <cell r="N669">
            <v>0</v>
          </cell>
          <cell r="O669">
            <v>437425</v>
          </cell>
          <cell r="R669">
            <v>-23459.57</v>
          </cell>
          <cell r="S669">
            <v>2733.5800000000163</v>
          </cell>
        </row>
        <row r="670">
          <cell r="A670">
            <v>437427</v>
          </cell>
          <cell r="B670" t="str">
            <v>Lab Welfare Fund Payable</v>
          </cell>
          <cell r="C670">
            <v>-301</v>
          </cell>
          <cell r="D670">
            <v>20</v>
          </cell>
          <cell r="E670">
            <v>0</v>
          </cell>
          <cell r="F670">
            <v>-281</v>
          </cell>
          <cell r="G670"/>
          <cell r="H670">
            <v>-321</v>
          </cell>
          <cell r="I670">
            <v>20</v>
          </cell>
          <cell r="J670">
            <v>0</v>
          </cell>
          <cell r="K670">
            <v>-301</v>
          </cell>
          <cell r="L670">
            <v>437427</v>
          </cell>
          <cell r="M670">
            <v>1</v>
          </cell>
          <cell r="N670">
            <v>0</v>
          </cell>
          <cell r="O670">
            <v>437427</v>
          </cell>
          <cell r="R670">
            <v>-301</v>
          </cell>
          <cell r="S670">
            <v>20</v>
          </cell>
        </row>
        <row r="671">
          <cell r="A671">
            <v>437522</v>
          </cell>
          <cell r="B671" t="str">
            <v>Emp Prof. Tax Payable</v>
          </cell>
          <cell r="C671">
            <v>-266</v>
          </cell>
          <cell r="D671">
            <v>0</v>
          </cell>
          <cell r="E671">
            <v>0</v>
          </cell>
          <cell r="F671">
            <v>-266</v>
          </cell>
          <cell r="G671"/>
          <cell r="H671">
            <v>-1668</v>
          </cell>
          <cell r="I671">
            <v>1402</v>
          </cell>
          <cell r="J671">
            <v>0</v>
          </cell>
          <cell r="K671">
            <v>-266</v>
          </cell>
          <cell r="L671">
            <v>437522</v>
          </cell>
          <cell r="M671">
            <v>1</v>
          </cell>
          <cell r="N671">
            <v>0</v>
          </cell>
          <cell r="O671">
            <v>437522</v>
          </cell>
          <cell r="R671">
            <v>-266</v>
          </cell>
          <cell r="S671">
            <v>0</v>
          </cell>
        </row>
        <row r="672">
          <cell r="A672">
            <v>438666</v>
          </cell>
          <cell r="B672" t="str">
            <v>INCOME TAXES ON SALARIES</v>
          </cell>
          <cell r="C672">
            <v>-147234</v>
          </cell>
          <cell r="D672">
            <v>26580</v>
          </cell>
          <cell r="E672">
            <v>-9011</v>
          </cell>
          <cell r="F672">
            <v>-129665</v>
          </cell>
          <cell r="G672"/>
          <cell r="H672">
            <v>-255652</v>
          </cell>
          <cell r="I672">
            <v>99407</v>
          </cell>
          <cell r="J672">
            <v>9011</v>
          </cell>
          <cell r="K672">
            <v>-147234</v>
          </cell>
          <cell r="L672">
            <v>438666</v>
          </cell>
          <cell r="M672">
            <v>1</v>
          </cell>
          <cell r="N672">
            <v>0</v>
          </cell>
          <cell r="O672">
            <v>438666</v>
          </cell>
          <cell r="R672">
            <v>-147234</v>
          </cell>
          <cell r="S672">
            <v>17569</v>
          </cell>
        </row>
        <row r="673">
          <cell r="A673">
            <v>444000</v>
          </cell>
          <cell r="B673" t="str">
            <v>Corporate Income Tax and Accrued Income</v>
          </cell>
          <cell r="C673">
            <v>-242626701.56028086</v>
          </cell>
          <cell r="D673">
            <v>0</v>
          </cell>
          <cell r="E673">
            <v>-595400</v>
          </cell>
          <cell r="F673">
            <v>-243222101.56028086</v>
          </cell>
          <cell r="G673"/>
          <cell r="H673">
            <v>-242624356.56028086</v>
          </cell>
          <cell r="I673">
            <v>-595400</v>
          </cell>
          <cell r="J673">
            <v>593055</v>
          </cell>
          <cell r="K673">
            <v>-242626701.56028086</v>
          </cell>
          <cell r="L673">
            <v>444000</v>
          </cell>
          <cell r="M673">
            <v>1</v>
          </cell>
          <cell r="N673">
            <v>0</v>
          </cell>
          <cell r="O673">
            <v>444000</v>
          </cell>
          <cell r="R673">
            <v>-243219756.66999999</v>
          </cell>
          <cell r="S673">
            <v>-595400</v>
          </cell>
        </row>
        <row r="674">
          <cell r="A674">
            <v>444400</v>
          </cell>
          <cell r="B674" t="str">
            <v>US federal income tax liability</v>
          </cell>
          <cell r="C674">
            <v>0</v>
          </cell>
          <cell r="D674">
            <v>0</v>
          </cell>
          <cell r="E674">
            <v>-13804781.7250554</v>
          </cell>
          <cell r="F674">
            <v>-13804781.7250554</v>
          </cell>
          <cell r="G674"/>
          <cell r="H674">
            <v>-12255730.952646695</v>
          </cell>
          <cell r="I674">
            <v>-595069.26</v>
          </cell>
          <cell r="J674">
            <v>12850800.212646691</v>
          </cell>
          <cell r="K674">
            <v>0</v>
          </cell>
          <cell r="L674">
            <v>444400</v>
          </cell>
          <cell r="M674">
            <v>1</v>
          </cell>
          <cell r="N674">
            <v>0</v>
          </cell>
          <cell r="O674">
            <v>444400</v>
          </cell>
          <cell r="R674">
            <v>-12850801.35</v>
          </cell>
          <cell r="S674">
            <v>-13804781.7250554</v>
          </cell>
        </row>
        <row r="675">
          <cell r="A675">
            <v>444410</v>
          </cell>
          <cell r="B675" t="str">
            <v>US state income tax liability</v>
          </cell>
          <cell r="C675">
            <v>0</v>
          </cell>
          <cell r="D675">
            <v>0</v>
          </cell>
          <cell r="E675">
            <v>12501924.629999999</v>
          </cell>
          <cell r="F675">
            <v>12501924.629999999</v>
          </cell>
          <cell r="G675"/>
          <cell r="H675">
            <v>11268218.658867871</v>
          </cell>
          <cell r="I675">
            <v>357044.11</v>
          </cell>
          <cell r="J675">
            <v>-11625262.768867871</v>
          </cell>
          <cell r="K675">
            <v>0</v>
          </cell>
          <cell r="L675">
            <v>444410</v>
          </cell>
          <cell r="M675">
            <v>1</v>
          </cell>
          <cell r="N675">
            <v>0</v>
          </cell>
          <cell r="O675">
            <v>444410</v>
          </cell>
          <cell r="R675">
            <v>11625262.779999999</v>
          </cell>
          <cell r="S675">
            <v>12501924.629999999</v>
          </cell>
        </row>
        <row r="676">
          <cell r="A676">
            <v>444042</v>
          </cell>
          <cell r="B676" t="str">
            <v>Income tax - Monthly prepayment</v>
          </cell>
          <cell r="C676">
            <v>0</v>
          </cell>
          <cell r="D676">
            <v>0</v>
          </cell>
          <cell r="E676">
            <v>0</v>
          </cell>
          <cell r="F676">
            <v>0</v>
          </cell>
          <cell r="G676"/>
          <cell r="H676">
            <v>0</v>
          </cell>
          <cell r="I676">
            <v>0</v>
          </cell>
          <cell r="J676">
            <v>0</v>
          </cell>
          <cell r="K676">
            <v>0</v>
          </cell>
          <cell r="L676">
            <v>444042</v>
          </cell>
          <cell r="M676">
            <v>1</v>
          </cell>
          <cell r="N676">
            <v>0</v>
          </cell>
          <cell r="O676" t="e">
            <v>#N/A</v>
          </cell>
          <cell r="R676">
            <v>0</v>
          </cell>
          <cell r="S676">
            <v>0</v>
          </cell>
        </row>
        <row r="677">
          <cell r="A677">
            <v>444508</v>
          </cell>
          <cell r="B677" t="str">
            <v xml:space="preserve"> Adv Tax-Income 05</v>
          </cell>
          <cell r="C677">
            <v>268024733</v>
          </cell>
          <cell r="D677">
            <v>2500000</v>
          </cell>
          <cell r="E677">
            <v>0</v>
          </cell>
          <cell r="F677">
            <v>270524733</v>
          </cell>
          <cell r="G677"/>
          <cell r="H677">
            <v>268024733</v>
          </cell>
          <cell r="I677">
            <v>0</v>
          </cell>
          <cell r="J677">
            <v>0</v>
          </cell>
          <cell r="K677">
            <v>268024733</v>
          </cell>
          <cell r="L677">
            <v>444508</v>
          </cell>
          <cell r="M677">
            <v>1</v>
          </cell>
          <cell r="N677">
            <v>0</v>
          </cell>
          <cell r="O677">
            <v>444508</v>
          </cell>
          <cell r="R677">
            <v>268024733</v>
          </cell>
          <cell r="S677">
            <v>2500000</v>
          </cell>
        </row>
        <row r="678">
          <cell r="A678">
            <v>444550</v>
          </cell>
          <cell r="B678" t="str">
            <v>WCT TDS Recoverable-HPCL</v>
          </cell>
          <cell r="C678">
            <v>182830</v>
          </cell>
          <cell r="D678">
            <v>0</v>
          </cell>
          <cell r="E678">
            <v>0</v>
          </cell>
          <cell r="F678">
            <v>182830</v>
          </cell>
          <cell r="G678"/>
          <cell r="H678">
            <v>182830</v>
          </cell>
          <cell r="I678">
            <v>0</v>
          </cell>
          <cell r="J678">
            <v>0</v>
          </cell>
          <cell r="K678">
            <v>182830</v>
          </cell>
          <cell r="L678">
            <v>444550</v>
          </cell>
          <cell r="M678">
            <v>1</v>
          </cell>
          <cell r="N678">
            <v>0</v>
          </cell>
          <cell r="O678">
            <v>444550</v>
          </cell>
          <cell r="R678">
            <v>182830</v>
          </cell>
          <cell r="S678">
            <v>0</v>
          </cell>
        </row>
        <row r="679">
          <cell r="A679">
            <v>444562</v>
          </cell>
          <cell r="B679" t="str">
            <v>Recl TDS-Income 12</v>
          </cell>
          <cell r="C679">
            <v>16435215.409999995</v>
          </cell>
          <cell r="D679">
            <v>421824.3899999999</v>
          </cell>
          <cell r="E679">
            <v>0</v>
          </cell>
          <cell r="F679">
            <v>16857039.799999993</v>
          </cell>
          <cell r="G679"/>
          <cell r="H679">
            <v>16642336.019999994</v>
          </cell>
          <cell r="I679">
            <v>-207120.61</v>
          </cell>
          <cell r="J679">
            <v>0</v>
          </cell>
          <cell r="K679">
            <v>16435215.409999995</v>
          </cell>
          <cell r="L679">
            <v>444562</v>
          </cell>
          <cell r="M679">
            <v>1</v>
          </cell>
          <cell r="N679">
            <v>0</v>
          </cell>
          <cell r="O679">
            <v>444562</v>
          </cell>
          <cell r="R679">
            <v>16435215.41</v>
          </cell>
          <cell r="S679">
            <v>421824.3899999999</v>
          </cell>
        </row>
        <row r="680">
          <cell r="A680">
            <v>444566</v>
          </cell>
          <cell r="B680" t="str">
            <v>Recl TDS-Income 1-16</v>
          </cell>
          <cell r="C680">
            <v>186521.27999999997</v>
          </cell>
          <cell r="D680">
            <v>0</v>
          </cell>
          <cell r="E680">
            <v>0</v>
          </cell>
          <cell r="F680">
            <v>186521.27999999997</v>
          </cell>
          <cell r="G680"/>
          <cell r="H680">
            <v>186521.27999999997</v>
          </cell>
          <cell r="I680">
            <v>0</v>
          </cell>
          <cell r="J680">
            <v>0</v>
          </cell>
          <cell r="K680">
            <v>186521.27999999997</v>
          </cell>
          <cell r="L680">
            <v>444566</v>
          </cell>
          <cell r="M680">
            <v>1</v>
          </cell>
          <cell r="N680">
            <v>0</v>
          </cell>
          <cell r="O680">
            <v>444566</v>
          </cell>
          <cell r="R680">
            <v>186521.28</v>
          </cell>
          <cell r="S680">
            <v>0</v>
          </cell>
        </row>
        <row r="681">
          <cell r="A681">
            <v>445614</v>
          </cell>
          <cell r="B681" t="str">
            <v>Service Tax Recoverable - SEZ</v>
          </cell>
          <cell r="C681">
            <v>932963</v>
          </cell>
          <cell r="D681">
            <v>0</v>
          </cell>
          <cell r="E681">
            <v>0</v>
          </cell>
          <cell r="F681">
            <v>932963</v>
          </cell>
          <cell r="G681"/>
          <cell r="H681">
            <v>932963</v>
          </cell>
          <cell r="I681">
            <v>0</v>
          </cell>
          <cell r="J681">
            <v>0</v>
          </cell>
          <cell r="K681">
            <v>932963</v>
          </cell>
          <cell r="L681">
            <v>445614</v>
          </cell>
          <cell r="M681">
            <v>1</v>
          </cell>
          <cell r="N681">
            <v>0</v>
          </cell>
          <cell r="O681">
            <v>445614</v>
          </cell>
          <cell r="R681">
            <v>585629</v>
          </cell>
          <cell r="S681">
            <v>0</v>
          </cell>
        </row>
        <row r="682">
          <cell r="A682">
            <v>445616</v>
          </cell>
          <cell r="B682" t="str">
            <v>VAT Recoverable-SEZ purchase</v>
          </cell>
          <cell r="C682">
            <v>223</v>
          </cell>
          <cell r="D682">
            <v>0</v>
          </cell>
          <cell r="E682">
            <v>0</v>
          </cell>
          <cell r="F682">
            <v>223</v>
          </cell>
          <cell r="G682"/>
          <cell r="H682">
            <v>223</v>
          </cell>
          <cell r="I682">
            <v>0</v>
          </cell>
          <cell r="J682">
            <v>0</v>
          </cell>
          <cell r="K682">
            <v>223</v>
          </cell>
          <cell r="L682">
            <v>445616</v>
          </cell>
          <cell r="M682">
            <v>1</v>
          </cell>
          <cell r="N682">
            <v>0</v>
          </cell>
          <cell r="O682" t="e">
            <v>#N/A</v>
          </cell>
          <cell r="R682">
            <v>0</v>
          </cell>
          <cell r="S682">
            <v>0</v>
          </cell>
        </row>
        <row r="683">
          <cell r="A683">
            <v>445780</v>
          </cell>
          <cell r="B683" t="str">
            <v>MAH. SEZ - IGST Payable</v>
          </cell>
          <cell r="C683">
            <v>49997.340000000004</v>
          </cell>
          <cell r="D683">
            <v>-8722</v>
          </cell>
          <cell r="E683">
            <v>0</v>
          </cell>
          <cell r="F683">
            <v>41275.340000000004</v>
          </cell>
          <cell r="G683"/>
          <cell r="H683">
            <v>49997.340000000004</v>
          </cell>
          <cell r="I683">
            <v>8722</v>
          </cell>
          <cell r="J683">
            <v>-8722</v>
          </cell>
          <cell r="K683">
            <v>49997.340000000004</v>
          </cell>
          <cell r="L683">
            <v>445780</v>
          </cell>
          <cell r="M683">
            <v>1</v>
          </cell>
          <cell r="N683">
            <v>0</v>
          </cell>
          <cell r="O683">
            <v>445780</v>
          </cell>
          <cell r="R683">
            <v>58719.34</v>
          </cell>
          <cell r="S683">
            <v>-8722</v>
          </cell>
        </row>
        <row r="684">
          <cell r="A684">
            <v>445882</v>
          </cell>
          <cell r="B684" t="str">
            <v>SERVICE TAX INPUT CREDIT AVAILED</v>
          </cell>
          <cell r="C684">
            <v>5421844.3000000007</v>
          </cell>
          <cell r="D684">
            <v>0</v>
          </cell>
          <cell r="E684">
            <v>0</v>
          </cell>
          <cell r="F684">
            <v>5421844.3000000007</v>
          </cell>
          <cell r="G684"/>
          <cell r="H684">
            <v>5421844.3000000007</v>
          </cell>
          <cell r="I684">
            <v>0</v>
          </cell>
          <cell r="J684">
            <v>0</v>
          </cell>
          <cell r="K684">
            <v>5421844.3000000007</v>
          </cell>
          <cell r="L684">
            <v>445882</v>
          </cell>
          <cell r="M684">
            <v>1</v>
          </cell>
          <cell r="N684">
            <v>0</v>
          </cell>
          <cell r="O684">
            <v>445882</v>
          </cell>
          <cell r="R684">
            <v>5421844.2999999998</v>
          </cell>
          <cell r="S684">
            <v>0</v>
          </cell>
        </row>
        <row r="685">
          <cell r="A685">
            <v>445885</v>
          </cell>
          <cell r="B685" t="str">
            <v>Service Tax Input Credit - Swachh Bharat Cess</v>
          </cell>
          <cell r="C685">
            <v>2550.8099999999977</v>
          </cell>
          <cell r="D685">
            <v>0</v>
          </cell>
          <cell r="E685">
            <v>0</v>
          </cell>
          <cell r="F685">
            <v>2550.8099999999977</v>
          </cell>
          <cell r="G685"/>
          <cell r="H685">
            <v>2550.8099999999977</v>
          </cell>
          <cell r="I685">
            <v>0</v>
          </cell>
          <cell r="J685">
            <v>0</v>
          </cell>
          <cell r="K685">
            <v>2550.8099999999977</v>
          </cell>
          <cell r="L685">
            <v>445885</v>
          </cell>
          <cell r="M685">
            <v>1</v>
          </cell>
          <cell r="N685">
            <v>0</v>
          </cell>
          <cell r="O685" t="e">
            <v>#N/A</v>
          </cell>
          <cell r="R685">
            <v>0</v>
          </cell>
          <cell r="S685">
            <v>0</v>
          </cell>
        </row>
        <row r="686">
          <cell r="A686">
            <v>445886</v>
          </cell>
          <cell r="B686" t="str">
            <v>Service Tax Payable - Swachh Bharat Cess</v>
          </cell>
          <cell r="C686">
            <v>-3390.0800000000004</v>
          </cell>
          <cell r="D686">
            <v>0</v>
          </cell>
          <cell r="E686">
            <v>0</v>
          </cell>
          <cell r="F686">
            <v>-3390.0800000000004</v>
          </cell>
          <cell r="G686"/>
          <cell r="H686">
            <v>-3390.0800000000004</v>
          </cell>
          <cell r="I686">
            <v>0</v>
          </cell>
          <cell r="J686">
            <v>0</v>
          </cell>
          <cell r="K686">
            <v>-3390.0800000000004</v>
          </cell>
          <cell r="L686">
            <v>445886</v>
          </cell>
          <cell r="M686">
            <v>1</v>
          </cell>
          <cell r="N686">
            <v>0</v>
          </cell>
          <cell r="O686" t="e">
            <v>#N/A</v>
          </cell>
          <cell r="R686">
            <v>0</v>
          </cell>
          <cell r="S686">
            <v>0</v>
          </cell>
        </row>
        <row r="687">
          <cell r="A687">
            <v>445888</v>
          </cell>
          <cell r="B687" t="str">
            <v>Krishi Kalyan Cess of 0.5% ST Payable</v>
          </cell>
          <cell r="C687">
            <v>13382.400000000001</v>
          </cell>
          <cell r="D687">
            <v>0</v>
          </cell>
          <cell r="E687">
            <v>0</v>
          </cell>
          <cell r="F687">
            <v>13382.400000000001</v>
          </cell>
          <cell r="G687"/>
          <cell r="H687">
            <v>13382.400000000001</v>
          </cell>
          <cell r="I687">
            <v>0</v>
          </cell>
          <cell r="J687">
            <v>0</v>
          </cell>
          <cell r="K687">
            <v>13382.400000000001</v>
          </cell>
          <cell r="L687">
            <v>445888</v>
          </cell>
          <cell r="M687">
            <v>1</v>
          </cell>
          <cell r="N687">
            <v>0</v>
          </cell>
          <cell r="O687" t="e">
            <v>#N/A</v>
          </cell>
          <cell r="R687">
            <v>0</v>
          </cell>
          <cell r="S687">
            <v>0</v>
          </cell>
        </row>
        <row r="688">
          <cell r="A688">
            <v>445889</v>
          </cell>
          <cell r="B688" t="str">
            <v>Input CGST Availed</v>
          </cell>
          <cell r="C688">
            <v>0</v>
          </cell>
          <cell r="D688">
            <v>3.24</v>
          </cell>
          <cell r="E688">
            <v>0</v>
          </cell>
          <cell r="F688">
            <v>3.24</v>
          </cell>
          <cell r="G688"/>
          <cell r="H688"/>
          <cell r="I688"/>
          <cell r="J688"/>
          <cell r="K688"/>
          <cell r="L688"/>
          <cell r="M688"/>
          <cell r="N688"/>
          <cell r="O688"/>
          <cell r="R688"/>
          <cell r="S688">
            <v>3.24</v>
          </cell>
        </row>
        <row r="689">
          <cell r="A689">
            <v>445890</v>
          </cell>
          <cell r="B689" t="str">
            <v>Input SGST Availed</v>
          </cell>
          <cell r="C689">
            <v>0</v>
          </cell>
          <cell r="D689">
            <v>3.24</v>
          </cell>
          <cell r="E689">
            <v>0</v>
          </cell>
          <cell r="F689">
            <v>3.24</v>
          </cell>
          <cell r="G689"/>
          <cell r="H689"/>
          <cell r="I689"/>
          <cell r="J689"/>
          <cell r="K689"/>
          <cell r="L689"/>
          <cell r="M689"/>
          <cell r="N689"/>
          <cell r="O689"/>
          <cell r="R689"/>
          <cell r="S689">
            <v>3.24</v>
          </cell>
        </row>
        <row r="690">
          <cell r="A690">
            <v>445891</v>
          </cell>
          <cell r="B690" t="str">
            <v>Input IGST Availed</v>
          </cell>
          <cell r="C690">
            <v>2880</v>
          </cell>
          <cell r="D690">
            <v>9072</v>
          </cell>
          <cell r="E690">
            <v>0</v>
          </cell>
          <cell r="F690">
            <v>11952</v>
          </cell>
          <cell r="G690"/>
          <cell r="H690">
            <v>0</v>
          </cell>
          <cell r="I690">
            <v>2880</v>
          </cell>
          <cell r="J690">
            <v>0</v>
          </cell>
          <cell r="K690">
            <v>2880</v>
          </cell>
          <cell r="L690">
            <v>445891</v>
          </cell>
          <cell r="M690">
            <v>1</v>
          </cell>
          <cell r="N690">
            <v>0</v>
          </cell>
          <cell r="O690">
            <v>445891</v>
          </cell>
          <cell r="R690">
            <v>2880</v>
          </cell>
          <cell r="S690">
            <v>9072</v>
          </cell>
        </row>
        <row r="691">
          <cell r="A691">
            <v>445916</v>
          </cell>
          <cell r="B691" t="str">
            <v>Service Tax Payable</v>
          </cell>
          <cell r="C691">
            <v>-123099.47000000003</v>
          </cell>
          <cell r="D691">
            <v>0</v>
          </cell>
          <cell r="E691">
            <v>0</v>
          </cell>
          <cell r="F691">
            <v>-123099.47000000003</v>
          </cell>
          <cell r="G691"/>
          <cell r="H691">
            <v>-123099.47000000003</v>
          </cell>
          <cell r="I691">
            <v>0</v>
          </cell>
          <cell r="J691">
            <v>0</v>
          </cell>
          <cell r="K691">
            <v>-123099.47000000003</v>
          </cell>
          <cell r="L691">
            <v>445916</v>
          </cell>
          <cell r="M691">
            <v>1</v>
          </cell>
          <cell r="N691">
            <v>0</v>
          </cell>
          <cell r="O691" t="e">
            <v>#N/A</v>
          </cell>
          <cell r="R691">
            <v>0</v>
          </cell>
          <cell r="S691">
            <v>0</v>
          </cell>
        </row>
        <row r="692">
          <cell r="A692">
            <v>445960</v>
          </cell>
          <cell r="B692" t="str">
            <v>MAH. SEZ - CGST Recoverable</v>
          </cell>
          <cell r="C692">
            <v>5502.25</v>
          </cell>
          <cell r="D692">
            <v>0</v>
          </cell>
          <cell r="E692">
            <v>0</v>
          </cell>
          <cell r="F692">
            <v>5502.25</v>
          </cell>
          <cell r="G692"/>
          <cell r="H692">
            <v>5502.25</v>
          </cell>
          <cell r="I692">
            <v>0</v>
          </cell>
          <cell r="J692">
            <v>0</v>
          </cell>
          <cell r="K692">
            <v>5502.25</v>
          </cell>
          <cell r="L692">
            <v>445960</v>
          </cell>
          <cell r="M692">
            <v>1</v>
          </cell>
          <cell r="N692">
            <v>0</v>
          </cell>
          <cell r="O692">
            <v>445960</v>
          </cell>
          <cell r="R692">
            <v>5502.25</v>
          </cell>
          <cell r="S692">
            <v>0</v>
          </cell>
        </row>
        <row r="693">
          <cell r="A693">
            <v>445970</v>
          </cell>
          <cell r="B693" t="str">
            <v>MAH. SEZ - SGST Recoverable</v>
          </cell>
          <cell r="C693">
            <v>5502.26</v>
          </cell>
          <cell r="D693">
            <v>0</v>
          </cell>
          <cell r="E693">
            <v>0</v>
          </cell>
          <cell r="F693">
            <v>5502.26</v>
          </cell>
          <cell r="G693"/>
          <cell r="H693">
            <v>5502.26</v>
          </cell>
          <cell r="I693">
            <v>0</v>
          </cell>
          <cell r="J693">
            <v>0</v>
          </cell>
          <cell r="K693">
            <v>5502.26</v>
          </cell>
          <cell r="L693">
            <v>445970</v>
          </cell>
          <cell r="M693">
            <v>1</v>
          </cell>
          <cell r="N693">
            <v>0</v>
          </cell>
          <cell r="O693">
            <v>445970</v>
          </cell>
          <cell r="R693">
            <v>5502.26</v>
          </cell>
          <cell r="S693">
            <v>0</v>
          </cell>
        </row>
        <row r="694">
          <cell r="A694">
            <v>445980</v>
          </cell>
          <cell r="B694" t="str">
            <v>MAH. SEZ - IGST Recoverable</v>
          </cell>
          <cell r="C694">
            <v>3286.9400000000032</v>
          </cell>
          <cell r="D694">
            <v>0</v>
          </cell>
          <cell r="E694">
            <v>0</v>
          </cell>
          <cell r="F694">
            <v>3286.9400000000032</v>
          </cell>
          <cell r="G694"/>
          <cell r="H694">
            <v>3286.9400000000032</v>
          </cell>
          <cell r="I694">
            <v>0</v>
          </cell>
          <cell r="J694">
            <v>0</v>
          </cell>
          <cell r="K694">
            <v>3286.9400000000032</v>
          </cell>
          <cell r="L694">
            <v>445980</v>
          </cell>
          <cell r="M694">
            <v>1</v>
          </cell>
          <cell r="N694">
            <v>0</v>
          </cell>
          <cell r="O694">
            <v>445980</v>
          </cell>
          <cell r="R694">
            <v>3286.94</v>
          </cell>
          <cell r="S694">
            <v>0</v>
          </cell>
        </row>
        <row r="695">
          <cell r="A695">
            <v>451099</v>
          </cell>
          <cell r="B695" t="str">
            <v>C/A Atos Syntel Inc. (US)</v>
          </cell>
          <cell r="C695">
            <v>683439.34851064638</v>
          </cell>
          <cell r="D695">
            <v>0</v>
          </cell>
          <cell r="E695">
            <v>-48418.948510638322</v>
          </cell>
          <cell r="F695">
            <v>635020.40000000806</v>
          </cell>
          <cell r="G695"/>
          <cell r="H695">
            <v>635020.40000000806</v>
          </cell>
          <cell r="I695">
            <v>0</v>
          </cell>
          <cell r="J695">
            <v>48418.948510638322</v>
          </cell>
          <cell r="K695">
            <v>683439.34851064638</v>
          </cell>
          <cell r="L695">
            <v>451099</v>
          </cell>
          <cell r="M695">
            <v>1</v>
          </cell>
          <cell r="N695">
            <v>0</v>
          </cell>
          <cell r="O695">
            <v>451099</v>
          </cell>
          <cell r="R695">
            <v>11736.29</v>
          </cell>
          <cell r="S695">
            <v>-48418.948510638322</v>
          </cell>
        </row>
        <row r="696">
          <cell r="A696">
            <v>451115</v>
          </cell>
          <cell r="B696" t="str">
            <v>C/A Syntel Pvt Ltd</v>
          </cell>
          <cell r="C696">
            <v>-1017231</v>
          </cell>
          <cell r="D696">
            <v>0</v>
          </cell>
          <cell r="E696">
            <v>0</v>
          </cell>
          <cell r="F696">
            <v>-1017231</v>
          </cell>
          <cell r="G696"/>
          <cell r="H696">
            <v>-1017231</v>
          </cell>
          <cell r="I696">
            <v>0</v>
          </cell>
          <cell r="J696">
            <v>0</v>
          </cell>
          <cell r="K696">
            <v>-1017231</v>
          </cell>
          <cell r="L696">
            <v>451115</v>
          </cell>
          <cell r="M696">
            <v>1</v>
          </cell>
          <cell r="N696">
            <v>0</v>
          </cell>
          <cell r="O696">
            <v>451115</v>
          </cell>
          <cell r="R696">
            <v>-171373</v>
          </cell>
          <cell r="S696">
            <v>0</v>
          </cell>
        </row>
        <row r="697">
          <cell r="A697">
            <v>451998</v>
          </cell>
          <cell r="B697" t="str">
            <v>Current Accounts Foreign Curr revaluati</v>
          </cell>
          <cell r="C697">
            <v>-29571.52</v>
          </cell>
          <cell r="D697">
            <v>0</v>
          </cell>
          <cell r="E697">
            <v>0</v>
          </cell>
          <cell r="F697">
            <v>-29571.52</v>
          </cell>
          <cell r="G697"/>
          <cell r="H697">
            <v>0</v>
          </cell>
          <cell r="I697">
            <v>-29571.52</v>
          </cell>
          <cell r="J697">
            <v>0</v>
          </cell>
          <cell r="K697">
            <v>-29571.52</v>
          </cell>
          <cell r="L697">
            <v>451998</v>
          </cell>
          <cell r="M697">
            <v>1</v>
          </cell>
          <cell r="N697">
            <v>0</v>
          </cell>
          <cell r="O697">
            <v>451998</v>
          </cell>
          <cell r="R697">
            <v>-29571.53</v>
          </cell>
          <cell r="S697">
            <v>0</v>
          </cell>
        </row>
        <row r="698">
          <cell r="A698">
            <v>457000</v>
          </cell>
          <cell r="B698" t="str">
            <v>DIVIDENDS TO BE PAID</v>
          </cell>
          <cell r="C698">
            <v>-3360</v>
          </cell>
          <cell r="D698">
            <v>3360</v>
          </cell>
          <cell r="E698">
            <v>0</v>
          </cell>
          <cell r="F698">
            <v>0</v>
          </cell>
          <cell r="G698"/>
          <cell r="H698">
            <v>-13514</v>
          </cell>
          <cell r="I698">
            <v>13514</v>
          </cell>
          <cell r="J698">
            <v>-3360</v>
          </cell>
          <cell r="K698">
            <v>-3360</v>
          </cell>
          <cell r="L698">
            <v>457000</v>
          </cell>
          <cell r="M698">
            <v>1</v>
          </cell>
          <cell r="N698">
            <v>0</v>
          </cell>
          <cell r="O698">
            <v>457000</v>
          </cell>
          <cell r="R698">
            <v>0</v>
          </cell>
          <cell r="S698">
            <v>3360</v>
          </cell>
        </row>
        <row r="699">
          <cell r="A699">
            <v>467010</v>
          </cell>
          <cell r="B699" t="str">
            <v>OTHER ACCOUNTS IN DEBIT</v>
          </cell>
          <cell r="C699">
            <v>6654407.7400000002</v>
          </cell>
          <cell r="D699">
            <v>0</v>
          </cell>
          <cell r="E699">
            <v>-43863</v>
          </cell>
          <cell r="F699">
            <v>6610544.7400000002</v>
          </cell>
          <cell r="G699"/>
          <cell r="H699">
            <v>6610544.7400000002</v>
          </cell>
          <cell r="I699">
            <v>0</v>
          </cell>
          <cell r="J699">
            <v>43863</v>
          </cell>
          <cell r="K699">
            <v>6654407.7400000002</v>
          </cell>
          <cell r="L699">
            <v>467010</v>
          </cell>
          <cell r="M699">
            <v>1</v>
          </cell>
          <cell r="N699">
            <v>0</v>
          </cell>
          <cell r="O699">
            <v>467010</v>
          </cell>
          <cell r="R699">
            <v>5071033.74</v>
          </cell>
          <cell r="S699">
            <v>-43863</v>
          </cell>
        </row>
        <row r="700">
          <cell r="A700">
            <v>467100</v>
          </cell>
          <cell r="B700" t="str">
            <v>OTHER ACCOUNTS IN CREDIT</v>
          </cell>
          <cell r="C700">
            <v>0</v>
          </cell>
          <cell r="D700">
            <v>0</v>
          </cell>
          <cell r="E700">
            <v>-100000</v>
          </cell>
          <cell r="F700">
            <v>-100000</v>
          </cell>
          <cell r="G700"/>
          <cell r="H700">
            <v>-100000</v>
          </cell>
          <cell r="I700">
            <v>0</v>
          </cell>
          <cell r="J700">
            <v>100000</v>
          </cell>
          <cell r="K700">
            <v>0</v>
          </cell>
          <cell r="L700">
            <v>467100</v>
          </cell>
          <cell r="M700">
            <v>1</v>
          </cell>
          <cell r="N700">
            <v>0</v>
          </cell>
          <cell r="O700">
            <v>467100</v>
          </cell>
          <cell r="R700">
            <v>-100000</v>
          </cell>
          <cell r="S700">
            <v>-100000</v>
          </cell>
        </row>
        <row r="701">
          <cell r="A701">
            <v>468701</v>
          </cell>
          <cell r="B701" t="str">
            <v>General Deposits</v>
          </cell>
          <cell r="C701">
            <v>15629.260000000007</v>
          </cell>
          <cell r="D701">
            <v>0</v>
          </cell>
          <cell r="E701">
            <v>0</v>
          </cell>
          <cell r="F701">
            <v>15629.260000000007</v>
          </cell>
          <cell r="G701"/>
          <cell r="H701">
            <v>15629.260000000007</v>
          </cell>
          <cell r="I701">
            <v>0</v>
          </cell>
          <cell r="J701">
            <v>0</v>
          </cell>
          <cell r="K701">
            <v>15629.260000000007</v>
          </cell>
          <cell r="L701">
            <v>468701</v>
          </cell>
          <cell r="M701">
            <v>1</v>
          </cell>
          <cell r="N701">
            <v>0</v>
          </cell>
          <cell r="O701">
            <v>468701</v>
          </cell>
          <cell r="R701">
            <v>15629.26</v>
          </cell>
          <cell r="S701">
            <v>0</v>
          </cell>
        </row>
        <row r="702">
          <cell r="A702">
            <v>481100</v>
          </cell>
          <cell r="B702" t="str">
            <v>DEFERRED CHARGES</v>
          </cell>
          <cell r="C702">
            <v>0</v>
          </cell>
          <cell r="D702">
            <v>0</v>
          </cell>
          <cell r="E702">
            <v>0</v>
          </cell>
          <cell r="F702">
            <v>0</v>
          </cell>
          <cell r="G702"/>
          <cell r="H702">
            <v>0</v>
          </cell>
          <cell r="I702">
            <v>0</v>
          </cell>
          <cell r="J702">
            <v>0</v>
          </cell>
          <cell r="K702">
            <v>0</v>
          </cell>
          <cell r="L702">
            <v>481100</v>
          </cell>
          <cell r="M702">
            <v>1</v>
          </cell>
          <cell r="N702">
            <v>0</v>
          </cell>
          <cell r="O702" t="e">
            <v>#N/A</v>
          </cell>
          <cell r="R702">
            <v>0</v>
          </cell>
          <cell r="S702">
            <v>0</v>
          </cell>
        </row>
        <row r="703">
          <cell r="A703">
            <v>486200</v>
          </cell>
          <cell r="B703" t="str">
            <v>Long term prepayment</v>
          </cell>
          <cell r="C703">
            <v>26609.523000000001</v>
          </cell>
          <cell r="D703">
            <v>-26609</v>
          </cell>
          <cell r="E703">
            <v>0</v>
          </cell>
          <cell r="F703">
            <v>0.52300000000104774</v>
          </cell>
          <cell r="G703"/>
          <cell r="H703">
            <v>19598.373000000003</v>
          </cell>
          <cell r="I703">
            <v>7011.15</v>
          </cell>
          <cell r="J703">
            <v>0</v>
          </cell>
          <cell r="K703">
            <v>26609.523000000001</v>
          </cell>
          <cell r="L703">
            <v>486200</v>
          </cell>
          <cell r="M703">
            <v>1</v>
          </cell>
          <cell r="N703">
            <v>0</v>
          </cell>
          <cell r="O703">
            <v>486200</v>
          </cell>
          <cell r="R703">
            <v>26609.53</v>
          </cell>
          <cell r="S703">
            <v>-26609</v>
          </cell>
        </row>
        <row r="704">
          <cell r="A704">
            <v>488000</v>
          </cell>
          <cell r="B704" t="str">
            <v>DEFERRED TAX</v>
          </cell>
          <cell r="C704">
            <v>909220.21562015684</v>
          </cell>
          <cell r="D704">
            <v>-3702357</v>
          </cell>
          <cell r="E704">
            <v>40854.000000000466</v>
          </cell>
          <cell r="F704">
            <v>-2752282.7843798427</v>
          </cell>
          <cell r="G704"/>
          <cell r="H704">
            <v>950074.21562015789</v>
          </cell>
          <cell r="I704">
            <v>-2769028.96</v>
          </cell>
          <cell r="J704">
            <v>2728174.959999999</v>
          </cell>
          <cell r="K704">
            <v>909220.21562015684</v>
          </cell>
          <cell r="L704">
            <v>488000</v>
          </cell>
          <cell r="M704">
            <v>1</v>
          </cell>
          <cell r="N704">
            <v>0</v>
          </cell>
          <cell r="O704">
            <v>488000</v>
          </cell>
          <cell r="R704">
            <v>173546066.44</v>
          </cell>
          <cell r="S704">
            <v>-3661502.9999999995</v>
          </cell>
        </row>
        <row r="705">
          <cell r="A705">
            <v>488010</v>
          </cell>
          <cell r="B705" t="str">
            <v>Deferred tax asset - Valuation allowanc</v>
          </cell>
          <cell r="C705">
            <v>0</v>
          </cell>
          <cell r="D705">
            <v>0</v>
          </cell>
          <cell r="E705">
            <v>0</v>
          </cell>
          <cell r="F705">
            <v>0</v>
          </cell>
          <cell r="G705"/>
          <cell r="H705">
            <v>0</v>
          </cell>
          <cell r="I705">
            <v>0</v>
          </cell>
          <cell r="J705">
            <v>0</v>
          </cell>
          <cell r="K705">
            <v>0</v>
          </cell>
          <cell r="L705" t="e">
            <v>#N/A</v>
          </cell>
          <cell r="M705">
            <v>1</v>
          </cell>
          <cell r="N705">
            <v>0</v>
          </cell>
          <cell r="O705" t="e">
            <v>#N/A</v>
          </cell>
          <cell r="R705">
            <v>0</v>
          </cell>
          <cell r="S705">
            <v>0</v>
          </cell>
        </row>
        <row r="706">
          <cell r="A706">
            <v>488120</v>
          </cell>
          <cell r="B706" t="str">
            <v>Deferred Tax - Mininumum alternate tax</v>
          </cell>
          <cell r="C706">
            <v>6216586.0304017663</v>
          </cell>
          <cell r="D706">
            <v>0</v>
          </cell>
          <cell r="E706">
            <v>2846895</v>
          </cell>
          <cell r="F706">
            <v>9063481.0304017663</v>
          </cell>
          <cell r="G706"/>
          <cell r="H706">
            <v>9083237.0304017663</v>
          </cell>
          <cell r="I706">
            <v>-17411</v>
          </cell>
          <cell r="J706">
            <v>-2849240</v>
          </cell>
          <cell r="K706">
            <v>6216586.0304017663</v>
          </cell>
          <cell r="L706">
            <v>488120</v>
          </cell>
          <cell r="M706">
            <v>1</v>
          </cell>
          <cell r="N706">
            <v>0</v>
          </cell>
          <cell r="O706">
            <v>488120</v>
          </cell>
          <cell r="R706">
            <v>9065826.1500000004</v>
          </cell>
          <cell r="S706">
            <v>2846895</v>
          </cell>
        </row>
        <row r="707">
          <cell r="A707">
            <v>409100</v>
          </cell>
          <cell r="B707" t="str">
            <v>DOWN PAYMENTS TO EXTERNAL VENDORS</v>
          </cell>
          <cell r="C707">
            <v>4698</v>
          </cell>
          <cell r="D707">
            <v>211323</v>
          </cell>
          <cell r="E707">
            <v>0</v>
          </cell>
          <cell r="F707">
            <v>216021</v>
          </cell>
          <cell r="G707"/>
          <cell r="H707">
            <v>0</v>
          </cell>
          <cell r="I707">
            <v>4698</v>
          </cell>
          <cell r="J707">
            <v>0</v>
          </cell>
          <cell r="K707">
            <v>4698</v>
          </cell>
          <cell r="L707">
            <v>409100</v>
          </cell>
          <cell r="M707">
            <v>1</v>
          </cell>
          <cell r="N707">
            <v>0</v>
          </cell>
          <cell r="O707"/>
          <cell r="R707">
            <v>4698</v>
          </cell>
          <cell r="S707">
            <v>211323</v>
          </cell>
        </row>
        <row r="708">
          <cell r="A708">
            <v>496700</v>
          </cell>
          <cell r="B708" t="str">
            <v>PROVISION - SUNDRY DEBTORS</v>
          </cell>
          <cell r="C708">
            <v>-1539511</v>
          </cell>
          <cell r="D708">
            <v>0</v>
          </cell>
          <cell r="E708">
            <v>0</v>
          </cell>
          <cell r="F708">
            <v>-1539511</v>
          </cell>
          <cell r="G708"/>
          <cell r="H708">
            <v>-1539511</v>
          </cell>
          <cell r="I708">
            <v>0</v>
          </cell>
          <cell r="J708">
            <v>0</v>
          </cell>
          <cell r="K708">
            <v>-1539511</v>
          </cell>
          <cell r="L708">
            <v>496700</v>
          </cell>
          <cell r="M708">
            <v>1</v>
          </cell>
          <cell r="N708">
            <v>0</v>
          </cell>
          <cell r="O708" t="e">
            <v>#N/A</v>
          </cell>
          <cell r="R708">
            <v>0</v>
          </cell>
          <cell r="S708">
            <v>0</v>
          </cell>
        </row>
        <row r="709">
          <cell r="A709">
            <v>508200</v>
          </cell>
          <cell r="B709" t="str">
            <v>Bank Deposit</v>
          </cell>
          <cell r="C709">
            <v>0</v>
          </cell>
          <cell r="D709">
            <v>0</v>
          </cell>
          <cell r="E709">
            <v>0</v>
          </cell>
          <cell r="F709">
            <v>0</v>
          </cell>
          <cell r="G709"/>
          <cell r="H709">
            <v>0</v>
          </cell>
          <cell r="I709">
            <v>0</v>
          </cell>
          <cell r="J709">
            <v>0</v>
          </cell>
          <cell r="K709">
            <v>0</v>
          </cell>
          <cell r="L709">
            <v>508200</v>
          </cell>
          <cell r="M709">
            <v>1</v>
          </cell>
          <cell r="N709">
            <v>0</v>
          </cell>
          <cell r="O709" t="e">
            <v>#N/A</v>
          </cell>
          <cell r="R709">
            <v>0</v>
          </cell>
          <cell r="S709">
            <v>0</v>
          </cell>
        </row>
        <row r="710">
          <cell r="A710">
            <v>508226</v>
          </cell>
          <cell r="B710" t="str">
            <v>JPMC Bank FD Account</v>
          </cell>
          <cell r="C710">
            <v>222200000</v>
          </cell>
          <cell r="D710">
            <v>16500000</v>
          </cell>
          <cell r="E710">
            <v>0</v>
          </cell>
          <cell r="F710">
            <v>238700000</v>
          </cell>
          <cell r="G710"/>
          <cell r="H710">
            <v>0</v>
          </cell>
          <cell r="I710">
            <v>222200000</v>
          </cell>
          <cell r="J710">
            <v>0</v>
          </cell>
          <cell r="K710">
            <v>222200000</v>
          </cell>
          <cell r="L710">
            <v>508226</v>
          </cell>
          <cell r="M710">
            <v>1</v>
          </cell>
          <cell r="N710">
            <v>0</v>
          </cell>
          <cell r="O710">
            <v>508226</v>
          </cell>
          <cell r="R710">
            <v>222200000</v>
          </cell>
          <cell r="S710">
            <v>16500000</v>
          </cell>
        </row>
        <row r="711">
          <cell r="A711">
            <v>508227</v>
          </cell>
          <cell r="B711" t="str">
            <v>JPMC Bank Flexi FD Account</v>
          </cell>
          <cell r="C711">
            <v>6250000</v>
          </cell>
          <cell r="D711">
            <v>-1750000</v>
          </cell>
          <cell r="E711">
            <v>0</v>
          </cell>
          <cell r="F711">
            <v>4500000</v>
          </cell>
          <cell r="G711"/>
          <cell r="H711">
            <v>0</v>
          </cell>
          <cell r="I711">
            <v>6250000</v>
          </cell>
          <cell r="J711">
            <v>0</v>
          </cell>
          <cell r="K711">
            <v>6250000</v>
          </cell>
          <cell r="L711">
            <v>508227</v>
          </cell>
          <cell r="M711">
            <v>1</v>
          </cell>
          <cell r="N711">
            <v>0</v>
          </cell>
          <cell r="O711">
            <v>508227</v>
          </cell>
          <cell r="R711">
            <v>6250000</v>
          </cell>
          <cell r="S711">
            <v>-1750000</v>
          </cell>
        </row>
        <row r="712">
          <cell r="A712">
            <v>511998</v>
          </cell>
          <cell r="B712" t="str">
            <v>SUNDRY EXPENSES CDN TIME DEPOSITS</v>
          </cell>
          <cell r="C712">
            <v>101645.56</v>
          </cell>
          <cell r="D712">
            <v>-13702.719999999972</v>
          </cell>
          <cell r="E712">
            <v>0</v>
          </cell>
          <cell r="F712">
            <v>87942.840000000026</v>
          </cell>
          <cell r="G712"/>
          <cell r="H712">
            <v>0</v>
          </cell>
          <cell r="I712">
            <v>101645.56</v>
          </cell>
          <cell r="J712">
            <v>0</v>
          </cell>
          <cell r="K712">
            <v>101645.56</v>
          </cell>
          <cell r="L712">
            <v>511998</v>
          </cell>
          <cell r="M712">
            <v>1</v>
          </cell>
          <cell r="N712">
            <v>0</v>
          </cell>
          <cell r="O712">
            <v>511998</v>
          </cell>
          <cell r="R712">
            <v>101645.56</v>
          </cell>
          <cell r="S712">
            <v>-13702.719999999972</v>
          </cell>
        </row>
        <row r="713">
          <cell r="A713">
            <v>5120276</v>
          </cell>
          <cell r="B713" t="str">
            <v>JPMorgan USD</v>
          </cell>
          <cell r="C713">
            <v>660.87</v>
          </cell>
          <cell r="D713">
            <v>-88603.710000000894</v>
          </cell>
          <cell r="E713">
            <v>0</v>
          </cell>
          <cell r="F713">
            <v>-87942.840000000899</v>
          </cell>
          <cell r="G713"/>
          <cell r="H713">
            <v>0</v>
          </cell>
          <cell r="I713">
            <v>660.87</v>
          </cell>
          <cell r="J713">
            <v>0</v>
          </cell>
          <cell r="K713">
            <v>660.87</v>
          </cell>
          <cell r="L713">
            <v>5120276</v>
          </cell>
          <cell r="M713">
            <v>1</v>
          </cell>
          <cell r="N713">
            <v>0</v>
          </cell>
          <cell r="O713">
            <v>5120276</v>
          </cell>
          <cell r="R713">
            <v>660.87</v>
          </cell>
          <cell r="S713">
            <v>-88603.710000000894</v>
          </cell>
        </row>
        <row r="714">
          <cell r="A714">
            <v>5890000</v>
          </cell>
          <cell r="B714" t="str">
            <v>EBS transit account</v>
          </cell>
          <cell r="C714">
            <v>0</v>
          </cell>
          <cell r="D714">
            <v>0</v>
          </cell>
          <cell r="E714">
            <v>0</v>
          </cell>
          <cell r="F714">
            <v>0</v>
          </cell>
          <cell r="G714"/>
          <cell r="H714">
            <v>0</v>
          </cell>
          <cell r="I714">
            <v>0</v>
          </cell>
          <cell r="J714">
            <v>0</v>
          </cell>
          <cell r="K714">
            <v>0</v>
          </cell>
          <cell r="L714">
            <v>5890000</v>
          </cell>
          <cell r="M714">
            <v>1</v>
          </cell>
          <cell r="N714">
            <v>0</v>
          </cell>
          <cell r="O714" t="e">
            <v>#N/A</v>
          </cell>
          <cell r="R714">
            <v>0</v>
          </cell>
          <cell r="S714">
            <v>0</v>
          </cell>
        </row>
        <row r="715">
          <cell r="A715">
            <v>51120215</v>
          </cell>
          <cell r="B715" t="str">
            <v>J. P. Morgan Chase Bank N.A.-INR-Rcpt</v>
          </cell>
          <cell r="C715">
            <v>0</v>
          </cell>
          <cell r="D715">
            <v>0</v>
          </cell>
          <cell r="E715">
            <v>3000000</v>
          </cell>
          <cell r="F715">
            <v>3000000</v>
          </cell>
          <cell r="G715"/>
          <cell r="H715">
            <v>-0.56000000005587935</v>
          </cell>
          <cell r="I715">
            <v>3000000.56</v>
          </cell>
          <cell r="J715">
            <v>-3000000</v>
          </cell>
          <cell r="K715">
            <v>0</v>
          </cell>
          <cell r="L715">
            <v>51120215</v>
          </cell>
          <cell r="M715">
            <v>1</v>
          </cell>
          <cell r="N715">
            <v>0</v>
          </cell>
          <cell r="O715">
            <v>51120215</v>
          </cell>
          <cell r="R715">
            <v>0</v>
          </cell>
          <cell r="S715">
            <v>3000000</v>
          </cell>
        </row>
        <row r="716">
          <cell r="A716">
            <v>51120216</v>
          </cell>
          <cell r="B716" t="str">
            <v>J. P. Morgan Chase Bank N.A.-INR-Rcpt</v>
          </cell>
          <cell r="C716">
            <v>0</v>
          </cell>
          <cell r="D716">
            <v>0</v>
          </cell>
          <cell r="E716">
            <v>0</v>
          </cell>
          <cell r="F716">
            <v>0</v>
          </cell>
          <cell r="G716"/>
          <cell r="H716">
            <v>0</v>
          </cell>
          <cell r="I716">
            <v>0</v>
          </cell>
          <cell r="J716">
            <v>0</v>
          </cell>
          <cell r="K716">
            <v>0</v>
          </cell>
          <cell r="L716">
            <v>51120216</v>
          </cell>
          <cell r="M716">
            <v>1</v>
          </cell>
          <cell r="N716">
            <v>0</v>
          </cell>
          <cell r="O716" t="e">
            <v>#N/A</v>
          </cell>
          <cell r="R716">
            <v>0</v>
          </cell>
          <cell r="S716">
            <v>0</v>
          </cell>
        </row>
        <row r="717">
          <cell r="A717">
            <v>51120217</v>
          </cell>
          <cell r="B717" t="str">
            <v>J. P. Morgan Chase Bank N.A.-INR-Rcpt</v>
          </cell>
          <cell r="C717">
            <v>0</v>
          </cell>
          <cell r="D717">
            <v>0</v>
          </cell>
          <cell r="E717">
            <v>20900000</v>
          </cell>
          <cell r="F717">
            <v>20900000</v>
          </cell>
          <cell r="G717"/>
          <cell r="H717">
            <v>0</v>
          </cell>
          <cell r="I717">
            <v>20900000</v>
          </cell>
          <cell r="J717">
            <v>-20900000</v>
          </cell>
          <cell r="K717">
            <v>0</v>
          </cell>
          <cell r="L717">
            <v>51120217</v>
          </cell>
          <cell r="M717">
            <v>1</v>
          </cell>
          <cell r="N717">
            <v>0</v>
          </cell>
          <cell r="O717">
            <v>51120217</v>
          </cell>
          <cell r="R717">
            <v>0</v>
          </cell>
          <cell r="S717">
            <v>20900000</v>
          </cell>
        </row>
        <row r="718">
          <cell r="A718">
            <v>51150215</v>
          </cell>
          <cell r="B718" t="str">
            <v>J. P. Morgan Chase Bank N.A.-INR-Pymt</v>
          </cell>
          <cell r="C718">
            <v>0</v>
          </cell>
          <cell r="D718">
            <v>0</v>
          </cell>
          <cell r="E718">
            <v>-1259372</v>
          </cell>
          <cell r="F718">
            <v>-1259372</v>
          </cell>
          <cell r="G718"/>
          <cell r="H718">
            <v>0</v>
          </cell>
          <cell r="I718">
            <v>-1259372</v>
          </cell>
          <cell r="J718">
            <v>1259372</v>
          </cell>
          <cell r="K718">
            <v>0</v>
          </cell>
          <cell r="L718">
            <v>51150215</v>
          </cell>
          <cell r="M718">
            <v>1</v>
          </cell>
          <cell r="N718">
            <v>0</v>
          </cell>
          <cell r="O718">
            <v>51150215</v>
          </cell>
          <cell r="R718">
            <v>0</v>
          </cell>
          <cell r="S718">
            <v>-1259372</v>
          </cell>
        </row>
        <row r="719">
          <cell r="A719">
            <v>51150216</v>
          </cell>
          <cell r="B719" t="str">
            <v>J. P. Morgan Chase Bank N.A.-INR-Pymt</v>
          </cell>
          <cell r="C719">
            <v>0</v>
          </cell>
          <cell r="D719">
            <v>0</v>
          </cell>
          <cell r="E719">
            <v>-431085</v>
          </cell>
          <cell r="F719">
            <v>-431085</v>
          </cell>
          <cell r="G719"/>
          <cell r="H719">
            <v>0</v>
          </cell>
          <cell r="I719">
            <v>-431085</v>
          </cell>
          <cell r="J719">
            <v>431085</v>
          </cell>
          <cell r="K719">
            <v>0</v>
          </cell>
          <cell r="L719">
            <v>51150216</v>
          </cell>
          <cell r="M719">
            <v>1</v>
          </cell>
          <cell r="N719">
            <v>0</v>
          </cell>
          <cell r="O719">
            <v>51150216</v>
          </cell>
          <cell r="R719">
            <v>0</v>
          </cell>
          <cell r="S719">
            <v>-431085</v>
          </cell>
        </row>
        <row r="720">
          <cell r="A720">
            <v>51150217</v>
          </cell>
          <cell r="B720" t="str">
            <v>J. P. Morgan Chase Bank N.A.-INR-Pymt</v>
          </cell>
          <cell r="C720">
            <v>0</v>
          </cell>
          <cell r="D720">
            <v>0</v>
          </cell>
          <cell r="E720">
            <v>-22000000</v>
          </cell>
          <cell r="F720">
            <v>-22000000</v>
          </cell>
          <cell r="G720"/>
          <cell r="H720">
            <v>0</v>
          </cell>
          <cell r="I720">
            <v>-22000000</v>
          </cell>
          <cell r="J720">
            <v>22000000</v>
          </cell>
          <cell r="K720">
            <v>0</v>
          </cell>
          <cell r="L720">
            <v>51150217</v>
          </cell>
          <cell r="M720">
            <v>1</v>
          </cell>
          <cell r="N720">
            <v>0</v>
          </cell>
          <cell r="O720">
            <v>51150217</v>
          </cell>
          <cell r="R720">
            <v>0</v>
          </cell>
          <cell r="S720">
            <v>-22000000</v>
          </cell>
        </row>
        <row r="721">
          <cell r="A721">
            <v>51200208</v>
          </cell>
          <cell r="B721" t="str">
            <v>Bank Of India-INR-Main</v>
          </cell>
          <cell r="C721">
            <v>11753.500000007451</v>
          </cell>
          <cell r="D721">
            <v>0</v>
          </cell>
          <cell r="E721">
            <v>0</v>
          </cell>
          <cell r="F721">
            <v>11753.500000007451</v>
          </cell>
          <cell r="G721"/>
          <cell r="H721">
            <v>11996.500000007451</v>
          </cell>
          <cell r="I721">
            <v>-243</v>
          </cell>
          <cell r="J721">
            <v>0</v>
          </cell>
          <cell r="K721">
            <v>11753.500000007451</v>
          </cell>
          <cell r="L721">
            <v>51200208</v>
          </cell>
          <cell r="M721">
            <v>1</v>
          </cell>
          <cell r="N721">
            <v>0</v>
          </cell>
          <cell r="O721">
            <v>51200208</v>
          </cell>
          <cell r="R721">
            <v>11754.5</v>
          </cell>
          <cell r="S721">
            <v>0</v>
          </cell>
        </row>
        <row r="722">
          <cell r="A722">
            <v>51200215</v>
          </cell>
          <cell r="B722" t="str">
            <v>J. P. Morgan Chase Bank N.A.-INR-Main</v>
          </cell>
          <cell r="C722">
            <v>379291.02000000048</v>
          </cell>
          <cell r="D722">
            <v>214138.46999998391</v>
          </cell>
          <cell r="E722">
            <v>-1752134.4100000001</v>
          </cell>
          <cell r="F722">
            <v>-1158704.9200000158</v>
          </cell>
          <cell r="G722"/>
          <cell r="H722">
            <v>1700429.6300000004</v>
          </cell>
          <cell r="I722">
            <v>-3073273.02</v>
          </cell>
          <cell r="J722">
            <v>1752134.4100000001</v>
          </cell>
          <cell r="K722">
            <v>379291.02000000048</v>
          </cell>
          <cell r="L722">
            <v>51200215</v>
          </cell>
          <cell r="M722">
            <v>1</v>
          </cell>
          <cell r="N722">
            <v>0</v>
          </cell>
          <cell r="O722">
            <v>51200215</v>
          </cell>
          <cell r="R722">
            <v>379291.02</v>
          </cell>
          <cell r="S722">
            <v>-1537995.9400000162</v>
          </cell>
        </row>
        <row r="723">
          <cell r="A723">
            <v>51200217</v>
          </cell>
          <cell r="B723" t="str">
            <v>J. P. Morgan Chase Bank N.A.-INR-Main</v>
          </cell>
          <cell r="C723">
            <v>6.0000002384185791E-2</v>
          </cell>
          <cell r="D723">
            <v>0</v>
          </cell>
          <cell r="E723">
            <v>1100000</v>
          </cell>
          <cell r="F723">
            <v>1100000.0600000024</v>
          </cell>
          <cell r="G723"/>
          <cell r="H723">
            <v>220040621.58000001</v>
          </cell>
          <cell r="I723">
            <v>-218940621.52000001</v>
          </cell>
          <cell r="J723">
            <v>-1100000</v>
          </cell>
          <cell r="K723">
            <v>6.0000002384185791E-2</v>
          </cell>
          <cell r="L723">
            <v>51200217</v>
          </cell>
          <cell r="M723">
            <v>1</v>
          </cell>
          <cell r="N723">
            <v>0</v>
          </cell>
          <cell r="O723">
            <v>51200217</v>
          </cell>
          <cell r="R723">
            <v>0.06</v>
          </cell>
          <cell r="S723">
            <v>1100000</v>
          </cell>
        </row>
        <row r="724">
          <cell r="A724">
            <v>411998</v>
          </cell>
          <cell r="B724" t="str">
            <v>Debtorss - Foreign Curr Revaluation Account</v>
          </cell>
          <cell r="C724">
            <v>506481.9</v>
          </cell>
          <cell r="D724">
            <v>-470210.9</v>
          </cell>
          <cell r="E724">
            <v>0</v>
          </cell>
          <cell r="F724">
            <v>36271</v>
          </cell>
          <cell r="G724"/>
          <cell r="H724">
            <v>169808</v>
          </cell>
          <cell r="I724">
            <v>336673.9</v>
          </cell>
          <cell r="J724">
            <v>0</v>
          </cell>
          <cell r="K724">
            <v>506481.9</v>
          </cell>
          <cell r="L724">
            <v>411998</v>
          </cell>
          <cell r="M724">
            <v>1</v>
          </cell>
          <cell r="N724">
            <v>0</v>
          </cell>
          <cell r="O724">
            <v>411998</v>
          </cell>
          <cell r="R724">
            <v>506481.9</v>
          </cell>
          <cell r="S724">
            <v>-470210.9</v>
          </cell>
        </row>
        <row r="725">
          <cell r="A725">
            <v>428650</v>
          </cell>
          <cell r="B725" t="str">
            <v>OTHER ACCRUED EXPENSES</v>
          </cell>
          <cell r="C725">
            <v>0</v>
          </cell>
          <cell r="D725">
            <v>0</v>
          </cell>
          <cell r="E725">
            <v>0</v>
          </cell>
          <cell r="F725">
            <v>0</v>
          </cell>
          <cell r="G725"/>
          <cell r="H725">
            <v>0</v>
          </cell>
          <cell r="I725">
            <v>0</v>
          </cell>
          <cell r="J725">
            <v>0</v>
          </cell>
          <cell r="K725">
            <v>0</v>
          </cell>
          <cell r="L725">
            <v>428650</v>
          </cell>
          <cell r="M725">
            <v>1</v>
          </cell>
          <cell r="N725">
            <v>0</v>
          </cell>
          <cell r="O725" t="e">
            <v>#N/A</v>
          </cell>
          <cell r="R725">
            <v>0</v>
          </cell>
          <cell r="S725">
            <v>0</v>
          </cell>
        </row>
        <row r="726">
          <cell r="A726">
            <v>1013001</v>
          </cell>
          <cell r="B726" t="str">
            <v>CAPITAL SUBSCRIBED - CALLED AND PAID</v>
          </cell>
          <cell r="C726">
            <v>0</v>
          </cell>
          <cell r="D726">
            <v>0</v>
          </cell>
          <cell r="E726">
            <v>-54000</v>
          </cell>
          <cell r="F726">
            <v>-54000</v>
          </cell>
          <cell r="G726"/>
          <cell r="H726">
            <v>0</v>
          </cell>
          <cell r="I726">
            <v>-54000</v>
          </cell>
          <cell r="J726">
            <v>54000</v>
          </cell>
          <cell r="K726">
            <v>0</v>
          </cell>
          <cell r="L726">
            <v>1013001</v>
          </cell>
          <cell r="M726">
            <v>1</v>
          </cell>
          <cell r="N726">
            <v>0</v>
          </cell>
          <cell r="O726">
            <v>1013001</v>
          </cell>
          <cell r="R726">
            <v>0</v>
          </cell>
          <cell r="S726">
            <v>-54000</v>
          </cell>
        </row>
        <row r="727">
          <cell r="A727">
            <v>4014500</v>
          </cell>
          <cell r="B727" t="str">
            <v>interco foreign Vendors</v>
          </cell>
          <cell r="C727">
            <v>0</v>
          </cell>
          <cell r="D727">
            <v>0</v>
          </cell>
          <cell r="E727">
            <v>535614.2300000001</v>
          </cell>
          <cell r="F727">
            <v>535614.2300000001</v>
          </cell>
          <cell r="G727"/>
          <cell r="H727">
            <v>0</v>
          </cell>
          <cell r="I727">
            <v>535704.43000000005</v>
          </cell>
          <cell r="J727">
            <v>-535704.43000000005</v>
          </cell>
          <cell r="K727">
            <v>0</v>
          </cell>
          <cell r="L727">
            <v>4014500</v>
          </cell>
          <cell r="M727">
            <v>1</v>
          </cell>
          <cell r="N727">
            <v>0</v>
          </cell>
          <cell r="O727">
            <v>4014500</v>
          </cell>
          <cell r="R727">
            <v>0</v>
          </cell>
          <cell r="S727">
            <v>535614.2300000001</v>
          </cell>
        </row>
        <row r="728">
          <cell r="A728">
            <v>4015000</v>
          </cell>
          <cell r="B728" t="str">
            <v>TRADE CREDITORS - GOODS AND SERVICES GROUP</v>
          </cell>
          <cell r="C728">
            <v>0</v>
          </cell>
          <cell r="D728">
            <v>0</v>
          </cell>
          <cell r="E728">
            <v>3360</v>
          </cell>
          <cell r="F728">
            <v>3360</v>
          </cell>
          <cell r="G728"/>
          <cell r="H728">
            <v>0</v>
          </cell>
          <cell r="I728">
            <v>7770.1</v>
          </cell>
          <cell r="J728">
            <v>-7770.1</v>
          </cell>
          <cell r="K728">
            <v>0</v>
          </cell>
          <cell r="L728">
            <v>4015000</v>
          </cell>
          <cell r="M728">
            <v>1</v>
          </cell>
          <cell r="N728">
            <v>0</v>
          </cell>
          <cell r="O728">
            <v>4015000</v>
          </cell>
          <cell r="R728">
            <v>0</v>
          </cell>
          <cell r="S728">
            <v>3360</v>
          </cell>
        </row>
        <row r="729">
          <cell r="A729">
            <v>4081510</v>
          </cell>
          <cell r="B729" t="str">
            <v>Outstanding Liabilities</v>
          </cell>
          <cell r="C729">
            <v>-6.0000000023865141</v>
          </cell>
          <cell r="D729">
            <v>0</v>
          </cell>
          <cell r="E729">
            <v>452660.81000000238</v>
          </cell>
          <cell r="F729">
            <v>452654.81</v>
          </cell>
          <cell r="G729"/>
          <cell r="H729">
            <v>0</v>
          </cell>
          <cell r="I729">
            <v>452654.81</v>
          </cell>
          <cell r="J729">
            <v>-452660.81000000238</v>
          </cell>
          <cell r="K729">
            <v>-6.0000000023865141</v>
          </cell>
          <cell r="L729">
            <v>4081510</v>
          </cell>
          <cell r="M729">
            <v>1</v>
          </cell>
          <cell r="N729">
            <v>0</v>
          </cell>
          <cell r="O729">
            <v>4081510</v>
          </cell>
          <cell r="R729">
            <v>0</v>
          </cell>
          <cell r="S729">
            <v>452660.81000000238</v>
          </cell>
        </row>
        <row r="730">
          <cell r="A730">
            <v>4085000</v>
          </cell>
          <cell r="B730" t="str">
            <v>TRADE CREDITORS - PURCH. INV. ACCRUALS GROUP</v>
          </cell>
          <cell r="C730">
            <v>0</v>
          </cell>
          <cell r="D730">
            <v>0</v>
          </cell>
          <cell r="E730">
            <v>-97259</v>
          </cell>
          <cell r="F730">
            <v>-97259</v>
          </cell>
          <cell r="G730"/>
          <cell r="H730">
            <v>0</v>
          </cell>
          <cell r="I730">
            <v>-33062</v>
          </cell>
          <cell r="J730">
            <v>33062</v>
          </cell>
          <cell r="K730">
            <v>0</v>
          </cell>
          <cell r="L730">
            <v>4085000</v>
          </cell>
          <cell r="M730">
            <v>1</v>
          </cell>
          <cell r="N730">
            <v>0</v>
          </cell>
          <cell r="O730">
            <v>4085000</v>
          </cell>
          <cell r="R730">
            <v>0</v>
          </cell>
          <cell r="S730">
            <v>-97259</v>
          </cell>
        </row>
        <row r="731">
          <cell r="A731">
            <v>4115000</v>
          </cell>
          <cell r="B731" t="str">
            <v>TRADE DEBTORS GROUP</v>
          </cell>
          <cell r="C731">
            <v>2.3865140974521637E-9</v>
          </cell>
          <cell r="D731">
            <v>0</v>
          </cell>
          <cell r="E731">
            <v>-241132.81000000238</v>
          </cell>
          <cell r="F731">
            <v>-241132.81</v>
          </cell>
          <cell r="G731"/>
          <cell r="H731">
            <v>0</v>
          </cell>
          <cell r="I731">
            <v>-241132.81</v>
          </cell>
          <cell r="J731">
            <v>241132.81000000238</v>
          </cell>
          <cell r="K731">
            <v>2.3865140974521637E-9</v>
          </cell>
          <cell r="L731">
            <v>4115000</v>
          </cell>
          <cell r="M731">
            <v>1</v>
          </cell>
          <cell r="N731">
            <v>0</v>
          </cell>
          <cell r="O731">
            <v>4115000</v>
          </cell>
          <cell r="R731">
            <v>0</v>
          </cell>
          <cell r="S731">
            <v>-241132.81000000238</v>
          </cell>
        </row>
        <row r="732">
          <cell r="A732">
            <v>4181500</v>
          </cell>
          <cell r="B732" t="str">
            <v>WIP: travel costs</v>
          </cell>
          <cell r="C732">
            <v>2.6492855395190418E-3</v>
          </cell>
          <cell r="D732">
            <v>0</v>
          </cell>
          <cell r="E732">
            <v>-626977.15009164729</v>
          </cell>
          <cell r="F732">
            <v>-626977.14744236181</v>
          </cell>
          <cell r="G732"/>
          <cell r="H732">
            <v>0</v>
          </cell>
          <cell r="I732">
            <v>-316586.57</v>
          </cell>
          <cell r="J732">
            <v>316586.57264928555</v>
          </cell>
          <cell r="K732">
            <v>2.6492855395190418E-3</v>
          </cell>
          <cell r="L732">
            <v>4181500</v>
          </cell>
          <cell r="M732">
            <v>1</v>
          </cell>
          <cell r="N732">
            <v>0</v>
          </cell>
          <cell r="O732">
            <v>4181500</v>
          </cell>
          <cell r="R732">
            <v>0</v>
          </cell>
          <cell r="S732">
            <v>-626977.15009164729</v>
          </cell>
        </row>
        <row r="733">
          <cell r="A733">
            <v>4210100</v>
          </cell>
          <cell r="B733" t="str">
            <v>Salary payables - regularization</v>
          </cell>
          <cell r="C733">
            <v>0</v>
          </cell>
          <cell r="D733">
            <v>0</v>
          </cell>
          <cell r="E733">
            <v>-431377</v>
          </cell>
          <cell r="F733">
            <v>-431377</v>
          </cell>
          <cell r="G733"/>
          <cell r="H733">
            <v>0</v>
          </cell>
          <cell r="I733">
            <v>-431377</v>
          </cell>
          <cell r="J733">
            <v>431377</v>
          </cell>
          <cell r="K733">
            <v>0</v>
          </cell>
          <cell r="L733">
            <v>4210100</v>
          </cell>
          <cell r="M733">
            <v>1</v>
          </cell>
          <cell r="N733">
            <v>0</v>
          </cell>
          <cell r="O733">
            <v>4210100</v>
          </cell>
          <cell r="R733">
            <v>0</v>
          </cell>
          <cell r="S733">
            <v>-431377</v>
          </cell>
        </row>
        <row r="734">
          <cell r="A734">
            <v>4286100</v>
          </cell>
          <cell r="B734" t="str">
            <v>ACCRUED EXPENSES - YEAR-END BONUS</v>
          </cell>
          <cell r="C734">
            <v>0</v>
          </cell>
          <cell r="D734">
            <v>0</v>
          </cell>
          <cell r="E734">
            <v>-8793</v>
          </cell>
          <cell r="F734">
            <v>-8793</v>
          </cell>
          <cell r="G734"/>
          <cell r="H734">
            <v>0</v>
          </cell>
          <cell r="I734">
            <v>-8793</v>
          </cell>
          <cell r="J734">
            <v>8793</v>
          </cell>
          <cell r="K734">
            <v>0</v>
          </cell>
          <cell r="L734">
            <v>4286100</v>
          </cell>
          <cell r="M734">
            <v>1</v>
          </cell>
          <cell r="N734">
            <v>0</v>
          </cell>
          <cell r="O734">
            <v>4286100</v>
          </cell>
          <cell r="R734">
            <v>0</v>
          </cell>
          <cell r="S734">
            <v>-8793</v>
          </cell>
        </row>
        <row r="735">
          <cell r="A735">
            <v>4372000</v>
          </cell>
          <cell r="B735" t="str">
            <v>WELFARE INSTITUTIONS</v>
          </cell>
          <cell r="C735">
            <v>0</v>
          </cell>
          <cell r="D735">
            <v>0</v>
          </cell>
          <cell r="E735">
            <v>-650</v>
          </cell>
          <cell r="F735">
            <v>-650</v>
          </cell>
          <cell r="G735"/>
          <cell r="H735">
            <v>0</v>
          </cell>
          <cell r="I735">
            <v>-650</v>
          </cell>
          <cell r="J735">
            <v>650</v>
          </cell>
          <cell r="K735">
            <v>0</v>
          </cell>
          <cell r="L735">
            <v>4372000</v>
          </cell>
          <cell r="M735">
            <v>1</v>
          </cell>
          <cell r="N735">
            <v>0</v>
          </cell>
          <cell r="O735">
            <v>4372000</v>
          </cell>
          <cell r="R735">
            <v>0</v>
          </cell>
          <cell r="S735">
            <v>-650</v>
          </cell>
        </row>
        <row r="736">
          <cell r="A736">
            <v>4373000</v>
          </cell>
          <cell r="B736" t="str">
            <v>PENSION FUNDS</v>
          </cell>
          <cell r="C736">
            <v>0</v>
          </cell>
          <cell r="D736">
            <v>0</v>
          </cell>
          <cell r="E736">
            <v>434</v>
          </cell>
          <cell r="F736">
            <v>434</v>
          </cell>
          <cell r="G736"/>
          <cell r="H736">
            <v>0</v>
          </cell>
          <cell r="I736">
            <v>434</v>
          </cell>
          <cell r="J736">
            <v>-434</v>
          </cell>
          <cell r="K736">
            <v>0</v>
          </cell>
          <cell r="L736">
            <v>4373000</v>
          </cell>
          <cell r="M736">
            <v>1</v>
          </cell>
          <cell r="N736">
            <v>0</v>
          </cell>
          <cell r="O736">
            <v>4373000</v>
          </cell>
          <cell r="R736">
            <v>0</v>
          </cell>
          <cell r="S736">
            <v>434</v>
          </cell>
        </row>
        <row r="737">
          <cell r="A737">
            <v>4374070</v>
          </cell>
          <cell r="B737" t="str">
            <v>TDS - Rent</v>
          </cell>
          <cell r="C737">
            <v>0</v>
          </cell>
          <cell r="D737">
            <v>0</v>
          </cell>
          <cell r="E737">
            <v>-10786.1</v>
          </cell>
          <cell r="F737">
            <v>-10786.1</v>
          </cell>
          <cell r="G737"/>
          <cell r="H737">
            <v>0</v>
          </cell>
          <cell r="I737">
            <v>-10786.1</v>
          </cell>
          <cell r="J737">
            <v>10786.1</v>
          </cell>
          <cell r="K737">
            <v>0</v>
          </cell>
          <cell r="L737">
            <v>4374070</v>
          </cell>
          <cell r="M737">
            <v>1</v>
          </cell>
          <cell r="N737">
            <v>0</v>
          </cell>
          <cell r="O737">
            <v>4374070</v>
          </cell>
          <cell r="R737">
            <v>0</v>
          </cell>
          <cell r="S737">
            <v>-10786.1</v>
          </cell>
        </row>
        <row r="738">
          <cell r="A738">
            <v>4374080</v>
          </cell>
          <cell r="B738" t="str">
            <v>TDS - Professional Fees</v>
          </cell>
          <cell r="C738">
            <v>0</v>
          </cell>
          <cell r="D738">
            <v>0</v>
          </cell>
          <cell r="E738">
            <v>21199</v>
          </cell>
          <cell r="F738">
            <v>21199</v>
          </cell>
          <cell r="G738"/>
          <cell r="H738">
            <v>0</v>
          </cell>
          <cell r="I738">
            <v>21199</v>
          </cell>
          <cell r="J738">
            <v>-21199</v>
          </cell>
          <cell r="K738">
            <v>0</v>
          </cell>
          <cell r="L738">
            <v>4374080</v>
          </cell>
          <cell r="M738">
            <v>1</v>
          </cell>
          <cell r="N738">
            <v>0</v>
          </cell>
          <cell r="O738">
            <v>4374080</v>
          </cell>
          <cell r="R738">
            <v>0</v>
          </cell>
          <cell r="S738">
            <v>21199</v>
          </cell>
        </row>
        <row r="739">
          <cell r="A739">
            <v>4386660</v>
          </cell>
          <cell r="B739" t="str">
            <v>INCOME TAXES ON SALARIES</v>
          </cell>
          <cell r="C739">
            <v>0</v>
          </cell>
          <cell r="D739">
            <v>0</v>
          </cell>
          <cell r="E739">
            <v>9011</v>
          </cell>
          <cell r="F739">
            <v>9011</v>
          </cell>
          <cell r="G739"/>
          <cell r="H739">
            <v>0</v>
          </cell>
          <cell r="I739">
            <v>9011</v>
          </cell>
          <cell r="J739">
            <v>-9011</v>
          </cell>
          <cell r="K739">
            <v>0</v>
          </cell>
          <cell r="L739">
            <v>4386660</v>
          </cell>
          <cell r="M739">
            <v>1</v>
          </cell>
          <cell r="N739">
            <v>0</v>
          </cell>
          <cell r="O739">
            <v>4386660</v>
          </cell>
          <cell r="R739">
            <v>0</v>
          </cell>
          <cell r="S739">
            <v>9011</v>
          </cell>
        </row>
        <row r="740">
          <cell r="A740">
            <v>4510000</v>
          </cell>
          <cell r="B740" t="str">
            <v>Current Account</v>
          </cell>
          <cell r="C740">
            <v>0</v>
          </cell>
          <cell r="D740">
            <v>0</v>
          </cell>
          <cell r="E740">
            <v>442591.41000000015</v>
          </cell>
          <cell r="F740">
            <v>442591.41000000015</v>
          </cell>
          <cell r="G740"/>
          <cell r="H740">
            <v>0</v>
          </cell>
          <cell r="I740">
            <v>442591.41</v>
          </cell>
          <cell r="J740">
            <v>-442591.41000000015</v>
          </cell>
          <cell r="K740">
            <v>0</v>
          </cell>
          <cell r="L740">
            <v>4510000</v>
          </cell>
          <cell r="M740">
            <v>1</v>
          </cell>
          <cell r="N740">
            <v>0</v>
          </cell>
          <cell r="O740">
            <v>4510000</v>
          </cell>
          <cell r="R740">
            <v>0</v>
          </cell>
          <cell r="S740">
            <v>442591.41000000015</v>
          </cell>
        </row>
        <row r="741">
          <cell r="A741">
            <v>4550000</v>
          </cell>
          <cell r="B741" t="str">
            <v>Intercompany current accounts liabilities</v>
          </cell>
          <cell r="C741">
            <v>1.0000000125728548E-2</v>
          </cell>
          <cell r="D741">
            <v>0</v>
          </cell>
          <cell r="E741">
            <v>-623284.12000000011</v>
          </cell>
          <cell r="F741">
            <v>-623284.11</v>
          </cell>
          <cell r="G741"/>
          <cell r="H741">
            <v>0</v>
          </cell>
          <cell r="I741">
            <v>-623284.11</v>
          </cell>
          <cell r="J741">
            <v>623284.12000000011</v>
          </cell>
          <cell r="K741">
            <v>1.0000000125728548E-2</v>
          </cell>
          <cell r="L741">
            <v>4550000</v>
          </cell>
          <cell r="M741">
            <v>1</v>
          </cell>
          <cell r="N741">
            <v>0</v>
          </cell>
          <cell r="O741">
            <v>4550000</v>
          </cell>
          <cell r="R741">
            <v>-845858</v>
          </cell>
          <cell r="S741">
            <v>-623284.12000000011</v>
          </cell>
        </row>
        <row r="742">
          <cell r="A742">
            <v>4880000</v>
          </cell>
          <cell r="B742" t="str">
            <v>DEFERRED TAX</v>
          </cell>
          <cell r="C742">
            <v>0</v>
          </cell>
          <cell r="D742">
            <v>0</v>
          </cell>
          <cell r="E742">
            <v>-182719.09999999998</v>
          </cell>
          <cell r="F742">
            <v>-182719.09999999998</v>
          </cell>
          <cell r="G742"/>
          <cell r="H742">
            <v>0</v>
          </cell>
          <cell r="I742">
            <v>-182719.1</v>
          </cell>
          <cell r="J742">
            <v>182719.09999999998</v>
          </cell>
          <cell r="K742">
            <v>0</v>
          </cell>
          <cell r="L742">
            <v>4880000</v>
          </cell>
          <cell r="M742">
            <v>1</v>
          </cell>
          <cell r="N742">
            <v>0</v>
          </cell>
          <cell r="O742">
            <v>4880000</v>
          </cell>
          <cell r="R742">
            <v>-175547740.28</v>
          </cell>
          <cell r="S742">
            <v>-182719.09999999998</v>
          </cell>
        </row>
        <row r="743">
          <cell r="A743">
            <v>4459160</v>
          </cell>
          <cell r="B743" t="str">
            <v>STAMP DUTY PAYABLE</v>
          </cell>
          <cell r="C743">
            <v>399960</v>
          </cell>
          <cell r="D743">
            <v>0</v>
          </cell>
          <cell r="E743">
            <v>0</v>
          </cell>
          <cell r="F743">
            <v>399960</v>
          </cell>
          <cell r="G743"/>
          <cell r="H743">
            <v>399960</v>
          </cell>
          <cell r="I743">
            <v>0</v>
          </cell>
          <cell r="J743">
            <v>0</v>
          </cell>
          <cell r="K743">
            <v>399960</v>
          </cell>
          <cell r="L743">
            <v>4459160</v>
          </cell>
          <cell r="M743">
            <v>1</v>
          </cell>
          <cell r="N743">
            <v>0</v>
          </cell>
          <cell r="O743">
            <v>4459160</v>
          </cell>
          <cell r="R743">
            <v>620804.61</v>
          </cell>
          <cell r="S743">
            <v>0</v>
          </cell>
        </row>
        <row r="744">
          <cell r="A744">
            <v>4458700</v>
          </cell>
          <cell r="B744" t="str">
            <v>VAT Provision Account</v>
          </cell>
          <cell r="C744">
            <v>-399960</v>
          </cell>
          <cell r="D744">
            <v>0</v>
          </cell>
          <cell r="E744">
            <v>0</v>
          </cell>
          <cell r="F744">
            <v>-399960</v>
          </cell>
          <cell r="G744"/>
          <cell r="H744">
            <v>-399960</v>
          </cell>
          <cell r="I744">
            <v>0</v>
          </cell>
          <cell r="J744">
            <v>0</v>
          </cell>
          <cell r="K744">
            <v>-399960</v>
          </cell>
          <cell r="L744">
            <v>4458700</v>
          </cell>
          <cell r="M744">
            <v>1</v>
          </cell>
          <cell r="N744">
            <v>0</v>
          </cell>
          <cell r="O744">
            <v>4458700</v>
          </cell>
          <cell r="R744">
            <v>-1939471</v>
          </cell>
          <cell r="S744">
            <v>0</v>
          </cell>
        </row>
        <row r="745">
          <cell r="A745"/>
          <cell r="B745"/>
          <cell r="C745"/>
          <cell r="D745"/>
          <cell r="E745"/>
          <cell r="F745"/>
          <cell r="G745"/>
          <cell r="H745"/>
          <cell r="I745"/>
          <cell r="J745"/>
          <cell r="K745"/>
          <cell r="L745"/>
          <cell r="M745"/>
          <cell r="N745">
            <v>0</v>
          </cell>
          <cell r="O745"/>
          <cell r="R745">
            <v>0</v>
          </cell>
          <cell r="S745">
            <v>0</v>
          </cell>
        </row>
        <row r="746">
          <cell r="A746">
            <v>400010</v>
          </cell>
          <cell r="B746" t="str">
            <v>Onsite/Offsite Revenues</v>
          </cell>
          <cell r="C746"/>
          <cell r="D746"/>
          <cell r="E746"/>
          <cell r="F746">
            <v>0</v>
          </cell>
          <cell r="G746"/>
          <cell r="H746"/>
          <cell r="I746">
            <v>0</v>
          </cell>
          <cell r="J746">
            <v>0</v>
          </cell>
          <cell r="K746">
            <v>0</v>
          </cell>
          <cell r="L746">
            <v>400010</v>
          </cell>
          <cell r="M746">
            <v>1</v>
          </cell>
          <cell r="N746">
            <v>0</v>
          </cell>
          <cell r="O746">
            <v>400010</v>
          </cell>
          <cell r="P746">
            <v>-26360221.6173</v>
          </cell>
          <cell r="Q746">
            <v>26360221.6173</v>
          </cell>
          <cell r="R746">
            <v>0</v>
          </cell>
          <cell r="S746">
            <v>0</v>
          </cell>
        </row>
        <row r="747">
          <cell r="A747">
            <v>400020</v>
          </cell>
          <cell r="B747" t="str">
            <v>Revenue Adjustments</v>
          </cell>
          <cell r="C747"/>
          <cell r="D747"/>
          <cell r="E747"/>
          <cell r="F747">
            <v>0</v>
          </cell>
          <cell r="G747"/>
          <cell r="H747"/>
          <cell r="I747">
            <v>0</v>
          </cell>
          <cell r="J747">
            <v>0</v>
          </cell>
          <cell r="K747">
            <v>0</v>
          </cell>
          <cell r="L747">
            <v>400020</v>
          </cell>
          <cell r="M747">
            <v>1</v>
          </cell>
          <cell r="N747">
            <v>0</v>
          </cell>
          <cell r="O747">
            <v>400020</v>
          </cell>
          <cell r="P747">
            <v>0</v>
          </cell>
          <cell r="Q747">
            <v>0</v>
          </cell>
          <cell r="R747">
            <v>0</v>
          </cell>
          <cell r="S747">
            <v>0</v>
          </cell>
        </row>
        <row r="748">
          <cell r="A748">
            <v>400021</v>
          </cell>
          <cell r="B748" t="str">
            <v>Local Sales - India</v>
          </cell>
          <cell r="C748"/>
          <cell r="D748"/>
          <cell r="E748"/>
          <cell r="F748">
            <v>0</v>
          </cell>
          <cell r="G748"/>
          <cell r="H748"/>
          <cell r="I748">
            <v>0</v>
          </cell>
          <cell r="J748">
            <v>0</v>
          </cell>
          <cell r="K748">
            <v>0</v>
          </cell>
          <cell r="L748">
            <v>400021</v>
          </cell>
          <cell r="M748">
            <v>1</v>
          </cell>
          <cell r="N748">
            <v>0</v>
          </cell>
          <cell r="O748">
            <v>400021</v>
          </cell>
          <cell r="P748">
            <v>-3184272.41</v>
          </cell>
          <cell r="Q748">
            <v>3184272.41</v>
          </cell>
          <cell r="R748">
            <v>0</v>
          </cell>
          <cell r="S748">
            <v>0</v>
          </cell>
        </row>
        <row r="749">
          <cell r="A749">
            <v>400030</v>
          </cell>
          <cell r="B749" t="str">
            <v>Offshore Revenue</v>
          </cell>
          <cell r="C749"/>
          <cell r="D749"/>
          <cell r="E749"/>
          <cell r="F749">
            <v>0</v>
          </cell>
          <cell r="G749"/>
          <cell r="H749"/>
          <cell r="I749">
            <v>0</v>
          </cell>
          <cell r="J749">
            <v>0</v>
          </cell>
          <cell r="K749">
            <v>0</v>
          </cell>
          <cell r="L749">
            <v>400030</v>
          </cell>
          <cell r="M749">
            <v>1</v>
          </cell>
          <cell r="N749">
            <v>0</v>
          </cell>
          <cell r="O749">
            <v>400030</v>
          </cell>
          <cell r="P749">
            <v>-24931730.620000001</v>
          </cell>
          <cell r="Q749">
            <v>24931730.620000001</v>
          </cell>
          <cell r="R749">
            <v>0</v>
          </cell>
          <cell r="S749">
            <v>0</v>
          </cell>
        </row>
        <row r="750">
          <cell r="A750">
            <v>400040</v>
          </cell>
          <cell r="B750" t="str">
            <v>Domestic Direct Revenue</v>
          </cell>
          <cell r="C750"/>
          <cell r="D750"/>
          <cell r="E750"/>
          <cell r="F750">
            <v>0</v>
          </cell>
          <cell r="G750"/>
          <cell r="H750"/>
          <cell r="I750">
            <v>0</v>
          </cell>
          <cell r="J750">
            <v>0</v>
          </cell>
          <cell r="K750">
            <v>0</v>
          </cell>
          <cell r="L750">
            <v>400040</v>
          </cell>
          <cell r="M750">
            <v>1</v>
          </cell>
          <cell r="N750">
            <v>0</v>
          </cell>
          <cell r="O750">
            <v>400040</v>
          </cell>
          <cell r="P750">
            <v>0</v>
          </cell>
          <cell r="Q750">
            <v>0</v>
          </cell>
          <cell r="R750">
            <v>0</v>
          </cell>
          <cell r="S750">
            <v>0</v>
          </cell>
        </row>
        <row r="751">
          <cell r="A751">
            <v>400050</v>
          </cell>
          <cell r="B751" t="str">
            <v>Reimbursement of Expenses-REVE</v>
          </cell>
          <cell r="C751"/>
          <cell r="D751"/>
          <cell r="E751"/>
          <cell r="F751">
            <v>0</v>
          </cell>
          <cell r="G751"/>
          <cell r="H751"/>
          <cell r="I751">
            <v>0</v>
          </cell>
          <cell r="J751">
            <v>0</v>
          </cell>
          <cell r="K751">
            <v>0</v>
          </cell>
          <cell r="L751">
            <v>400050</v>
          </cell>
          <cell r="M751">
            <v>1</v>
          </cell>
          <cell r="N751">
            <v>0</v>
          </cell>
          <cell r="O751">
            <v>400050</v>
          </cell>
          <cell r="P751">
            <v>0</v>
          </cell>
          <cell r="Q751">
            <v>0</v>
          </cell>
          <cell r="R751">
            <v>0</v>
          </cell>
          <cell r="S751">
            <v>0</v>
          </cell>
        </row>
        <row r="752">
          <cell r="A752">
            <v>400060</v>
          </cell>
          <cell r="B752" t="str">
            <v>Sales Incentives</v>
          </cell>
          <cell r="C752"/>
          <cell r="D752"/>
          <cell r="E752"/>
          <cell r="F752">
            <v>0</v>
          </cell>
          <cell r="G752"/>
          <cell r="H752"/>
          <cell r="I752">
            <v>0</v>
          </cell>
          <cell r="J752">
            <v>0</v>
          </cell>
          <cell r="K752">
            <v>0</v>
          </cell>
          <cell r="L752">
            <v>400060</v>
          </cell>
          <cell r="M752">
            <v>1</v>
          </cell>
          <cell r="N752">
            <v>0</v>
          </cell>
          <cell r="O752">
            <v>400060</v>
          </cell>
          <cell r="P752">
            <v>0</v>
          </cell>
          <cell r="Q752">
            <v>0</v>
          </cell>
          <cell r="R752">
            <v>0</v>
          </cell>
          <cell r="S752">
            <v>0</v>
          </cell>
        </row>
        <row r="753">
          <cell r="A753">
            <v>400061</v>
          </cell>
          <cell r="B753" t="str">
            <v>Volume Discount/Rebates</v>
          </cell>
          <cell r="C753"/>
          <cell r="D753"/>
          <cell r="E753"/>
          <cell r="F753">
            <v>0</v>
          </cell>
          <cell r="G753"/>
          <cell r="H753"/>
          <cell r="I753">
            <v>0</v>
          </cell>
          <cell r="J753">
            <v>0</v>
          </cell>
          <cell r="K753">
            <v>0</v>
          </cell>
          <cell r="L753">
            <v>400061</v>
          </cell>
          <cell r="M753">
            <v>1</v>
          </cell>
          <cell r="N753">
            <v>0</v>
          </cell>
          <cell r="O753">
            <v>400061</v>
          </cell>
          <cell r="P753">
            <v>0</v>
          </cell>
          <cell r="Q753">
            <v>0</v>
          </cell>
          <cell r="R753">
            <v>0</v>
          </cell>
          <cell r="S753">
            <v>0</v>
          </cell>
        </row>
        <row r="754">
          <cell r="A754">
            <v>400070</v>
          </cell>
          <cell r="B754" t="str">
            <v>Exchange Gain / Loss</v>
          </cell>
          <cell r="C754"/>
          <cell r="D754"/>
          <cell r="E754"/>
          <cell r="F754">
            <v>0</v>
          </cell>
          <cell r="G754"/>
          <cell r="H754"/>
          <cell r="I754">
            <v>0</v>
          </cell>
          <cell r="J754">
            <v>0</v>
          </cell>
          <cell r="K754">
            <v>0</v>
          </cell>
          <cell r="L754">
            <v>400070</v>
          </cell>
          <cell r="M754">
            <v>1</v>
          </cell>
          <cell r="N754">
            <v>0</v>
          </cell>
          <cell r="O754">
            <v>400070</v>
          </cell>
          <cell r="P754">
            <v>-2635471.2966960571</v>
          </cell>
          <cell r="Q754">
            <v>2635471.2966960571</v>
          </cell>
          <cell r="R754">
            <v>0</v>
          </cell>
          <cell r="S754">
            <v>0</v>
          </cell>
        </row>
        <row r="755">
          <cell r="A755">
            <v>400071</v>
          </cell>
          <cell r="B755" t="str">
            <v>Exch Gain / Loss (Actual)</v>
          </cell>
          <cell r="C755"/>
          <cell r="D755"/>
          <cell r="E755"/>
          <cell r="F755">
            <v>0</v>
          </cell>
          <cell r="G755"/>
          <cell r="H755"/>
          <cell r="I755">
            <v>0</v>
          </cell>
          <cell r="J755">
            <v>0</v>
          </cell>
          <cell r="K755">
            <v>0</v>
          </cell>
          <cell r="L755">
            <v>400071</v>
          </cell>
          <cell r="M755">
            <v>1</v>
          </cell>
          <cell r="N755">
            <v>0</v>
          </cell>
          <cell r="O755">
            <v>400071</v>
          </cell>
          <cell r="P755">
            <v>-39402115.8979</v>
          </cell>
          <cell r="Q755">
            <v>39402115.8979</v>
          </cell>
          <cell r="R755">
            <v>0</v>
          </cell>
          <cell r="S755">
            <v>0</v>
          </cell>
        </row>
        <row r="756">
          <cell r="A756">
            <v>400072</v>
          </cell>
          <cell r="B756" t="str">
            <v>Rounding Suspense Account</v>
          </cell>
          <cell r="C756"/>
          <cell r="D756"/>
          <cell r="E756"/>
          <cell r="F756">
            <v>0</v>
          </cell>
          <cell r="G756"/>
          <cell r="H756"/>
          <cell r="I756">
            <v>0</v>
          </cell>
          <cell r="J756">
            <v>0</v>
          </cell>
          <cell r="K756">
            <v>0</v>
          </cell>
          <cell r="L756">
            <v>400072</v>
          </cell>
          <cell r="M756">
            <v>1</v>
          </cell>
          <cell r="N756">
            <v>0</v>
          </cell>
          <cell r="O756">
            <v>400072</v>
          </cell>
          <cell r="P756"/>
          <cell r="Q756"/>
          <cell r="R756">
            <v>0</v>
          </cell>
          <cell r="S756">
            <v>0</v>
          </cell>
        </row>
        <row r="757">
          <cell r="A757">
            <v>400073</v>
          </cell>
          <cell r="B757" t="str">
            <v>Exchange Gain/Loss Derivatives</v>
          </cell>
          <cell r="C757"/>
          <cell r="D757"/>
          <cell r="E757"/>
          <cell r="F757">
            <v>0</v>
          </cell>
          <cell r="G757"/>
          <cell r="H757"/>
          <cell r="I757">
            <v>0</v>
          </cell>
          <cell r="J757">
            <v>0</v>
          </cell>
          <cell r="K757">
            <v>0</v>
          </cell>
          <cell r="L757">
            <v>400073</v>
          </cell>
          <cell r="M757">
            <v>1</v>
          </cell>
          <cell r="N757">
            <v>0</v>
          </cell>
          <cell r="O757">
            <v>400073</v>
          </cell>
          <cell r="P757">
            <v>0</v>
          </cell>
          <cell r="Q757">
            <v>0</v>
          </cell>
          <cell r="R757">
            <v>0</v>
          </cell>
          <cell r="S757">
            <v>0</v>
          </cell>
        </row>
        <row r="758">
          <cell r="A758">
            <v>400074</v>
          </cell>
          <cell r="B758" t="str">
            <v>Exch Gain / Loss-Inter com</v>
          </cell>
          <cell r="C758"/>
          <cell r="D758"/>
          <cell r="E758"/>
          <cell r="F758">
            <v>0</v>
          </cell>
          <cell r="G758"/>
          <cell r="H758"/>
          <cell r="I758">
            <v>0</v>
          </cell>
          <cell r="J758">
            <v>0</v>
          </cell>
          <cell r="K758">
            <v>0</v>
          </cell>
          <cell r="L758">
            <v>400074</v>
          </cell>
          <cell r="M758">
            <v>1</v>
          </cell>
          <cell r="N758">
            <v>0</v>
          </cell>
          <cell r="O758">
            <v>400074</v>
          </cell>
          <cell r="P758">
            <v>15605.24</v>
          </cell>
          <cell r="Q758">
            <v>-15605.24</v>
          </cell>
          <cell r="R758">
            <v>0</v>
          </cell>
          <cell r="S758">
            <v>0</v>
          </cell>
        </row>
        <row r="759">
          <cell r="A759">
            <v>400075</v>
          </cell>
          <cell r="B759" t="str">
            <v>Exch Gain/Loss(Act)-Inter com</v>
          </cell>
          <cell r="C759"/>
          <cell r="D759"/>
          <cell r="E759"/>
          <cell r="F759">
            <v>0</v>
          </cell>
          <cell r="G759"/>
          <cell r="H759"/>
          <cell r="I759">
            <v>0</v>
          </cell>
          <cell r="J759">
            <v>0</v>
          </cell>
          <cell r="K759">
            <v>0</v>
          </cell>
          <cell r="L759">
            <v>400075</v>
          </cell>
          <cell r="M759">
            <v>1</v>
          </cell>
          <cell r="N759">
            <v>0</v>
          </cell>
          <cell r="O759">
            <v>400075</v>
          </cell>
          <cell r="P759">
            <v>4192627.7</v>
          </cell>
          <cell r="Q759">
            <v>-4192627.7</v>
          </cell>
          <cell r="R759">
            <v>0</v>
          </cell>
          <cell r="S759">
            <v>0</v>
          </cell>
        </row>
        <row r="760">
          <cell r="A760">
            <v>400110</v>
          </cell>
          <cell r="B760" t="str">
            <v>Inter Unit Onsite/Offsite Reve</v>
          </cell>
          <cell r="C760"/>
          <cell r="D760"/>
          <cell r="E760"/>
          <cell r="F760">
            <v>0</v>
          </cell>
          <cell r="G760"/>
          <cell r="H760"/>
          <cell r="I760">
            <v>0</v>
          </cell>
          <cell r="J760">
            <v>0</v>
          </cell>
          <cell r="K760">
            <v>0</v>
          </cell>
          <cell r="L760">
            <v>400110</v>
          </cell>
          <cell r="M760">
            <v>1</v>
          </cell>
          <cell r="N760">
            <v>0</v>
          </cell>
          <cell r="O760">
            <v>400110</v>
          </cell>
          <cell r="P760">
            <v>-6193420</v>
          </cell>
          <cell r="Q760">
            <v>6193420</v>
          </cell>
          <cell r="R760">
            <v>0</v>
          </cell>
          <cell r="S760">
            <v>0</v>
          </cell>
        </row>
        <row r="761">
          <cell r="A761">
            <v>400130</v>
          </cell>
          <cell r="B761" t="str">
            <v>Inter Unit Offshore Revenue</v>
          </cell>
          <cell r="C761"/>
          <cell r="D761"/>
          <cell r="E761"/>
          <cell r="F761">
            <v>0</v>
          </cell>
          <cell r="G761"/>
          <cell r="H761"/>
          <cell r="I761">
            <v>0</v>
          </cell>
          <cell r="J761">
            <v>0</v>
          </cell>
          <cell r="K761">
            <v>0</v>
          </cell>
          <cell r="L761">
            <v>400130</v>
          </cell>
          <cell r="M761">
            <v>1</v>
          </cell>
          <cell r="N761">
            <v>0</v>
          </cell>
          <cell r="O761">
            <v>400130</v>
          </cell>
          <cell r="P761">
            <v>-38525171.979999997</v>
          </cell>
          <cell r="Q761">
            <v>38525171.979999997</v>
          </cell>
          <cell r="R761">
            <v>0</v>
          </cell>
          <cell r="S761">
            <v>0</v>
          </cell>
        </row>
        <row r="762">
          <cell r="A762">
            <v>400140</v>
          </cell>
          <cell r="B762" t="str">
            <v>Finder Fees - Inter company</v>
          </cell>
          <cell r="C762"/>
          <cell r="D762"/>
          <cell r="E762"/>
          <cell r="F762">
            <v>0</v>
          </cell>
          <cell r="G762"/>
          <cell r="H762"/>
          <cell r="I762">
            <v>0</v>
          </cell>
          <cell r="J762">
            <v>0</v>
          </cell>
          <cell r="K762">
            <v>0</v>
          </cell>
          <cell r="L762">
            <v>400140</v>
          </cell>
          <cell r="M762">
            <v>1</v>
          </cell>
          <cell r="N762">
            <v>0</v>
          </cell>
          <cell r="O762">
            <v>400140</v>
          </cell>
          <cell r="P762">
            <v>0</v>
          </cell>
          <cell r="Q762">
            <v>0</v>
          </cell>
          <cell r="R762">
            <v>0</v>
          </cell>
          <cell r="S762">
            <v>0</v>
          </cell>
        </row>
        <row r="763">
          <cell r="A763">
            <v>400141</v>
          </cell>
          <cell r="B763" t="str">
            <v>Finder Fee-InterCompany Domes</v>
          </cell>
          <cell r="C763"/>
          <cell r="D763"/>
          <cell r="E763"/>
          <cell r="F763">
            <v>0</v>
          </cell>
          <cell r="G763"/>
          <cell r="H763"/>
          <cell r="I763">
            <v>0</v>
          </cell>
          <cell r="J763">
            <v>0</v>
          </cell>
          <cell r="K763">
            <v>0</v>
          </cell>
          <cell r="L763">
            <v>400141</v>
          </cell>
          <cell r="M763">
            <v>1</v>
          </cell>
          <cell r="N763">
            <v>0</v>
          </cell>
          <cell r="O763">
            <v>400141</v>
          </cell>
          <cell r="P763">
            <v>0</v>
          </cell>
          <cell r="Q763">
            <v>0</v>
          </cell>
          <cell r="R763">
            <v>0</v>
          </cell>
          <cell r="S763">
            <v>0</v>
          </cell>
        </row>
        <row r="764">
          <cell r="A764">
            <v>500010</v>
          </cell>
          <cell r="B764" t="str">
            <v>Payroll - Corporate</v>
          </cell>
          <cell r="C764"/>
          <cell r="D764"/>
          <cell r="E764"/>
          <cell r="F764">
            <v>0</v>
          </cell>
          <cell r="G764"/>
          <cell r="H764"/>
          <cell r="I764">
            <v>0</v>
          </cell>
          <cell r="J764">
            <v>0</v>
          </cell>
          <cell r="K764">
            <v>0</v>
          </cell>
          <cell r="L764">
            <v>500010</v>
          </cell>
          <cell r="M764">
            <v>1</v>
          </cell>
          <cell r="N764">
            <v>0</v>
          </cell>
          <cell r="O764">
            <v>500010</v>
          </cell>
          <cell r="P764">
            <v>0</v>
          </cell>
          <cell r="Q764">
            <v>0</v>
          </cell>
          <cell r="R764">
            <v>0</v>
          </cell>
          <cell r="S764">
            <v>0</v>
          </cell>
        </row>
        <row r="765">
          <cell r="A765">
            <v>500015</v>
          </cell>
          <cell r="B765" t="str">
            <v>Payroll - Consultants</v>
          </cell>
          <cell r="C765"/>
          <cell r="D765"/>
          <cell r="E765"/>
          <cell r="F765">
            <v>0</v>
          </cell>
          <cell r="G765"/>
          <cell r="H765"/>
          <cell r="I765">
            <v>0</v>
          </cell>
          <cell r="J765">
            <v>0</v>
          </cell>
          <cell r="K765">
            <v>0</v>
          </cell>
          <cell r="L765">
            <v>500015</v>
          </cell>
          <cell r="M765">
            <v>1</v>
          </cell>
          <cell r="N765">
            <v>0</v>
          </cell>
          <cell r="O765">
            <v>500015</v>
          </cell>
          <cell r="P765">
            <v>0</v>
          </cell>
          <cell r="Q765">
            <v>0</v>
          </cell>
          <cell r="R765">
            <v>0</v>
          </cell>
          <cell r="S765">
            <v>0</v>
          </cell>
        </row>
        <row r="766">
          <cell r="A766">
            <v>500020</v>
          </cell>
          <cell r="B766" t="str">
            <v>City Allowance</v>
          </cell>
          <cell r="C766"/>
          <cell r="D766"/>
          <cell r="E766"/>
          <cell r="F766">
            <v>0</v>
          </cell>
          <cell r="G766"/>
          <cell r="H766"/>
          <cell r="I766">
            <v>0</v>
          </cell>
          <cell r="J766">
            <v>0</v>
          </cell>
          <cell r="K766">
            <v>0</v>
          </cell>
          <cell r="L766">
            <v>500020</v>
          </cell>
          <cell r="M766">
            <v>1</v>
          </cell>
          <cell r="N766">
            <v>0</v>
          </cell>
          <cell r="O766">
            <v>500020</v>
          </cell>
          <cell r="P766">
            <v>0</v>
          </cell>
          <cell r="Q766">
            <v>0</v>
          </cell>
          <cell r="R766">
            <v>0</v>
          </cell>
          <cell r="S766">
            <v>0</v>
          </cell>
        </row>
        <row r="767">
          <cell r="A767">
            <v>500025</v>
          </cell>
          <cell r="B767" t="str">
            <v>Payroll - Vacation</v>
          </cell>
          <cell r="C767"/>
          <cell r="D767"/>
          <cell r="E767"/>
          <cell r="F767">
            <v>0</v>
          </cell>
          <cell r="G767"/>
          <cell r="H767"/>
          <cell r="I767">
            <v>0</v>
          </cell>
          <cell r="J767">
            <v>0</v>
          </cell>
          <cell r="K767">
            <v>0</v>
          </cell>
          <cell r="L767">
            <v>500025</v>
          </cell>
          <cell r="M767">
            <v>1</v>
          </cell>
          <cell r="N767">
            <v>0</v>
          </cell>
          <cell r="O767">
            <v>500025</v>
          </cell>
          <cell r="P767">
            <v>0</v>
          </cell>
          <cell r="Q767">
            <v>0</v>
          </cell>
          <cell r="R767">
            <v>0</v>
          </cell>
          <cell r="S767">
            <v>0</v>
          </cell>
        </row>
        <row r="768">
          <cell r="A768">
            <v>500026</v>
          </cell>
          <cell r="B768" t="str">
            <v>Payroll - Cost Deferral</v>
          </cell>
          <cell r="C768"/>
          <cell r="D768"/>
          <cell r="E768"/>
          <cell r="F768">
            <v>0</v>
          </cell>
          <cell r="G768"/>
          <cell r="H768"/>
          <cell r="I768">
            <v>0</v>
          </cell>
          <cell r="J768">
            <v>0</v>
          </cell>
          <cell r="K768">
            <v>0</v>
          </cell>
          <cell r="L768">
            <v>500026</v>
          </cell>
          <cell r="M768">
            <v>1</v>
          </cell>
          <cell r="N768">
            <v>0</v>
          </cell>
          <cell r="O768">
            <v>500026</v>
          </cell>
          <cell r="P768">
            <v>0</v>
          </cell>
          <cell r="Q768">
            <v>0</v>
          </cell>
          <cell r="R768">
            <v>0</v>
          </cell>
          <cell r="S768">
            <v>0</v>
          </cell>
        </row>
        <row r="769">
          <cell r="A769">
            <v>500030</v>
          </cell>
          <cell r="B769" t="str">
            <v>Payroll - Retro Payments</v>
          </cell>
          <cell r="C769"/>
          <cell r="D769"/>
          <cell r="E769"/>
          <cell r="F769">
            <v>0</v>
          </cell>
          <cell r="G769"/>
          <cell r="H769"/>
          <cell r="I769">
            <v>0</v>
          </cell>
          <cell r="J769">
            <v>0</v>
          </cell>
          <cell r="K769">
            <v>0</v>
          </cell>
          <cell r="L769">
            <v>500030</v>
          </cell>
          <cell r="M769">
            <v>1</v>
          </cell>
          <cell r="N769">
            <v>0</v>
          </cell>
          <cell r="O769">
            <v>500030</v>
          </cell>
          <cell r="P769">
            <v>0</v>
          </cell>
          <cell r="Q769">
            <v>0</v>
          </cell>
          <cell r="R769">
            <v>0</v>
          </cell>
          <cell r="S769">
            <v>0</v>
          </cell>
        </row>
        <row r="770">
          <cell r="A770">
            <v>500035</v>
          </cell>
          <cell r="B770" t="str">
            <v>Payroll - Restricted Stock</v>
          </cell>
          <cell r="C770"/>
          <cell r="D770"/>
          <cell r="E770"/>
          <cell r="F770">
            <v>0</v>
          </cell>
          <cell r="G770"/>
          <cell r="H770"/>
          <cell r="I770">
            <v>0</v>
          </cell>
          <cell r="J770">
            <v>0</v>
          </cell>
          <cell r="K770">
            <v>0</v>
          </cell>
          <cell r="L770">
            <v>500035</v>
          </cell>
          <cell r="M770">
            <v>1</v>
          </cell>
          <cell r="N770">
            <v>0</v>
          </cell>
          <cell r="O770">
            <v>500035</v>
          </cell>
          <cell r="P770">
            <v>0</v>
          </cell>
          <cell r="Q770">
            <v>0</v>
          </cell>
          <cell r="R770">
            <v>0</v>
          </cell>
          <cell r="S770">
            <v>0</v>
          </cell>
        </row>
        <row r="771">
          <cell r="A771">
            <v>500036</v>
          </cell>
          <cell r="B771" t="str">
            <v>FAS 123R expenses</v>
          </cell>
          <cell r="C771"/>
          <cell r="D771"/>
          <cell r="E771"/>
          <cell r="F771">
            <v>0</v>
          </cell>
          <cell r="G771"/>
          <cell r="H771"/>
          <cell r="I771">
            <v>0</v>
          </cell>
          <cell r="J771">
            <v>0</v>
          </cell>
          <cell r="K771">
            <v>0</v>
          </cell>
          <cell r="L771">
            <v>500036</v>
          </cell>
          <cell r="M771">
            <v>1</v>
          </cell>
          <cell r="N771">
            <v>0</v>
          </cell>
          <cell r="O771">
            <v>500036</v>
          </cell>
          <cell r="P771">
            <v>0</v>
          </cell>
          <cell r="Q771">
            <v>0</v>
          </cell>
          <cell r="R771">
            <v>0</v>
          </cell>
          <cell r="S771">
            <v>0</v>
          </cell>
        </row>
        <row r="772">
          <cell r="A772">
            <v>500040</v>
          </cell>
          <cell r="B772" t="str">
            <v>Payroll - Overtime</v>
          </cell>
          <cell r="C772"/>
          <cell r="D772"/>
          <cell r="E772"/>
          <cell r="F772">
            <v>0</v>
          </cell>
          <cell r="G772"/>
          <cell r="H772"/>
          <cell r="I772">
            <v>0</v>
          </cell>
          <cell r="J772">
            <v>0</v>
          </cell>
          <cell r="K772">
            <v>0</v>
          </cell>
          <cell r="L772">
            <v>500040</v>
          </cell>
          <cell r="M772">
            <v>1</v>
          </cell>
          <cell r="N772">
            <v>0</v>
          </cell>
          <cell r="O772">
            <v>500040</v>
          </cell>
          <cell r="P772">
            <v>0</v>
          </cell>
          <cell r="Q772">
            <v>0</v>
          </cell>
          <cell r="R772">
            <v>0</v>
          </cell>
          <cell r="S772">
            <v>0</v>
          </cell>
        </row>
        <row r="773">
          <cell r="A773">
            <v>500060</v>
          </cell>
          <cell r="B773" t="str">
            <v>Payroll - Misc Bonuses</v>
          </cell>
          <cell r="C773"/>
          <cell r="D773"/>
          <cell r="E773"/>
          <cell r="F773">
            <v>0</v>
          </cell>
          <cell r="G773"/>
          <cell r="H773"/>
          <cell r="I773">
            <v>0</v>
          </cell>
          <cell r="J773">
            <v>0</v>
          </cell>
          <cell r="K773">
            <v>0</v>
          </cell>
          <cell r="L773">
            <v>500060</v>
          </cell>
          <cell r="M773">
            <v>1</v>
          </cell>
          <cell r="N773">
            <v>0</v>
          </cell>
          <cell r="O773">
            <v>500060</v>
          </cell>
          <cell r="P773">
            <v>0</v>
          </cell>
          <cell r="Q773">
            <v>0</v>
          </cell>
          <cell r="R773">
            <v>0</v>
          </cell>
          <cell r="S773">
            <v>0</v>
          </cell>
        </row>
        <row r="774">
          <cell r="A774">
            <v>500065</v>
          </cell>
          <cell r="B774" t="str">
            <v>Payroll - Management Bonuses</v>
          </cell>
          <cell r="C774"/>
          <cell r="D774"/>
          <cell r="E774"/>
          <cell r="F774">
            <v>0</v>
          </cell>
          <cell r="G774"/>
          <cell r="H774"/>
          <cell r="I774">
            <v>0</v>
          </cell>
          <cell r="J774">
            <v>0</v>
          </cell>
          <cell r="K774">
            <v>0</v>
          </cell>
          <cell r="L774">
            <v>500065</v>
          </cell>
          <cell r="M774">
            <v>1</v>
          </cell>
          <cell r="N774">
            <v>0</v>
          </cell>
          <cell r="O774">
            <v>500065</v>
          </cell>
          <cell r="P774">
            <v>0</v>
          </cell>
          <cell r="Q774">
            <v>0</v>
          </cell>
          <cell r="R774">
            <v>0</v>
          </cell>
          <cell r="S774">
            <v>0</v>
          </cell>
        </row>
        <row r="775">
          <cell r="A775">
            <v>500071</v>
          </cell>
          <cell r="B775" t="str">
            <v>Payroll - E.S.I.C. - Co. Cont.</v>
          </cell>
          <cell r="C775"/>
          <cell r="D775"/>
          <cell r="E775"/>
          <cell r="F775">
            <v>0</v>
          </cell>
          <cell r="G775"/>
          <cell r="H775"/>
          <cell r="I775">
            <v>0</v>
          </cell>
          <cell r="J775">
            <v>0</v>
          </cell>
          <cell r="K775">
            <v>0</v>
          </cell>
          <cell r="L775">
            <v>500071</v>
          </cell>
          <cell r="M775">
            <v>1</v>
          </cell>
          <cell r="N775">
            <v>0</v>
          </cell>
          <cell r="O775">
            <v>500071</v>
          </cell>
          <cell r="P775">
            <v>0</v>
          </cell>
          <cell r="Q775">
            <v>0</v>
          </cell>
          <cell r="R775">
            <v>0</v>
          </cell>
          <cell r="S775">
            <v>0</v>
          </cell>
        </row>
        <row r="776">
          <cell r="A776">
            <v>500072</v>
          </cell>
          <cell r="B776" t="str">
            <v>Payroll - F P F - Co Cont.</v>
          </cell>
          <cell r="C776"/>
          <cell r="D776"/>
          <cell r="E776"/>
          <cell r="F776">
            <v>0</v>
          </cell>
          <cell r="G776"/>
          <cell r="H776"/>
          <cell r="I776">
            <v>0</v>
          </cell>
          <cell r="J776">
            <v>0</v>
          </cell>
          <cell r="K776">
            <v>0</v>
          </cell>
          <cell r="L776">
            <v>500072</v>
          </cell>
          <cell r="M776">
            <v>1</v>
          </cell>
          <cell r="N776">
            <v>0</v>
          </cell>
          <cell r="O776">
            <v>500072</v>
          </cell>
          <cell r="P776">
            <v>0</v>
          </cell>
          <cell r="Q776">
            <v>0</v>
          </cell>
          <cell r="R776">
            <v>0</v>
          </cell>
          <cell r="S776">
            <v>0</v>
          </cell>
        </row>
        <row r="777">
          <cell r="A777">
            <v>500073</v>
          </cell>
          <cell r="B777" t="str">
            <v>Payroll - M L W F - Co. Cont.</v>
          </cell>
          <cell r="C777"/>
          <cell r="D777"/>
          <cell r="E777"/>
          <cell r="F777">
            <v>0</v>
          </cell>
          <cell r="G777"/>
          <cell r="H777"/>
          <cell r="I777">
            <v>0</v>
          </cell>
          <cell r="J777">
            <v>0</v>
          </cell>
          <cell r="K777">
            <v>0</v>
          </cell>
          <cell r="L777">
            <v>500073</v>
          </cell>
          <cell r="M777">
            <v>1</v>
          </cell>
          <cell r="N777">
            <v>0</v>
          </cell>
          <cell r="O777">
            <v>500073</v>
          </cell>
          <cell r="P777">
            <v>648</v>
          </cell>
          <cell r="Q777">
            <v>-648</v>
          </cell>
          <cell r="R777">
            <v>0</v>
          </cell>
          <cell r="S777">
            <v>0</v>
          </cell>
        </row>
        <row r="778">
          <cell r="A778">
            <v>500074</v>
          </cell>
          <cell r="B778" t="str">
            <v>Payroll - C L W F - Co. Cont.</v>
          </cell>
          <cell r="C778"/>
          <cell r="D778"/>
          <cell r="E778"/>
          <cell r="F778">
            <v>0</v>
          </cell>
          <cell r="G778"/>
          <cell r="H778"/>
          <cell r="I778">
            <v>0</v>
          </cell>
          <cell r="J778">
            <v>0</v>
          </cell>
          <cell r="K778">
            <v>0</v>
          </cell>
          <cell r="L778">
            <v>500074</v>
          </cell>
          <cell r="M778">
            <v>1</v>
          </cell>
          <cell r="N778">
            <v>0</v>
          </cell>
          <cell r="O778">
            <v>500074</v>
          </cell>
          <cell r="P778">
            <v>0</v>
          </cell>
          <cell r="Q778">
            <v>0</v>
          </cell>
          <cell r="R778">
            <v>0</v>
          </cell>
          <cell r="S778">
            <v>0</v>
          </cell>
        </row>
        <row r="779">
          <cell r="A779">
            <v>500075</v>
          </cell>
          <cell r="B779" t="str">
            <v>Payroll - P F Admin. Charges</v>
          </cell>
          <cell r="C779"/>
          <cell r="D779"/>
          <cell r="E779"/>
          <cell r="F779">
            <v>0</v>
          </cell>
          <cell r="G779"/>
          <cell r="H779"/>
          <cell r="I779">
            <v>0</v>
          </cell>
          <cell r="J779">
            <v>0</v>
          </cell>
          <cell r="K779">
            <v>0</v>
          </cell>
          <cell r="L779">
            <v>500075</v>
          </cell>
          <cell r="M779">
            <v>1</v>
          </cell>
          <cell r="N779">
            <v>0</v>
          </cell>
          <cell r="O779">
            <v>500075</v>
          </cell>
          <cell r="P779">
            <v>36016.629999999997</v>
          </cell>
          <cell r="Q779">
            <v>-36016.629999999997</v>
          </cell>
          <cell r="R779">
            <v>0</v>
          </cell>
          <cell r="S779">
            <v>0</v>
          </cell>
        </row>
        <row r="780">
          <cell r="A780">
            <v>500076</v>
          </cell>
          <cell r="B780" t="str">
            <v>Payroll - P F - Co Contribution</v>
          </cell>
          <cell r="C780"/>
          <cell r="D780"/>
          <cell r="E780"/>
          <cell r="F780">
            <v>0</v>
          </cell>
          <cell r="G780"/>
          <cell r="H780"/>
          <cell r="I780">
            <v>0</v>
          </cell>
          <cell r="J780">
            <v>0</v>
          </cell>
          <cell r="K780">
            <v>0</v>
          </cell>
          <cell r="L780">
            <v>500076</v>
          </cell>
          <cell r="M780">
            <v>1</v>
          </cell>
          <cell r="N780">
            <v>0</v>
          </cell>
          <cell r="O780">
            <v>500076</v>
          </cell>
          <cell r="P780">
            <v>508466</v>
          </cell>
          <cell r="Q780">
            <v>-508466</v>
          </cell>
          <cell r="R780">
            <v>0</v>
          </cell>
          <cell r="S780">
            <v>0</v>
          </cell>
        </row>
        <row r="781">
          <cell r="A781">
            <v>500077</v>
          </cell>
          <cell r="B781" t="str">
            <v>Payroll - Recovered</v>
          </cell>
          <cell r="C781"/>
          <cell r="D781"/>
          <cell r="E781"/>
          <cell r="F781">
            <v>0</v>
          </cell>
          <cell r="G781"/>
          <cell r="H781"/>
          <cell r="I781">
            <v>0</v>
          </cell>
          <cell r="J781">
            <v>0</v>
          </cell>
          <cell r="K781">
            <v>0</v>
          </cell>
          <cell r="L781">
            <v>500077</v>
          </cell>
          <cell r="M781">
            <v>1</v>
          </cell>
          <cell r="N781">
            <v>0</v>
          </cell>
          <cell r="O781">
            <v>500077</v>
          </cell>
          <cell r="P781">
            <v>0</v>
          </cell>
          <cell r="Q781">
            <v>0</v>
          </cell>
          <cell r="R781">
            <v>0</v>
          </cell>
          <cell r="S781">
            <v>0</v>
          </cell>
        </row>
        <row r="782">
          <cell r="A782">
            <v>500078</v>
          </cell>
          <cell r="B782" t="str">
            <v>Payroll - Notice Period Reimb.</v>
          </cell>
          <cell r="C782"/>
          <cell r="D782"/>
          <cell r="E782"/>
          <cell r="F782">
            <v>0</v>
          </cell>
          <cell r="G782"/>
          <cell r="H782"/>
          <cell r="I782">
            <v>0</v>
          </cell>
          <cell r="J782">
            <v>0</v>
          </cell>
          <cell r="K782">
            <v>0</v>
          </cell>
          <cell r="L782">
            <v>500078</v>
          </cell>
          <cell r="M782">
            <v>1</v>
          </cell>
          <cell r="N782">
            <v>0</v>
          </cell>
          <cell r="O782">
            <v>500078</v>
          </cell>
          <cell r="P782">
            <v>0</v>
          </cell>
          <cell r="Q782">
            <v>0</v>
          </cell>
          <cell r="R782">
            <v>0</v>
          </cell>
          <cell r="S782">
            <v>0</v>
          </cell>
        </row>
        <row r="783">
          <cell r="A783">
            <v>500079</v>
          </cell>
          <cell r="B783" t="str">
            <v>Payroll - Notice Pay Recovery</v>
          </cell>
          <cell r="C783"/>
          <cell r="D783"/>
          <cell r="E783"/>
          <cell r="F783">
            <v>0</v>
          </cell>
          <cell r="G783"/>
          <cell r="H783"/>
          <cell r="I783">
            <v>0</v>
          </cell>
          <cell r="J783">
            <v>0</v>
          </cell>
          <cell r="K783">
            <v>0</v>
          </cell>
          <cell r="L783">
            <v>500079</v>
          </cell>
          <cell r="M783">
            <v>1</v>
          </cell>
          <cell r="N783">
            <v>0</v>
          </cell>
          <cell r="O783">
            <v>500079</v>
          </cell>
          <cell r="P783">
            <v>-309277</v>
          </cell>
          <cell r="Q783">
            <v>309277</v>
          </cell>
          <cell r="R783">
            <v>0</v>
          </cell>
          <cell r="S783">
            <v>0</v>
          </cell>
        </row>
        <row r="784">
          <cell r="A784">
            <v>500080</v>
          </cell>
          <cell r="B784" t="str">
            <v>Payroll - Encash. of Earned Leave</v>
          </cell>
          <cell r="C784"/>
          <cell r="D784"/>
          <cell r="E784"/>
          <cell r="F784">
            <v>0</v>
          </cell>
          <cell r="G784"/>
          <cell r="H784"/>
          <cell r="I784">
            <v>0</v>
          </cell>
          <cell r="J784">
            <v>0</v>
          </cell>
          <cell r="K784">
            <v>0</v>
          </cell>
          <cell r="L784">
            <v>500080</v>
          </cell>
          <cell r="M784">
            <v>1</v>
          </cell>
          <cell r="N784">
            <v>0</v>
          </cell>
          <cell r="O784">
            <v>500080</v>
          </cell>
          <cell r="P784">
            <v>-493295</v>
          </cell>
          <cell r="Q784">
            <v>493295</v>
          </cell>
          <cell r="R784">
            <v>0</v>
          </cell>
          <cell r="S784">
            <v>0</v>
          </cell>
        </row>
        <row r="785">
          <cell r="A785">
            <v>500081</v>
          </cell>
          <cell r="B785" t="str">
            <v>Payroll - Gratuity</v>
          </cell>
          <cell r="C785"/>
          <cell r="D785"/>
          <cell r="E785"/>
          <cell r="F785">
            <v>0</v>
          </cell>
          <cell r="G785"/>
          <cell r="H785"/>
          <cell r="I785">
            <v>0</v>
          </cell>
          <cell r="J785">
            <v>0</v>
          </cell>
          <cell r="K785">
            <v>0</v>
          </cell>
          <cell r="L785">
            <v>500081</v>
          </cell>
          <cell r="M785">
            <v>1</v>
          </cell>
          <cell r="N785">
            <v>0</v>
          </cell>
          <cell r="O785">
            <v>500081</v>
          </cell>
          <cell r="P785">
            <v>1049630</v>
          </cell>
          <cell r="Q785">
            <v>-1049630</v>
          </cell>
          <cell r="R785">
            <v>0</v>
          </cell>
          <cell r="S785">
            <v>0</v>
          </cell>
        </row>
        <row r="786">
          <cell r="A786">
            <v>500082</v>
          </cell>
          <cell r="B786" t="str">
            <v>Payroll - P.F. Allowance</v>
          </cell>
          <cell r="C786"/>
          <cell r="D786"/>
          <cell r="E786"/>
          <cell r="F786">
            <v>0</v>
          </cell>
          <cell r="G786"/>
          <cell r="H786"/>
          <cell r="I786">
            <v>0</v>
          </cell>
          <cell r="J786">
            <v>0</v>
          </cell>
          <cell r="K786">
            <v>0</v>
          </cell>
          <cell r="L786">
            <v>500082</v>
          </cell>
          <cell r="M786">
            <v>1</v>
          </cell>
          <cell r="N786">
            <v>0</v>
          </cell>
          <cell r="O786">
            <v>500082</v>
          </cell>
          <cell r="P786">
            <v>0</v>
          </cell>
          <cell r="Q786">
            <v>0</v>
          </cell>
          <cell r="R786">
            <v>0</v>
          </cell>
          <cell r="S786">
            <v>0</v>
          </cell>
        </row>
        <row r="787">
          <cell r="A787">
            <v>500083</v>
          </cell>
          <cell r="B787" t="str">
            <v>Payroll - Salary &amp; Allowances</v>
          </cell>
          <cell r="C787"/>
          <cell r="D787"/>
          <cell r="E787"/>
          <cell r="F787">
            <v>0</v>
          </cell>
          <cell r="G787"/>
          <cell r="H787"/>
          <cell r="I787">
            <v>0</v>
          </cell>
          <cell r="J787">
            <v>0</v>
          </cell>
          <cell r="K787">
            <v>0</v>
          </cell>
          <cell r="L787">
            <v>500083</v>
          </cell>
          <cell r="M787">
            <v>1</v>
          </cell>
          <cell r="N787">
            <v>0</v>
          </cell>
          <cell r="O787">
            <v>500083</v>
          </cell>
          <cell r="P787">
            <v>14621254.330000002</v>
          </cell>
          <cell r="Q787">
            <v>-14621254.330000002</v>
          </cell>
          <cell r="R787">
            <v>0</v>
          </cell>
          <cell r="S787">
            <v>0</v>
          </cell>
        </row>
        <row r="788">
          <cell r="A788">
            <v>500084</v>
          </cell>
          <cell r="B788" t="str">
            <v>Payroll - Med. &amp; Trans. Allow.</v>
          </cell>
          <cell r="C788"/>
          <cell r="D788"/>
          <cell r="E788"/>
          <cell r="F788">
            <v>0</v>
          </cell>
          <cell r="G788"/>
          <cell r="H788"/>
          <cell r="I788">
            <v>0</v>
          </cell>
          <cell r="J788">
            <v>0</v>
          </cell>
          <cell r="K788">
            <v>0</v>
          </cell>
          <cell r="L788">
            <v>500084</v>
          </cell>
          <cell r="M788">
            <v>1</v>
          </cell>
          <cell r="N788">
            <v>0</v>
          </cell>
          <cell r="O788">
            <v>500084</v>
          </cell>
          <cell r="P788">
            <v>189896.43</v>
          </cell>
          <cell r="Q788">
            <v>-189896.43</v>
          </cell>
          <cell r="R788">
            <v>0</v>
          </cell>
          <cell r="S788">
            <v>0</v>
          </cell>
        </row>
        <row r="789">
          <cell r="A789">
            <v>500085</v>
          </cell>
          <cell r="B789" t="str">
            <v>Payroll - Special Allowance</v>
          </cell>
          <cell r="C789"/>
          <cell r="D789"/>
          <cell r="E789"/>
          <cell r="F789">
            <v>0</v>
          </cell>
          <cell r="G789"/>
          <cell r="H789"/>
          <cell r="I789">
            <v>0</v>
          </cell>
          <cell r="J789">
            <v>0</v>
          </cell>
          <cell r="K789">
            <v>0</v>
          </cell>
          <cell r="L789">
            <v>500085</v>
          </cell>
          <cell r="M789">
            <v>1</v>
          </cell>
          <cell r="N789">
            <v>0</v>
          </cell>
          <cell r="O789">
            <v>500085</v>
          </cell>
          <cell r="P789">
            <v>0</v>
          </cell>
          <cell r="Q789">
            <v>0</v>
          </cell>
          <cell r="R789">
            <v>0</v>
          </cell>
          <cell r="S789">
            <v>0</v>
          </cell>
        </row>
        <row r="790">
          <cell r="A790">
            <v>500086</v>
          </cell>
          <cell r="B790" t="str">
            <v>Payroll - House Rent Allowance</v>
          </cell>
          <cell r="C790"/>
          <cell r="D790"/>
          <cell r="E790"/>
          <cell r="F790">
            <v>0</v>
          </cell>
          <cell r="G790"/>
          <cell r="H790"/>
          <cell r="I790">
            <v>0</v>
          </cell>
          <cell r="J790">
            <v>0</v>
          </cell>
          <cell r="K790">
            <v>0</v>
          </cell>
          <cell r="L790">
            <v>500086</v>
          </cell>
          <cell r="M790">
            <v>1</v>
          </cell>
          <cell r="N790">
            <v>0</v>
          </cell>
          <cell r="O790">
            <v>500086</v>
          </cell>
          <cell r="P790">
            <v>0</v>
          </cell>
          <cell r="Q790">
            <v>0</v>
          </cell>
          <cell r="R790">
            <v>0</v>
          </cell>
          <cell r="S790">
            <v>0</v>
          </cell>
        </row>
        <row r="791">
          <cell r="A791">
            <v>500087</v>
          </cell>
          <cell r="B791" t="str">
            <v>Payroll - Incentives</v>
          </cell>
          <cell r="C791"/>
          <cell r="D791"/>
          <cell r="E791"/>
          <cell r="F791">
            <v>0</v>
          </cell>
          <cell r="G791"/>
          <cell r="H791"/>
          <cell r="I791">
            <v>0</v>
          </cell>
          <cell r="J791">
            <v>0</v>
          </cell>
          <cell r="K791">
            <v>0</v>
          </cell>
          <cell r="L791">
            <v>500087</v>
          </cell>
          <cell r="M791">
            <v>1</v>
          </cell>
          <cell r="N791">
            <v>0</v>
          </cell>
          <cell r="O791">
            <v>500087</v>
          </cell>
          <cell r="P791">
            <v>1979750</v>
          </cell>
          <cell r="Q791">
            <v>-1979750</v>
          </cell>
          <cell r="R791">
            <v>0</v>
          </cell>
          <cell r="S791">
            <v>0</v>
          </cell>
        </row>
        <row r="792">
          <cell r="A792">
            <v>500088</v>
          </cell>
          <cell r="B792" t="str">
            <v>Payroll - Leave Travel Allowance</v>
          </cell>
          <cell r="C792"/>
          <cell r="D792"/>
          <cell r="E792"/>
          <cell r="F792">
            <v>0</v>
          </cell>
          <cell r="G792"/>
          <cell r="H792"/>
          <cell r="I792">
            <v>0</v>
          </cell>
          <cell r="J792">
            <v>0</v>
          </cell>
          <cell r="K792">
            <v>0</v>
          </cell>
          <cell r="L792">
            <v>500088</v>
          </cell>
          <cell r="M792">
            <v>1</v>
          </cell>
          <cell r="N792">
            <v>0</v>
          </cell>
          <cell r="O792">
            <v>500088</v>
          </cell>
          <cell r="P792">
            <v>87583</v>
          </cell>
          <cell r="Q792">
            <v>-87583</v>
          </cell>
          <cell r="R792">
            <v>0</v>
          </cell>
          <cell r="S792">
            <v>0</v>
          </cell>
        </row>
        <row r="793">
          <cell r="A793">
            <v>500089</v>
          </cell>
          <cell r="B793" t="str">
            <v>Payroll - EDLIS</v>
          </cell>
          <cell r="C793"/>
          <cell r="D793"/>
          <cell r="E793"/>
          <cell r="F793">
            <v>0</v>
          </cell>
          <cell r="G793"/>
          <cell r="H793"/>
          <cell r="I793">
            <v>0</v>
          </cell>
          <cell r="J793">
            <v>0</v>
          </cell>
          <cell r="K793">
            <v>0</v>
          </cell>
          <cell r="L793">
            <v>500089</v>
          </cell>
          <cell r="M793">
            <v>1</v>
          </cell>
          <cell r="N793">
            <v>0</v>
          </cell>
          <cell r="O793">
            <v>500089</v>
          </cell>
          <cell r="P793">
            <v>23588.31</v>
          </cell>
          <cell r="Q793">
            <v>-23588.31</v>
          </cell>
          <cell r="R793">
            <v>0</v>
          </cell>
          <cell r="S793">
            <v>0</v>
          </cell>
        </row>
        <row r="794">
          <cell r="A794">
            <v>500090</v>
          </cell>
          <cell r="B794" t="str">
            <v>Payroll - Other Payments</v>
          </cell>
          <cell r="C794"/>
          <cell r="D794"/>
          <cell r="E794"/>
          <cell r="F794">
            <v>0</v>
          </cell>
          <cell r="G794"/>
          <cell r="H794"/>
          <cell r="I794">
            <v>0</v>
          </cell>
          <cell r="J794">
            <v>0</v>
          </cell>
          <cell r="K794">
            <v>0</v>
          </cell>
          <cell r="L794">
            <v>500090</v>
          </cell>
          <cell r="M794">
            <v>1</v>
          </cell>
          <cell r="N794">
            <v>0</v>
          </cell>
          <cell r="O794">
            <v>500090</v>
          </cell>
          <cell r="P794">
            <v>367089</v>
          </cell>
          <cell r="Q794">
            <v>-367089</v>
          </cell>
          <cell r="R794">
            <v>0</v>
          </cell>
          <cell r="S794">
            <v>0</v>
          </cell>
        </row>
        <row r="795">
          <cell r="A795">
            <v>500091</v>
          </cell>
          <cell r="B795" t="str">
            <v>Payroll - Technical Allowances</v>
          </cell>
          <cell r="C795"/>
          <cell r="D795"/>
          <cell r="E795"/>
          <cell r="F795">
            <v>0</v>
          </cell>
          <cell r="G795"/>
          <cell r="H795"/>
          <cell r="I795">
            <v>0</v>
          </cell>
          <cell r="J795">
            <v>0</v>
          </cell>
          <cell r="K795">
            <v>0</v>
          </cell>
          <cell r="L795">
            <v>500091</v>
          </cell>
          <cell r="M795">
            <v>1</v>
          </cell>
          <cell r="N795">
            <v>0</v>
          </cell>
          <cell r="O795">
            <v>500091</v>
          </cell>
          <cell r="P795">
            <v>0</v>
          </cell>
          <cell r="Q795">
            <v>0</v>
          </cell>
          <cell r="R795">
            <v>0</v>
          </cell>
          <cell r="S795">
            <v>0</v>
          </cell>
        </row>
        <row r="796">
          <cell r="A796">
            <v>500092</v>
          </cell>
          <cell r="B796" t="str">
            <v>Payroll - Bond Recovery</v>
          </cell>
          <cell r="C796"/>
          <cell r="D796"/>
          <cell r="E796"/>
          <cell r="F796">
            <v>0</v>
          </cell>
          <cell r="G796"/>
          <cell r="H796"/>
          <cell r="I796">
            <v>0</v>
          </cell>
          <cell r="J796">
            <v>0</v>
          </cell>
          <cell r="K796">
            <v>0</v>
          </cell>
          <cell r="L796">
            <v>500092</v>
          </cell>
          <cell r="M796">
            <v>1</v>
          </cell>
          <cell r="N796">
            <v>0</v>
          </cell>
          <cell r="O796">
            <v>500092</v>
          </cell>
          <cell r="P796">
            <v>-1324436</v>
          </cell>
          <cell r="Q796">
            <v>1324436</v>
          </cell>
          <cell r="R796">
            <v>0</v>
          </cell>
          <cell r="S796">
            <v>0</v>
          </cell>
        </row>
        <row r="797">
          <cell r="A797">
            <v>500093</v>
          </cell>
          <cell r="B797" t="str">
            <v>Payroll - Transport A</v>
          </cell>
          <cell r="C797"/>
          <cell r="D797"/>
          <cell r="E797"/>
          <cell r="F797">
            <v>0</v>
          </cell>
          <cell r="G797"/>
          <cell r="H797"/>
          <cell r="I797">
            <v>0</v>
          </cell>
          <cell r="J797">
            <v>0</v>
          </cell>
          <cell r="K797">
            <v>0</v>
          </cell>
          <cell r="L797">
            <v>500093</v>
          </cell>
          <cell r="M797">
            <v>1</v>
          </cell>
          <cell r="N797">
            <v>0</v>
          </cell>
          <cell r="O797">
            <v>500093</v>
          </cell>
          <cell r="P797">
            <v>440768</v>
          </cell>
          <cell r="Q797">
            <v>-440768</v>
          </cell>
          <cell r="R797">
            <v>0</v>
          </cell>
          <cell r="S797">
            <v>0</v>
          </cell>
        </row>
        <row r="798">
          <cell r="A798">
            <v>500094</v>
          </cell>
          <cell r="B798" t="str">
            <v>Payroll - Meal Alloawnce</v>
          </cell>
          <cell r="C798"/>
          <cell r="D798"/>
          <cell r="E798"/>
          <cell r="F798">
            <v>0</v>
          </cell>
          <cell r="G798"/>
          <cell r="H798"/>
          <cell r="I798">
            <v>0</v>
          </cell>
          <cell r="J798">
            <v>0</v>
          </cell>
          <cell r="K798">
            <v>0</v>
          </cell>
          <cell r="L798">
            <v>500094</v>
          </cell>
          <cell r="M798">
            <v>1</v>
          </cell>
          <cell r="N798">
            <v>0</v>
          </cell>
          <cell r="O798">
            <v>500094</v>
          </cell>
          <cell r="P798">
            <v>424864</v>
          </cell>
          <cell r="Q798">
            <v>-424864</v>
          </cell>
          <cell r="R798">
            <v>0</v>
          </cell>
          <cell r="S798">
            <v>0</v>
          </cell>
        </row>
        <row r="799">
          <cell r="A799">
            <v>500100</v>
          </cell>
          <cell r="B799" t="str">
            <v>Payroll - Troy</v>
          </cell>
          <cell r="C799"/>
          <cell r="D799"/>
          <cell r="E799"/>
          <cell r="F799">
            <v>0</v>
          </cell>
          <cell r="G799"/>
          <cell r="H799"/>
          <cell r="I799">
            <v>0</v>
          </cell>
          <cell r="J799">
            <v>0</v>
          </cell>
          <cell r="K799">
            <v>0</v>
          </cell>
          <cell r="L799">
            <v>500100</v>
          </cell>
          <cell r="M799">
            <v>1</v>
          </cell>
          <cell r="N799">
            <v>0</v>
          </cell>
          <cell r="O799">
            <v>500100</v>
          </cell>
          <cell r="P799">
            <v>6807523.4699999997</v>
          </cell>
          <cell r="Q799">
            <v>-6807523.4699999997</v>
          </cell>
          <cell r="R799">
            <v>0</v>
          </cell>
          <cell r="S799">
            <v>0</v>
          </cell>
        </row>
        <row r="800">
          <cell r="A800">
            <v>500101</v>
          </cell>
          <cell r="B800" t="str">
            <v>Payroll - Bonus Leadership</v>
          </cell>
          <cell r="C800"/>
          <cell r="D800"/>
          <cell r="E800"/>
          <cell r="F800">
            <v>0</v>
          </cell>
          <cell r="G800"/>
          <cell r="H800"/>
          <cell r="I800">
            <v>0</v>
          </cell>
          <cell r="J800">
            <v>0</v>
          </cell>
          <cell r="K800">
            <v>0</v>
          </cell>
          <cell r="L800">
            <v>500101</v>
          </cell>
          <cell r="M800">
            <v>1</v>
          </cell>
          <cell r="N800">
            <v>0</v>
          </cell>
          <cell r="O800">
            <v>500101</v>
          </cell>
          <cell r="P800">
            <v>0</v>
          </cell>
          <cell r="Q800">
            <v>0</v>
          </cell>
          <cell r="R800">
            <v>0</v>
          </cell>
          <cell r="S800">
            <v>0</v>
          </cell>
        </row>
        <row r="801">
          <cell r="A801">
            <v>500102</v>
          </cell>
          <cell r="B801" t="str">
            <v>Payroll - Bonus Vertical Team</v>
          </cell>
          <cell r="C801"/>
          <cell r="D801"/>
          <cell r="E801"/>
          <cell r="F801">
            <v>0</v>
          </cell>
          <cell r="G801"/>
          <cell r="H801"/>
          <cell r="I801">
            <v>0</v>
          </cell>
          <cell r="J801">
            <v>0</v>
          </cell>
          <cell r="K801">
            <v>0</v>
          </cell>
          <cell r="L801">
            <v>500102</v>
          </cell>
          <cell r="M801">
            <v>1</v>
          </cell>
          <cell r="N801">
            <v>0</v>
          </cell>
          <cell r="O801">
            <v>500102</v>
          </cell>
          <cell r="P801">
            <v>0</v>
          </cell>
          <cell r="Q801">
            <v>0</v>
          </cell>
          <cell r="R801">
            <v>0</v>
          </cell>
          <cell r="S801">
            <v>0</v>
          </cell>
        </row>
        <row r="802">
          <cell r="A802">
            <v>500103</v>
          </cell>
          <cell r="B802" t="str">
            <v>Payroll - Bonus Practice Team</v>
          </cell>
          <cell r="C802"/>
          <cell r="D802"/>
          <cell r="E802"/>
          <cell r="F802">
            <v>0</v>
          </cell>
          <cell r="G802"/>
          <cell r="H802"/>
          <cell r="I802">
            <v>0</v>
          </cell>
          <cell r="J802">
            <v>0</v>
          </cell>
          <cell r="K802">
            <v>0</v>
          </cell>
          <cell r="L802">
            <v>500103</v>
          </cell>
          <cell r="M802">
            <v>1</v>
          </cell>
          <cell r="N802">
            <v>0</v>
          </cell>
          <cell r="O802">
            <v>500103</v>
          </cell>
          <cell r="P802">
            <v>0</v>
          </cell>
          <cell r="Q802">
            <v>0</v>
          </cell>
          <cell r="R802">
            <v>0</v>
          </cell>
          <cell r="S802">
            <v>0</v>
          </cell>
        </row>
        <row r="803">
          <cell r="A803">
            <v>500104</v>
          </cell>
          <cell r="B803" t="str">
            <v>Payroll - Bonus Engagement Mgr</v>
          </cell>
          <cell r="C803"/>
          <cell r="D803"/>
          <cell r="E803"/>
          <cell r="F803">
            <v>0</v>
          </cell>
          <cell r="G803"/>
          <cell r="H803"/>
          <cell r="I803">
            <v>0</v>
          </cell>
          <cell r="J803">
            <v>0</v>
          </cell>
          <cell r="K803">
            <v>0</v>
          </cell>
          <cell r="L803">
            <v>500104</v>
          </cell>
          <cell r="M803">
            <v>1</v>
          </cell>
          <cell r="N803">
            <v>0</v>
          </cell>
          <cell r="O803">
            <v>500104</v>
          </cell>
          <cell r="P803">
            <v>0</v>
          </cell>
          <cell r="Q803">
            <v>0</v>
          </cell>
          <cell r="R803">
            <v>0</v>
          </cell>
          <cell r="S803">
            <v>0</v>
          </cell>
        </row>
        <row r="804">
          <cell r="A804">
            <v>500105</v>
          </cell>
          <cell r="B804" t="str">
            <v>Payroll - Bonus TIA for Revenu</v>
          </cell>
          <cell r="C804"/>
          <cell r="D804"/>
          <cell r="E804"/>
          <cell r="F804">
            <v>0</v>
          </cell>
          <cell r="G804"/>
          <cell r="H804"/>
          <cell r="I804">
            <v>0</v>
          </cell>
          <cell r="J804">
            <v>0</v>
          </cell>
          <cell r="K804">
            <v>0</v>
          </cell>
          <cell r="L804">
            <v>500105</v>
          </cell>
          <cell r="M804">
            <v>1</v>
          </cell>
          <cell r="N804">
            <v>0</v>
          </cell>
          <cell r="O804">
            <v>500105</v>
          </cell>
          <cell r="P804">
            <v>0</v>
          </cell>
          <cell r="Q804">
            <v>0</v>
          </cell>
          <cell r="R804">
            <v>0</v>
          </cell>
          <cell r="S804">
            <v>0</v>
          </cell>
        </row>
        <row r="805">
          <cell r="A805">
            <v>500106</v>
          </cell>
          <cell r="B805" t="str">
            <v>Payroll - Bonus TIA for TCV</v>
          </cell>
          <cell r="C805"/>
          <cell r="D805"/>
          <cell r="E805"/>
          <cell r="F805">
            <v>0</v>
          </cell>
          <cell r="G805"/>
          <cell r="H805"/>
          <cell r="I805">
            <v>0</v>
          </cell>
          <cell r="J805">
            <v>0</v>
          </cell>
          <cell r="K805">
            <v>0</v>
          </cell>
          <cell r="L805">
            <v>500106</v>
          </cell>
          <cell r="M805">
            <v>1</v>
          </cell>
          <cell r="N805">
            <v>0</v>
          </cell>
          <cell r="O805">
            <v>500106</v>
          </cell>
          <cell r="P805">
            <v>0</v>
          </cell>
          <cell r="Q805">
            <v>0</v>
          </cell>
          <cell r="R805">
            <v>0</v>
          </cell>
          <cell r="S805">
            <v>0</v>
          </cell>
        </row>
        <row r="806">
          <cell r="A806">
            <v>500107</v>
          </cell>
          <cell r="B806" t="str">
            <v>Payroll - Bonus Billable</v>
          </cell>
          <cell r="C806"/>
          <cell r="D806"/>
          <cell r="E806"/>
          <cell r="F806">
            <v>0</v>
          </cell>
          <cell r="G806"/>
          <cell r="H806"/>
          <cell r="I806">
            <v>0</v>
          </cell>
          <cell r="J806">
            <v>0</v>
          </cell>
          <cell r="K806">
            <v>0</v>
          </cell>
          <cell r="L806">
            <v>500107</v>
          </cell>
          <cell r="M806">
            <v>1</v>
          </cell>
          <cell r="N806">
            <v>0</v>
          </cell>
          <cell r="O806">
            <v>500107</v>
          </cell>
          <cell r="P806">
            <v>0</v>
          </cell>
          <cell r="Q806">
            <v>0</v>
          </cell>
          <cell r="R806">
            <v>0</v>
          </cell>
          <cell r="S806">
            <v>0</v>
          </cell>
        </row>
        <row r="807">
          <cell r="A807">
            <v>500108</v>
          </cell>
          <cell r="B807" t="str">
            <v>Payroll - Bonus Corporate</v>
          </cell>
          <cell r="C807"/>
          <cell r="D807"/>
          <cell r="E807"/>
          <cell r="F807">
            <v>0</v>
          </cell>
          <cell r="G807"/>
          <cell r="H807"/>
          <cell r="I807">
            <v>0</v>
          </cell>
          <cell r="J807">
            <v>0</v>
          </cell>
          <cell r="K807">
            <v>0</v>
          </cell>
          <cell r="L807">
            <v>500108</v>
          </cell>
          <cell r="M807">
            <v>1</v>
          </cell>
          <cell r="N807">
            <v>0</v>
          </cell>
          <cell r="O807">
            <v>500108</v>
          </cell>
          <cell r="P807">
            <v>0</v>
          </cell>
          <cell r="Q807">
            <v>0</v>
          </cell>
          <cell r="R807">
            <v>0</v>
          </cell>
          <cell r="S807">
            <v>0</v>
          </cell>
        </row>
        <row r="808">
          <cell r="A808">
            <v>500109</v>
          </cell>
          <cell r="B808" t="str">
            <v>Payroll - Bonus Others</v>
          </cell>
          <cell r="C808"/>
          <cell r="D808"/>
          <cell r="E808"/>
          <cell r="F808">
            <v>0</v>
          </cell>
          <cell r="G808"/>
          <cell r="H808"/>
          <cell r="I808">
            <v>0</v>
          </cell>
          <cell r="J808">
            <v>0</v>
          </cell>
          <cell r="K808">
            <v>0</v>
          </cell>
          <cell r="L808">
            <v>500109</v>
          </cell>
          <cell r="M808">
            <v>1</v>
          </cell>
          <cell r="N808">
            <v>0</v>
          </cell>
          <cell r="O808">
            <v>500109</v>
          </cell>
          <cell r="P808">
            <v>1183534</v>
          </cell>
          <cell r="Q808">
            <v>-1183534</v>
          </cell>
          <cell r="R808">
            <v>0</v>
          </cell>
          <cell r="S808">
            <v>0</v>
          </cell>
        </row>
        <row r="809">
          <cell r="A809">
            <v>500110</v>
          </cell>
          <cell r="B809" t="str">
            <v>Payroll - Bonus CEO</v>
          </cell>
          <cell r="C809"/>
          <cell r="D809"/>
          <cell r="E809"/>
          <cell r="F809">
            <v>0</v>
          </cell>
          <cell r="G809"/>
          <cell r="H809"/>
          <cell r="I809">
            <v>0</v>
          </cell>
          <cell r="J809">
            <v>0</v>
          </cell>
          <cell r="K809">
            <v>0</v>
          </cell>
          <cell r="L809">
            <v>500110</v>
          </cell>
          <cell r="M809">
            <v>1</v>
          </cell>
          <cell r="N809">
            <v>0</v>
          </cell>
          <cell r="O809">
            <v>500110</v>
          </cell>
          <cell r="P809">
            <v>0</v>
          </cell>
          <cell r="Q809">
            <v>0</v>
          </cell>
          <cell r="R809">
            <v>0</v>
          </cell>
          <cell r="S809">
            <v>0</v>
          </cell>
        </row>
        <row r="810">
          <cell r="A810">
            <v>500111</v>
          </cell>
          <cell r="B810" t="str">
            <v>Payroll - Awards</v>
          </cell>
          <cell r="C810"/>
          <cell r="D810"/>
          <cell r="E810"/>
          <cell r="F810">
            <v>0</v>
          </cell>
          <cell r="G810"/>
          <cell r="H810"/>
          <cell r="I810">
            <v>0</v>
          </cell>
          <cell r="J810">
            <v>0</v>
          </cell>
          <cell r="K810">
            <v>0</v>
          </cell>
          <cell r="L810">
            <v>500111</v>
          </cell>
          <cell r="M810">
            <v>1</v>
          </cell>
          <cell r="N810">
            <v>0</v>
          </cell>
          <cell r="O810">
            <v>500111</v>
          </cell>
          <cell r="P810">
            <v>20367.64</v>
          </cell>
          <cell r="Q810">
            <v>-20367.64</v>
          </cell>
          <cell r="R810">
            <v>0</v>
          </cell>
          <cell r="S810">
            <v>0</v>
          </cell>
        </row>
        <row r="811">
          <cell r="A811">
            <v>500114</v>
          </cell>
          <cell r="B811" t="str">
            <v>HCA Billable Bonus</v>
          </cell>
          <cell r="C811"/>
          <cell r="D811"/>
          <cell r="E811"/>
          <cell r="F811">
            <v>0</v>
          </cell>
          <cell r="G811"/>
          <cell r="H811"/>
          <cell r="I811">
            <v>0</v>
          </cell>
          <cell r="J811">
            <v>0</v>
          </cell>
          <cell r="K811">
            <v>0</v>
          </cell>
          <cell r="L811">
            <v>500114</v>
          </cell>
          <cell r="M811">
            <v>1</v>
          </cell>
          <cell r="N811">
            <v>0</v>
          </cell>
          <cell r="O811">
            <v>500114</v>
          </cell>
          <cell r="P811">
            <v>0</v>
          </cell>
          <cell r="Q811">
            <v>0</v>
          </cell>
          <cell r="R811">
            <v>0</v>
          </cell>
          <cell r="S811">
            <v>0</v>
          </cell>
        </row>
        <row r="812">
          <cell r="A812">
            <v>500115</v>
          </cell>
          <cell r="B812" t="str">
            <v>Increment - Comp/Bonus</v>
          </cell>
          <cell r="C812"/>
          <cell r="D812"/>
          <cell r="E812"/>
          <cell r="F812">
            <v>0</v>
          </cell>
          <cell r="G812"/>
          <cell r="H812"/>
          <cell r="I812">
            <v>0</v>
          </cell>
          <cell r="J812">
            <v>0</v>
          </cell>
          <cell r="K812">
            <v>0</v>
          </cell>
          <cell r="L812">
            <v>500115</v>
          </cell>
          <cell r="M812">
            <v>1</v>
          </cell>
          <cell r="N812">
            <v>0</v>
          </cell>
          <cell r="O812">
            <v>500115</v>
          </cell>
          <cell r="P812">
            <v>0</v>
          </cell>
          <cell r="Q812">
            <v>0</v>
          </cell>
          <cell r="R812">
            <v>0</v>
          </cell>
          <cell r="S812">
            <v>0</v>
          </cell>
        </row>
        <row r="813">
          <cell r="A813">
            <v>500117</v>
          </cell>
          <cell r="B813" t="str">
            <v>Payroll Long term incentive Plan</v>
          </cell>
          <cell r="C813"/>
          <cell r="D813"/>
          <cell r="E813"/>
          <cell r="F813">
            <v>0</v>
          </cell>
          <cell r="G813"/>
          <cell r="H813"/>
          <cell r="I813">
            <v>0</v>
          </cell>
          <cell r="J813">
            <v>0</v>
          </cell>
          <cell r="K813">
            <v>0</v>
          </cell>
          <cell r="L813">
            <v>500117</v>
          </cell>
          <cell r="M813">
            <v>1</v>
          </cell>
          <cell r="N813">
            <v>0</v>
          </cell>
          <cell r="O813">
            <v>500117</v>
          </cell>
          <cell r="P813">
            <v>0</v>
          </cell>
          <cell r="Q813">
            <v>0</v>
          </cell>
          <cell r="R813">
            <v>0</v>
          </cell>
          <cell r="S813">
            <v>0</v>
          </cell>
        </row>
        <row r="814">
          <cell r="A814">
            <v>500123</v>
          </cell>
          <cell r="B814" t="str">
            <v>Employee Referral Bonus Comp</v>
          </cell>
          <cell r="C814"/>
          <cell r="D814"/>
          <cell r="E814"/>
          <cell r="F814">
            <v>0</v>
          </cell>
          <cell r="G814"/>
          <cell r="H814"/>
          <cell r="I814">
            <v>0</v>
          </cell>
          <cell r="J814">
            <v>0</v>
          </cell>
          <cell r="K814">
            <v>0</v>
          </cell>
          <cell r="L814">
            <v>500123</v>
          </cell>
          <cell r="M814">
            <v>1</v>
          </cell>
          <cell r="N814">
            <v>0</v>
          </cell>
          <cell r="O814">
            <v>500123</v>
          </cell>
          <cell r="P814">
            <v>0</v>
          </cell>
          <cell r="Q814">
            <v>0</v>
          </cell>
          <cell r="R814">
            <v>0</v>
          </cell>
          <cell r="S814">
            <v>0</v>
          </cell>
        </row>
        <row r="815">
          <cell r="A815">
            <v>501110</v>
          </cell>
          <cell r="B815" t="str">
            <v>Payroll Taxes</v>
          </cell>
          <cell r="C815"/>
          <cell r="D815"/>
          <cell r="E815"/>
          <cell r="F815">
            <v>0</v>
          </cell>
          <cell r="G815"/>
          <cell r="H815"/>
          <cell r="I815">
            <v>0</v>
          </cell>
          <cell r="J815">
            <v>0</v>
          </cell>
          <cell r="K815">
            <v>0</v>
          </cell>
          <cell r="L815">
            <v>501110</v>
          </cell>
          <cell r="M815">
            <v>1</v>
          </cell>
          <cell r="N815">
            <v>0</v>
          </cell>
          <cell r="O815">
            <v>501110</v>
          </cell>
          <cell r="P815">
            <v>0</v>
          </cell>
          <cell r="Q815">
            <v>0</v>
          </cell>
          <cell r="R815">
            <v>0</v>
          </cell>
          <cell r="S815">
            <v>0</v>
          </cell>
        </row>
        <row r="816">
          <cell r="A816">
            <v>501111</v>
          </cell>
          <cell r="B816" t="str">
            <v>Payroll-Tax on Perquisites</v>
          </cell>
          <cell r="C816"/>
          <cell r="D816"/>
          <cell r="E816"/>
          <cell r="F816">
            <v>0</v>
          </cell>
          <cell r="G816"/>
          <cell r="H816"/>
          <cell r="I816">
            <v>0</v>
          </cell>
          <cell r="J816">
            <v>0</v>
          </cell>
          <cell r="K816">
            <v>0</v>
          </cell>
          <cell r="L816">
            <v>501111</v>
          </cell>
          <cell r="M816">
            <v>1</v>
          </cell>
          <cell r="N816">
            <v>0</v>
          </cell>
          <cell r="O816">
            <v>501111</v>
          </cell>
          <cell r="P816">
            <v>6576</v>
          </cell>
          <cell r="Q816">
            <v>-6576</v>
          </cell>
          <cell r="R816">
            <v>0</v>
          </cell>
          <cell r="S816">
            <v>0</v>
          </cell>
        </row>
        <row r="817">
          <cell r="A817">
            <v>501115</v>
          </cell>
          <cell r="B817" t="str">
            <v>Health Insurance</v>
          </cell>
          <cell r="C817"/>
          <cell r="D817"/>
          <cell r="E817"/>
          <cell r="F817">
            <v>0</v>
          </cell>
          <cell r="G817"/>
          <cell r="H817"/>
          <cell r="I817">
            <v>0</v>
          </cell>
          <cell r="J817">
            <v>0</v>
          </cell>
          <cell r="K817">
            <v>0</v>
          </cell>
          <cell r="L817">
            <v>501115</v>
          </cell>
          <cell r="M817">
            <v>1</v>
          </cell>
          <cell r="N817">
            <v>0</v>
          </cell>
          <cell r="O817">
            <v>501115</v>
          </cell>
          <cell r="P817">
            <v>225405.62</v>
          </cell>
          <cell r="Q817">
            <v>-225405.62</v>
          </cell>
          <cell r="R817">
            <v>0</v>
          </cell>
          <cell r="S817">
            <v>0</v>
          </cell>
        </row>
        <row r="818">
          <cell r="A818">
            <v>501116</v>
          </cell>
          <cell r="B818" t="str">
            <v>Accident Insurance</v>
          </cell>
          <cell r="C818"/>
          <cell r="D818"/>
          <cell r="E818"/>
          <cell r="F818">
            <v>0</v>
          </cell>
          <cell r="G818"/>
          <cell r="H818"/>
          <cell r="I818">
            <v>0</v>
          </cell>
          <cell r="J818">
            <v>0</v>
          </cell>
          <cell r="K818">
            <v>0</v>
          </cell>
          <cell r="L818">
            <v>501116</v>
          </cell>
          <cell r="M818">
            <v>1</v>
          </cell>
          <cell r="N818">
            <v>0</v>
          </cell>
          <cell r="O818">
            <v>501116</v>
          </cell>
          <cell r="P818">
            <v>0</v>
          </cell>
          <cell r="Q818">
            <v>0</v>
          </cell>
          <cell r="R818">
            <v>0</v>
          </cell>
          <cell r="S818">
            <v>0</v>
          </cell>
        </row>
        <row r="819">
          <cell r="A819">
            <v>501117</v>
          </cell>
          <cell r="B819" t="str">
            <v>Life Insurance</v>
          </cell>
          <cell r="C819"/>
          <cell r="D819"/>
          <cell r="E819"/>
          <cell r="F819">
            <v>0</v>
          </cell>
          <cell r="G819"/>
          <cell r="H819"/>
          <cell r="I819">
            <v>0</v>
          </cell>
          <cell r="J819">
            <v>0</v>
          </cell>
          <cell r="K819">
            <v>0</v>
          </cell>
          <cell r="L819">
            <v>501117</v>
          </cell>
          <cell r="M819">
            <v>1</v>
          </cell>
          <cell r="N819">
            <v>0</v>
          </cell>
          <cell r="O819">
            <v>501117</v>
          </cell>
          <cell r="P819">
            <v>0</v>
          </cell>
          <cell r="Q819">
            <v>0</v>
          </cell>
          <cell r="R819">
            <v>0</v>
          </cell>
          <cell r="S819">
            <v>0</v>
          </cell>
        </row>
        <row r="820">
          <cell r="A820">
            <v>501120</v>
          </cell>
          <cell r="B820" t="str">
            <v>Benefits - PC Purchase</v>
          </cell>
          <cell r="C820"/>
          <cell r="D820"/>
          <cell r="E820"/>
          <cell r="F820">
            <v>0</v>
          </cell>
          <cell r="G820"/>
          <cell r="H820"/>
          <cell r="I820">
            <v>0</v>
          </cell>
          <cell r="J820">
            <v>0</v>
          </cell>
          <cell r="K820">
            <v>0</v>
          </cell>
          <cell r="L820">
            <v>501120</v>
          </cell>
          <cell r="M820">
            <v>1</v>
          </cell>
          <cell r="N820">
            <v>0</v>
          </cell>
          <cell r="O820">
            <v>501120</v>
          </cell>
          <cell r="P820">
            <v>0</v>
          </cell>
          <cell r="Q820">
            <v>0</v>
          </cell>
          <cell r="R820">
            <v>0</v>
          </cell>
          <cell r="S820">
            <v>0</v>
          </cell>
        </row>
        <row r="821">
          <cell r="A821">
            <v>501125</v>
          </cell>
          <cell r="B821" t="str">
            <v>Tuition Reimbursement</v>
          </cell>
          <cell r="C821"/>
          <cell r="D821"/>
          <cell r="E821"/>
          <cell r="F821">
            <v>0</v>
          </cell>
          <cell r="G821"/>
          <cell r="H821"/>
          <cell r="I821">
            <v>0</v>
          </cell>
          <cell r="J821">
            <v>0</v>
          </cell>
          <cell r="K821">
            <v>0</v>
          </cell>
          <cell r="L821">
            <v>501125</v>
          </cell>
          <cell r="M821">
            <v>1</v>
          </cell>
          <cell r="N821">
            <v>0</v>
          </cell>
          <cell r="O821">
            <v>501125</v>
          </cell>
          <cell r="P821">
            <v>0</v>
          </cell>
          <cell r="Q821">
            <v>0</v>
          </cell>
          <cell r="R821">
            <v>0</v>
          </cell>
          <cell r="S821">
            <v>0</v>
          </cell>
        </row>
        <row r="822">
          <cell r="A822">
            <v>501130</v>
          </cell>
          <cell r="B822" t="str">
            <v>Employee Relations</v>
          </cell>
          <cell r="C822"/>
          <cell r="D822"/>
          <cell r="E822"/>
          <cell r="F822">
            <v>0</v>
          </cell>
          <cell r="G822"/>
          <cell r="H822"/>
          <cell r="I822">
            <v>0</v>
          </cell>
          <cell r="J822">
            <v>0</v>
          </cell>
          <cell r="K822">
            <v>0</v>
          </cell>
          <cell r="L822">
            <v>501130</v>
          </cell>
          <cell r="M822">
            <v>1</v>
          </cell>
          <cell r="N822">
            <v>0</v>
          </cell>
          <cell r="O822">
            <v>501130</v>
          </cell>
          <cell r="P822">
            <v>0</v>
          </cell>
          <cell r="Q822">
            <v>0</v>
          </cell>
          <cell r="R822">
            <v>0</v>
          </cell>
          <cell r="S822">
            <v>0</v>
          </cell>
        </row>
        <row r="823">
          <cell r="A823">
            <v>501132</v>
          </cell>
          <cell r="B823" t="str">
            <v>Client Entertainment Exps</v>
          </cell>
          <cell r="C823"/>
          <cell r="D823"/>
          <cell r="E823"/>
          <cell r="F823">
            <v>0</v>
          </cell>
          <cell r="G823"/>
          <cell r="H823"/>
          <cell r="I823">
            <v>0</v>
          </cell>
          <cell r="J823">
            <v>0</v>
          </cell>
          <cell r="K823">
            <v>0</v>
          </cell>
          <cell r="L823">
            <v>501132</v>
          </cell>
          <cell r="M823">
            <v>1</v>
          </cell>
          <cell r="N823">
            <v>0</v>
          </cell>
          <cell r="O823">
            <v>501132</v>
          </cell>
          <cell r="P823">
            <v>-1039</v>
          </cell>
          <cell r="Q823">
            <v>1039</v>
          </cell>
          <cell r="R823">
            <v>0</v>
          </cell>
          <cell r="S823">
            <v>0</v>
          </cell>
        </row>
        <row r="824">
          <cell r="A824">
            <v>501135</v>
          </cell>
          <cell r="B824" t="str">
            <v>Insurance - Workmans Compensat</v>
          </cell>
          <cell r="C824"/>
          <cell r="D824"/>
          <cell r="E824"/>
          <cell r="F824">
            <v>0</v>
          </cell>
          <cell r="G824"/>
          <cell r="H824"/>
          <cell r="I824">
            <v>0</v>
          </cell>
          <cell r="J824">
            <v>0</v>
          </cell>
          <cell r="K824">
            <v>0</v>
          </cell>
          <cell r="L824">
            <v>501135</v>
          </cell>
          <cell r="M824">
            <v>1</v>
          </cell>
          <cell r="N824">
            <v>0</v>
          </cell>
          <cell r="O824">
            <v>501135</v>
          </cell>
          <cell r="P824">
            <v>0</v>
          </cell>
          <cell r="Q824">
            <v>0</v>
          </cell>
          <cell r="R824">
            <v>0</v>
          </cell>
          <cell r="S824">
            <v>0</v>
          </cell>
        </row>
        <row r="825">
          <cell r="A825">
            <v>501140</v>
          </cell>
          <cell r="B825" t="str">
            <v>Benefits - Canteen expenses</v>
          </cell>
          <cell r="C825"/>
          <cell r="D825"/>
          <cell r="E825"/>
          <cell r="F825">
            <v>0</v>
          </cell>
          <cell r="G825"/>
          <cell r="H825"/>
          <cell r="I825">
            <v>0</v>
          </cell>
          <cell r="J825">
            <v>0</v>
          </cell>
          <cell r="K825">
            <v>0</v>
          </cell>
          <cell r="L825">
            <v>501140</v>
          </cell>
          <cell r="M825">
            <v>1</v>
          </cell>
          <cell r="N825">
            <v>0</v>
          </cell>
          <cell r="O825">
            <v>501140</v>
          </cell>
          <cell r="P825">
            <v>149400</v>
          </cell>
          <cell r="Q825">
            <v>-149400</v>
          </cell>
          <cell r="R825">
            <v>0</v>
          </cell>
          <cell r="S825">
            <v>0</v>
          </cell>
        </row>
        <row r="826">
          <cell r="A826">
            <v>501141</v>
          </cell>
          <cell r="B826" t="str">
            <v>Benefits - Medical expenses</v>
          </cell>
          <cell r="C826"/>
          <cell r="D826"/>
          <cell r="E826"/>
          <cell r="F826">
            <v>0</v>
          </cell>
          <cell r="G826"/>
          <cell r="H826"/>
          <cell r="I826">
            <v>0</v>
          </cell>
          <cell r="J826">
            <v>0</v>
          </cell>
          <cell r="K826">
            <v>0</v>
          </cell>
          <cell r="L826">
            <v>501141</v>
          </cell>
          <cell r="M826">
            <v>1</v>
          </cell>
          <cell r="N826">
            <v>0</v>
          </cell>
          <cell r="O826">
            <v>501141</v>
          </cell>
          <cell r="P826">
            <v>5591.95</v>
          </cell>
          <cell r="Q826">
            <v>-5591.95</v>
          </cell>
          <cell r="R826">
            <v>0</v>
          </cell>
          <cell r="S826">
            <v>0</v>
          </cell>
        </row>
        <row r="827">
          <cell r="A827">
            <v>501142</v>
          </cell>
          <cell r="B827" t="str">
            <v>Benefits - Staff Functions</v>
          </cell>
          <cell r="C827"/>
          <cell r="D827"/>
          <cell r="E827"/>
          <cell r="F827">
            <v>0</v>
          </cell>
          <cell r="G827"/>
          <cell r="H827"/>
          <cell r="I827">
            <v>0</v>
          </cell>
          <cell r="J827">
            <v>0</v>
          </cell>
          <cell r="K827">
            <v>0</v>
          </cell>
          <cell r="L827">
            <v>501142</v>
          </cell>
          <cell r="M827">
            <v>1</v>
          </cell>
          <cell r="N827">
            <v>0</v>
          </cell>
          <cell r="O827">
            <v>501142</v>
          </cell>
          <cell r="P827">
            <v>0</v>
          </cell>
          <cell r="Q827">
            <v>0</v>
          </cell>
          <cell r="R827">
            <v>0</v>
          </cell>
          <cell r="S827">
            <v>0</v>
          </cell>
        </row>
        <row r="828">
          <cell r="A828">
            <v>501143</v>
          </cell>
          <cell r="B828" t="str">
            <v>Benefits - Proj. Lunch/Picnic</v>
          </cell>
          <cell r="C828"/>
          <cell r="D828"/>
          <cell r="E828"/>
          <cell r="F828">
            <v>0</v>
          </cell>
          <cell r="G828"/>
          <cell r="H828"/>
          <cell r="I828">
            <v>0</v>
          </cell>
          <cell r="J828">
            <v>0</v>
          </cell>
          <cell r="K828">
            <v>0</v>
          </cell>
          <cell r="L828">
            <v>501143</v>
          </cell>
          <cell r="M828">
            <v>1</v>
          </cell>
          <cell r="N828">
            <v>0</v>
          </cell>
          <cell r="O828">
            <v>501143</v>
          </cell>
          <cell r="P828">
            <v>172522.6</v>
          </cell>
          <cell r="Q828">
            <v>-172522.6</v>
          </cell>
          <cell r="R828">
            <v>0</v>
          </cell>
          <cell r="S828">
            <v>0</v>
          </cell>
        </row>
        <row r="829">
          <cell r="A829">
            <v>501144</v>
          </cell>
          <cell r="B829" t="str">
            <v xml:space="preserve">Benefits - Staff Transport </v>
          </cell>
          <cell r="C829"/>
          <cell r="D829"/>
          <cell r="E829"/>
          <cell r="F829">
            <v>0</v>
          </cell>
          <cell r="G829"/>
          <cell r="H829"/>
          <cell r="I829">
            <v>0</v>
          </cell>
          <cell r="J829">
            <v>0</v>
          </cell>
          <cell r="K829">
            <v>0</v>
          </cell>
          <cell r="L829">
            <v>501144</v>
          </cell>
          <cell r="M829">
            <v>1</v>
          </cell>
          <cell r="N829">
            <v>0</v>
          </cell>
          <cell r="O829">
            <v>501144</v>
          </cell>
          <cell r="P829">
            <v>327749.81</v>
          </cell>
          <cell r="Q829">
            <v>-327749.81</v>
          </cell>
          <cell r="R829">
            <v>0</v>
          </cell>
          <cell r="S829">
            <v>0</v>
          </cell>
        </row>
        <row r="830">
          <cell r="A830">
            <v>501145</v>
          </cell>
          <cell r="B830" t="str">
            <v>Benefits - Others</v>
          </cell>
          <cell r="C830"/>
          <cell r="D830"/>
          <cell r="E830"/>
          <cell r="F830">
            <v>0</v>
          </cell>
          <cell r="G830"/>
          <cell r="H830"/>
          <cell r="I830">
            <v>0</v>
          </cell>
          <cell r="J830">
            <v>0</v>
          </cell>
          <cell r="K830">
            <v>0</v>
          </cell>
          <cell r="L830">
            <v>501145</v>
          </cell>
          <cell r="M830">
            <v>1</v>
          </cell>
          <cell r="N830">
            <v>0</v>
          </cell>
          <cell r="O830">
            <v>501145</v>
          </cell>
          <cell r="P830">
            <v>19110</v>
          </cell>
          <cell r="Q830">
            <v>-19110</v>
          </cell>
          <cell r="R830">
            <v>0</v>
          </cell>
          <cell r="S830">
            <v>0</v>
          </cell>
        </row>
        <row r="831">
          <cell r="A831">
            <v>501146</v>
          </cell>
          <cell r="B831" t="str">
            <v>Benefits - Staff Gifts</v>
          </cell>
          <cell r="C831"/>
          <cell r="D831"/>
          <cell r="E831"/>
          <cell r="F831">
            <v>0</v>
          </cell>
          <cell r="G831"/>
          <cell r="H831"/>
          <cell r="I831">
            <v>0</v>
          </cell>
          <cell r="J831">
            <v>0</v>
          </cell>
          <cell r="K831">
            <v>0</v>
          </cell>
          <cell r="L831">
            <v>501146</v>
          </cell>
          <cell r="M831">
            <v>1</v>
          </cell>
          <cell r="N831">
            <v>0</v>
          </cell>
          <cell r="O831">
            <v>501146</v>
          </cell>
          <cell r="P831">
            <v>0</v>
          </cell>
          <cell r="Q831">
            <v>0</v>
          </cell>
          <cell r="R831">
            <v>0</v>
          </cell>
          <cell r="S831">
            <v>0</v>
          </cell>
        </row>
        <row r="832">
          <cell r="A832">
            <v>501153</v>
          </cell>
          <cell r="B832" t="str">
            <v>Benefits - Transport Recovery</v>
          </cell>
          <cell r="C832"/>
          <cell r="D832"/>
          <cell r="E832"/>
          <cell r="F832">
            <v>0</v>
          </cell>
          <cell r="G832"/>
          <cell r="H832"/>
          <cell r="I832">
            <v>0</v>
          </cell>
          <cell r="J832">
            <v>0</v>
          </cell>
          <cell r="K832">
            <v>0</v>
          </cell>
          <cell r="L832">
            <v>501153</v>
          </cell>
          <cell r="M832">
            <v>1</v>
          </cell>
          <cell r="N832">
            <v>0</v>
          </cell>
          <cell r="O832">
            <v>501153</v>
          </cell>
          <cell r="P832">
            <v>-112341</v>
          </cell>
          <cell r="Q832">
            <v>112341</v>
          </cell>
          <cell r="R832">
            <v>0</v>
          </cell>
          <cell r="S832">
            <v>0</v>
          </cell>
        </row>
        <row r="833">
          <cell r="A833">
            <v>501310</v>
          </cell>
          <cell r="B833" t="str">
            <v>Billable Outside Consulting</v>
          </cell>
          <cell r="C833"/>
          <cell r="D833"/>
          <cell r="E833"/>
          <cell r="F833">
            <v>0</v>
          </cell>
          <cell r="G833"/>
          <cell r="H833"/>
          <cell r="I833">
            <v>0</v>
          </cell>
          <cell r="J833">
            <v>0</v>
          </cell>
          <cell r="K833">
            <v>0</v>
          </cell>
          <cell r="L833">
            <v>501310</v>
          </cell>
          <cell r="M833">
            <v>1</v>
          </cell>
          <cell r="N833">
            <v>0</v>
          </cell>
          <cell r="O833">
            <v>501310</v>
          </cell>
          <cell r="P833">
            <v>104455.65</v>
          </cell>
          <cell r="Q833">
            <v>-104455.65</v>
          </cell>
          <cell r="R833">
            <v>0</v>
          </cell>
          <cell r="S833">
            <v>0</v>
          </cell>
        </row>
        <row r="834">
          <cell r="A834">
            <v>501311</v>
          </cell>
          <cell r="B834" t="str">
            <v>Billable out consulting - Inter Co.</v>
          </cell>
          <cell r="C834"/>
          <cell r="D834"/>
          <cell r="E834"/>
          <cell r="F834">
            <v>0</v>
          </cell>
          <cell r="G834"/>
          <cell r="H834"/>
          <cell r="I834">
            <v>0</v>
          </cell>
          <cell r="J834">
            <v>0</v>
          </cell>
          <cell r="K834">
            <v>0</v>
          </cell>
          <cell r="L834">
            <v>501311</v>
          </cell>
          <cell r="M834">
            <v>1</v>
          </cell>
          <cell r="N834">
            <v>0</v>
          </cell>
          <cell r="O834">
            <v>501311</v>
          </cell>
          <cell r="P834">
            <v>0</v>
          </cell>
          <cell r="Q834">
            <v>0</v>
          </cell>
          <cell r="R834">
            <v>0</v>
          </cell>
          <cell r="S834">
            <v>0</v>
          </cell>
        </row>
        <row r="835">
          <cell r="A835">
            <v>501315</v>
          </cell>
          <cell r="B835" t="str">
            <v>Offshore Charges</v>
          </cell>
          <cell r="C835"/>
          <cell r="D835"/>
          <cell r="E835"/>
          <cell r="F835">
            <v>0</v>
          </cell>
          <cell r="G835"/>
          <cell r="H835"/>
          <cell r="I835">
            <v>0</v>
          </cell>
          <cell r="J835">
            <v>0</v>
          </cell>
          <cell r="K835">
            <v>0</v>
          </cell>
          <cell r="L835">
            <v>501315</v>
          </cell>
          <cell r="M835">
            <v>1</v>
          </cell>
          <cell r="N835">
            <v>0</v>
          </cell>
          <cell r="O835">
            <v>501315</v>
          </cell>
          <cell r="P835">
            <v>12690571.221150002</v>
          </cell>
          <cell r="Q835">
            <v>-12690571.221150002</v>
          </cell>
          <cell r="R835">
            <v>0</v>
          </cell>
          <cell r="S835">
            <v>0</v>
          </cell>
        </row>
        <row r="836">
          <cell r="A836">
            <v>501320</v>
          </cell>
          <cell r="B836" t="str">
            <v>Offshore -Transition Charges</v>
          </cell>
          <cell r="C836"/>
          <cell r="D836"/>
          <cell r="E836"/>
          <cell r="F836">
            <v>0</v>
          </cell>
          <cell r="G836"/>
          <cell r="H836"/>
          <cell r="I836">
            <v>0</v>
          </cell>
          <cell r="J836">
            <v>0</v>
          </cell>
          <cell r="K836">
            <v>0</v>
          </cell>
          <cell r="L836">
            <v>501320</v>
          </cell>
          <cell r="M836">
            <v>1</v>
          </cell>
          <cell r="N836">
            <v>0</v>
          </cell>
          <cell r="O836">
            <v>501320</v>
          </cell>
          <cell r="P836">
            <v>0</v>
          </cell>
          <cell r="Q836">
            <v>0</v>
          </cell>
          <cell r="R836">
            <v>0</v>
          </cell>
          <cell r="S836">
            <v>0</v>
          </cell>
        </row>
        <row r="837">
          <cell r="A837">
            <v>501321</v>
          </cell>
          <cell r="B837" t="str">
            <v>Offshore-L1 Charges</v>
          </cell>
          <cell r="C837"/>
          <cell r="D837"/>
          <cell r="E837"/>
          <cell r="F837">
            <v>0</v>
          </cell>
          <cell r="G837"/>
          <cell r="H837"/>
          <cell r="I837">
            <v>0</v>
          </cell>
          <cell r="J837">
            <v>0</v>
          </cell>
          <cell r="K837">
            <v>0</v>
          </cell>
          <cell r="L837">
            <v>501321</v>
          </cell>
          <cell r="M837">
            <v>1</v>
          </cell>
          <cell r="N837">
            <v>0</v>
          </cell>
          <cell r="O837">
            <v>501321</v>
          </cell>
          <cell r="P837">
            <v>555984</v>
          </cell>
          <cell r="Q837">
            <v>-555984</v>
          </cell>
          <cell r="R837">
            <v>0</v>
          </cell>
          <cell r="S837">
            <v>0</v>
          </cell>
        </row>
        <row r="838">
          <cell r="A838">
            <v>501322</v>
          </cell>
          <cell r="B838" t="str">
            <v>Offshore-Buffer Charges</v>
          </cell>
          <cell r="C838"/>
          <cell r="D838"/>
          <cell r="E838"/>
          <cell r="F838">
            <v>0</v>
          </cell>
          <cell r="G838"/>
          <cell r="H838"/>
          <cell r="I838">
            <v>0</v>
          </cell>
          <cell r="J838">
            <v>0</v>
          </cell>
          <cell r="K838">
            <v>0</v>
          </cell>
          <cell r="L838">
            <v>501322</v>
          </cell>
          <cell r="M838">
            <v>1</v>
          </cell>
          <cell r="N838">
            <v>0</v>
          </cell>
          <cell r="O838">
            <v>501322</v>
          </cell>
          <cell r="P838">
            <v>0</v>
          </cell>
          <cell r="Q838">
            <v>0</v>
          </cell>
          <cell r="R838">
            <v>0</v>
          </cell>
          <cell r="S838">
            <v>0</v>
          </cell>
        </row>
        <row r="839">
          <cell r="A839">
            <v>501324</v>
          </cell>
          <cell r="B839" t="str">
            <v>Inter-Co. Service charges</v>
          </cell>
          <cell r="C839"/>
          <cell r="D839"/>
          <cell r="E839"/>
          <cell r="F839">
            <v>0</v>
          </cell>
          <cell r="G839"/>
          <cell r="H839"/>
          <cell r="I839">
            <v>0</v>
          </cell>
          <cell r="J839">
            <v>0</v>
          </cell>
          <cell r="K839">
            <v>0</v>
          </cell>
          <cell r="L839">
            <v>501324</v>
          </cell>
          <cell r="M839">
            <v>1</v>
          </cell>
          <cell r="N839">
            <v>0</v>
          </cell>
          <cell r="O839">
            <v>501324</v>
          </cell>
          <cell r="P839">
            <v>16836426.969999999</v>
          </cell>
          <cell r="Q839">
            <v>-16836426.969999999</v>
          </cell>
          <cell r="R839">
            <v>0</v>
          </cell>
          <cell r="S839">
            <v>0</v>
          </cell>
        </row>
        <row r="840">
          <cell r="A840">
            <v>501329</v>
          </cell>
          <cell r="B840" t="str">
            <v>Deferred Offshore/Onsite Chgs</v>
          </cell>
          <cell r="C840"/>
          <cell r="D840"/>
          <cell r="E840"/>
          <cell r="F840">
            <v>0</v>
          </cell>
          <cell r="G840"/>
          <cell r="H840"/>
          <cell r="I840">
            <v>0</v>
          </cell>
          <cell r="J840">
            <v>0</v>
          </cell>
          <cell r="K840">
            <v>0</v>
          </cell>
          <cell r="L840">
            <v>501329</v>
          </cell>
          <cell r="M840">
            <v>1</v>
          </cell>
          <cell r="N840">
            <v>0</v>
          </cell>
          <cell r="O840">
            <v>501329</v>
          </cell>
          <cell r="P840">
            <v>0</v>
          </cell>
          <cell r="Q840">
            <v>0</v>
          </cell>
          <cell r="R840">
            <v>0</v>
          </cell>
          <cell r="S840">
            <v>0</v>
          </cell>
        </row>
        <row r="841">
          <cell r="A841">
            <v>501330</v>
          </cell>
          <cell r="B841" t="str">
            <v>Outside Services</v>
          </cell>
          <cell r="C841"/>
          <cell r="D841"/>
          <cell r="E841"/>
          <cell r="F841">
            <v>0</v>
          </cell>
          <cell r="G841"/>
          <cell r="H841"/>
          <cell r="I841">
            <v>0</v>
          </cell>
          <cell r="J841">
            <v>0</v>
          </cell>
          <cell r="K841">
            <v>0</v>
          </cell>
          <cell r="L841">
            <v>501330</v>
          </cell>
          <cell r="M841">
            <v>1</v>
          </cell>
          <cell r="N841">
            <v>0</v>
          </cell>
          <cell r="O841">
            <v>501330</v>
          </cell>
          <cell r="P841">
            <v>0</v>
          </cell>
          <cell r="Q841">
            <v>0</v>
          </cell>
          <cell r="R841">
            <v>0</v>
          </cell>
          <cell r="S841">
            <v>0</v>
          </cell>
        </row>
        <row r="842">
          <cell r="A842">
            <v>501410</v>
          </cell>
          <cell r="B842" t="str">
            <v>Relocation - NonTaxable</v>
          </cell>
          <cell r="C842"/>
          <cell r="D842"/>
          <cell r="E842"/>
          <cell r="F842">
            <v>0</v>
          </cell>
          <cell r="G842"/>
          <cell r="H842"/>
          <cell r="I842">
            <v>0</v>
          </cell>
          <cell r="J842">
            <v>0</v>
          </cell>
          <cell r="K842">
            <v>0</v>
          </cell>
          <cell r="L842">
            <v>501410</v>
          </cell>
          <cell r="M842">
            <v>1</v>
          </cell>
          <cell r="N842">
            <v>0</v>
          </cell>
          <cell r="O842">
            <v>501410</v>
          </cell>
          <cell r="P842">
            <v>0</v>
          </cell>
          <cell r="Q842">
            <v>0</v>
          </cell>
          <cell r="R842">
            <v>0</v>
          </cell>
          <cell r="S842">
            <v>0</v>
          </cell>
        </row>
        <row r="843">
          <cell r="A843">
            <v>501420</v>
          </cell>
          <cell r="B843" t="str">
            <v>Relocation - Taxable</v>
          </cell>
          <cell r="C843"/>
          <cell r="D843"/>
          <cell r="E843"/>
          <cell r="F843">
            <v>0</v>
          </cell>
          <cell r="G843"/>
          <cell r="H843"/>
          <cell r="I843">
            <v>0</v>
          </cell>
          <cell r="J843">
            <v>0</v>
          </cell>
          <cell r="K843">
            <v>0</v>
          </cell>
          <cell r="L843">
            <v>501420</v>
          </cell>
          <cell r="M843">
            <v>1</v>
          </cell>
          <cell r="N843">
            <v>0</v>
          </cell>
          <cell r="O843">
            <v>501420</v>
          </cell>
          <cell r="P843">
            <v>0</v>
          </cell>
          <cell r="Q843">
            <v>0</v>
          </cell>
          <cell r="R843">
            <v>0</v>
          </cell>
          <cell r="S843">
            <v>0</v>
          </cell>
        </row>
        <row r="844">
          <cell r="A844">
            <v>501510</v>
          </cell>
          <cell r="B844" t="str">
            <v>Advertising - Recruitng</v>
          </cell>
          <cell r="C844"/>
          <cell r="D844"/>
          <cell r="E844"/>
          <cell r="F844">
            <v>0</v>
          </cell>
          <cell r="G844"/>
          <cell r="H844"/>
          <cell r="I844">
            <v>0</v>
          </cell>
          <cell r="J844">
            <v>0</v>
          </cell>
          <cell r="K844">
            <v>0</v>
          </cell>
          <cell r="L844">
            <v>501510</v>
          </cell>
          <cell r="M844">
            <v>1</v>
          </cell>
          <cell r="N844">
            <v>0</v>
          </cell>
          <cell r="O844">
            <v>501510</v>
          </cell>
          <cell r="P844">
            <v>0</v>
          </cell>
          <cell r="Q844">
            <v>0</v>
          </cell>
          <cell r="R844">
            <v>0</v>
          </cell>
          <cell r="S844">
            <v>0</v>
          </cell>
        </row>
        <row r="845">
          <cell r="A845">
            <v>501515</v>
          </cell>
          <cell r="B845" t="str">
            <v>Employee Recruitng Expense</v>
          </cell>
          <cell r="C845"/>
          <cell r="D845"/>
          <cell r="E845"/>
          <cell r="F845">
            <v>0</v>
          </cell>
          <cell r="G845"/>
          <cell r="H845"/>
          <cell r="I845">
            <v>0</v>
          </cell>
          <cell r="J845">
            <v>0</v>
          </cell>
          <cell r="K845">
            <v>0</v>
          </cell>
          <cell r="L845">
            <v>501515</v>
          </cell>
          <cell r="M845">
            <v>1</v>
          </cell>
          <cell r="N845">
            <v>0</v>
          </cell>
          <cell r="O845">
            <v>501515</v>
          </cell>
          <cell r="P845">
            <v>6853633.4499999993</v>
          </cell>
          <cell r="Q845">
            <v>-6853633.4499999993</v>
          </cell>
          <cell r="R845">
            <v>0</v>
          </cell>
          <cell r="S845">
            <v>0</v>
          </cell>
        </row>
        <row r="846">
          <cell r="A846">
            <v>501516</v>
          </cell>
          <cell r="B846" t="str">
            <v>Employee Referal Incentive</v>
          </cell>
          <cell r="C846"/>
          <cell r="D846"/>
          <cell r="E846"/>
          <cell r="F846">
            <v>0</v>
          </cell>
          <cell r="G846"/>
          <cell r="H846"/>
          <cell r="I846">
            <v>0</v>
          </cell>
          <cell r="J846">
            <v>0</v>
          </cell>
          <cell r="K846">
            <v>0</v>
          </cell>
          <cell r="L846">
            <v>501516</v>
          </cell>
          <cell r="M846">
            <v>1</v>
          </cell>
          <cell r="N846">
            <v>0</v>
          </cell>
          <cell r="O846">
            <v>501516</v>
          </cell>
          <cell r="P846">
            <v>0</v>
          </cell>
          <cell r="Q846">
            <v>0</v>
          </cell>
          <cell r="R846">
            <v>0</v>
          </cell>
          <cell r="S846">
            <v>0</v>
          </cell>
        </row>
        <row r="847">
          <cell r="A847">
            <v>501520</v>
          </cell>
          <cell r="B847" t="str">
            <v>Employee Referral Bonus</v>
          </cell>
          <cell r="C847"/>
          <cell r="D847"/>
          <cell r="E847"/>
          <cell r="F847">
            <v>0</v>
          </cell>
          <cell r="G847"/>
          <cell r="H847"/>
          <cell r="I847">
            <v>0</v>
          </cell>
          <cell r="J847">
            <v>0</v>
          </cell>
          <cell r="K847">
            <v>0</v>
          </cell>
          <cell r="L847">
            <v>501520</v>
          </cell>
          <cell r="M847">
            <v>1</v>
          </cell>
          <cell r="N847">
            <v>0</v>
          </cell>
          <cell r="O847">
            <v>501520</v>
          </cell>
          <cell r="P847">
            <v>0</v>
          </cell>
          <cell r="Q847">
            <v>0</v>
          </cell>
          <cell r="R847">
            <v>0</v>
          </cell>
          <cell r="S847">
            <v>0</v>
          </cell>
        </row>
        <row r="848">
          <cell r="A848">
            <v>501590</v>
          </cell>
          <cell r="B848" t="str">
            <v>Finder Fees - Inter co. Costs</v>
          </cell>
          <cell r="C848"/>
          <cell r="D848"/>
          <cell r="E848"/>
          <cell r="F848">
            <v>0</v>
          </cell>
          <cell r="G848"/>
          <cell r="H848"/>
          <cell r="I848">
            <v>0</v>
          </cell>
          <cell r="J848">
            <v>0</v>
          </cell>
          <cell r="K848">
            <v>0</v>
          </cell>
          <cell r="L848">
            <v>501590</v>
          </cell>
          <cell r="M848">
            <v>1</v>
          </cell>
          <cell r="N848">
            <v>0</v>
          </cell>
          <cell r="O848">
            <v>501590</v>
          </cell>
          <cell r="P848">
            <v>0</v>
          </cell>
          <cell r="Q848">
            <v>0</v>
          </cell>
          <cell r="R848">
            <v>0</v>
          </cell>
          <cell r="S848">
            <v>0</v>
          </cell>
        </row>
        <row r="849">
          <cell r="A849">
            <v>501610</v>
          </cell>
          <cell r="B849" t="str">
            <v>Immigration Fees</v>
          </cell>
          <cell r="C849"/>
          <cell r="D849"/>
          <cell r="E849"/>
          <cell r="F849">
            <v>0</v>
          </cell>
          <cell r="G849"/>
          <cell r="H849"/>
          <cell r="I849">
            <v>0</v>
          </cell>
          <cell r="J849">
            <v>0</v>
          </cell>
          <cell r="K849">
            <v>0</v>
          </cell>
          <cell r="L849">
            <v>501610</v>
          </cell>
          <cell r="M849">
            <v>1</v>
          </cell>
          <cell r="N849">
            <v>0</v>
          </cell>
          <cell r="O849">
            <v>501610</v>
          </cell>
          <cell r="P849">
            <v>0</v>
          </cell>
          <cell r="Q849">
            <v>0</v>
          </cell>
          <cell r="R849">
            <v>0</v>
          </cell>
          <cell r="S849">
            <v>0</v>
          </cell>
        </row>
        <row r="850">
          <cell r="A850">
            <v>501655</v>
          </cell>
          <cell r="B850" t="str">
            <v>Training &amp; Seminars</v>
          </cell>
          <cell r="C850"/>
          <cell r="D850"/>
          <cell r="E850"/>
          <cell r="F850">
            <v>0</v>
          </cell>
          <cell r="G850"/>
          <cell r="H850"/>
          <cell r="I850">
            <v>0</v>
          </cell>
          <cell r="J850">
            <v>0</v>
          </cell>
          <cell r="K850">
            <v>0</v>
          </cell>
          <cell r="L850">
            <v>501655</v>
          </cell>
          <cell r="M850">
            <v>1</v>
          </cell>
          <cell r="N850">
            <v>0</v>
          </cell>
          <cell r="O850">
            <v>501655</v>
          </cell>
          <cell r="P850">
            <v>0</v>
          </cell>
          <cell r="Q850">
            <v>0</v>
          </cell>
          <cell r="R850">
            <v>0</v>
          </cell>
          <cell r="S850">
            <v>0</v>
          </cell>
        </row>
        <row r="851">
          <cell r="A851">
            <v>501660</v>
          </cell>
          <cell r="B851" t="str">
            <v>Employee Training</v>
          </cell>
          <cell r="C851"/>
          <cell r="D851"/>
          <cell r="E851"/>
          <cell r="F851">
            <v>0</v>
          </cell>
          <cell r="G851"/>
          <cell r="H851"/>
          <cell r="I851">
            <v>0</v>
          </cell>
          <cell r="J851">
            <v>0</v>
          </cell>
          <cell r="K851">
            <v>0</v>
          </cell>
          <cell r="L851">
            <v>501660</v>
          </cell>
          <cell r="M851">
            <v>1</v>
          </cell>
          <cell r="N851">
            <v>0</v>
          </cell>
          <cell r="O851">
            <v>501660</v>
          </cell>
          <cell r="P851">
            <v>50959.14</v>
          </cell>
          <cell r="Q851">
            <v>-50959.14</v>
          </cell>
          <cell r="R851">
            <v>0</v>
          </cell>
          <cell r="S851">
            <v>0</v>
          </cell>
        </row>
        <row r="852">
          <cell r="A852">
            <v>501661</v>
          </cell>
          <cell r="B852" t="str">
            <v>Membership - PMI</v>
          </cell>
          <cell r="C852"/>
          <cell r="D852"/>
          <cell r="E852"/>
          <cell r="F852">
            <v>0</v>
          </cell>
          <cell r="G852"/>
          <cell r="H852"/>
          <cell r="I852">
            <v>0</v>
          </cell>
          <cell r="J852">
            <v>0</v>
          </cell>
          <cell r="K852">
            <v>0</v>
          </cell>
          <cell r="L852">
            <v>501661</v>
          </cell>
          <cell r="M852">
            <v>1</v>
          </cell>
          <cell r="N852">
            <v>0</v>
          </cell>
          <cell r="O852">
            <v>501661</v>
          </cell>
          <cell r="P852">
            <v>0</v>
          </cell>
          <cell r="Q852">
            <v>0</v>
          </cell>
          <cell r="R852">
            <v>0</v>
          </cell>
          <cell r="S852">
            <v>0</v>
          </cell>
        </row>
        <row r="853">
          <cell r="A853">
            <v>501710</v>
          </cell>
          <cell r="B853" t="str">
            <v>Travel - Personal Meals</v>
          </cell>
          <cell r="C853"/>
          <cell r="D853"/>
          <cell r="E853"/>
          <cell r="F853">
            <v>0</v>
          </cell>
          <cell r="G853"/>
          <cell r="H853"/>
          <cell r="I853">
            <v>0</v>
          </cell>
          <cell r="J853">
            <v>0</v>
          </cell>
          <cell r="K853">
            <v>0</v>
          </cell>
          <cell r="L853">
            <v>501710</v>
          </cell>
          <cell r="M853">
            <v>1</v>
          </cell>
          <cell r="N853">
            <v>0</v>
          </cell>
          <cell r="O853">
            <v>501710</v>
          </cell>
          <cell r="P853">
            <v>0</v>
          </cell>
          <cell r="Q853">
            <v>0</v>
          </cell>
          <cell r="R853">
            <v>0</v>
          </cell>
          <cell r="S853">
            <v>0</v>
          </cell>
        </row>
        <row r="854">
          <cell r="A854">
            <v>501715</v>
          </cell>
          <cell r="B854" t="str">
            <v>Travel-Business Meals</v>
          </cell>
          <cell r="C854"/>
          <cell r="D854"/>
          <cell r="E854"/>
          <cell r="F854">
            <v>0</v>
          </cell>
          <cell r="G854"/>
          <cell r="H854"/>
          <cell r="I854">
            <v>0</v>
          </cell>
          <cell r="J854">
            <v>0</v>
          </cell>
          <cell r="K854">
            <v>0</v>
          </cell>
          <cell r="L854">
            <v>501715</v>
          </cell>
          <cell r="M854">
            <v>1</v>
          </cell>
          <cell r="N854">
            <v>0</v>
          </cell>
          <cell r="O854">
            <v>501715</v>
          </cell>
          <cell r="P854">
            <v>0</v>
          </cell>
          <cell r="Q854">
            <v>0</v>
          </cell>
          <cell r="R854">
            <v>0</v>
          </cell>
          <cell r="S854">
            <v>0</v>
          </cell>
        </row>
        <row r="855">
          <cell r="A855">
            <v>501720</v>
          </cell>
          <cell r="B855" t="str">
            <v>Travel-Automobile</v>
          </cell>
          <cell r="C855"/>
          <cell r="D855"/>
          <cell r="E855"/>
          <cell r="F855">
            <v>0</v>
          </cell>
          <cell r="G855"/>
          <cell r="H855"/>
          <cell r="I855">
            <v>0</v>
          </cell>
          <cell r="J855">
            <v>0</v>
          </cell>
          <cell r="K855">
            <v>0</v>
          </cell>
          <cell r="L855">
            <v>501720</v>
          </cell>
          <cell r="M855">
            <v>1</v>
          </cell>
          <cell r="N855">
            <v>0</v>
          </cell>
          <cell r="O855">
            <v>501720</v>
          </cell>
          <cell r="P855">
            <v>0</v>
          </cell>
          <cell r="Q855">
            <v>0</v>
          </cell>
          <cell r="R855">
            <v>0</v>
          </cell>
          <cell r="S855">
            <v>0</v>
          </cell>
        </row>
        <row r="856">
          <cell r="A856">
            <v>501725</v>
          </cell>
          <cell r="B856" t="str">
            <v>Travel-Airfare/Train</v>
          </cell>
          <cell r="C856"/>
          <cell r="D856"/>
          <cell r="E856"/>
          <cell r="F856">
            <v>0</v>
          </cell>
          <cell r="G856"/>
          <cell r="H856"/>
          <cell r="I856">
            <v>0</v>
          </cell>
          <cell r="J856">
            <v>0</v>
          </cell>
          <cell r="K856">
            <v>0</v>
          </cell>
          <cell r="L856">
            <v>501725</v>
          </cell>
          <cell r="M856">
            <v>1</v>
          </cell>
          <cell r="N856">
            <v>0</v>
          </cell>
          <cell r="O856">
            <v>501725</v>
          </cell>
          <cell r="P856">
            <v>36176</v>
          </cell>
          <cell r="Q856">
            <v>-36176</v>
          </cell>
          <cell r="R856">
            <v>0</v>
          </cell>
          <cell r="S856">
            <v>0</v>
          </cell>
        </row>
        <row r="857">
          <cell r="A857">
            <v>501730</v>
          </cell>
          <cell r="B857" t="str">
            <v>Travel-Lodging</v>
          </cell>
          <cell r="C857"/>
          <cell r="D857"/>
          <cell r="E857"/>
          <cell r="F857">
            <v>0</v>
          </cell>
          <cell r="G857"/>
          <cell r="H857"/>
          <cell r="I857">
            <v>0</v>
          </cell>
          <cell r="J857">
            <v>0</v>
          </cell>
          <cell r="K857">
            <v>0</v>
          </cell>
          <cell r="L857">
            <v>501730</v>
          </cell>
          <cell r="M857">
            <v>1</v>
          </cell>
          <cell r="N857">
            <v>0</v>
          </cell>
          <cell r="O857">
            <v>501730</v>
          </cell>
          <cell r="P857">
            <v>14190</v>
          </cell>
          <cell r="Q857">
            <v>-14190</v>
          </cell>
          <cell r="R857">
            <v>0</v>
          </cell>
          <cell r="S857">
            <v>0</v>
          </cell>
        </row>
        <row r="858">
          <cell r="A858">
            <v>501732</v>
          </cell>
          <cell r="B858" t="str">
            <v>Guest House expenses</v>
          </cell>
          <cell r="C858"/>
          <cell r="D858"/>
          <cell r="E858"/>
          <cell r="F858">
            <v>0</v>
          </cell>
          <cell r="G858"/>
          <cell r="H858"/>
          <cell r="I858">
            <v>0</v>
          </cell>
          <cell r="J858">
            <v>0</v>
          </cell>
          <cell r="K858">
            <v>0</v>
          </cell>
          <cell r="L858">
            <v>501732</v>
          </cell>
          <cell r="M858">
            <v>1</v>
          </cell>
          <cell r="N858">
            <v>0</v>
          </cell>
          <cell r="O858">
            <v>501732</v>
          </cell>
          <cell r="P858">
            <v>0</v>
          </cell>
          <cell r="Q858">
            <v>0</v>
          </cell>
          <cell r="R858">
            <v>0</v>
          </cell>
          <cell r="S858">
            <v>0</v>
          </cell>
        </row>
        <row r="859">
          <cell r="A859">
            <v>501735</v>
          </cell>
          <cell r="B859" t="str">
            <v>Travel - Billable</v>
          </cell>
          <cell r="C859"/>
          <cell r="D859"/>
          <cell r="E859"/>
          <cell r="F859">
            <v>0</v>
          </cell>
          <cell r="G859"/>
          <cell r="H859"/>
          <cell r="I859">
            <v>0</v>
          </cell>
          <cell r="J859">
            <v>0</v>
          </cell>
          <cell r="K859">
            <v>0</v>
          </cell>
          <cell r="L859">
            <v>501735</v>
          </cell>
          <cell r="M859">
            <v>1</v>
          </cell>
          <cell r="N859">
            <v>0</v>
          </cell>
          <cell r="O859">
            <v>501735</v>
          </cell>
          <cell r="P859">
            <v>0</v>
          </cell>
          <cell r="Q859">
            <v>0</v>
          </cell>
          <cell r="R859">
            <v>0</v>
          </cell>
          <cell r="S859">
            <v>0</v>
          </cell>
        </row>
        <row r="860">
          <cell r="A860">
            <v>501740</v>
          </cell>
          <cell r="B860" t="str">
            <v>Immigration Travel Expenses</v>
          </cell>
          <cell r="C860"/>
          <cell r="D860"/>
          <cell r="E860"/>
          <cell r="F860">
            <v>0</v>
          </cell>
          <cell r="G860"/>
          <cell r="H860"/>
          <cell r="I860">
            <v>0</v>
          </cell>
          <cell r="J860">
            <v>0</v>
          </cell>
          <cell r="K860">
            <v>0</v>
          </cell>
          <cell r="L860">
            <v>501740</v>
          </cell>
          <cell r="M860">
            <v>1</v>
          </cell>
          <cell r="N860">
            <v>0</v>
          </cell>
          <cell r="O860">
            <v>501740</v>
          </cell>
          <cell r="P860">
            <v>0</v>
          </cell>
          <cell r="Q860">
            <v>0</v>
          </cell>
          <cell r="R860">
            <v>0</v>
          </cell>
          <cell r="S860">
            <v>0</v>
          </cell>
        </row>
        <row r="861">
          <cell r="A861">
            <v>501745</v>
          </cell>
          <cell r="B861" t="str">
            <v>Billable Travel</v>
          </cell>
          <cell r="C861"/>
          <cell r="D861"/>
          <cell r="E861"/>
          <cell r="F861">
            <v>0</v>
          </cell>
          <cell r="G861"/>
          <cell r="H861"/>
          <cell r="I861">
            <v>0</v>
          </cell>
          <cell r="J861">
            <v>0</v>
          </cell>
          <cell r="K861">
            <v>0</v>
          </cell>
          <cell r="L861">
            <v>501745</v>
          </cell>
          <cell r="M861">
            <v>1</v>
          </cell>
          <cell r="N861">
            <v>0</v>
          </cell>
          <cell r="O861">
            <v>501745</v>
          </cell>
          <cell r="P861">
            <v>0</v>
          </cell>
          <cell r="Q861">
            <v>0</v>
          </cell>
          <cell r="R861">
            <v>0</v>
          </cell>
          <cell r="S861">
            <v>0</v>
          </cell>
        </row>
        <row r="862">
          <cell r="A862">
            <v>501801</v>
          </cell>
          <cell r="B862" t="str">
            <v xml:space="preserve">Vehicle - Petrol </v>
          </cell>
          <cell r="C862"/>
          <cell r="D862"/>
          <cell r="E862"/>
          <cell r="F862">
            <v>0</v>
          </cell>
          <cell r="G862"/>
          <cell r="H862"/>
          <cell r="I862">
            <v>0</v>
          </cell>
          <cell r="J862">
            <v>0</v>
          </cell>
          <cell r="K862">
            <v>0</v>
          </cell>
          <cell r="L862">
            <v>501801</v>
          </cell>
          <cell r="M862">
            <v>1</v>
          </cell>
          <cell r="N862">
            <v>0</v>
          </cell>
          <cell r="O862">
            <v>501801</v>
          </cell>
          <cell r="P862">
            <v>0</v>
          </cell>
          <cell r="Q862">
            <v>0</v>
          </cell>
          <cell r="R862">
            <v>0</v>
          </cell>
          <cell r="S862">
            <v>0</v>
          </cell>
        </row>
        <row r="863">
          <cell r="A863">
            <v>501802</v>
          </cell>
          <cell r="B863" t="str">
            <v>Vehicle - RM/Driver</v>
          </cell>
          <cell r="C863"/>
          <cell r="D863"/>
          <cell r="E863"/>
          <cell r="F863">
            <v>0</v>
          </cell>
          <cell r="G863"/>
          <cell r="H863"/>
          <cell r="I863">
            <v>0</v>
          </cell>
          <cell r="J863">
            <v>0</v>
          </cell>
          <cell r="K863">
            <v>0</v>
          </cell>
          <cell r="L863">
            <v>501802</v>
          </cell>
          <cell r="M863">
            <v>1</v>
          </cell>
          <cell r="N863">
            <v>0</v>
          </cell>
          <cell r="O863">
            <v>501802</v>
          </cell>
          <cell r="P863">
            <v>0</v>
          </cell>
          <cell r="Q863">
            <v>0</v>
          </cell>
          <cell r="R863">
            <v>0</v>
          </cell>
          <cell r="S863">
            <v>0</v>
          </cell>
        </row>
        <row r="864">
          <cell r="A864">
            <v>501803</v>
          </cell>
          <cell r="B864" t="str">
            <v>Local Conveyance</v>
          </cell>
          <cell r="C864"/>
          <cell r="D864"/>
          <cell r="E864"/>
          <cell r="F864">
            <v>0</v>
          </cell>
          <cell r="G864"/>
          <cell r="H864"/>
          <cell r="I864">
            <v>0</v>
          </cell>
          <cell r="J864">
            <v>0</v>
          </cell>
          <cell r="K864">
            <v>0</v>
          </cell>
          <cell r="L864">
            <v>501803</v>
          </cell>
          <cell r="M864">
            <v>1</v>
          </cell>
          <cell r="N864">
            <v>0</v>
          </cell>
          <cell r="O864">
            <v>501803</v>
          </cell>
          <cell r="P864">
            <v>30637</v>
          </cell>
          <cell r="Q864">
            <v>-30637</v>
          </cell>
          <cell r="R864">
            <v>0</v>
          </cell>
          <cell r="S864">
            <v>0</v>
          </cell>
        </row>
        <row r="865">
          <cell r="A865">
            <v>501901</v>
          </cell>
          <cell r="B865" t="str">
            <v>F Travel - Living Exp.US</v>
          </cell>
          <cell r="C865"/>
          <cell r="D865"/>
          <cell r="E865"/>
          <cell r="F865">
            <v>0</v>
          </cell>
          <cell r="G865"/>
          <cell r="H865"/>
          <cell r="I865">
            <v>0</v>
          </cell>
          <cell r="J865">
            <v>0</v>
          </cell>
          <cell r="K865">
            <v>0</v>
          </cell>
          <cell r="L865">
            <v>501901</v>
          </cell>
          <cell r="M865">
            <v>1</v>
          </cell>
          <cell r="N865">
            <v>0</v>
          </cell>
          <cell r="O865">
            <v>501901</v>
          </cell>
          <cell r="P865">
            <v>-597483.71</v>
          </cell>
          <cell r="Q865">
            <v>597483.71</v>
          </cell>
          <cell r="R865">
            <v>0</v>
          </cell>
          <cell r="S865">
            <v>0</v>
          </cell>
        </row>
        <row r="866">
          <cell r="A866">
            <v>501902</v>
          </cell>
          <cell r="B866" t="str">
            <v>F Travel - Living Exp.UK</v>
          </cell>
          <cell r="C866"/>
          <cell r="D866"/>
          <cell r="E866"/>
          <cell r="F866">
            <v>0</v>
          </cell>
          <cell r="G866"/>
          <cell r="H866"/>
          <cell r="I866">
            <v>0</v>
          </cell>
          <cell r="J866">
            <v>0</v>
          </cell>
          <cell r="K866">
            <v>0</v>
          </cell>
          <cell r="L866">
            <v>501902</v>
          </cell>
          <cell r="M866">
            <v>1</v>
          </cell>
          <cell r="N866">
            <v>0</v>
          </cell>
          <cell r="O866">
            <v>501902</v>
          </cell>
          <cell r="P866">
            <v>0</v>
          </cell>
          <cell r="Q866">
            <v>0</v>
          </cell>
          <cell r="R866">
            <v>0</v>
          </cell>
          <cell r="S866">
            <v>0</v>
          </cell>
        </row>
        <row r="867">
          <cell r="A867">
            <v>501903</v>
          </cell>
          <cell r="B867" t="str">
            <v>F Travel - Living Exp.Germany</v>
          </cell>
          <cell r="C867"/>
          <cell r="D867"/>
          <cell r="E867"/>
          <cell r="F867">
            <v>0</v>
          </cell>
          <cell r="G867"/>
          <cell r="H867"/>
          <cell r="I867">
            <v>0</v>
          </cell>
          <cell r="J867">
            <v>0</v>
          </cell>
          <cell r="K867">
            <v>0</v>
          </cell>
          <cell r="L867">
            <v>501903</v>
          </cell>
          <cell r="M867">
            <v>1</v>
          </cell>
          <cell r="N867">
            <v>0</v>
          </cell>
          <cell r="O867">
            <v>501903</v>
          </cell>
          <cell r="P867">
            <v>0</v>
          </cell>
          <cell r="Q867">
            <v>0</v>
          </cell>
          <cell r="R867">
            <v>0</v>
          </cell>
          <cell r="S867">
            <v>0</v>
          </cell>
        </row>
        <row r="868">
          <cell r="A868">
            <v>501904</v>
          </cell>
          <cell r="B868" t="str">
            <v>F Travel - Living Exp.Corp.</v>
          </cell>
          <cell r="C868"/>
          <cell r="D868"/>
          <cell r="E868"/>
          <cell r="F868">
            <v>0</v>
          </cell>
          <cell r="G868"/>
          <cell r="H868"/>
          <cell r="I868">
            <v>0</v>
          </cell>
          <cell r="J868">
            <v>0</v>
          </cell>
          <cell r="K868">
            <v>0</v>
          </cell>
          <cell r="L868">
            <v>501904</v>
          </cell>
          <cell r="M868">
            <v>1</v>
          </cell>
          <cell r="N868">
            <v>0</v>
          </cell>
          <cell r="O868">
            <v>501904</v>
          </cell>
          <cell r="P868">
            <v>0</v>
          </cell>
          <cell r="Q868">
            <v>0</v>
          </cell>
          <cell r="R868">
            <v>0</v>
          </cell>
          <cell r="S868">
            <v>0</v>
          </cell>
        </row>
        <row r="869">
          <cell r="A869">
            <v>501905</v>
          </cell>
          <cell r="B869" t="str">
            <v>F Travel - Living Exp.Others</v>
          </cell>
          <cell r="C869"/>
          <cell r="D869"/>
          <cell r="E869"/>
          <cell r="F869">
            <v>0</v>
          </cell>
          <cell r="G869"/>
          <cell r="H869"/>
          <cell r="I869">
            <v>0</v>
          </cell>
          <cell r="J869">
            <v>0</v>
          </cell>
          <cell r="K869">
            <v>0</v>
          </cell>
          <cell r="L869">
            <v>501905</v>
          </cell>
          <cell r="M869">
            <v>1</v>
          </cell>
          <cell r="N869">
            <v>0</v>
          </cell>
          <cell r="O869">
            <v>501905</v>
          </cell>
          <cell r="P869">
            <v>0</v>
          </cell>
          <cell r="Q869">
            <v>0</v>
          </cell>
          <cell r="R869">
            <v>0</v>
          </cell>
          <cell r="S869">
            <v>0</v>
          </cell>
        </row>
        <row r="870">
          <cell r="A870">
            <v>501906</v>
          </cell>
          <cell r="B870" t="str">
            <v>F Travel - Living Exp. Jersey</v>
          </cell>
          <cell r="C870"/>
          <cell r="D870"/>
          <cell r="E870"/>
          <cell r="F870">
            <v>0</v>
          </cell>
          <cell r="G870"/>
          <cell r="H870"/>
          <cell r="I870">
            <v>0</v>
          </cell>
          <cell r="J870">
            <v>0</v>
          </cell>
          <cell r="K870">
            <v>0</v>
          </cell>
          <cell r="L870">
            <v>501906</v>
          </cell>
          <cell r="M870">
            <v>1</v>
          </cell>
          <cell r="N870">
            <v>0</v>
          </cell>
          <cell r="O870">
            <v>501906</v>
          </cell>
          <cell r="P870">
            <v>0</v>
          </cell>
          <cell r="Q870">
            <v>0</v>
          </cell>
          <cell r="R870">
            <v>0</v>
          </cell>
          <cell r="S870">
            <v>0</v>
          </cell>
        </row>
        <row r="871">
          <cell r="A871">
            <v>501907</v>
          </cell>
          <cell r="B871" t="str">
            <v>F Travel - Living Exp.Canada</v>
          </cell>
          <cell r="C871"/>
          <cell r="D871"/>
          <cell r="E871"/>
          <cell r="F871">
            <v>0</v>
          </cell>
          <cell r="G871"/>
          <cell r="H871"/>
          <cell r="I871">
            <v>0</v>
          </cell>
          <cell r="J871">
            <v>0</v>
          </cell>
          <cell r="K871">
            <v>0</v>
          </cell>
          <cell r="L871">
            <v>501907</v>
          </cell>
          <cell r="M871">
            <v>1</v>
          </cell>
          <cell r="N871">
            <v>0</v>
          </cell>
          <cell r="O871">
            <v>501907</v>
          </cell>
          <cell r="P871">
            <v>0</v>
          </cell>
          <cell r="Q871">
            <v>0</v>
          </cell>
          <cell r="R871">
            <v>0</v>
          </cell>
          <cell r="S871">
            <v>0</v>
          </cell>
        </row>
        <row r="872">
          <cell r="A872">
            <v>501908</v>
          </cell>
          <cell r="B872" t="str">
            <v>F Travel - Cost Deferral</v>
          </cell>
          <cell r="C872"/>
          <cell r="D872"/>
          <cell r="E872"/>
          <cell r="F872">
            <v>0</v>
          </cell>
          <cell r="G872"/>
          <cell r="H872"/>
          <cell r="I872">
            <v>0</v>
          </cell>
          <cell r="J872">
            <v>0</v>
          </cell>
          <cell r="K872">
            <v>0</v>
          </cell>
          <cell r="L872">
            <v>501908</v>
          </cell>
          <cell r="M872">
            <v>1</v>
          </cell>
          <cell r="N872">
            <v>0</v>
          </cell>
          <cell r="O872">
            <v>501908</v>
          </cell>
          <cell r="P872">
            <v>0</v>
          </cell>
          <cell r="Q872">
            <v>0</v>
          </cell>
          <cell r="R872">
            <v>0</v>
          </cell>
          <cell r="S872">
            <v>0</v>
          </cell>
        </row>
        <row r="873">
          <cell r="A873">
            <v>501911</v>
          </cell>
          <cell r="B873" t="str">
            <v>F Travel - Airfare US</v>
          </cell>
          <cell r="C873"/>
          <cell r="D873"/>
          <cell r="E873"/>
          <cell r="F873">
            <v>0</v>
          </cell>
          <cell r="G873"/>
          <cell r="H873"/>
          <cell r="I873">
            <v>0</v>
          </cell>
          <cell r="J873">
            <v>0</v>
          </cell>
          <cell r="K873">
            <v>0</v>
          </cell>
          <cell r="L873">
            <v>501911</v>
          </cell>
          <cell r="M873">
            <v>1</v>
          </cell>
          <cell r="N873">
            <v>0</v>
          </cell>
          <cell r="O873">
            <v>501911</v>
          </cell>
          <cell r="P873">
            <v>474756.94</v>
          </cell>
          <cell r="Q873">
            <v>-474756.94</v>
          </cell>
          <cell r="R873">
            <v>0</v>
          </cell>
          <cell r="S873">
            <v>0</v>
          </cell>
        </row>
        <row r="874">
          <cell r="A874">
            <v>501912</v>
          </cell>
          <cell r="B874" t="str">
            <v>F Travel - Airfare UK</v>
          </cell>
          <cell r="C874"/>
          <cell r="D874"/>
          <cell r="E874"/>
          <cell r="F874">
            <v>0</v>
          </cell>
          <cell r="G874"/>
          <cell r="H874"/>
          <cell r="I874">
            <v>0</v>
          </cell>
          <cell r="J874">
            <v>0</v>
          </cell>
          <cell r="K874">
            <v>0</v>
          </cell>
          <cell r="L874">
            <v>501912</v>
          </cell>
          <cell r="M874">
            <v>1</v>
          </cell>
          <cell r="N874">
            <v>0</v>
          </cell>
          <cell r="O874">
            <v>501912</v>
          </cell>
          <cell r="P874">
            <v>0</v>
          </cell>
          <cell r="Q874">
            <v>0</v>
          </cell>
          <cell r="R874">
            <v>0</v>
          </cell>
          <cell r="S874">
            <v>0</v>
          </cell>
        </row>
        <row r="875">
          <cell r="A875">
            <v>501913</v>
          </cell>
          <cell r="B875" t="str">
            <v>F Travel - Airfare Germany</v>
          </cell>
          <cell r="C875"/>
          <cell r="D875"/>
          <cell r="E875"/>
          <cell r="F875">
            <v>0</v>
          </cell>
          <cell r="G875"/>
          <cell r="H875"/>
          <cell r="I875">
            <v>0</v>
          </cell>
          <cell r="J875">
            <v>0</v>
          </cell>
          <cell r="K875">
            <v>0</v>
          </cell>
          <cell r="L875">
            <v>501913</v>
          </cell>
          <cell r="M875">
            <v>1</v>
          </cell>
          <cell r="N875">
            <v>0</v>
          </cell>
          <cell r="O875">
            <v>501913</v>
          </cell>
          <cell r="P875">
            <v>0</v>
          </cell>
          <cell r="Q875">
            <v>0</v>
          </cell>
          <cell r="R875">
            <v>0</v>
          </cell>
          <cell r="S875">
            <v>0</v>
          </cell>
        </row>
        <row r="876">
          <cell r="A876">
            <v>501914</v>
          </cell>
          <cell r="B876" t="str">
            <v>F Travel - Airfare Corp.</v>
          </cell>
          <cell r="C876"/>
          <cell r="D876"/>
          <cell r="E876"/>
          <cell r="F876">
            <v>0</v>
          </cell>
          <cell r="G876"/>
          <cell r="H876"/>
          <cell r="I876">
            <v>0</v>
          </cell>
          <cell r="J876">
            <v>0</v>
          </cell>
          <cell r="K876">
            <v>0</v>
          </cell>
          <cell r="L876">
            <v>501914</v>
          </cell>
          <cell r="M876">
            <v>1</v>
          </cell>
          <cell r="N876">
            <v>0</v>
          </cell>
          <cell r="O876">
            <v>501914</v>
          </cell>
          <cell r="P876">
            <v>0</v>
          </cell>
          <cell r="Q876">
            <v>0</v>
          </cell>
          <cell r="R876">
            <v>0</v>
          </cell>
          <cell r="S876">
            <v>0</v>
          </cell>
        </row>
        <row r="877">
          <cell r="A877">
            <v>501915</v>
          </cell>
          <cell r="B877" t="str">
            <v>F Travel - Airfare Family</v>
          </cell>
          <cell r="C877"/>
          <cell r="D877"/>
          <cell r="E877"/>
          <cell r="F877">
            <v>0</v>
          </cell>
          <cell r="G877"/>
          <cell r="H877"/>
          <cell r="I877">
            <v>0</v>
          </cell>
          <cell r="J877">
            <v>0</v>
          </cell>
          <cell r="K877">
            <v>0</v>
          </cell>
          <cell r="L877">
            <v>501915</v>
          </cell>
          <cell r="M877">
            <v>1</v>
          </cell>
          <cell r="N877">
            <v>0</v>
          </cell>
          <cell r="O877">
            <v>501915</v>
          </cell>
          <cell r="P877">
            <v>0</v>
          </cell>
          <cell r="Q877">
            <v>0</v>
          </cell>
          <cell r="R877">
            <v>0</v>
          </cell>
          <cell r="S877">
            <v>0</v>
          </cell>
        </row>
        <row r="878">
          <cell r="A878">
            <v>501916</v>
          </cell>
          <cell r="B878" t="str">
            <v>F Travel - Airfare Others</v>
          </cell>
          <cell r="C878"/>
          <cell r="D878"/>
          <cell r="E878"/>
          <cell r="F878">
            <v>0</v>
          </cell>
          <cell r="G878"/>
          <cell r="H878"/>
          <cell r="I878">
            <v>0</v>
          </cell>
          <cell r="J878">
            <v>0</v>
          </cell>
          <cell r="K878">
            <v>0</v>
          </cell>
          <cell r="L878">
            <v>501916</v>
          </cell>
          <cell r="M878">
            <v>1</v>
          </cell>
          <cell r="N878">
            <v>0</v>
          </cell>
          <cell r="O878">
            <v>501916</v>
          </cell>
          <cell r="P878">
            <v>0</v>
          </cell>
          <cell r="Q878">
            <v>0</v>
          </cell>
          <cell r="R878">
            <v>0</v>
          </cell>
          <cell r="S878">
            <v>0</v>
          </cell>
        </row>
        <row r="879">
          <cell r="A879">
            <v>501917</v>
          </cell>
          <cell r="B879" t="str">
            <v>F Travel - Airfare Canada</v>
          </cell>
          <cell r="C879"/>
          <cell r="D879"/>
          <cell r="E879"/>
          <cell r="F879">
            <v>0</v>
          </cell>
          <cell r="G879"/>
          <cell r="H879"/>
          <cell r="I879">
            <v>0</v>
          </cell>
          <cell r="J879">
            <v>0</v>
          </cell>
          <cell r="K879">
            <v>0</v>
          </cell>
          <cell r="L879">
            <v>501917</v>
          </cell>
          <cell r="M879">
            <v>1</v>
          </cell>
          <cell r="N879">
            <v>0</v>
          </cell>
          <cell r="O879">
            <v>501917</v>
          </cell>
          <cell r="P879">
            <v>0</v>
          </cell>
          <cell r="Q879">
            <v>0</v>
          </cell>
          <cell r="R879">
            <v>0</v>
          </cell>
          <cell r="S879">
            <v>0</v>
          </cell>
        </row>
        <row r="880">
          <cell r="A880">
            <v>501921</v>
          </cell>
          <cell r="B880" t="str">
            <v>F Travel - Insurance US</v>
          </cell>
          <cell r="C880"/>
          <cell r="D880"/>
          <cell r="E880"/>
          <cell r="F880">
            <v>0</v>
          </cell>
          <cell r="G880"/>
          <cell r="H880"/>
          <cell r="I880">
            <v>0</v>
          </cell>
          <cell r="J880">
            <v>0</v>
          </cell>
          <cell r="K880">
            <v>0</v>
          </cell>
          <cell r="L880">
            <v>501921</v>
          </cell>
          <cell r="M880">
            <v>1</v>
          </cell>
          <cell r="N880">
            <v>0</v>
          </cell>
          <cell r="O880">
            <v>501921</v>
          </cell>
          <cell r="P880">
            <v>238766</v>
          </cell>
          <cell r="Q880">
            <v>-238766</v>
          </cell>
          <cell r="R880">
            <v>0</v>
          </cell>
          <cell r="S880">
            <v>0</v>
          </cell>
        </row>
        <row r="881">
          <cell r="A881">
            <v>501922</v>
          </cell>
          <cell r="B881" t="str">
            <v>F Travel - Insurance UK</v>
          </cell>
          <cell r="C881"/>
          <cell r="D881"/>
          <cell r="E881"/>
          <cell r="F881">
            <v>0</v>
          </cell>
          <cell r="G881"/>
          <cell r="H881"/>
          <cell r="I881">
            <v>0</v>
          </cell>
          <cell r="J881">
            <v>0</v>
          </cell>
          <cell r="K881">
            <v>0</v>
          </cell>
          <cell r="L881">
            <v>501922</v>
          </cell>
          <cell r="M881">
            <v>1</v>
          </cell>
          <cell r="N881">
            <v>0</v>
          </cell>
          <cell r="O881">
            <v>501922</v>
          </cell>
          <cell r="P881">
            <v>0</v>
          </cell>
          <cell r="Q881">
            <v>0</v>
          </cell>
          <cell r="R881">
            <v>0</v>
          </cell>
          <cell r="S881">
            <v>0</v>
          </cell>
        </row>
        <row r="882">
          <cell r="A882">
            <v>501923</v>
          </cell>
          <cell r="B882" t="str">
            <v>F Travel - Insurance Germany</v>
          </cell>
          <cell r="C882"/>
          <cell r="D882"/>
          <cell r="E882"/>
          <cell r="F882">
            <v>0</v>
          </cell>
          <cell r="G882"/>
          <cell r="H882"/>
          <cell r="I882">
            <v>0</v>
          </cell>
          <cell r="J882">
            <v>0</v>
          </cell>
          <cell r="K882">
            <v>0</v>
          </cell>
          <cell r="L882">
            <v>501923</v>
          </cell>
          <cell r="M882">
            <v>1</v>
          </cell>
          <cell r="N882">
            <v>0</v>
          </cell>
          <cell r="O882">
            <v>501923</v>
          </cell>
          <cell r="P882">
            <v>0</v>
          </cell>
          <cell r="Q882">
            <v>0</v>
          </cell>
          <cell r="R882">
            <v>0</v>
          </cell>
          <cell r="S882">
            <v>0</v>
          </cell>
        </row>
        <row r="883">
          <cell r="A883">
            <v>501924</v>
          </cell>
          <cell r="B883" t="str">
            <v>F Travel - Insurance Corporate</v>
          </cell>
          <cell r="C883"/>
          <cell r="D883"/>
          <cell r="E883"/>
          <cell r="F883">
            <v>0</v>
          </cell>
          <cell r="G883"/>
          <cell r="H883"/>
          <cell r="I883">
            <v>0</v>
          </cell>
          <cell r="J883">
            <v>0</v>
          </cell>
          <cell r="K883">
            <v>0</v>
          </cell>
          <cell r="L883">
            <v>501924</v>
          </cell>
          <cell r="M883">
            <v>1</v>
          </cell>
          <cell r="N883">
            <v>0</v>
          </cell>
          <cell r="O883">
            <v>501924</v>
          </cell>
          <cell r="P883">
            <v>0</v>
          </cell>
          <cell r="Q883">
            <v>0</v>
          </cell>
          <cell r="R883">
            <v>0</v>
          </cell>
          <cell r="S883">
            <v>0</v>
          </cell>
        </row>
        <row r="884">
          <cell r="A884">
            <v>501925</v>
          </cell>
          <cell r="B884" t="str">
            <v>F Travel - Insurance Others</v>
          </cell>
          <cell r="C884"/>
          <cell r="D884"/>
          <cell r="E884"/>
          <cell r="F884">
            <v>0</v>
          </cell>
          <cell r="G884"/>
          <cell r="H884"/>
          <cell r="I884">
            <v>0</v>
          </cell>
          <cell r="J884">
            <v>0</v>
          </cell>
          <cell r="K884">
            <v>0</v>
          </cell>
          <cell r="L884">
            <v>501925</v>
          </cell>
          <cell r="M884">
            <v>1</v>
          </cell>
          <cell r="N884">
            <v>0</v>
          </cell>
          <cell r="O884">
            <v>501925</v>
          </cell>
          <cell r="P884">
            <v>0</v>
          </cell>
          <cell r="Q884">
            <v>0</v>
          </cell>
          <cell r="R884">
            <v>0</v>
          </cell>
          <cell r="S884">
            <v>0</v>
          </cell>
        </row>
        <row r="885">
          <cell r="A885">
            <v>501926</v>
          </cell>
          <cell r="B885" t="str">
            <v>F Travel - Insurance Marsh US</v>
          </cell>
          <cell r="C885"/>
          <cell r="D885"/>
          <cell r="E885"/>
          <cell r="F885">
            <v>0</v>
          </cell>
          <cell r="G885"/>
          <cell r="H885"/>
          <cell r="I885">
            <v>0</v>
          </cell>
          <cell r="J885">
            <v>0</v>
          </cell>
          <cell r="K885">
            <v>0</v>
          </cell>
          <cell r="L885">
            <v>501926</v>
          </cell>
          <cell r="M885">
            <v>1</v>
          </cell>
          <cell r="N885">
            <v>0</v>
          </cell>
          <cell r="O885">
            <v>501926</v>
          </cell>
          <cell r="P885">
            <v>0</v>
          </cell>
          <cell r="Q885">
            <v>0</v>
          </cell>
          <cell r="R885">
            <v>0</v>
          </cell>
          <cell r="S885">
            <v>0</v>
          </cell>
        </row>
        <row r="886">
          <cell r="A886">
            <v>501927</v>
          </cell>
          <cell r="B886" t="str">
            <v>F Travel - Insurance Canada</v>
          </cell>
          <cell r="C886"/>
          <cell r="D886"/>
          <cell r="E886"/>
          <cell r="F886">
            <v>0</v>
          </cell>
          <cell r="G886"/>
          <cell r="H886"/>
          <cell r="I886">
            <v>0</v>
          </cell>
          <cell r="J886">
            <v>0</v>
          </cell>
          <cell r="K886">
            <v>0</v>
          </cell>
          <cell r="L886">
            <v>501927</v>
          </cell>
          <cell r="M886">
            <v>1</v>
          </cell>
          <cell r="N886">
            <v>0</v>
          </cell>
          <cell r="O886">
            <v>501927</v>
          </cell>
          <cell r="P886">
            <v>0</v>
          </cell>
          <cell r="Q886">
            <v>0</v>
          </cell>
          <cell r="R886">
            <v>0</v>
          </cell>
          <cell r="S886">
            <v>0</v>
          </cell>
        </row>
        <row r="887">
          <cell r="A887">
            <v>501931</v>
          </cell>
          <cell r="B887" t="str">
            <v>F Travel - Visa US</v>
          </cell>
          <cell r="C887"/>
          <cell r="D887"/>
          <cell r="E887"/>
          <cell r="F887">
            <v>0</v>
          </cell>
          <cell r="G887"/>
          <cell r="H887"/>
          <cell r="I887">
            <v>0</v>
          </cell>
          <cell r="J887">
            <v>0</v>
          </cell>
          <cell r="K887">
            <v>0</v>
          </cell>
          <cell r="L887">
            <v>501931</v>
          </cell>
          <cell r="M887">
            <v>1</v>
          </cell>
          <cell r="N887">
            <v>0</v>
          </cell>
          <cell r="O887">
            <v>501931</v>
          </cell>
          <cell r="P887">
            <v>0</v>
          </cell>
          <cell r="Q887">
            <v>0</v>
          </cell>
          <cell r="R887">
            <v>0</v>
          </cell>
          <cell r="S887">
            <v>0</v>
          </cell>
        </row>
        <row r="888">
          <cell r="A888">
            <v>501932</v>
          </cell>
          <cell r="B888" t="str">
            <v>F Travel - Visa UK</v>
          </cell>
          <cell r="C888"/>
          <cell r="D888"/>
          <cell r="E888"/>
          <cell r="F888">
            <v>0</v>
          </cell>
          <cell r="G888"/>
          <cell r="H888"/>
          <cell r="I888">
            <v>0</v>
          </cell>
          <cell r="J888">
            <v>0</v>
          </cell>
          <cell r="K888">
            <v>0</v>
          </cell>
          <cell r="L888">
            <v>501932</v>
          </cell>
          <cell r="M888">
            <v>1</v>
          </cell>
          <cell r="N888">
            <v>0</v>
          </cell>
          <cell r="O888">
            <v>501932</v>
          </cell>
          <cell r="P888">
            <v>0</v>
          </cell>
          <cell r="Q888">
            <v>0</v>
          </cell>
          <cell r="R888">
            <v>0</v>
          </cell>
          <cell r="S888">
            <v>0</v>
          </cell>
        </row>
        <row r="889">
          <cell r="A889">
            <v>501933</v>
          </cell>
          <cell r="B889" t="str">
            <v>F Travel - Visa Germany</v>
          </cell>
          <cell r="C889"/>
          <cell r="D889"/>
          <cell r="E889"/>
          <cell r="F889">
            <v>0</v>
          </cell>
          <cell r="G889"/>
          <cell r="H889"/>
          <cell r="I889">
            <v>0</v>
          </cell>
          <cell r="J889">
            <v>0</v>
          </cell>
          <cell r="K889">
            <v>0</v>
          </cell>
          <cell r="L889">
            <v>501933</v>
          </cell>
          <cell r="M889">
            <v>1</v>
          </cell>
          <cell r="N889">
            <v>0</v>
          </cell>
          <cell r="O889">
            <v>501933</v>
          </cell>
          <cell r="P889">
            <v>0</v>
          </cell>
          <cell r="Q889">
            <v>0</v>
          </cell>
          <cell r="R889">
            <v>0</v>
          </cell>
          <cell r="S889">
            <v>0</v>
          </cell>
        </row>
        <row r="890">
          <cell r="A890">
            <v>501934</v>
          </cell>
          <cell r="B890" t="str">
            <v>F Travel - Visa Corp.</v>
          </cell>
          <cell r="C890"/>
          <cell r="D890"/>
          <cell r="E890"/>
          <cell r="F890">
            <v>0</v>
          </cell>
          <cell r="G890"/>
          <cell r="H890"/>
          <cell r="I890">
            <v>0</v>
          </cell>
          <cell r="J890">
            <v>0</v>
          </cell>
          <cell r="K890">
            <v>0</v>
          </cell>
          <cell r="L890">
            <v>501934</v>
          </cell>
          <cell r="M890">
            <v>1</v>
          </cell>
          <cell r="N890">
            <v>0</v>
          </cell>
          <cell r="O890">
            <v>501934</v>
          </cell>
          <cell r="P890">
            <v>0</v>
          </cell>
          <cell r="Q890">
            <v>0</v>
          </cell>
          <cell r="R890">
            <v>0</v>
          </cell>
          <cell r="S890">
            <v>0</v>
          </cell>
        </row>
        <row r="891">
          <cell r="A891">
            <v>501935</v>
          </cell>
          <cell r="B891" t="str">
            <v>F Travel - Visa Others</v>
          </cell>
          <cell r="C891"/>
          <cell r="D891"/>
          <cell r="E891"/>
          <cell r="F891">
            <v>0</v>
          </cell>
          <cell r="G891"/>
          <cell r="H891"/>
          <cell r="I891">
            <v>0</v>
          </cell>
          <cell r="J891">
            <v>0</v>
          </cell>
          <cell r="K891">
            <v>0</v>
          </cell>
          <cell r="L891">
            <v>501935</v>
          </cell>
          <cell r="M891">
            <v>1</v>
          </cell>
          <cell r="N891">
            <v>0</v>
          </cell>
          <cell r="O891">
            <v>501935</v>
          </cell>
          <cell r="P891">
            <v>0</v>
          </cell>
          <cell r="Q891">
            <v>0</v>
          </cell>
          <cell r="R891">
            <v>0</v>
          </cell>
          <cell r="S891">
            <v>0</v>
          </cell>
        </row>
        <row r="892">
          <cell r="A892">
            <v>501937</v>
          </cell>
          <cell r="B892" t="str">
            <v>F Travel - Visa Canada</v>
          </cell>
          <cell r="C892"/>
          <cell r="D892"/>
          <cell r="E892"/>
          <cell r="F892">
            <v>0</v>
          </cell>
          <cell r="G892"/>
          <cell r="H892"/>
          <cell r="I892">
            <v>0</v>
          </cell>
          <cell r="J892">
            <v>0</v>
          </cell>
          <cell r="K892">
            <v>0</v>
          </cell>
          <cell r="L892">
            <v>501937</v>
          </cell>
          <cell r="M892">
            <v>1</v>
          </cell>
          <cell r="N892">
            <v>0</v>
          </cell>
          <cell r="O892">
            <v>501937</v>
          </cell>
          <cell r="P892">
            <v>0</v>
          </cell>
          <cell r="Q892">
            <v>0</v>
          </cell>
          <cell r="R892">
            <v>0</v>
          </cell>
          <cell r="S892">
            <v>0</v>
          </cell>
        </row>
        <row r="893">
          <cell r="A893">
            <v>501941</v>
          </cell>
          <cell r="B893" t="str">
            <v>F Travel - Kit allowance US</v>
          </cell>
          <cell r="C893"/>
          <cell r="D893"/>
          <cell r="E893"/>
          <cell r="F893">
            <v>0</v>
          </cell>
          <cell r="G893"/>
          <cell r="H893"/>
          <cell r="I893">
            <v>0</v>
          </cell>
          <cell r="J893">
            <v>0</v>
          </cell>
          <cell r="K893">
            <v>0</v>
          </cell>
          <cell r="L893">
            <v>501941</v>
          </cell>
          <cell r="M893">
            <v>1</v>
          </cell>
          <cell r="N893">
            <v>0</v>
          </cell>
          <cell r="O893">
            <v>501941</v>
          </cell>
          <cell r="P893">
            <v>0</v>
          </cell>
          <cell r="Q893">
            <v>0</v>
          </cell>
          <cell r="R893">
            <v>0</v>
          </cell>
          <cell r="S893">
            <v>0</v>
          </cell>
        </row>
        <row r="894">
          <cell r="A894">
            <v>501942</v>
          </cell>
          <cell r="B894" t="str">
            <v>F Travel - Kit allowance UK</v>
          </cell>
          <cell r="C894"/>
          <cell r="D894"/>
          <cell r="E894"/>
          <cell r="F894">
            <v>0</v>
          </cell>
          <cell r="G894"/>
          <cell r="H894"/>
          <cell r="I894">
            <v>0</v>
          </cell>
          <cell r="J894">
            <v>0</v>
          </cell>
          <cell r="K894">
            <v>0</v>
          </cell>
          <cell r="L894">
            <v>501942</v>
          </cell>
          <cell r="M894">
            <v>1</v>
          </cell>
          <cell r="N894">
            <v>0</v>
          </cell>
          <cell r="O894">
            <v>501942</v>
          </cell>
          <cell r="P894">
            <v>0</v>
          </cell>
          <cell r="Q894">
            <v>0</v>
          </cell>
          <cell r="R894">
            <v>0</v>
          </cell>
          <cell r="S894">
            <v>0</v>
          </cell>
        </row>
        <row r="895">
          <cell r="A895">
            <v>501943</v>
          </cell>
          <cell r="B895" t="str">
            <v>F Travel - Kit allowance Corp.</v>
          </cell>
          <cell r="C895"/>
          <cell r="D895"/>
          <cell r="E895"/>
          <cell r="F895">
            <v>0</v>
          </cell>
          <cell r="G895"/>
          <cell r="H895"/>
          <cell r="I895">
            <v>0</v>
          </cell>
          <cell r="J895">
            <v>0</v>
          </cell>
          <cell r="K895">
            <v>0</v>
          </cell>
          <cell r="L895">
            <v>501943</v>
          </cell>
          <cell r="M895">
            <v>1</v>
          </cell>
          <cell r="N895">
            <v>0</v>
          </cell>
          <cell r="O895">
            <v>501943</v>
          </cell>
          <cell r="P895">
            <v>0</v>
          </cell>
          <cell r="Q895">
            <v>0</v>
          </cell>
          <cell r="R895">
            <v>0</v>
          </cell>
          <cell r="S895">
            <v>0</v>
          </cell>
        </row>
        <row r="896">
          <cell r="A896">
            <v>501944</v>
          </cell>
          <cell r="B896" t="str">
            <v>F Travel - Kit allowance Other</v>
          </cell>
          <cell r="C896"/>
          <cell r="D896"/>
          <cell r="E896"/>
          <cell r="F896">
            <v>0</v>
          </cell>
          <cell r="G896"/>
          <cell r="H896"/>
          <cell r="I896">
            <v>0</v>
          </cell>
          <cell r="J896">
            <v>0</v>
          </cell>
          <cell r="K896">
            <v>0</v>
          </cell>
          <cell r="L896">
            <v>501944</v>
          </cell>
          <cell r="M896">
            <v>1</v>
          </cell>
          <cell r="N896">
            <v>0</v>
          </cell>
          <cell r="O896">
            <v>501944</v>
          </cell>
          <cell r="P896">
            <v>0</v>
          </cell>
          <cell r="Q896">
            <v>0</v>
          </cell>
          <cell r="R896">
            <v>0</v>
          </cell>
          <cell r="S896">
            <v>0</v>
          </cell>
        </row>
        <row r="897">
          <cell r="A897">
            <v>501945</v>
          </cell>
          <cell r="B897" t="str">
            <v>F Travel - US Employment tax</v>
          </cell>
          <cell r="C897"/>
          <cell r="D897"/>
          <cell r="E897"/>
          <cell r="F897">
            <v>0</v>
          </cell>
          <cell r="G897"/>
          <cell r="H897"/>
          <cell r="I897">
            <v>0</v>
          </cell>
          <cell r="J897">
            <v>0</v>
          </cell>
          <cell r="K897">
            <v>0</v>
          </cell>
          <cell r="L897">
            <v>501945</v>
          </cell>
          <cell r="M897">
            <v>1</v>
          </cell>
          <cell r="N897">
            <v>0</v>
          </cell>
          <cell r="O897">
            <v>501945</v>
          </cell>
          <cell r="P897">
            <v>0</v>
          </cell>
          <cell r="Q897">
            <v>0</v>
          </cell>
          <cell r="R897">
            <v>0</v>
          </cell>
          <cell r="S897">
            <v>0</v>
          </cell>
        </row>
        <row r="898">
          <cell r="A898">
            <v>501946</v>
          </cell>
          <cell r="B898" t="str">
            <v>F Travel - Registration charges</v>
          </cell>
          <cell r="C898"/>
          <cell r="D898"/>
          <cell r="E898"/>
          <cell r="F898">
            <v>0</v>
          </cell>
          <cell r="G898"/>
          <cell r="H898"/>
          <cell r="I898">
            <v>0</v>
          </cell>
          <cell r="J898">
            <v>0</v>
          </cell>
          <cell r="K898">
            <v>0</v>
          </cell>
          <cell r="L898">
            <v>501946</v>
          </cell>
          <cell r="M898">
            <v>1</v>
          </cell>
          <cell r="N898">
            <v>0</v>
          </cell>
          <cell r="O898">
            <v>501946</v>
          </cell>
          <cell r="P898">
            <v>0</v>
          </cell>
          <cell r="Q898">
            <v>0</v>
          </cell>
          <cell r="R898">
            <v>0</v>
          </cell>
          <cell r="S898">
            <v>0</v>
          </cell>
        </row>
        <row r="899">
          <cell r="A899">
            <v>501948</v>
          </cell>
          <cell r="B899" t="str">
            <v>F Travel-Canada Employment Tax</v>
          </cell>
          <cell r="C899"/>
          <cell r="D899"/>
          <cell r="E899"/>
          <cell r="F899">
            <v>0</v>
          </cell>
          <cell r="G899"/>
          <cell r="H899"/>
          <cell r="I899">
            <v>0</v>
          </cell>
          <cell r="J899">
            <v>0</v>
          </cell>
          <cell r="K899">
            <v>0</v>
          </cell>
          <cell r="L899">
            <v>501948</v>
          </cell>
          <cell r="M899">
            <v>1</v>
          </cell>
          <cell r="N899">
            <v>0</v>
          </cell>
          <cell r="O899">
            <v>501948</v>
          </cell>
          <cell r="P899">
            <v>0</v>
          </cell>
          <cell r="Q899">
            <v>0</v>
          </cell>
          <cell r="R899">
            <v>0</v>
          </cell>
          <cell r="S899">
            <v>0</v>
          </cell>
        </row>
        <row r="900">
          <cell r="A900">
            <v>502010</v>
          </cell>
          <cell r="B900" t="str">
            <v>Michigan SBT Tax</v>
          </cell>
          <cell r="C900"/>
          <cell r="D900"/>
          <cell r="E900"/>
          <cell r="F900">
            <v>0</v>
          </cell>
          <cell r="G900"/>
          <cell r="H900"/>
          <cell r="I900">
            <v>0</v>
          </cell>
          <cell r="J900">
            <v>0</v>
          </cell>
          <cell r="K900">
            <v>0</v>
          </cell>
          <cell r="L900">
            <v>502010</v>
          </cell>
          <cell r="M900">
            <v>1</v>
          </cell>
          <cell r="N900">
            <v>0</v>
          </cell>
          <cell r="O900">
            <v>502010</v>
          </cell>
          <cell r="P900">
            <v>0</v>
          </cell>
          <cell r="Q900">
            <v>0</v>
          </cell>
          <cell r="R900">
            <v>0</v>
          </cell>
          <cell r="S900">
            <v>0</v>
          </cell>
        </row>
        <row r="901">
          <cell r="A901">
            <v>502020</v>
          </cell>
          <cell r="B901" t="str">
            <v>Taxes - Federal Provision</v>
          </cell>
          <cell r="C901"/>
          <cell r="D901"/>
          <cell r="E901"/>
          <cell r="F901">
            <v>0</v>
          </cell>
          <cell r="G901"/>
          <cell r="H901"/>
          <cell r="I901">
            <v>0</v>
          </cell>
          <cell r="J901">
            <v>0</v>
          </cell>
          <cell r="K901">
            <v>0</v>
          </cell>
          <cell r="L901">
            <v>502020</v>
          </cell>
          <cell r="M901">
            <v>1</v>
          </cell>
          <cell r="N901">
            <v>0</v>
          </cell>
          <cell r="O901">
            <v>502020</v>
          </cell>
          <cell r="P901">
            <v>0</v>
          </cell>
          <cell r="Q901">
            <v>0</v>
          </cell>
          <cell r="R901">
            <v>0</v>
          </cell>
          <cell r="S901">
            <v>0</v>
          </cell>
        </row>
        <row r="902">
          <cell r="A902">
            <v>502025</v>
          </cell>
          <cell r="B902" t="str">
            <v>Warranty Expense</v>
          </cell>
          <cell r="C902"/>
          <cell r="D902"/>
          <cell r="E902"/>
          <cell r="F902">
            <v>0</v>
          </cell>
          <cell r="G902"/>
          <cell r="H902"/>
          <cell r="I902">
            <v>0</v>
          </cell>
          <cell r="J902">
            <v>0</v>
          </cell>
          <cell r="K902">
            <v>0</v>
          </cell>
          <cell r="L902">
            <v>502025</v>
          </cell>
          <cell r="M902">
            <v>1</v>
          </cell>
          <cell r="N902">
            <v>0</v>
          </cell>
          <cell r="O902">
            <v>502025</v>
          </cell>
          <cell r="P902">
            <v>0</v>
          </cell>
          <cell r="Q902">
            <v>0</v>
          </cell>
          <cell r="R902">
            <v>0</v>
          </cell>
          <cell r="S902">
            <v>0</v>
          </cell>
        </row>
        <row r="903">
          <cell r="A903">
            <v>502050</v>
          </cell>
          <cell r="B903" t="str">
            <v>CPC Charges</v>
          </cell>
          <cell r="C903"/>
          <cell r="D903"/>
          <cell r="E903"/>
          <cell r="F903">
            <v>0</v>
          </cell>
          <cell r="G903"/>
          <cell r="H903"/>
          <cell r="I903">
            <v>0</v>
          </cell>
          <cell r="J903">
            <v>0</v>
          </cell>
          <cell r="K903">
            <v>0</v>
          </cell>
          <cell r="L903">
            <v>502050</v>
          </cell>
          <cell r="M903">
            <v>1</v>
          </cell>
          <cell r="N903">
            <v>0</v>
          </cell>
          <cell r="O903">
            <v>502050</v>
          </cell>
          <cell r="P903">
            <v>614125.12</v>
          </cell>
          <cell r="Q903">
            <v>-614125.12</v>
          </cell>
          <cell r="R903">
            <v>0</v>
          </cell>
          <cell r="S903">
            <v>0</v>
          </cell>
        </row>
        <row r="904">
          <cell r="A904">
            <v>502051</v>
          </cell>
          <cell r="B904" t="str">
            <v>Customer Claim</v>
          </cell>
          <cell r="C904"/>
          <cell r="D904"/>
          <cell r="E904"/>
          <cell r="F904">
            <v>0</v>
          </cell>
          <cell r="G904"/>
          <cell r="H904"/>
          <cell r="I904">
            <v>0</v>
          </cell>
          <cell r="J904">
            <v>0</v>
          </cell>
          <cell r="K904">
            <v>0</v>
          </cell>
          <cell r="L904">
            <v>502051</v>
          </cell>
          <cell r="M904">
            <v>1</v>
          </cell>
          <cell r="N904">
            <v>0</v>
          </cell>
          <cell r="O904">
            <v>502051</v>
          </cell>
          <cell r="P904">
            <v>0</v>
          </cell>
          <cell r="Q904">
            <v>0</v>
          </cell>
          <cell r="R904">
            <v>0</v>
          </cell>
          <cell r="S904">
            <v>0</v>
          </cell>
        </row>
        <row r="905">
          <cell r="A905">
            <v>502110</v>
          </cell>
          <cell r="B905" t="str">
            <v>Rent - Office</v>
          </cell>
          <cell r="C905"/>
          <cell r="D905"/>
          <cell r="E905"/>
          <cell r="F905">
            <v>0</v>
          </cell>
          <cell r="G905"/>
          <cell r="H905"/>
          <cell r="I905">
            <v>0</v>
          </cell>
          <cell r="J905">
            <v>0</v>
          </cell>
          <cell r="K905">
            <v>0</v>
          </cell>
          <cell r="L905">
            <v>502110</v>
          </cell>
          <cell r="M905">
            <v>1</v>
          </cell>
          <cell r="N905">
            <v>0</v>
          </cell>
          <cell r="O905">
            <v>502110</v>
          </cell>
          <cell r="P905">
            <v>0</v>
          </cell>
          <cell r="Q905">
            <v>0</v>
          </cell>
          <cell r="R905">
            <v>0</v>
          </cell>
          <cell r="S905">
            <v>0</v>
          </cell>
        </row>
        <row r="906">
          <cell r="A906">
            <v>502113</v>
          </cell>
          <cell r="B906" t="str">
            <v>Amortisation of ROU A</v>
          </cell>
          <cell r="C906"/>
          <cell r="D906"/>
          <cell r="E906"/>
          <cell r="F906">
            <v>0</v>
          </cell>
          <cell r="G906"/>
          <cell r="H906"/>
          <cell r="I906">
            <v>0</v>
          </cell>
          <cell r="J906">
            <v>0</v>
          </cell>
          <cell r="K906">
            <v>0</v>
          </cell>
          <cell r="L906">
            <v>502113</v>
          </cell>
          <cell r="M906"/>
          <cell r="N906">
            <v>0</v>
          </cell>
          <cell r="O906">
            <v>502113</v>
          </cell>
          <cell r="P906"/>
          <cell r="Q906"/>
          <cell r="R906">
            <v>0</v>
          </cell>
          <cell r="S906">
            <v>0</v>
          </cell>
        </row>
        <row r="907">
          <cell r="A907">
            <v>502115</v>
          </cell>
          <cell r="B907" t="str">
            <v>Reversal of rent Lease IFRS 16</v>
          </cell>
          <cell r="C907"/>
          <cell r="D907"/>
          <cell r="E907"/>
          <cell r="F907">
            <v>0</v>
          </cell>
          <cell r="G907"/>
          <cell r="H907"/>
          <cell r="I907">
            <v>0</v>
          </cell>
          <cell r="J907">
            <v>0</v>
          </cell>
          <cell r="K907">
            <v>0</v>
          </cell>
          <cell r="L907">
            <v>502115</v>
          </cell>
          <cell r="M907"/>
          <cell r="N907">
            <v>0</v>
          </cell>
          <cell r="O907">
            <v>502115</v>
          </cell>
          <cell r="P907"/>
          <cell r="Q907"/>
          <cell r="R907">
            <v>0</v>
          </cell>
          <cell r="S907">
            <v>0</v>
          </cell>
        </row>
        <row r="908">
          <cell r="A908">
            <v>502120</v>
          </cell>
          <cell r="B908" t="str">
            <v>Rent - Guest House</v>
          </cell>
          <cell r="C908"/>
          <cell r="D908"/>
          <cell r="E908"/>
          <cell r="F908">
            <v>0</v>
          </cell>
          <cell r="G908"/>
          <cell r="H908"/>
          <cell r="I908">
            <v>0</v>
          </cell>
          <cell r="J908">
            <v>0</v>
          </cell>
          <cell r="K908">
            <v>0</v>
          </cell>
          <cell r="L908">
            <v>502120</v>
          </cell>
          <cell r="M908">
            <v>1</v>
          </cell>
          <cell r="N908">
            <v>0</v>
          </cell>
          <cell r="O908">
            <v>502120</v>
          </cell>
          <cell r="P908">
            <v>0</v>
          </cell>
          <cell r="Q908">
            <v>0</v>
          </cell>
          <cell r="R908">
            <v>0</v>
          </cell>
          <cell r="S908">
            <v>0</v>
          </cell>
        </row>
        <row r="909">
          <cell r="A909">
            <v>502121</v>
          </cell>
          <cell r="B909" t="str">
            <v>Rent - Flat for staff</v>
          </cell>
          <cell r="C909"/>
          <cell r="D909"/>
          <cell r="E909"/>
          <cell r="F909">
            <v>0</v>
          </cell>
          <cell r="G909"/>
          <cell r="H909"/>
          <cell r="I909">
            <v>0</v>
          </cell>
          <cell r="J909">
            <v>0</v>
          </cell>
          <cell r="K909">
            <v>0</v>
          </cell>
          <cell r="L909">
            <v>502121</v>
          </cell>
          <cell r="M909">
            <v>1</v>
          </cell>
          <cell r="N909">
            <v>0</v>
          </cell>
          <cell r="O909">
            <v>502121</v>
          </cell>
          <cell r="P909">
            <v>0</v>
          </cell>
          <cell r="Q909">
            <v>0</v>
          </cell>
          <cell r="R909">
            <v>0</v>
          </cell>
          <cell r="S909">
            <v>0</v>
          </cell>
        </row>
        <row r="910">
          <cell r="A910">
            <v>502129</v>
          </cell>
          <cell r="B910" t="str">
            <v>Rent - Office Intercompany</v>
          </cell>
          <cell r="C910"/>
          <cell r="D910"/>
          <cell r="E910"/>
          <cell r="F910">
            <v>0</v>
          </cell>
          <cell r="G910"/>
          <cell r="H910"/>
          <cell r="I910">
            <v>0</v>
          </cell>
          <cell r="J910">
            <v>0</v>
          </cell>
          <cell r="K910">
            <v>0</v>
          </cell>
          <cell r="L910">
            <v>502129</v>
          </cell>
          <cell r="M910">
            <v>1</v>
          </cell>
          <cell r="N910">
            <v>0</v>
          </cell>
          <cell r="O910">
            <v>502129</v>
          </cell>
          <cell r="P910">
            <v>20066634.573720843</v>
          </cell>
          <cell r="Q910">
            <v>-20066634.573720843</v>
          </cell>
          <cell r="R910">
            <v>0</v>
          </cell>
          <cell r="S910">
            <v>0</v>
          </cell>
        </row>
        <row r="911">
          <cell r="A911">
            <v>502112</v>
          </cell>
          <cell r="B911" t="str">
            <v>Lease expense IC (IndAS)</v>
          </cell>
          <cell r="C911"/>
          <cell r="D911"/>
          <cell r="E911"/>
          <cell r="F911">
            <v>0</v>
          </cell>
          <cell r="G911"/>
          <cell r="H911"/>
          <cell r="I911">
            <v>0</v>
          </cell>
          <cell r="J911">
            <v>0</v>
          </cell>
          <cell r="K911">
            <v>0</v>
          </cell>
          <cell r="L911">
            <v>502112</v>
          </cell>
          <cell r="M911">
            <v>1</v>
          </cell>
          <cell r="N911">
            <v>0</v>
          </cell>
          <cell r="O911">
            <v>502112</v>
          </cell>
          <cell r="P911"/>
          <cell r="Q911"/>
          <cell r="R911">
            <v>0</v>
          </cell>
          <cell r="S911">
            <v>0</v>
          </cell>
        </row>
        <row r="912">
          <cell r="A912">
            <v>502130</v>
          </cell>
          <cell r="B912" t="str">
            <v>Fixed Asset Depreciation</v>
          </cell>
          <cell r="C912"/>
          <cell r="D912"/>
          <cell r="E912"/>
          <cell r="F912">
            <v>0</v>
          </cell>
          <cell r="G912"/>
          <cell r="H912"/>
          <cell r="I912">
            <v>0</v>
          </cell>
          <cell r="J912">
            <v>0</v>
          </cell>
          <cell r="K912">
            <v>0</v>
          </cell>
          <cell r="L912">
            <v>502130</v>
          </cell>
          <cell r="M912">
            <v>1</v>
          </cell>
          <cell r="N912">
            <v>0</v>
          </cell>
          <cell r="O912">
            <v>502130</v>
          </cell>
          <cell r="P912">
            <v>19949.63</v>
          </cell>
          <cell r="Q912">
            <v>-19949.63</v>
          </cell>
          <cell r="R912">
            <v>0</v>
          </cell>
          <cell r="S912">
            <v>0</v>
          </cell>
        </row>
        <row r="913">
          <cell r="A913">
            <v>502146</v>
          </cell>
          <cell r="B913" t="str">
            <v>Amortz Exp- Cap Dev- Proj 98</v>
          </cell>
          <cell r="C913"/>
          <cell r="D913"/>
          <cell r="E913"/>
          <cell r="F913">
            <v>0</v>
          </cell>
          <cell r="G913"/>
          <cell r="H913"/>
          <cell r="I913">
            <v>0</v>
          </cell>
          <cell r="J913">
            <v>0</v>
          </cell>
          <cell r="K913">
            <v>0</v>
          </cell>
          <cell r="L913">
            <v>502146</v>
          </cell>
          <cell r="M913">
            <v>1</v>
          </cell>
          <cell r="N913">
            <v>0</v>
          </cell>
          <cell r="O913">
            <v>502146</v>
          </cell>
          <cell r="P913">
            <v>0</v>
          </cell>
          <cell r="Q913">
            <v>0</v>
          </cell>
          <cell r="R913">
            <v>0</v>
          </cell>
          <cell r="S913">
            <v>0</v>
          </cell>
        </row>
        <row r="914">
          <cell r="A914">
            <v>502150</v>
          </cell>
          <cell r="B914" t="str">
            <v>Software Amortization</v>
          </cell>
          <cell r="C914"/>
          <cell r="D914"/>
          <cell r="E914"/>
          <cell r="F914">
            <v>0</v>
          </cell>
          <cell r="G914"/>
          <cell r="H914"/>
          <cell r="I914">
            <v>0</v>
          </cell>
          <cell r="J914">
            <v>0</v>
          </cell>
          <cell r="K914">
            <v>0</v>
          </cell>
          <cell r="L914">
            <v>502150</v>
          </cell>
          <cell r="M914">
            <v>1</v>
          </cell>
          <cell r="N914">
            <v>0</v>
          </cell>
          <cell r="O914">
            <v>502150</v>
          </cell>
          <cell r="P914">
            <v>0</v>
          </cell>
          <cell r="Q914">
            <v>0</v>
          </cell>
          <cell r="R914">
            <v>0</v>
          </cell>
          <cell r="S914">
            <v>0</v>
          </cell>
        </row>
        <row r="915">
          <cell r="A915">
            <v>502170</v>
          </cell>
          <cell r="B915" t="str">
            <v>Voice &amp; Data Communications</v>
          </cell>
          <cell r="C915"/>
          <cell r="D915"/>
          <cell r="E915"/>
          <cell r="F915">
            <v>0</v>
          </cell>
          <cell r="G915"/>
          <cell r="H915"/>
          <cell r="I915">
            <v>0</v>
          </cell>
          <cell r="J915">
            <v>0</v>
          </cell>
          <cell r="K915">
            <v>0</v>
          </cell>
          <cell r="L915">
            <v>502170</v>
          </cell>
          <cell r="M915">
            <v>1</v>
          </cell>
          <cell r="N915">
            <v>0</v>
          </cell>
          <cell r="O915">
            <v>502170</v>
          </cell>
          <cell r="P915">
            <v>-44657.73</v>
          </cell>
          <cell r="Q915">
            <v>44657.73</v>
          </cell>
          <cell r="R915">
            <v>0</v>
          </cell>
          <cell r="S915">
            <v>0</v>
          </cell>
        </row>
        <row r="916">
          <cell r="A916">
            <v>502171</v>
          </cell>
          <cell r="B916" t="str">
            <v>Satellite Link Expenses</v>
          </cell>
          <cell r="C916"/>
          <cell r="D916"/>
          <cell r="E916"/>
          <cell r="F916">
            <v>0</v>
          </cell>
          <cell r="G916"/>
          <cell r="H916"/>
          <cell r="I916">
            <v>0</v>
          </cell>
          <cell r="J916">
            <v>0</v>
          </cell>
          <cell r="K916">
            <v>0</v>
          </cell>
          <cell r="L916">
            <v>502171</v>
          </cell>
          <cell r="M916">
            <v>1</v>
          </cell>
          <cell r="N916">
            <v>0</v>
          </cell>
          <cell r="O916">
            <v>502171</v>
          </cell>
          <cell r="P916">
            <v>-30000</v>
          </cell>
          <cell r="Q916">
            <v>30000</v>
          </cell>
          <cell r="R916">
            <v>0</v>
          </cell>
          <cell r="S916">
            <v>0</v>
          </cell>
        </row>
        <row r="917">
          <cell r="A917">
            <v>502172</v>
          </cell>
          <cell r="B917" t="str">
            <v>Internet expenses</v>
          </cell>
          <cell r="C917"/>
          <cell r="D917"/>
          <cell r="E917"/>
          <cell r="F917">
            <v>0</v>
          </cell>
          <cell r="G917"/>
          <cell r="H917"/>
          <cell r="I917">
            <v>0</v>
          </cell>
          <cell r="J917">
            <v>0</v>
          </cell>
          <cell r="K917">
            <v>0</v>
          </cell>
          <cell r="L917">
            <v>502172</v>
          </cell>
          <cell r="M917">
            <v>1</v>
          </cell>
          <cell r="N917">
            <v>0</v>
          </cell>
          <cell r="O917">
            <v>502172</v>
          </cell>
          <cell r="P917">
            <v>111084</v>
          </cell>
          <cell r="Q917">
            <v>-111084</v>
          </cell>
          <cell r="R917">
            <v>0</v>
          </cell>
          <cell r="S917">
            <v>0</v>
          </cell>
        </row>
        <row r="918">
          <cell r="A918">
            <v>502173</v>
          </cell>
          <cell r="B918" t="str">
            <v>Telephone / Mobile Reimursemen</v>
          </cell>
          <cell r="C918"/>
          <cell r="D918"/>
          <cell r="E918"/>
          <cell r="F918">
            <v>0</v>
          </cell>
          <cell r="G918"/>
          <cell r="H918"/>
          <cell r="I918">
            <v>0</v>
          </cell>
          <cell r="J918">
            <v>0</v>
          </cell>
          <cell r="K918">
            <v>0</v>
          </cell>
          <cell r="L918">
            <v>502173</v>
          </cell>
          <cell r="M918">
            <v>1</v>
          </cell>
          <cell r="N918">
            <v>0</v>
          </cell>
          <cell r="O918">
            <v>502173</v>
          </cell>
          <cell r="P918">
            <v>25000</v>
          </cell>
          <cell r="Q918">
            <v>-25000</v>
          </cell>
          <cell r="R918">
            <v>0</v>
          </cell>
          <cell r="S918">
            <v>0</v>
          </cell>
        </row>
        <row r="919">
          <cell r="A919">
            <v>503015</v>
          </cell>
          <cell r="B919" t="str">
            <v>Dues</v>
          </cell>
          <cell r="C919"/>
          <cell r="D919"/>
          <cell r="E919"/>
          <cell r="F919">
            <v>0</v>
          </cell>
          <cell r="G919"/>
          <cell r="H919"/>
          <cell r="I919">
            <v>0</v>
          </cell>
          <cell r="J919">
            <v>0</v>
          </cell>
          <cell r="K919">
            <v>0</v>
          </cell>
          <cell r="L919">
            <v>503015</v>
          </cell>
          <cell r="M919">
            <v>1</v>
          </cell>
          <cell r="N919">
            <v>0</v>
          </cell>
          <cell r="O919">
            <v>503015</v>
          </cell>
          <cell r="P919">
            <v>0</v>
          </cell>
          <cell r="Q919">
            <v>0</v>
          </cell>
          <cell r="R919">
            <v>0</v>
          </cell>
          <cell r="S919">
            <v>0</v>
          </cell>
        </row>
        <row r="920">
          <cell r="A920">
            <v>503020</v>
          </cell>
          <cell r="B920" t="str">
            <v>Freight/Postage</v>
          </cell>
          <cell r="C920"/>
          <cell r="D920"/>
          <cell r="E920"/>
          <cell r="F920">
            <v>0</v>
          </cell>
          <cell r="G920"/>
          <cell r="H920"/>
          <cell r="I920">
            <v>0</v>
          </cell>
          <cell r="J920">
            <v>0</v>
          </cell>
          <cell r="K920">
            <v>0</v>
          </cell>
          <cell r="L920">
            <v>503020</v>
          </cell>
          <cell r="M920">
            <v>1</v>
          </cell>
          <cell r="N920">
            <v>0</v>
          </cell>
          <cell r="O920">
            <v>503020</v>
          </cell>
          <cell r="P920">
            <v>0</v>
          </cell>
          <cell r="Q920">
            <v>0</v>
          </cell>
          <cell r="R920">
            <v>0</v>
          </cell>
          <cell r="S920">
            <v>0</v>
          </cell>
        </row>
        <row r="921">
          <cell r="A921">
            <v>503021</v>
          </cell>
          <cell r="B921" t="str">
            <v>Goods Clearing charges</v>
          </cell>
          <cell r="C921"/>
          <cell r="D921"/>
          <cell r="E921"/>
          <cell r="F921">
            <v>0</v>
          </cell>
          <cell r="G921"/>
          <cell r="H921"/>
          <cell r="I921">
            <v>0</v>
          </cell>
          <cell r="J921">
            <v>0</v>
          </cell>
          <cell r="K921">
            <v>0</v>
          </cell>
          <cell r="L921">
            <v>503021</v>
          </cell>
          <cell r="M921">
            <v>1</v>
          </cell>
          <cell r="N921">
            <v>0</v>
          </cell>
          <cell r="O921">
            <v>503021</v>
          </cell>
          <cell r="P921">
            <v>0</v>
          </cell>
          <cell r="Q921">
            <v>0</v>
          </cell>
          <cell r="R921">
            <v>0</v>
          </cell>
          <cell r="S921">
            <v>0</v>
          </cell>
        </row>
        <row r="922">
          <cell r="A922">
            <v>503022</v>
          </cell>
          <cell r="B922" t="str">
            <v>Octroi Charges</v>
          </cell>
          <cell r="C922"/>
          <cell r="D922"/>
          <cell r="E922"/>
          <cell r="F922">
            <v>0</v>
          </cell>
          <cell r="G922"/>
          <cell r="H922"/>
          <cell r="I922">
            <v>0</v>
          </cell>
          <cell r="J922">
            <v>0</v>
          </cell>
          <cell r="K922">
            <v>0</v>
          </cell>
          <cell r="L922">
            <v>503022</v>
          </cell>
          <cell r="M922">
            <v>1</v>
          </cell>
          <cell r="N922">
            <v>0</v>
          </cell>
          <cell r="O922">
            <v>503022</v>
          </cell>
          <cell r="P922">
            <v>-1121</v>
          </cell>
          <cell r="Q922">
            <v>1121</v>
          </cell>
          <cell r="R922">
            <v>0</v>
          </cell>
          <cell r="S922">
            <v>0</v>
          </cell>
        </row>
        <row r="923">
          <cell r="A923">
            <v>503025</v>
          </cell>
          <cell r="B923" t="str">
            <v>Insurance-Property &amp; Other</v>
          </cell>
          <cell r="C923"/>
          <cell r="D923"/>
          <cell r="E923"/>
          <cell r="F923">
            <v>0</v>
          </cell>
          <cell r="G923"/>
          <cell r="H923"/>
          <cell r="I923">
            <v>0</v>
          </cell>
          <cell r="J923">
            <v>0</v>
          </cell>
          <cell r="K923">
            <v>0</v>
          </cell>
          <cell r="L923">
            <v>503025</v>
          </cell>
          <cell r="M923">
            <v>1</v>
          </cell>
          <cell r="N923">
            <v>0</v>
          </cell>
          <cell r="O923">
            <v>503025</v>
          </cell>
          <cell r="P923">
            <v>126701</v>
          </cell>
          <cell r="Q923">
            <v>-126701</v>
          </cell>
          <cell r="R923">
            <v>0</v>
          </cell>
          <cell r="S923">
            <v>0</v>
          </cell>
        </row>
        <row r="924">
          <cell r="A924">
            <v>503030</v>
          </cell>
          <cell r="B924" t="str">
            <v>Insurance-Directors &amp; Officers</v>
          </cell>
          <cell r="C924"/>
          <cell r="D924"/>
          <cell r="E924"/>
          <cell r="F924">
            <v>0</v>
          </cell>
          <cell r="G924"/>
          <cell r="H924"/>
          <cell r="I924">
            <v>0</v>
          </cell>
          <cell r="J924">
            <v>0</v>
          </cell>
          <cell r="K924">
            <v>0</v>
          </cell>
          <cell r="L924">
            <v>503030</v>
          </cell>
          <cell r="M924">
            <v>1</v>
          </cell>
          <cell r="N924">
            <v>0</v>
          </cell>
          <cell r="O924">
            <v>503030</v>
          </cell>
          <cell r="P924">
            <v>0</v>
          </cell>
          <cell r="Q924">
            <v>0</v>
          </cell>
          <cell r="R924">
            <v>0</v>
          </cell>
          <cell r="S924">
            <v>0</v>
          </cell>
        </row>
        <row r="925">
          <cell r="A925">
            <v>503040</v>
          </cell>
          <cell r="B925" t="str">
            <v>Insurance-Vehicles</v>
          </cell>
          <cell r="C925"/>
          <cell r="D925"/>
          <cell r="E925"/>
          <cell r="F925">
            <v>0</v>
          </cell>
          <cell r="G925"/>
          <cell r="H925"/>
          <cell r="I925">
            <v>0</v>
          </cell>
          <cell r="J925">
            <v>0</v>
          </cell>
          <cell r="K925">
            <v>0</v>
          </cell>
          <cell r="L925">
            <v>503040</v>
          </cell>
          <cell r="M925">
            <v>1</v>
          </cell>
          <cell r="N925">
            <v>0</v>
          </cell>
          <cell r="O925">
            <v>503040</v>
          </cell>
          <cell r="P925">
            <v>0</v>
          </cell>
          <cell r="Q925">
            <v>0</v>
          </cell>
          <cell r="R925">
            <v>0</v>
          </cell>
          <cell r="S925">
            <v>0</v>
          </cell>
        </row>
        <row r="926">
          <cell r="A926">
            <v>503041</v>
          </cell>
          <cell r="B926" t="str">
            <v>Insurance-Transit</v>
          </cell>
          <cell r="C926"/>
          <cell r="D926"/>
          <cell r="E926"/>
          <cell r="F926">
            <v>0</v>
          </cell>
          <cell r="G926"/>
          <cell r="H926"/>
          <cell r="I926">
            <v>0</v>
          </cell>
          <cell r="J926">
            <v>0</v>
          </cell>
          <cell r="K926">
            <v>0</v>
          </cell>
          <cell r="L926">
            <v>503041</v>
          </cell>
          <cell r="M926">
            <v>1</v>
          </cell>
          <cell r="N926">
            <v>0</v>
          </cell>
          <cell r="O926">
            <v>503041</v>
          </cell>
          <cell r="P926">
            <v>0</v>
          </cell>
          <cell r="Q926">
            <v>0</v>
          </cell>
          <cell r="R926">
            <v>0</v>
          </cell>
          <cell r="S926">
            <v>0</v>
          </cell>
        </row>
        <row r="927">
          <cell r="A927">
            <v>503042</v>
          </cell>
          <cell r="B927" t="str">
            <v>Insurance Others</v>
          </cell>
          <cell r="C927"/>
          <cell r="D927"/>
          <cell r="E927"/>
          <cell r="F927">
            <v>0</v>
          </cell>
          <cell r="G927"/>
          <cell r="H927"/>
          <cell r="I927">
            <v>0</v>
          </cell>
          <cell r="J927">
            <v>0</v>
          </cell>
          <cell r="K927">
            <v>0</v>
          </cell>
          <cell r="L927">
            <v>503042</v>
          </cell>
          <cell r="M927">
            <v>1</v>
          </cell>
          <cell r="N927">
            <v>0</v>
          </cell>
          <cell r="O927">
            <v>503042</v>
          </cell>
          <cell r="P927">
            <v>0</v>
          </cell>
          <cell r="Q927">
            <v>0</v>
          </cell>
          <cell r="R927">
            <v>0</v>
          </cell>
          <cell r="S927">
            <v>0</v>
          </cell>
        </row>
        <row r="928">
          <cell r="A928">
            <v>503045</v>
          </cell>
          <cell r="B928" t="str">
            <v>Maint.&amp; Repairs - Facilities</v>
          </cell>
          <cell r="C928"/>
          <cell r="D928"/>
          <cell r="E928"/>
          <cell r="F928">
            <v>0</v>
          </cell>
          <cell r="G928"/>
          <cell r="H928"/>
          <cell r="I928">
            <v>0</v>
          </cell>
          <cell r="J928">
            <v>0</v>
          </cell>
          <cell r="K928">
            <v>0</v>
          </cell>
          <cell r="L928">
            <v>503045</v>
          </cell>
          <cell r="M928">
            <v>1</v>
          </cell>
          <cell r="N928">
            <v>0</v>
          </cell>
          <cell r="O928">
            <v>503045</v>
          </cell>
          <cell r="P928">
            <v>0</v>
          </cell>
          <cell r="Q928">
            <v>0</v>
          </cell>
          <cell r="R928">
            <v>0</v>
          </cell>
          <cell r="S928">
            <v>0</v>
          </cell>
        </row>
        <row r="929">
          <cell r="A929">
            <v>503046</v>
          </cell>
          <cell r="B929" t="str">
            <v>Maint. &amp; Repairs - Housekeep</v>
          </cell>
          <cell r="C929"/>
          <cell r="D929"/>
          <cell r="E929"/>
          <cell r="F929">
            <v>0</v>
          </cell>
          <cell r="G929"/>
          <cell r="H929"/>
          <cell r="I929">
            <v>0</v>
          </cell>
          <cell r="J929">
            <v>0</v>
          </cell>
          <cell r="K929">
            <v>0</v>
          </cell>
          <cell r="L929">
            <v>503046</v>
          </cell>
          <cell r="M929">
            <v>1</v>
          </cell>
          <cell r="N929">
            <v>0</v>
          </cell>
          <cell r="O929">
            <v>503046</v>
          </cell>
          <cell r="P929">
            <v>1379042.78</v>
          </cell>
          <cell r="Q929">
            <v>-1379042.78</v>
          </cell>
          <cell r="R929">
            <v>0</v>
          </cell>
          <cell r="S929">
            <v>0</v>
          </cell>
        </row>
        <row r="930">
          <cell r="A930">
            <v>503047</v>
          </cell>
          <cell r="B930" t="str">
            <v>Maint. &amp; Repairs - Hw/Sw</v>
          </cell>
          <cell r="C930"/>
          <cell r="D930"/>
          <cell r="E930"/>
          <cell r="F930">
            <v>0</v>
          </cell>
          <cell r="G930"/>
          <cell r="H930"/>
          <cell r="I930">
            <v>0</v>
          </cell>
          <cell r="J930">
            <v>0</v>
          </cell>
          <cell r="K930">
            <v>0</v>
          </cell>
          <cell r="L930">
            <v>503047</v>
          </cell>
          <cell r="M930">
            <v>1</v>
          </cell>
          <cell r="N930">
            <v>0</v>
          </cell>
          <cell r="O930">
            <v>503047</v>
          </cell>
          <cell r="P930">
            <v>0</v>
          </cell>
          <cell r="Q930">
            <v>0</v>
          </cell>
          <cell r="R930">
            <v>0</v>
          </cell>
          <cell r="S930">
            <v>0</v>
          </cell>
        </row>
        <row r="931">
          <cell r="A931">
            <v>503048</v>
          </cell>
          <cell r="B931" t="str">
            <v>Maint. &amp; Repairs - AMC</v>
          </cell>
          <cell r="C931"/>
          <cell r="D931"/>
          <cell r="E931"/>
          <cell r="F931">
            <v>0</v>
          </cell>
          <cell r="G931"/>
          <cell r="H931"/>
          <cell r="I931">
            <v>0</v>
          </cell>
          <cell r="J931">
            <v>0</v>
          </cell>
          <cell r="K931">
            <v>0</v>
          </cell>
          <cell r="L931">
            <v>503048</v>
          </cell>
          <cell r="M931">
            <v>1</v>
          </cell>
          <cell r="N931">
            <v>0</v>
          </cell>
          <cell r="O931">
            <v>503048</v>
          </cell>
          <cell r="P931">
            <v>3517</v>
          </cell>
          <cell r="Q931">
            <v>-3517</v>
          </cell>
          <cell r="R931">
            <v>0</v>
          </cell>
          <cell r="S931">
            <v>0</v>
          </cell>
        </row>
        <row r="932">
          <cell r="A932">
            <v>503049</v>
          </cell>
          <cell r="B932" t="str">
            <v>Maint. &amp; Repairs - Others</v>
          </cell>
          <cell r="C932"/>
          <cell r="D932"/>
          <cell r="E932"/>
          <cell r="F932">
            <v>0</v>
          </cell>
          <cell r="G932"/>
          <cell r="H932"/>
          <cell r="I932">
            <v>0</v>
          </cell>
          <cell r="J932">
            <v>0</v>
          </cell>
          <cell r="K932">
            <v>0</v>
          </cell>
          <cell r="L932">
            <v>503049</v>
          </cell>
          <cell r="M932">
            <v>1</v>
          </cell>
          <cell r="N932">
            <v>0</v>
          </cell>
          <cell r="O932">
            <v>503049</v>
          </cell>
          <cell r="P932">
            <v>0</v>
          </cell>
          <cell r="Q932">
            <v>0</v>
          </cell>
          <cell r="R932">
            <v>0</v>
          </cell>
          <cell r="S932">
            <v>0</v>
          </cell>
        </row>
        <row r="933">
          <cell r="A933">
            <v>503050</v>
          </cell>
          <cell r="B933" t="str">
            <v>Space Rentals / Meeting  Expen</v>
          </cell>
          <cell r="C933"/>
          <cell r="D933"/>
          <cell r="E933"/>
          <cell r="F933">
            <v>0</v>
          </cell>
          <cell r="G933"/>
          <cell r="H933"/>
          <cell r="I933">
            <v>0</v>
          </cell>
          <cell r="J933">
            <v>0</v>
          </cell>
          <cell r="K933">
            <v>0</v>
          </cell>
          <cell r="L933">
            <v>503050</v>
          </cell>
          <cell r="M933">
            <v>1</v>
          </cell>
          <cell r="N933">
            <v>0</v>
          </cell>
          <cell r="O933">
            <v>503050</v>
          </cell>
          <cell r="P933">
            <v>0</v>
          </cell>
          <cell r="Q933">
            <v>0</v>
          </cell>
          <cell r="R933">
            <v>0</v>
          </cell>
          <cell r="S933">
            <v>0</v>
          </cell>
        </row>
        <row r="934">
          <cell r="A934">
            <v>503055</v>
          </cell>
          <cell r="B934" t="str">
            <v>Equipment Rentals</v>
          </cell>
          <cell r="C934"/>
          <cell r="D934"/>
          <cell r="E934"/>
          <cell r="F934">
            <v>0</v>
          </cell>
          <cell r="G934"/>
          <cell r="H934"/>
          <cell r="I934">
            <v>0</v>
          </cell>
          <cell r="J934">
            <v>0</v>
          </cell>
          <cell r="K934">
            <v>0</v>
          </cell>
          <cell r="L934">
            <v>503055</v>
          </cell>
          <cell r="M934">
            <v>1</v>
          </cell>
          <cell r="N934">
            <v>0</v>
          </cell>
          <cell r="O934">
            <v>503055</v>
          </cell>
          <cell r="P934">
            <v>0</v>
          </cell>
          <cell r="Q934">
            <v>0</v>
          </cell>
          <cell r="R934">
            <v>0</v>
          </cell>
          <cell r="S934">
            <v>0</v>
          </cell>
        </row>
        <row r="935">
          <cell r="A935">
            <v>503060</v>
          </cell>
          <cell r="B935" t="str">
            <v>Vehicle Rentals</v>
          </cell>
          <cell r="C935"/>
          <cell r="D935"/>
          <cell r="E935"/>
          <cell r="F935">
            <v>0</v>
          </cell>
          <cell r="G935"/>
          <cell r="H935"/>
          <cell r="I935">
            <v>0</v>
          </cell>
          <cell r="J935">
            <v>0</v>
          </cell>
          <cell r="K935">
            <v>0</v>
          </cell>
          <cell r="L935">
            <v>503060</v>
          </cell>
          <cell r="M935">
            <v>1</v>
          </cell>
          <cell r="N935">
            <v>0</v>
          </cell>
          <cell r="O935">
            <v>503060</v>
          </cell>
          <cell r="P935">
            <v>0</v>
          </cell>
          <cell r="Q935">
            <v>0</v>
          </cell>
          <cell r="R935">
            <v>0</v>
          </cell>
          <cell r="S935">
            <v>0</v>
          </cell>
        </row>
        <row r="936">
          <cell r="A936">
            <v>503061</v>
          </cell>
          <cell r="B936" t="str">
            <v>Other Rentals</v>
          </cell>
          <cell r="C936"/>
          <cell r="D936"/>
          <cell r="E936"/>
          <cell r="F936">
            <v>0</v>
          </cell>
          <cell r="G936"/>
          <cell r="H936"/>
          <cell r="I936">
            <v>0</v>
          </cell>
          <cell r="J936">
            <v>0</v>
          </cell>
          <cell r="K936">
            <v>0</v>
          </cell>
          <cell r="L936">
            <v>503061</v>
          </cell>
          <cell r="M936">
            <v>1</v>
          </cell>
          <cell r="N936">
            <v>0</v>
          </cell>
          <cell r="O936">
            <v>503061</v>
          </cell>
          <cell r="P936">
            <v>0</v>
          </cell>
          <cell r="Q936">
            <v>0</v>
          </cell>
          <cell r="R936">
            <v>0</v>
          </cell>
          <cell r="S936">
            <v>0</v>
          </cell>
        </row>
        <row r="937">
          <cell r="A937">
            <v>503062</v>
          </cell>
          <cell r="B937" t="str">
            <v>Maint. Chgs - Society</v>
          </cell>
          <cell r="C937"/>
          <cell r="D937"/>
          <cell r="E937"/>
          <cell r="F937">
            <v>0</v>
          </cell>
          <cell r="G937"/>
          <cell r="H937"/>
          <cell r="I937">
            <v>0</v>
          </cell>
          <cell r="J937">
            <v>0</v>
          </cell>
          <cell r="K937">
            <v>0</v>
          </cell>
          <cell r="L937">
            <v>503062</v>
          </cell>
          <cell r="M937">
            <v>1</v>
          </cell>
          <cell r="N937">
            <v>0</v>
          </cell>
          <cell r="O937">
            <v>503062</v>
          </cell>
          <cell r="P937">
            <v>0</v>
          </cell>
          <cell r="Q937">
            <v>0</v>
          </cell>
          <cell r="R937">
            <v>0</v>
          </cell>
          <cell r="S937">
            <v>0</v>
          </cell>
        </row>
        <row r="938">
          <cell r="A938">
            <v>503063</v>
          </cell>
          <cell r="B938" t="str">
            <v>Lease Rent - Car</v>
          </cell>
          <cell r="C938"/>
          <cell r="D938"/>
          <cell r="E938"/>
          <cell r="F938">
            <v>0</v>
          </cell>
          <cell r="G938"/>
          <cell r="H938"/>
          <cell r="I938">
            <v>0</v>
          </cell>
          <cell r="J938">
            <v>0</v>
          </cell>
          <cell r="K938">
            <v>0</v>
          </cell>
          <cell r="L938">
            <v>503063</v>
          </cell>
          <cell r="M938">
            <v>1</v>
          </cell>
          <cell r="N938">
            <v>0</v>
          </cell>
          <cell r="O938">
            <v>503063</v>
          </cell>
          <cell r="P938">
            <v>0</v>
          </cell>
          <cell r="Q938">
            <v>0</v>
          </cell>
          <cell r="R938">
            <v>0</v>
          </cell>
          <cell r="S938">
            <v>0</v>
          </cell>
        </row>
        <row r="939">
          <cell r="A939">
            <v>503065</v>
          </cell>
          <cell r="B939" t="str">
            <v>Books, Subscriptions &amp; Periodicals</v>
          </cell>
          <cell r="C939"/>
          <cell r="D939"/>
          <cell r="E939"/>
          <cell r="F939">
            <v>0</v>
          </cell>
          <cell r="G939"/>
          <cell r="H939"/>
          <cell r="I939">
            <v>0</v>
          </cell>
          <cell r="J939">
            <v>0</v>
          </cell>
          <cell r="K939">
            <v>0</v>
          </cell>
          <cell r="L939">
            <v>503065</v>
          </cell>
          <cell r="M939">
            <v>1</v>
          </cell>
          <cell r="N939">
            <v>0</v>
          </cell>
          <cell r="O939">
            <v>503065</v>
          </cell>
          <cell r="P939">
            <v>0</v>
          </cell>
          <cell r="Q939">
            <v>0</v>
          </cell>
          <cell r="R939">
            <v>0</v>
          </cell>
          <cell r="S939">
            <v>0</v>
          </cell>
        </row>
        <row r="940">
          <cell r="A940">
            <v>503070</v>
          </cell>
          <cell r="B940" t="str">
            <v>Stationary &amp; Office Supplies</v>
          </cell>
          <cell r="C940"/>
          <cell r="D940"/>
          <cell r="E940"/>
          <cell r="F940">
            <v>0</v>
          </cell>
          <cell r="G940"/>
          <cell r="H940"/>
          <cell r="I940">
            <v>0</v>
          </cell>
          <cell r="J940">
            <v>0</v>
          </cell>
          <cell r="K940">
            <v>0</v>
          </cell>
          <cell r="L940">
            <v>503070</v>
          </cell>
          <cell r="M940">
            <v>1</v>
          </cell>
          <cell r="N940">
            <v>0</v>
          </cell>
          <cell r="O940">
            <v>503070</v>
          </cell>
          <cell r="P940">
            <v>193669</v>
          </cell>
          <cell r="Q940">
            <v>-193669</v>
          </cell>
          <cell r="R940">
            <v>0</v>
          </cell>
          <cell r="S940">
            <v>0</v>
          </cell>
        </row>
        <row r="941">
          <cell r="A941">
            <v>503075</v>
          </cell>
          <cell r="B941" t="str">
            <v>Office Equipment Consumables</v>
          </cell>
          <cell r="C941"/>
          <cell r="D941"/>
          <cell r="E941"/>
          <cell r="F941">
            <v>0</v>
          </cell>
          <cell r="G941"/>
          <cell r="H941"/>
          <cell r="I941">
            <v>0</v>
          </cell>
          <cell r="J941">
            <v>0</v>
          </cell>
          <cell r="K941">
            <v>0</v>
          </cell>
          <cell r="L941">
            <v>503075</v>
          </cell>
          <cell r="M941">
            <v>1</v>
          </cell>
          <cell r="N941">
            <v>0</v>
          </cell>
          <cell r="O941">
            <v>503075</v>
          </cell>
          <cell r="P941">
            <v>0</v>
          </cell>
          <cell r="Q941">
            <v>0</v>
          </cell>
          <cell r="R941">
            <v>0</v>
          </cell>
          <cell r="S941">
            <v>0</v>
          </cell>
        </row>
        <row r="942">
          <cell r="A942">
            <v>503080</v>
          </cell>
          <cell r="B942" t="str">
            <v>Computer Consumables</v>
          </cell>
          <cell r="C942"/>
          <cell r="D942"/>
          <cell r="E942"/>
          <cell r="F942">
            <v>0</v>
          </cell>
          <cell r="G942"/>
          <cell r="H942"/>
          <cell r="I942">
            <v>0</v>
          </cell>
          <cell r="J942">
            <v>0</v>
          </cell>
          <cell r="K942">
            <v>0</v>
          </cell>
          <cell r="L942">
            <v>503080</v>
          </cell>
          <cell r="M942">
            <v>1</v>
          </cell>
          <cell r="N942">
            <v>0</v>
          </cell>
          <cell r="O942">
            <v>503080</v>
          </cell>
          <cell r="P942">
            <v>0</v>
          </cell>
          <cell r="Q942">
            <v>0</v>
          </cell>
          <cell r="R942">
            <v>0</v>
          </cell>
          <cell r="S942">
            <v>0</v>
          </cell>
        </row>
        <row r="943">
          <cell r="A943">
            <v>503081</v>
          </cell>
          <cell r="B943" t="str">
            <v>Bank Charges</v>
          </cell>
          <cell r="C943"/>
          <cell r="D943"/>
          <cell r="E943"/>
          <cell r="F943">
            <v>0</v>
          </cell>
          <cell r="G943"/>
          <cell r="H943"/>
          <cell r="I943">
            <v>0</v>
          </cell>
          <cell r="J943">
            <v>0</v>
          </cell>
          <cell r="K943">
            <v>0</v>
          </cell>
          <cell r="L943">
            <v>503081</v>
          </cell>
          <cell r="M943">
            <v>1</v>
          </cell>
          <cell r="N943">
            <v>0</v>
          </cell>
          <cell r="O943">
            <v>503081</v>
          </cell>
          <cell r="P943">
            <v>3738.08</v>
          </cell>
          <cell r="Q943">
            <v>-3738.08</v>
          </cell>
          <cell r="R943">
            <v>0</v>
          </cell>
          <cell r="S943">
            <v>0</v>
          </cell>
        </row>
        <row r="944">
          <cell r="A944">
            <v>503082</v>
          </cell>
          <cell r="B944" t="str">
            <v>NMMC Cess</v>
          </cell>
          <cell r="C944"/>
          <cell r="D944"/>
          <cell r="E944"/>
          <cell r="F944">
            <v>0</v>
          </cell>
          <cell r="G944"/>
          <cell r="H944"/>
          <cell r="I944">
            <v>0</v>
          </cell>
          <cell r="J944">
            <v>0</v>
          </cell>
          <cell r="K944">
            <v>0</v>
          </cell>
          <cell r="L944">
            <v>503082</v>
          </cell>
          <cell r="M944">
            <v>1</v>
          </cell>
          <cell r="N944">
            <v>0</v>
          </cell>
          <cell r="O944">
            <v>503082</v>
          </cell>
          <cell r="P944">
            <v>0</v>
          </cell>
          <cell r="Q944">
            <v>0</v>
          </cell>
          <cell r="R944">
            <v>0</v>
          </cell>
          <cell r="S944">
            <v>0</v>
          </cell>
        </row>
        <row r="945">
          <cell r="A945">
            <v>503084</v>
          </cell>
          <cell r="B945" t="str">
            <v>Water Charges</v>
          </cell>
          <cell r="C945"/>
          <cell r="D945"/>
          <cell r="E945"/>
          <cell r="F945">
            <v>0</v>
          </cell>
          <cell r="G945"/>
          <cell r="H945"/>
          <cell r="I945">
            <v>0</v>
          </cell>
          <cell r="J945">
            <v>0</v>
          </cell>
          <cell r="K945">
            <v>0</v>
          </cell>
          <cell r="L945">
            <v>503084</v>
          </cell>
          <cell r="M945">
            <v>1</v>
          </cell>
          <cell r="N945">
            <v>0</v>
          </cell>
          <cell r="O945">
            <v>503084</v>
          </cell>
          <cell r="P945">
            <v>0</v>
          </cell>
          <cell r="Q945">
            <v>0</v>
          </cell>
          <cell r="R945">
            <v>0</v>
          </cell>
          <cell r="S945">
            <v>0</v>
          </cell>
        </row>
        <row r="946">
          <cell r="A946">
            <v>503085</v>
          </cell>
          <cell r="B946" t="str">
            <v>Utilities</v>
          </cell>
          <cell r="C946"/>
          <cell r="D946"/>
          <cell r="E946"/>
          <cell r="F946">
            <v>0</v>
          </cell>
          <cell r="G946"/>
          <cell r="H946"/>
          <cell r="I946">
            <v>0</v>
          </cell>
          <cell r="J946">
            <v>0</v>
          </cell>
          <cell r="K946">
            <v>0</v>
          </cell>
          <cell r="L946">
            <v>503085</v>
          </cell>
          <cell r="M946">
            <v>1</v>
          </cell>
          <cell r="N946">
            <v>0</v>
          </cell>
          <cell r="O946">
            <v>503085</v>
          </cell>
          <cell r="P946">
            <v>0</v>
          </cell>
          <cell r="Q946">
            <v>0</v>
          </cell>
          <cell r="R946">
            <v>0</v>
          </cell>
          <cell r="S946">
            <v>0</v>
          </cell>
        </row>
        <row r="947">
          <cell r="A947">
            <v>503086</v>
          </cell>
          <cell r="B947" t="str">
            <v>Electricity Charges</v>
          </cell>
          <cell r="C947"/>
          <cell r="D947"/>
          <cell r="E947"/>
          <cell r="F947">
            <v>0</v>
          </cell>
          <cell r="G947"/>
          <cell r="H947"/>
          <cell r="I947">
            <v>0</v>
          </cell>
          <cell r="J947">
            <v>0</v>
          </cell>
          <cell r="K947">
            <v>0</v>
          </cell>
          <cell r="L947">
            <v>503086</v>
          </cell>
          <cell r="M947">
            <v>1</v>
          </cell>
          <cell r="N947">
            <v>0</v>
          </cell>
          <cell r="O947">
            <v>503086</v>
          </cell>
          <cell r="P947">
            <v>4405175</v>
          </cell>
          <cell r="Q947">
            <v>-4405175</v>
          </cell>
          <cell r="R947">
            <v>0</v>
          </cell>
          <cell r="S947">
            <v>0</v>
          </cell>
        </row>
        <row r="948">
          <cell r="A948">
            <v>503087</v>
          </cell>
          <cell r="B948" t="str">
            <v>Export Processing Charges</v>
          </cell>
          <cell r="C948"/>
          <cell r="D948"/>
          <cell r="E948"/>
          <cell r="F948">
            <v>0</v>
          </cell>
          <cell r="G948"/>
          <cell r="H948"/>
          <cell r="I948">
            <v>0</v>
          </cell>
          <cell r="J948">
            <v>0</v>
          </cell>
          <cell r="K948">
            <v>0</v>
          </cell>
          <cell r="L948">
            <v>503087</v>
          </cell>
          <cell r="M948">
            <v>1</v>
          </cell>
          <cell r="N948">
            <v>0</v>
          </cell>
          <cell r="O948">
            <v>503087</v>
          </cell>
          <cell r="P948">
            <v>0</v>
          </cell>
          <cell r="Q948">
            <v>0</v>
          </cell>
          <cell r="R948">
            <v>0</v>
          </cell>
          <cell r="S948">
            <v>0</v>
          </cell>
        </row>
        <row r="949">
          <cell r="A949">
            <v>503088</v>
          </cell>
          <cell r="B949" t="str">
            <v>BMC Taxes</v>
          </cell>
          <cell r="C949"/>
          <cell r="D949"/>
          <cell r="E949"/>
          <cell r="F949">
            <v>0</v>
          </cell>
          <cell r="G949"/>
          <cell r="H949"/>
          <cell r="I949">
            <v>0</v>
          </cell>
          <cell r="J949">
            <v>0</v>
          </cell>
          <cell r="K949">
            <v>0</v>
          </cell>
          <cell r="L949">
            <v>503088</v>
          </cell>
          <cell r="M949">
            <v>1</v>
          </cell>
          <cell r="N949">
            <v>0</v>
          </cell>
          <cell r="O949">
            <v>503088</v>
          </cell>
          <cell r="P949">
            <v>0</v>
          </cell>
          <cell r="Q949">
            <v>0</v>
          </cell>
          <cell r="R949">
            <v>0</v>
          </cell>
          <cell r="S949">
            <v>0</v>
          </cell>
        </row>
        <row r="950">
          <cell r="A950">
            <v>503089</v>
          </cell>
          <cell r="B950" t="str">
            <v>Stamp Duty</v>
          </cell>
          <cell r="C950"/>
          <cell r="D950"/>
          <cell r="E950"/>
          <cell r="F950">
            <v>0</v>
          </cell>
          <cell r="G950"/>
          <cell r="H950"/>
          <cell r="I950">
            <v>0</v>
          </cell>
          <cell r="J950">
            <v>0</v>
          </cell>
          <cell r="K950">
            <v>0</v>
          </cell>
          <cell r="L950">
            <v>503089</v>
          </cell>
          <cell r="M950">
            <v>1</v>
          </cell>
          <cell r="N950">
            <v>0</v>
          </cell>
          <cell r="O950">
            <v>503089</v>
          </cell>
          <cell r="P950">
            <v>0</v>
          </cell>
          <cell r="Q950">
            <v>0</v>
          </cell>
          <cell r="R950">
            <v>0</v>
          </cell>
          <cell r="S950">
            <v>0</v>
          </cell>
        </row>
        <row r="951">
          <cell r="A951">
            <v>503090</v>
          </cell>
          <cell r="B951" t="str">
            <v>Taxes-Property</v>
          </cell>
          <cell r="C951"/>
          <cell r="D951"/>
          <cell r="E951"/>
          <cell r="F951">
            <v>0</v>
          </cell>
          <cell r="G951"/>
          <cell r="H951"/>
          <cell r="I951">
            <v>0</v>
          </cell>
          <cell r="J951">
            <v>0</v>
          </cell>
          <cell r="K951">
            <v>0</v>
          </cell>
          <cell r="L951">
            <v>503090</v>
          </cell>
          <cell r="M951">
            <v>1</v>
          </cell>
          <cell r="N951">
            <v>0</v>
          </cell>
          <cell r="O951">
            <v>503090</v>
          </cell>
          <cell r="P951">
            <v>0</v>
          </cell>
          <cell r="Q951">
            <v>0</v>
          </cell>
          <cell r="R951">
            <v>0</v>
          </cell>
          <cell r="S951">
            <v>0</v>
          </cell>
        </row>
        <row r="952">
          <cell r="A952">
            <v>503095</v>
          </cell>
          <cell r="B952" t="str">
            <v>Taxes-Other</v>
          </cell>
          <cell r="C952"/>
          <cell r="D952"/>
          <cell r="E952"/>
          <cell r="F952">
            <v>0</v>
          </cell>
          <cell r="G952"/>
          <cell r="H952"/>
          <cell r="I952">
            <v>0</v>
          </cell>
          <cell r="J952">
            <v>0</v>
          </cell>
          <cell r="K952">
            <v>0</v>
          </cell>
          <cell r="L952">
            <v>503095</v>
          </cell>
          <cell r="M952">
            <v>1</v>
          </cell>
          <cell r="N952">
            <v>0</v>
          </cell>
          <cell r="O952">
            <v>503095</v>
          </cell>
          <cell r="P952">
            <v>113905</v>
          </cell>
          <cell r="Q952">
            <v>-113905</v>
          </cell>
          <cell r="R952">
            <v>0</v>
          </cell>
          <cell r="S952">
            <v>0</v>
          </cell>
        </row>
        <row r="953">
          <cell r="A953">
            <v>503096</v>
          </cell>
          <cell r="B953" t="str">
            <v>Taxes-Sales Tax</v>
          </cell>
          <cell r="C953"/>
          <cell r="D953"/>
          <cell r="E953"/>
          <cell r="F953">
            <v>0</v>
          </cell>
          <cell r="G953"/>
          <cell r="H953"/>
          <cell r="I953">
            <v>0</v>
          </cell>
          <cell r="J953">
            <v>0</v>
          </cell>
          <cell r="K953">
            <v>0</v>
          </cell>
          <cell r="L953">
            <v>503096</v>
          </cell>
          <cell r="M953">
            <v>1</v>
          </cell>
          <cell r="N953">
            <v>0</v>
          </cell>
          <cell r="O953">
            <v>503096</v>
          </cell>
          <cell r="P953">
            <v>0</v>
          </cell>
          <cell r="Q953">
            <v>0</v>
          </cell>
          <cell r="R953">
            <v>0</v>
          </cell>
          <cell r="S953">
            <v>0</v>
          </cell>
        </row>
        <row r="954">
          <cell r="A954">
            <v>503097</v>
          </cell>
          <cell r="B954" t="str">
            <v>Taxes-Wealth Tax</v>
          </cell>
          <cell r="C954"/>
          <cell r="D954"/>
          <cell r="E954"/>
          <cell r="F954">
            <v>0</v>
          </cell>
          <cell r="G954"/>
          <cell r="H954"/>
          <cell r="I954">
            <v>0</v>
          </cell>
          <cell r="J954">
            <v>0</v>
          </cell>
          <cell r="K954">
            <v>0</v>
          </cell>
          <cell r="L954">
            <v>503097</v>
          </cell>
          <cell r="M954">
            <v>1</v>
          </cell>
          <cell r="N954">
            <v>0</v>
          </cell>
          <cell r="O954">
            <v>503097</v>
          </cell>
          <cell r="P954">
            <v>0</v>
          </cell>
          <cell r="Q954">
            <v>0</v>
          </cell>
          <cell r="R954">
            <v>0</v>
          </cell>
          <cell r="S954">
            <v>0</v>
          </cell>
        </row>
        <row r="955">
          <cell r="A955">
            <v>503098</v>
          </cell>
          <cell r="B955" t="str">
            <v>ROC Fees</v>
          </cell>
          <cell r="C955"/>
          <cell r="D955"/>
          <cell r="E955"/>
          <cell r="F955">
            <v>0</v>
          </cell>
          <cell r="G955"/>
          <cell r="H955"/>
          <cell r="I955">
            <v>0</v>
          </cell>
          <cell r="J955">
            <v>0</v>
          </cell>
          <cell r="K955">
            <v>0</v>
          </cell>
          <cell r="L955">
            <v>503098</v>
          </cell>
          <cell r="M955">
            <v>1</v>
          </cell>
          <cell r="N955">
            <v>0</v>
          </cell>
          <cell r="O955">
            <v>503098</v>
          </cell>
          <cell r="P955">
            <v>0</v>
          </cell>
          <cell r="Q955">
            <v>0</v>
          </cell>
          <cell r="R955">
            <v>0</v>
          </cell>
          <cell r="S955">
            <v>0</v>
          </cell>
        </row>
        <row r="956">
          <cell r="A956">
            <v>503099</v>
          </cell>
          <cell r="B956" t="str">
            <v>Oracle Application Guides</v>
          </cell>
          <cell r="C956"/>
          <cell r="D956"/>
          <cell r="E956"/>
          <cell r="F956">
            <v>0</v>
          </cell>
          <cell r="G956"/>
          <cell r="H956"/>
          <cell r="I956">
            <v>0</v>
          </cell>
          <cell r="J956">
            <v>0</v>
          </cell>
          <cell r="K956">
            <v>0</v>
          </cell>
          <cell r="L956">
            <v>503099</v>
          </cell>
          <cell r="M956">
            <v>1</v>
          </cell>
          <cell r="N956">
            <v>0</v>
          </cell>
          <cell r="O956">
            <v>503099</v>
          </cell>
          <cell r="P956">
            <v>0</v>
          </cell>
          <cell r="Q956">
            <v>0</v>
          </cell>
          <cell r="R956">
            <v>0</v>
          </cell>
          <cell r="S956">
            <v>0</v>
          </cell>
        </row>
        <row r="957">
          <cell r="A957">
            <v>503100</v>
          </cell>
          <cell r="B957" t="str">
            <v>Misc Expense</v>
          </cell>
          <cell r="C957"/>
          <cell r="D957"/>
          <cell r="E957"/>
          <cell r="F957">
            <v>0</v>
          </cell>
          <cell r="G957"/>
          <cell r="H957"/>
          <cell r="I957">
            <v>0</v>
          </cell>
          <cell r="J957">
            <v>0</v>
          </cell>
          <cell r="K957">
            <v>0</v>
          </cell>
          <cell r="L957">
            <v>503100</v>
          </cell>
          <cell r="M957">
            <v>1</v>
          </cell>
          <cell r="N957">
            <v>0</v>
          </cell>
          <cell r="O957">
            <v>503100</v>
          </cell>
          <cell r="P957">
            <v>31404</v>
          </cell>
          <cell r="Q957">
            <v>-31404</v>
          </cell>
          <cell r="R957">
            <v>0</v>
          </cell>
          <cell r="S957">
            <v>0</v>
          </cell>
        </row>
        <row r="958">
          <cell r="A958">
            <v>503101</v>
          </cell>
          <cell r="B958" t="str">
            <v>Finance Charges</v>
          </cell>
          <cell r="C958"/>
          <cell r="D958"/>
          <cell r="E958"/>
          <cell r="F958">
            <v>0</v>
          </cell>
          <cell r="G958"/>
          <cell r="H958"/>
          <cell r="I958">
            <v>0</v>
          </cell>
          <cell r="J958">
            <v>0</v>
          </cell>
          <cell r="K958">
            <v>0</v>
          </cell>
          <cell r="L958">
            <v>503101</v>
          </cell>
          <cell r="M958">
            <v>1</v>
          </cell>
          <cell r="N958">
            <v>0</v>
          </cell>
          <cell r="O958">
            <v>503101</v>
          </cell>
          <cell r="P958">
            <v>7678808.8747658543</v>
          </cell>
          <cell r="Q958">
            <v>-7678808.8747658543</v>
          </cell>
          <cell r="R958">
            <v>0</v>
          </cell>
          <cell r="S958">
            <v>0</v>
          </cell>
        </row>
        <row r="959">
          <cell r="A959">
            <v>503102</v>
          </cell>
          <cell r="B959" t="str">
            <v>Security Charges</v>
          </cell>
          <cell r="C959"/>
          <cell r="D959"/>
          <cell r="E959"/>
          <cell r="F959">
            <v>0</v>
          </cell>
          <cell r="G959"/>
          <cell r="H959"/>
          <cell r="I959">
            <v>0</v>
          </cell>
          <cell r="J959">
            <v>0</v>
          </cell>
          <cell r="K959">
            <v>0</v>
          </cell>
          <cell r="L959">
            <v>503102</v>
          </cell>
          <cell r="M959">
            <v>1</v>
          </cell>
          <cell r="N959">
            <v>0</v>
          </cell>
          <cell r="O959">
            <v>503102</v>
          </cell>
          <cell r="P959">
            <v>870831.2</v>
          </cell>
          <cell r="Q959">
            <v>-870831.2</v>
          </cell>
          <cell r="R959">
            <v>0</v>
          </cell>
          <cell r="S959">
            <v>0</v>
          </cell>
        </row>
        <row r="960">
          <cell r="A960">
            <v>503103</v>
          </cell>
          <cell r="B960" t="str">
            <v>Finance Charges - Interco</v>
          </cell>
          <cell r="C960"/>
          <cell r="D960"/>
          <cell r="E960"/>
          <cell r="F960">
            <v>0</v>
          </cell>
          <cell r="G960"/>
          <cell r="H960"/>
          <cell r="I960">
            <v>0</v>
          </cell>
          <cell r="J960">
            <v>0</v>
          </cell>
          <cell r="K960">
            <v>0</v>
          </cell>
          <cell r="L960">
            <v>503103</v>
          </cell>
          <cell r="M960">
            <v>1</v>
          </cell>
          <cell r="N960">
            <v>0</v>
          </cell>
          <cell r="O960">
            <v>503103</v>
          </cell>
          <cell r="P960"/>
          <cell r="Q960"/>
          <cell r="R960">
            <v>0</v>
          </cell>
          <cell r="S960">
            <v>0</v>
          </cell>
        </row>
        <row r="961">
          <cell r="A961">
            <v>503104</v>
          </cell>
          <cell r="B961" t="str">
            <v>Early Paymt Discount - Int Co</v>
          </cell>
          <cell r="C961"/>
          <cell r="D961"/>
          <cell r="E961"/>
          <cell r="F961">
            <v>0</v>
          </cell>
          <cell r="G961"/>
          <cell r="H961"/>
          <cell r="I961">
            <v>0</v>
          </cell>
          <cell r="J961">
            <v>0</v>
          </cell>
          <cell r="K961">
            <v>0</v>
          </cell>
          <cell r="L961">
            <v>503104</v>
          </cell>
          <cell r="M961">
            <v>1</v>
          </cell>
          <cell r="N961">
            <v>0</v>
          </cell>
          <cell r="O961">
            <v>503104</v>
          </cell>
          <cell r="P961">
            <v>0</v>
          </cell>
          <cell r="Q961">
            <v>0</v>
          </cell>
          <cell r="R961">
            <v>0</v>
          </cell>
          <cell r="S961">
            <v>0</v>
          </cell>
        </row>
        <row r="962">
          <cell r="A962">
            <v>504010</v>
          </cell>
          <cell r="B962" t="str">
            <v>Advertising - Marketing</v>
          </cell>
          <cell r="C962"/>
          <cell r="D962"/>
          <cell r="E962"/>
          <cell r="F962">
            <v>0</v>
          </cell>
          <cell r="G962"/>
          <cell r="H962"/>
          <cell r="I962">
            <v>0</v>
          </cell>
          <cell r="J962">
            <v>0</v>
          </cell>
          <cell r="K962">
            <v>0</v>
          </cell>
          <cell r="L962">
            <v>504010</v>
          </cell>
          <cell r="M962">
            <v>1</v>
          </cell>
          <cell r="N962">
            <v>0</v>
          </cell>
          <cell r="O962">
            <v>504010</v>
          </cell>
          <cell r="P962">
            <v>0</v>
          </cell>
          <cell r="Q962">
            <v>0</v>
          </cell>
          <cell r="R962">
            <v>0</v>
          </cell>
          <cell r="S962">
            <v>0</v>
          </cell>
        </row>
        <row r="963">
          <cell r="A963">
            <v>504015</v>
          </cell>
          <cell r="B963" t="str">
            <v>Business Promotions / Gifts</v>
          </cell>
          <cell r="C963"/>
          <cell r="D963"/>
          <cell r="E963"/>
          <cell r="F963">
            <v>0</v>
          </cell>
          <cell r="G963"/>
          <cell r="H963"/>
          <cell r="I963">
            <v>0</v>
          </cell>
          <cell r="J963">
            <v>0</v>
          </cell>
          <cell r="K963">
            <v>0</v>
          </cell>
          <cell r="L963">
            <v>504015</v>
          </cell>
          <cell r="M963">
            <v>1</v>
          </cell>
          <cell r="N963">
            <v>0</v>
          </cell>
          <cell r="O963">
            <v>504015</v>
          </cell>
          <cell r="P963">
            <v>0</v>
          </cell>
          <cell r="Q963">
            <v>0</v>
          </cell>
          <cell r="R963">
            <v>0</v>
          </cell>
          <cell r="S963">
            <v>0</v>
          </cell>
        </row>
        <row r="964">
          <cell r="A964">
            <v>504016</v>
          </cell>
          <cell r="B964" t="str">
            <v>Gifts to clients</v>
          </cell>
          <cell r="C964"/>
          <cell r="D964"/>
          <cell r="E964"/>
          <cell r="F964">
            <v>0</v>
          </cell>
          <cell r="G964"/>
          <cell r="H964"/>
          <cell r="I964">
            <v>0</v>
          </cell>
          <cell r="J964">
            <v>0</v>
          </cell>
          <cell r="K964">
            <v>0</v>
          </cell>
          <cell r="L964">
            <v>504016</v>
          </cell>
          <cell r="M964">
            <v>1</v>
          </cell>
          <cell r="N964">
            <v>0</v>
          </cell>
          <cell r="O964">
            <v>504016</v>
          </cell>
          <cell r="P964">
            <v>0</v>
          </cell>
          <cell r="Q964">
            <v>0</v>
          </cell>
          <cell r="R964">
            <v>0</v>
          </cell>
          <cell r="S964">
            <v>0</v>
          </cell>
        </row>
        <row r="965">
          <cell r="A965">
            <v>504018</v>
          </cell>
          <cell r="B965" t="str">
            <v>Client Entertainment Exps</v>
          </cell>
          <cell r="C965"/>
          <cell r="D965"/>
          <cell r="E965"/>
          <cell r="F965">
            <v>0</v>
          </cell>
          <cell r="G965"/>
          <cell r="H965"/>
          <cell r="I965">
            <v>0</v>
          </cell>
          <cell r="J965">
            <v>0</v>
          </cell>
          <cell r="K965">
            <v>0</v>
          </cell>
          <cell r="L965">
            <v>504018</v>
          </cell>
          <cell r="M965">
            <v>1</v>
          </cell>
          <cell r="N965">
            <v>0</v>
          </cell>
          <cell r="O965">
            <v>504018</v>
          </cell>
          <cell r="P965">
            <v>0</v>
          </cell>
          <cell r="Q965">
            <v>0</v>
          </cell>
          <cell r="R965">
            <v>0</v>
          </cell>
          <cell r="S965">
            <v>0</v>
          </cell>
        </row>
        <row r="966">
          <cell r="A966">
            <v>504020</v>
          </cell>
          <cell r="B966" t="str">
            <v>Donations &amp; Contributions</v>
          </cell>
          <cell r="C966"/>
          <cell r="D966"/>
          <cell r="E966"/>
          <cell r="F966">
            <v>0</v>
          </cell>
          <cell r="G966"/>
          <cell r="H966"/>
          <cell r="I966">
            <v>0</v>
          </cell>
          <cell r="J966">
            <v>0</v>
          </cell>
          <cell r="K966">
            <v>0</v>
          </cell>
          <cell r="L966">
            <v>504020</v>
          </cell>
          <cell r="M966">
            <v>1</v>
          </cell>
          <cell r="N966">
            <v>0</v>
          </cell>
          <cell r="O966">
            <v>504020</v>
          </cell>
          <cell r="P966">
            <v>0</v>
          </cell>
          <cell r="Q966">
            <v>0</v>
          </cell>
          <cell r="R966">
            <v>0</v>
          </cell>
          <cell r="S966">
            <v>0</v>
          </cell>
        </row>
        <row r="967">
          <cell r="A967">
            <v>504025</v>
          </cell>
          <cell r="B967" t="str">
            <v>Marketing Exp</v>
          </cell>
          <cell r="C967"/>
          <cell r="D967"/>
          <cell r="E967"/>
          <cell r="F967">
            <v>0</v>
          </cell>
          <cell r="G967"/>
          <cell r="H967"/>
          <cell r="I967">
            <v>0</v>
          </cell>
          <cell r="J967">
            <v>0</v>
          </cell>
          <cell r="K967">
            <v>0</v>
          </cell>
          <cell r="L967">
            <v>504025</v>
          </cell>
          <cell r="M967">
            <v>1</v>
          </cell>
          <cell r="N967">
            <v>0</v>
          </cell>
          <cell r="O967">
            <v>504025</v>
          </cell>
          <cell r="P967">
            <v>0</v>
          </cell>
          <cell r="Q967">
            <v>0</v>
          </cell>
          <cell r="R967">
            <v>0</v>
          </cell>
          <cell r="S967">
            <v>0</v>
          </cell>
        </row>
        <row r="968">
          <cell r="A968">
            <v>504030</v>
          </cell>
          <cell r="B968" t="str">
            <v>Marketing Conferences</v>
          </cell>
          <cell r="C968"/>
          <cell r="D968"/>
          <cell r="E968"/>
          <cell r="F968">
            <v>0</v>
          </cell>
          <cell r="G968"/>
          <cell r="H968"/>
          <cell r="I968">
            <v>0</v>
          </cell>
          <cell r="J968">
            <v>0</v>
          </cell>
          <cell r="K968">
            <v>0</v>
          </cell>
          <cell r="L968">
            <v>504030</v>
          </cell>
          <cell r="M968">
            <v>1</v>
          </cell>
          <cell r="N968">
            <v>0</v>
          </cell>
          <cell r="O968">
            <v>504030</v>
          </cell>
          <cell r="P968">
            <v>0</v>
          </cell>
          <cell r="Q968">
            <v>0</v>
          </cell>
          <cell r="R968">
            <v>0</v>
          </cell>
          <cell r="S968">
            <v>0</v>
          </cell>
        </row>
        <row r="969">
          <cell r="A969">
            <v>504035</v>
          </cell>
          <cell r="B969" t="str">
            <v>Marketing Materials</v>
          </cell>
          <cell r="C969"/>
          <cell r="D969"/>
          <cell r="E969"/>
          <cell r="F969">
            <v>0</v>
          </cell>
          <cell r="G969"/>
          <cell r="H969"/>
          <cell r="I969">
            <v>0</v>
          </cell>
          <cell r="J969">
            <v>0</v>
          </cell>
          <cell r="K969">
            <v>0</v>
          </cell>
          <cell r="L969">
            <v>504035</v>
          </cell>
          <cell r="M969">
            <v>1</v>
          </cell>
          <cell r="N969">
            <v>0</v>
          </cell>
          <cell r="O969">
            <v>504035</v>
          </cell>
          <cell r="P969">
            <v>0</v>
          </cell>
          <cell r="Q969">
            <v>0</v>
          </cell>
          <cell r="R969">
            <v>0</v>
          </cell>
          <cell r="S969">
            <v>0</v>
          </cell>
        </row>
        <row r="970">
          <cell r="A970">
            <v>504040</v>
          </cell>
          <cell r="B970" t="str">
            <v>Customer Relations</v>
          </cell>
          <cell r="C970"/>
          <cell r="D970"/>
          <cell r="E970"/>
          <cell r="F970">
            <v>0</v>
          </cell>
          <cell r="G970"/>
          <cell r="H970"/>
          <cell r="I970">
            <v>0</v>
          </cell>
          <cell r="J970">
            <v>0</v>
          </cell>
          <cell r="K970">
            <v>0</v>
          </cell>
          <cell r="L970">
            <v>504040</v>
          </cell>
          <cell r="M970">
            <v>1</v>
          </cell>
          <cell r="N970">
            <v>0</v>
          </cell>
          <cell r="O970">
            <v>504040</v>
          </cell>
          <cell r="P970">
            <v>0</v>
          </cell>
          <cell r="Q970">
            <v>0</v>
          </cell>
          <cell r="R970">
            <v>0</v>
          </cell>
          <cell r="S970">
            <v>0</v>
          </cell>
        </row>
        <row r="971">
          <cell r="A971">
            <v>504042</v>
          </cell>
          <cell r="B971" t="str">
            <v>Print Advertising</v>
          </cell>
          <cell r="C971"/>
          <cell r="D971"/>
          <cell r="E971"/>
          <cell r="F971">
            <v>0</v>
          </cell>
          <cell r="G971"/>
          <cell r="H971"/>
          <cell r="I971">
            <v>0</v>
          </cell>
          <cell r="J971">
            <v>0</v>
          </cell>
          <cell r="K971">
            <v>0</v>
          </cell>
          <cell r="L971">
            <v>504042</v>
          </cell>
          <cell r="M971">
            <v>1</v>
          </cell>
          <cell r="N971">
            <v>0</v>
          </cell>
          <cell r="O971">
            <v>504042</v>
          </cell>
          <cell r="P971">
            <v>0</v>
          </cell>
          <cell r="Q971">
            <v>0</v>
          </cell>
          <cell r="R971">
            <v>0</v>
          </cell>
          <cell r="S971">
            <v>0</v>
          </cell>
        </row>
        <row r="972">
          <cell r="A972">
            <v>504044</v>
          </cell>
          <cell r="B972" t="str">
            <v>Trade Shows/Conferences</v>
          </cell>
          <cell r="C972"/>
          <cell r="D972"/>
          <cell r="E972"/>
          <cell r="F972">
            <v>0</v>
          </cell>
          <cell r="G972"/>
          <cell r="H972"/>
          <cell r="I972">
            <v>0</v>
          </cell>
          <cell r="J972">
            <v>0</v>
          </cell>
          <cell r="K972">
            <v>0</v>
          </cell>
          <cell r="L972">
            <v>504044</v>
          </cell>
          <cell r="M972">
            <v>1</v>
          </cell>
          <cell r="N972">
            <v>0</v>
          </cell>
          <cell r="O972">
            <v>504044</v>
          </cell>
          <cell r="P972">
            <v>0</v>
          </cell>
          <cell r="Q972">
            <v>0</v>
          </cell>
          <cell r="R972">
            <v>0</v>
          </cell>
          <cell r="S972">
            <v>0</v>
          </cell>
        </row>
        <row r="973">
          <cell r="A973">
            <v>504045</v>
          </cell>
          <cell r="B973" t="str">
            <v>Entertainment</v>
          </cell>
          <cell r="C973"/>
          <cell r="D973"/>
          <cell r="E973"/>
          <cell r="F973">
            <v>0</v>
          </cell>
          <cell r="G973"/>
          <cell r="H973"/>
          <cell r="I973">
            <v>0</v>
          </cell>
          <cell r="J973">
            <v>0</v>
          </cell>
          <cell r="K973">
            <v>0</v>
          </cell>
          <cell r="L973">
            <v>504045</v>
          </cell>
          <cell r="M973">
            <v>1</v>
          </cell>
          <cell r="N973">
            <v>0</v>
          </cell>
          <cell r="O973">
            <v>504045</v>
          </cell>
          <cell r="P973">
            <v>0</v>
          </cell>
          <cell r="Q973">
            <v>0</v>
          </cell>
          <cell r="R973">
            <v>0</v>
          </cell>
          <cell r="S973">
            <v>0</v>
          </cell>
        </row>
        <row r="974">
          <cell r="A974">
            <v>504046</v>
          </cell>
          <cell r="B974" t="str">
            <v>Public Relations</v>
          </cell>
          <cell r="C974"/>
          <cell r="D974"/>
          <cell r="E974"/>
          <cell r="F974">
            <v>0</v>
          </cell>
          <cell r="G974"/>
          <cell r="H974"/>
          <cell r="I974">
            <v>0</v>
          </cell>
          <cell r="J974">
            <v>0</v>
          </cell>
          <cell r="K974">
            <v>0</v>
          </cell>
          <cell r="L974">
            <v>504046</v>
          </cell>
          <cell r="M974">
            <v>1</v>
          </cell>
          <cell r="N974">
            <v>0</v>
          </cell>
          <cell r="O974">
            <v>504046</v>
          </cell>
          <cell r="P974">
            <v>0</v>
          </cell>
          <cell r="Q974">
            <v>0</v>
          </cell>
          <cell r="R974">
            <v>0</v>
          </cell>
          <cell r="S974">
            <v>0</v>
          </cell>
        </row>
        <row r="975">
          <cell r="A975">
            <v>504048</v>
          </cell>
          <cell r="B975" t="str">
            <v>Marketing Collateral</v>
          </cell>
          <cell r="C975"/>
          <cell r="D975"/>
          <cell r="E975"/>
          <cell r="F975">
            <v>0</v>
          </cell>
          <cell r="G975"/>
          <cell r="H975"/>
          <cell r="I975">
            <v>0</v>
          </cell>
          <cell r="J975">
            <v>0</v>
          </cell>
          <cell r="K975">
            <v>0</v>
          </cell>
          <cell r="L975">
            <v>504048</v>
          </cell>
          <cell r="M975">
            <v>1</v>
          </cell>
          <cell r="N975">
            <v>0</v>
          </cell>
          <cell r="O975">
            <v>504048</v>
          </cell>
          <cell r="P975">
            <v>0</v>
          </cell>
          <cell r="Q975">
            <v>0</v>
          </cell>
          <cell r="R975">
            <v>0</v>
          </cell>
          <cell r="S975">
            <v>0</v>
          </cell>
        </row>
        <row r="976">
          <cell r="A976">
            <v>504052</v>
          </cell>
          <cell r="B976" t="str">
            <v>Investor Relations</v>
          </cell>
          <cell r="C976"/>
          <cell r="D976"/>
          <cell r="E976"/>
          <cell r="F976">
            <v>0</v>
          </cell>
          <cell r="G976"/>
          <cell r="H976"/>
          <cell r="I976">
            <v>0</v>
          </cell>
          <cell r="J976">
            <v>0</v>
          </cell>
          <cell r="K976">
            <v>0</v>
          </cell>
          <cell r="L976">
            <v>504052</v>
          </cell>
          <cell r="M976">
            <v>1</v>
          </cell>
          <cell r="N976">
            <v>0</v>
          </cell>
          <cell r="O976">
            <v>504052</v>
          </cell>
          <cell r="P976">
            <v>0</v>
          </cell>
          <cell r="Q976">
            <v>0</v>
          </cell>
          <cell r="R976">
            <v>0</v>
          </cell>
          <cell r="S976">
            <v>0</v>
          </cell>
        </row>
        <row r="977">
          <cell r="A977">
            <v>504060</v>
          </cell>
          <cell r="B977" t="str">
            <v>Publications</v>
          </cell>
          <cell r="C977"/>
          <cell r="D977"/>
          <cell r="E977"/>
          <cell r="F977">
            <v>0</v>
          </cell>
          <cell r="G977"/>
          <cell r="H977"/>
          <cell r="I977">
            <v>0</v>
          </cell>
          <cell r="J977">
            <v>0</v>
          </cell>
          <cell r="K977">
            <v>0</v>
          </cell>
          <cell r="L977">
            <v>504060</v>
          </cell>
          <cell r="M977">
            <v>1</v>
          </cell>
          <cell r="N977">
            <v>0</v>
          </cell>
          <cell r="O977">
            <v>504060</v>
          </cell>
          <cell r="P977">
            <v>0</v>
          </cell>
          <cell r="Q977">
            <v>0</v>
          </cell>
          <cell r="R977">
            <v>0</v>
          </cell>
          <cell r="S977">
            <v>0</v>
          </cell>
        </row>
        <row r="978">
          <cell r="A978">
            <v>504090</v>
          </cell>
          <cell r="B978" t="str">
            <v>Marketing fees - Interco.</v>
          </cell>
          <cell r="C978"/>
          <cell r="D978"/>
          <cell r="E978"/>
          <cell r="F978">
            <v>0</v>
          </cell>
          <cell r="G978"/>
          <cell r="H978"/>
          <cell r="I978">
            <v>0</v>
          </cell>
          <cell r="J978">
            <v>0</v>
          </cell>
          <cell r="K978">
            <v>0</v>
          </cell>
          <cell r="L978">
            <v>504090</v>
          </cell>
          <cell r="M978">
            <v>1</v>
          </cell>
          <cell r="N978">
            <v>0</v>
          </cell>
          <cell r="O978">
            <v>504090</v>
          </cell>
          <cell r="P978">
            <v>5818838.04</v>
          </cell>
          <cell r="Q978">
            <v>-5818838.04</v>
          </cell>
          <cell r="R978">
            <v>0</v>
          </cell>
          <cell r="S978">
            <v>0</v>
          </cell>
        </row>
        <row r="979">
          <cell r="A979">
            <v>505010</v>
          </cell>
          <cell r="B979" t="str">
            <v>Bad Debt Expense</v>
          </cell>
          <cell r="C979"/>
          <cell r="D979"/>
          <cell r="E979"/>
          <cell r="F979">
            <v>0</v>
          </cell>
          <cell r="G979"/>
          <cell r="H979"/>
          <cell r="I979">
            <v>0</v>
          </cell>
          <cell r="J979">
            <v>0</v>
          </cell>
          <cell r="K979">
            <v>0</v>
          </cell>
          <cell r="L979">
            <v>505010</v>
          </cell>
          <cell r="M979">
            <v>1</v>
          </cell>
          <cell r="N979">
            <v>0</v>
          </cell>
          <cell r="O979">
            <v>505010</v>
          </cell>
          <cell r="P979">
            <v>0</v>
          </cell>
          <cell r="Q979">
            <v>0</v>
          </cell>
          <cell r="R979">
            <v>0</v>
          </cell>
          <cell r="S979">
            <v>0</v>
          </cell>
        </row>
        <row r="980">
          <cell r="A980">
            <v>505011</v>
          </cell>
          <cell r="B980" t="str">
            <v>Provision for Doubtful Debts / Advances</v>
          </cell>
          <cell r="C980"/>
          <cell r="D980"/>
          <cell r="E980"/>
          <cell r="F980">
            <v>0</v>
          </cell>
          <cell r="G980"/>
          <cell r="H980"/>
          <cell r="I980">
            <v>0</v>
          </cell>
          <cell r="J980">
            <v>0</v>
          </cell>
          <cell r="K980">
            <v>0</v>
          </cell>
          <cell r="L980">
            <v>505011</v>
          </cell>
          <cell r="M980">
            <v>1</v>
          </cell>
          <cell r="N980">
            <v>0</v>
          </cell>
          <cell r="O980">
            <v>505011</v>
          </cell>
          <cell r="P980">
            <v>1875316</v>
          </cell>
          <cell r="Q980">
            <v>-1875316</v>
          </cell>
          <cell r="R980">
            <v>0</v>
          </cell>
          <cell r="S980">
            <v>0</v>
          </cell>
        </row>
        <row r="981">
          <cell r="A981">
            <v>505012</v>
          </cell>
          <cell r="B981" t="str">
            <v>Sundry Debit / Credit balances w/off</v>
          </cell>
          <cell r="C981"/>
          <cell r="D981"/>
          <cell r="E981"/>
          <cell r="F981">
            <v>0</v>
          </cell>
          <cell r="G981"/>
          <cell r="H981"/>
          <cell r="I981">
            <v>0</v>
          </cell>
          <cell r="J981">
            <v>0</v>
          </cell>
          <cell r="K981">
            <v>0</v>
          </cell>
          <cell r="L981">
            <v>505012</v>
          </cell>
          <cell r="M981">
            <v>1</v>
          </cell>
          <cell r="N981">
            <v>0</v>
          </cell>
          <cell r="O981">
            <v>505012</v>
          </cell>
          <cell r="P981">
            <v>63747</v>
          </cell>
          <cell r="Q981">
            <v>-63747</v>
          </cell>
          <cell r="R981">
            <v>0</v>
          </cell>
          <cell r="S981">
            <v>0</v>
          </cell>
        </row>
        <row r="982">
          <cell r="A982">
            <v>505013</v>
          </cell>
          <cell r="B982" t="str">
            <v>Loss on Sale of Assets</v>
          </cell>
          <cell r="C982"/>
          <cell r="D982"/>
          <cell r="E982"/>
          <cell r="F982">
            <v>0</v>
          </cell>
          <cell r="G982"/>
          <cell r="H982"/>
          <cell r="I982">
            <v>0</v>
          </cell>
          <cell r="J982">
            <v>0</v>
          </cell>
          <cell r="K982">
            <v>0</v>
          </cell>
          <cell r="L982">
            <v>505013</v>
          </cell>
          <cell r="M982">
            <v>1</v>
          </cell>
          <cell r="N982">
            <v>0</v>
          </cell>
          <cell r="O982">
            <v>505013</v>
          </cell>
          <cell r="P982">
            <v>0</v>
          </cell>
          <cell r="Q982">
            <v>0</v>
          </cell>
          <cell r="R982">
            <v>0</v>
          </cell>
          <cell r="S982">
            <v>0</v>
          </cell>
        </row>
        <row r="983">
          <cell r="A983">
            <v>505015</v>
          </cell>
          <cell r="B983" t="str">
            <v>Fees - Legal</v>
          </cell>
          <cell r="C983"/>
          <cell r="D983"/>
          <cell r="E983"/>
          <cell r="F983">
            <v>0</v>
          </cell>
          <cell r="G983"/>
          <cell r="H983"/>
          <cell r="I983">
            <v>0</v>
          </cell>
          <cell r="J983">
            <v>0</v>
          </cell>
          <cell r="K983">
            <v>0</v>
          </cell>
          <cell r="L983">
            <v>505015</v>
          </cell>
          <cell r="M983">
            <v>1</v>
          </cell>
          <cell r="N983">
            <v>0</v>
          </cell>
          <cell r="O983">
            <v>505015</v>
          </cell>
          <cell r="P983">
            <v>48324.75</v>
          </cell>
          <cell r="Q983">
            <v>-48324.75</v>
          </cell>
          <cell r="R983">
            <v>0</v>
          </cell>
          <cell r="S983">
            <v>0</v>
          </cell>
        </row>
        <row r="984">
          <cell r="A984">
            <v>505017</v>
          </cell>
          <cell r="B984" t="str">
            <v xml:space="preserve">Provision for doubtful Service tax recoverable </v>
          </cell>
          <cell r="C984"/>
          <cell r="D984"/>
          <cell r="E984"/>
          <cell r="F984">
            <v>0</v>
          </cell>
          <cell r="G984"/>
          <cell r="H984"/>
          <cell r="I984">
            <v>0</v>
          </cell>
          <cell r="J984">
            <v>0</v>
          </cell>
          <cell r="K984">
            <v>0</v>
          </cell>
          <cell r="L984">
            <v>505017</v>
          </cell>
          <cell r="M984">
            <v>1</v>
          </cell>
          <cell r="N984">
            <v>0</v>
          </cell>
          <cell r="O984">
            <v>505017</v>
          </cell>
          <cell r="P984">
            <v>0</v>
          </cell>
          <cell r="Q984">
            <v>0</v>
          </cell>
          <cell r="R984">
            <v>0</v>
          </cell>
          <cell r="S984">
            <v>0</v>
          </cell>
        </row>
        <row r="985">
          <cell r="A985">
            <v>505019</v>
          </cell>
          <cell r="B985" t="str">
            <v>Prov doubtful VAT reco-SEZ P&amp;L</v>
          </cell>
          <cell r="C985"/>
          <cell r="D985"/>
          <cell r="E985"/>
          <cell r="F985">
            <v>0</v>
          </cell>
          <cell r="G985"/>
          <cell r="H985"/>
          <cell r="I985">
            <v>0</v>
          </cell>
          <cell r="J985">
            <v>0</v>
          </cell>
          <cell r="K985">
            <v>0</v>
          </cell>
          <cell r="L985">
            <v>505019</v>
          </cell>
          <cell r="M985">
            <v>1</v>
          </cell>
          <cell r="N985">
            <v>0</v>
          </cell>
          <cell r="O985">
            <v>505019</v>
          </cell>
          <cell r="P985">
            <v>0</v>
          </cell>
          <cell r="Q985">
            <v>0</v>
          </cell>
          <cell r="R985">
            <v>0</v>
          </cell>
          <cell r="S985">
            <v>0</v>
          </cell>
        </row>
        <row r="986">
          <cell r="A986">
            <v>505020</v>
          </cell>
          <cell r="B986" t="str">
            <v>Fees - Other</v>
          </cell>
          <cell r="C986"/>
          <cell r="D986"/>
          <cell r="E986"/>
          <cell r="F986">
            <v>0</v>
          </cell>
          <cell r="G986"/>
          <cell r="H986"/>
          <cell r="I986">
            <v>0</v>
          </cell>
          <cell r="J986">
            <v>0</v>
          </cell>
          <cell r="K986">
            <v>0</v>
          </cell>
          <cell r="L986">
            <v>505020</v>
          </cell>
          <cell r="M986">
            <v>1</v>
          </cell>
          <cell r="N986">
            <v>0</v>
          </cell>
          <cell r="O986">
            <v>505020</v>
          </cell>
          <cell r="P986">
            <v>0</v>
          </cell>
          <cell r="Q986">
            <v>0</v>
          </cell>
          <cell r="R986">
            <v>0</v>
          </cell>
          <cell r="S986">
            <v>0</v>
          </cell>
        </row>
        <row r="987">
          <cell r="A987">
            <v>505025</v>
          </cell>
          <cell r="B987" t="str">
            <v>Fees-Professional / Accounting</v>
          </cell>
          <cell r="C987"/>
          <cell r="D987"/>
          <cell r="E987"/>
          <cell r="F987">
            <v>0</v>
          </cell>
          <cell r="G987"/>
          <cell r="H987"/>
          <cell r="I987">
            <v>0</v>
          </cell>
          <cell r="J987">
            <v>0</v>
          </cell>
          <cell r="K987">
            <v>0</v>
          </cell>
          <cell r="L987">
            <v>505025</v>
          </cell>
          <cell r="M987">
            <v>1</v>
          </cell>
          <cell r="N987">
            <v>0</v>
          </cell>
          <cell r="O987">
            <v>505025</v>
          </cell>
          <cell r="P987">
            <v>991621.25</v>
          </cell>
          <cell r="Q987">
            <v>-991621.25</v>
          </cell>
          <cell r="R987">
            <v>0</v>
          </cell>
          <cell r="S987">
            <v>0</v>
          </cell>
        </row>
        <row r="988">
          <cell r="A988">
            <v>505026</v>
          </cell>
          <cell r="B988" t="str">
            <v>Audit Fees-Statutory Audit</v>
          </cell>
          <cell r="C988"/>
          <cell r="D988"/>
          <cell r="E988"/>
          <cell r="F988">
            <v>0</v>
          </cell>
          <cell r="G988"/>
          <cell r="H988"/>
          <cell r="I988">
            <v>0</v>
          </cell>
          <cell r="J988">
            <v>0</v>
          </cell>
          <cell r="K988">
            <v>0</v>
          </cell>
          <cell r="L988">
            <v>505026</v>
          </cell>
          <cell r="M988">
            <v>1</v>
          </cell>
          <cell r="N988">
            <v>0</v>
          </cell>
          <cell r="O988">
            <v>505026</v>
          </cell>
          <cell r="P988">
            <v>1070729</v>
          </cell>
          <cell r="Q988">
            <v>-1070729</v>
          </cell>
          <cell r="R988">
            <v>0</v>
          </cell>
          <cell r="S988">
            <v>0</v>
          </cell>
        </row>
        <row r="989">
          <cell r="A989">
            <v>505027</v>
          </cell>
          <cell r="B989" t="str">
            <v>Audit Fees-Tax Audit</v>
          </cell>
          <cell r="C989"/>
          <cell r="D989"/>
          <cell r="E989"/>
          <cell r="F989">
            <v>0</v>
          </cell>
          <cell r="G989"/>
          <cell r="H989"/>
          <cell r="I989">
            <v>0</v>
          </cell>
          <cell r="J989">
            <v>0</v>
          </cell>
          <cell r="K989">
            <v>0</v>
          </cell>
          <cell r="L989">
            <v>505027</v>
          </cell>
          <cell r="M989">
            <v>1</v>
          </cell>
          <cell r="N989">
            <v>0</v>
          </cell>
          <cell r="O989">
            <v>505027</v>
          </cell>
          <cell r="P989">
            <v>0</v>
          </cell>
          <cell r="Q989">
            <v>0</v>
          </cell>
          <cell r="R989">
            <v>0</v>
          </cell>
          <cell r="S989">
            <v>0</v>
          </cell>
        </row>
        <row r="990">
          <cell r="A990">
            <v>505028</v>
          </cell>
          <cell r="B990" t="str">
            <v>Audit Fees-Internal Audit</v>
          </cell>
          <cell r="C990"/>
          <cell r="D990"/>
          <cell r="E990"/>
          <cell r="F990">
            <v>0</v>
          </cell>
          <cell r="G990"/>
          <cell r="H990"/>
          <cell r="I990">
            <v>0</v>
          </cell>
          <cell r="J990">
            <v>0</v>
          </cell>
          <cell r="K990">
            <v>0</v>
          </cell>
          <cell r="L990">
            <v>505028</v>
          </cell>
          <cell r="M990">
            <v>1</v>
          </cell>
          <cell r="N990">
            <v>0</v>
          </cell>
          <cell r="O990">
            <v>505028</v>
          </cell>
          <cell r="P990">
            <v>0</v>
          </cell>
          <cell r="Q990">
            <v>0</v>
          </cell>
          <cell r="R990">
            <v>0</v>
          </cell>
          <cell r="S990">
            <v>0</v>
          </cell>
        </row>
        <row r="991">
          <cell r="A991">
            <v>505029</v>
          </cell>
          <cell r="B991" t="str">
            <v>Audit Fees-Cerfitication</v>
          </cell>
          <cell r="C991"/>
          <cell r="D991"/>
          <cell r="E991"/>
          <cell r="F991">
            <v>0</v>
          </cell>
          <cell r="G991"/>
          <cell r="H991"/>
          <cell r="I991">
            <v>0</v>
          </cell>
          <cell r="J991">
            <v>0</v>
          </cell>
          <cell r="K991">
            <v>0</v>
          </cell>
          <cell r="L991">
            <v>505029</v>
          </cell>
          <cell r="M991">
            <v>1</v>
          </cell>
          <cell r="N991">
            <v>0</v>
          </cell>
          <cell r="O991">
            <v>505029</v>
          </cell>
          <cell r="P991">
            <v>0</v>
          </cell>
          <cell r="Q991">
            <v>0</v>
          </cell>
          <cell r="R991">
            <v>0</v>
          </cell>
          <cell r="S991">
            <v>0</v>
          </cell>
        </row>
        <row r="992">
          <cell r="A992">
            <v>505030</v>
          </cell>
          <cell r="B992" t="str">
            <v>Fees - 401K</v>
          </cell>
          <cell r="C992"/>
          <cell r="D992"/>
          <cell r="E992"/>
          <cell r="F992">
            <v>0</v>
          </cell>
          <cell r="G992"/>
          <cell r="H992"/>
          <cell r="I992">
            <v>0</v>
          </cell>
          <cell r="J992">
            <v>0</v>
          </cell>
          <cell r="K992">
            <v>0</v>
          </cell>
          <cell r="L992">
            <v>505030</v>
          </cell>
          <cell r="M992">
            <v>1</v>
          </cell>
          <cell r="N992">
            <v>0</v>
          </cell>
          <cell r="O992">
            <v>505030</v>
          </cell>
          <cell r="P992">
            <v>0</v>
          </cell>
          <cell r="Q992">
            <v>0</v>
          </cell>
          <cell r="R992">
            <v>0</v>
          </cell>
          <cell r="S992">
            <v>0</v>
          </cell>
        </row>
        <row r="993">
          <cell r="A993">
            <v>505031</v>
          </cell>
          <cell r="B993" t="str">
            <v>Audit Fees-Out of pocket</v>
          </cell>
          <cell r="C993"/>
          <cell r="D993"/>
          <cell r="E993"/>
          <cell r="F993">
            <v>0</v>
          </cell>
          <cell r="G993"/>
          <cell r="H993"/>
          <cell r="I993">
            <v>0</v>
          </cell>
          <cell r="J993">
            <v>0</v>
          </cell>
          <cell r="K993">
            <v>0</v>
          </cell>
          <cell r="L993">
            <v>505031</v>
          </cell>
          <cell r="M993">
            <v>1</v>
          </cell>
          <cell r="N993">
            <v>0</v>
          </cell>
          <cell r="O993">
            <v>505031</v>
          </cell>
          <cell r="P993">
            <v>113731</v>
          </cell>
          <cell r="Q993">
            <v>-113731</v>
          </cell>
          <cell r="R993">
            <v>0</v>
          </cell>
          <cell r="S993">
            <v>0</v>
          </cell>
        </row>
        <row r="994">
          <cell r="A994">
            <v>505032</v>
          </cell>
          <cell r="B994" t="str">
            <v>Fees - Auditors</v>
          </cell>
          <cell r="C994"/>
          <cell r="D994"/>
          <cell r="E994"/>
          <cell r="F994">
            <v>0</v>
          </cell>
          <cell r="G994"/>
          <cell r="H994"/>
          <cell r="I994">
            <v>0</v>
          </cell>
          <cell r="J994">
            <v>0</v>
          </cell>
          <cell r="K994">
            <v>0</v>
          </cell>
          <cell r="L994">
            <v>505032</v>
          </cell>
          <cell r="M994">
            <v>1</v>
          </cell>
          <cell r="N994">
            <v>0</v>
          </cell>
          <cell r="O994">
            <v>505032</v>
          </cell>
          <cell r="P994"/>
          <cell r="Q994"/>
          <cell r="R994">
            <v>0</v>
          </cell>
          <cell r="S994">
            <v>0</v>
          </cell>
        </row>
        <row r="995">
          <cell r="A995">
            <v>505035</v>
          </cell>
          <cell r="B995" t="str">
            <v>Interest Expense</v>
          </cell>
          <cell r="C995"/>
          <cell r="D995"/>
          <cell r="E995"/>
          <cell r="F995">
            <v>0</v>
          </cell>
          <cell r="G995"/>
          <cell r="H995"/>
          <cell r="I995">
            <v>0</v>
          </cell>
          <cell r="J995">
            <v>0</v>
          </cell>
          <cell r="K995">
            <v>0</v>
          </cell>
          <cell r="L995">
            <v>505035</v>
          </cell>
          <cell r="M995">
            <v>1</v>
          </cell>
          <cell r="N995">
            <v>0</v>
          </cell>
          <cell r="O995">
            <v>505035</v>
          </cell>
          <cell r="P995">
            <v>5631</v>
          </cell>
          <cell r="Q995">
            <v>-5631</v>
          </cell>
          <cell r="R995">
            <v>0</v>
          </cell>
          <cell r="S995">
            <v>0</v>
          </cell>
        </row>
        <row r="996">
          <cell r="A996">
            <v>505040</v>
          </cell>
          <cell r="B996" t="str">
            <v>Capitalized Development Costs</v>
          </cell>
          <cell r="C996"/>
          <cell r="D996"/>
          <cell r="E996"/>
          <cell r="F996">
            <v>0</v>
          </cell>
          <cell r="G996"/>
          <cell r="H996"/>
          <cell r="I996">
            <v>0</v>
          </cell>
          <cell r="J996">
            <v>0</v>
          </cell>
          <cell r="K996">
            <v>0</v>
          </cell>
          <cell r="L996">
            <v>505040</v>
          </cell>
          <cell r="M996">
            <v>1</v>
          </cell>
          <cell r="N996">
            <v>0</v>
          </cell>
          <cell r="O996">
            <v>505040</v>
          </cell>
          <cell r="P996">
            <v>0</v>
          </cell>
          <cell r="Q996">
            <v>0</v>
          </cell>
          <cell r="R996">
            <v>0</v>
          </cell>
          <cell r="S996">
            <v>0</v>
          </cell>
        </row>
        <row r="997">
          <cell r="A997">
            <v>505043</v>
          </cell>
          <cell r="B997" t="str">
            <v>CSR Expenses</v>
          </cell>
          <cell r="C997"/>
          <cell r="D997"/>
          <cell r="E997"/>
          <cell r="F997">
            <v>0</v>
          </cell>
          <cell r="G997"/>
          <cell r="H997"/>
          <cell r="I997">
            <v>0</v>
          </cell>
          <cell r="J997">
            <v>0</v>
          </cell>
          <cell r="K997">
            <v>0</v>
          </cell>
          <cell r="L997">
            <v>505043</v>
          </cell>
          <cell r="M997">
            <v>1</v>
          </cell>
          <cell r="N997">
            <v>0</v>
          </cell>
          <cell r="O997">
            <v>505043</v>
          </cell>
          <cell r="P997">
            <v>0</v>
          </cell>
          <cell r="Q997">
            <v>0</v>
          </cell>
          <cell r="R997">
            <v>0</v>
          </cell>
          <cell r="S997">
            <v>0</v>
          </cell>
        </row>
        <row r="998">
          <cell r="A998">
            <v>505053</v>
          </cell>
          <cell r="B998" t="str">
            <v>Global Crg. - Support function</v>
          </cell>
          <cell r="C998"/>
          <cell r="D998"/>
          <cell r="E998"/>
          <cell r="F998">
            <v>0</v>
          </cell>
          <cell r="G998"/>
          <cell r="H998"/>
          <cell r="I998">
            <v>0</v>
          </cell>
          <cell r="J998">
            <v>0</v>
          </cell>
          <cell r="K998">
            <v>0</v>
          </cell>
          <cell r="L998">
            <v>505053</v>
          </cell>
          <cell r="M998">
            <v>1</v>
          </cell>
          <cell r="N998">
            <v>0</v>
          </cell>
          <cell r="O998">
            <v>505053</v>
          </cell>
          <cell r="P998"/>
          <cell r="Q998"/>
          <cell r="R998">
            <v>0</v>
          </cell>
          <cell r="S998">
            <v>0</v>
          </cell>
        </row>
        <row r="999">
          <cell r="A999">
            <v>601010</v>
          </cell>
          <cell r="B999" t="str">
            <v>Interest Income Taxable</v>
          </cell>
          <cell r="C999"/>
          <cell r="D999"/>
          <cell r="E999"/>
          <cell r="F999">
            <v>0</v>
          </cell>
          <cell r="G999"/>
          <cell r="H999"/>
          <cell r="I999">
            <v>0</v>
          </cell>
          <cell r="J999">
            <v>0</v>
          </cell>
          <cell r="K999">
            <v>0</v>
          </cell>
          <cell r="L999">
            <v>601010</v>
          </cell>
          <cell r="M999">
            <v>1</v>
          </cell>
          <cell r="N999">
            <v>0</v>
          </cell>
          <cell r="O999">
            <v>601010</v>
          </cell>
          <cell r="P999">
            <v>-26502680.469999999</v>
          </cell>
          <cell r="Q999">
            <v>26502680.469999999</v>
          </cell>
          <cell r="R999">
            <v>0</v>
          </cell>
          <cell r="S999">
            <v>0</v>
          </cell>
        </row>
        <row r="1000">
          <cell r="A1000">
            <v>601011</v>
          </cell>
          <cell r="B1000" t="str">
            <v>Interest Income Non Taxable</v>
          </cell>
          <cell r="C1000"/>
          <cell r="D1000"/>
          <cell r="E1000"/>
          <cell r="F1000">
            <v>0</v>
          </cell>
          <cell r="G1000"/>
          <cell r="H1000"/>
          <cell r="I1000">
            <v>0</v>
          </cell>
          <cell r="J1000">
            <v>0</v>
          </cell>
          <cell r="K1000">
            <v>0</v>
          </cell>
          <cell r="L1000">
            <v>601011</v>
          </cell>
          <cell r="M1000">
            <v>1</v>
          </cell>
          <cell r="N1000">
            <v>0</v>
          </cell>
          <cell r="O1000">
            <v>601011</v>
          </cell>
          <cell r="P1000">
            <v>-1653813.6396160005</v>
          </cell>
          <cell r="Q1000">
            <v>1653813.6396160005</v>
          </cell>
          <cell r="R1000">
            <v>0</v>
          </cell>
          <cell r="S1000">
            <v>0</v>
          </cell>
        </row>
        <row r="1001">
          <cell r="A1001">
            <v>601012</v>
          </cell>
          <cell r="B1001" t="str">
            <v>Dividend Income</v>
          </cell>
          <cell r="C1001"/>
          <cell r="D1001"/>
          <cell r="E1001"/>
          <cell r="F1001">
            <v>0</v>
          </cell>
          <cell r="G1001"/>
          <cell r="H1001"/>
          <cell r="I1001">
            <v>0</v>
          </cell>
          <cell r="J1001">
            <v>0</v>
          </cell>
          <cell r="K1001">
            <v>0</v>
          </cell>
          <cell r="L1001">
            <v>601012</v>
          </cell>
          <cell r="M1001">
            <v>1</v>
          </cell>
          <cell r="N1001">
            <v>0</v>
          </cell>
          <cell r="O1001">
            <v>601012</v>
          </cell>
          <cell r="P1001">
            <v>0</v>
          </cell>
          <cell r="Q1001">
            <v>0</v>
          </cell>
          <cell r="R1001">
            <v>0</v>
          </cell>
          <cell r="S1001">
            <v>0</v>
          </cell>
        </row>
        <row r="1002">
          <cell r="A1002">
            <v>601013</v>
          </cell>
          <cell r="B1002" t="str">
            <v>Profit on redemption of mutual fund</v>
          </cell>
          <cell r="C1002"/>
          <cell r="D1002"/>
          <cell r="E1002"/>
          <cell r="F1002">
            <v>0</v>
          </cell>
          <cell r="G1002"/>
          <cell r="H1002"/>
          <cell r="I1002">
            <v>0</v>
          </cell>
          <cell r="J1002">
            <v>0</v>
          </cell>
          <cell r="K1002">
            <v>0</v>
          </cell>
          <cell r="L1002">
            <v>601013</v>
          </cell>
          <cell r="M1002">
            <v>1</v>
          </cell>
          <cell r="N1002">
            <v>0</v>
          </cell>
          <cell r="O1002">
            <v>601013</v>
          </cell>
          <cell r="P1002">
            <v>-3161370.9254946047</v>
          </cell>
          <cell r="Q1002">
            <v>3161370.9254946047</v>
          </cell>
          <cell r="R1002">
            <v>0</v>
          </cell>
          <cell r="S1002">
            <v>0</v>
          </cell>
        </row>
        <row r="1003">
          <cell r="A1003">
            <v>601023</v>
          </cell>
          <cell r="B1003" t="str">
            <v>Interest Exp on Lease Liab</v>
          </cell>
          <cell r="C1003"/>
          <cell r="D1003"/>
          <cell r="E1003"/>
          <cell r="F1003">
            <v>0</v>
          </cell>
          <cell r="G1003"/>
          <cell r="H1003"/>
          <cell r="I1003">
            <v>0</v>
          </cell>
          <cell r="J1003">
            <v>0</v>
          </cell>
          <cell r="K1003">
            <v>0</v>
          </cell>
          <cell r="L1003">
            <v>601023</v>
          </cell>
          <cell r="M1003">
            <v>1</v>
          </cell>
          <cell r="N1003">
            <v>0</v>
          </cell>
          <cell r="O1003">
            <v>601023</v>
          </cell>
          <cell r="P1003"/>
          <cell r="Q1003"/>
          <cell r="R1003">
            <v>0</v>
          </cell>
          <cell r="S1003">
            <v>0</v>
          </cell>
        </row>
        <row r="1004">
          <cell r="A1004">
            <v>601032</v>
          </cell>
          <cell r="B1004" t="str">
            <v>Interest income IC Dep (IndAS)</v>
          </cell>
          <cell r="C1004"/>
          <cell r="D1004"/>
          <cell r="E1004"/>
          <cell r="F1004">
            <v>0</v>
          </cell>
          <cell r="G1004"/>
          <cell r="H1004"/>
          <cell r="I1004">
            <v>0</v>
          </cell>
          <cell r="J1004">
            <v>0</v>
          </cell>
          <cell r="K1004">
            <v>0</v>
          </cell>
          <cell r="L1004">
            <v>601032</v>
          </cell>
          <cell r="M1004">
            <v>1</v>
          </cell>
          <cell r="N1004">
            <v>0</v>
          </cell>
          <cell r="O1004">
            <v>601032</v>
          </cell>
          <cell r="P1004"/>
          <cell r="Q1004"/>
          <cell r="R1004">
            <v>0</v>
          </cell>
          <cell r="S1004">
            <v>0</v>
          </cell>
        </row>
        <row r="1005">
          <cell r="A1005">
            <v>601033</v>
          </cell>
          <cell r="B1005" t="str">
            <v>MF unrealised gain (IndAS)</v>
          </cell>
          <cell r="C1005"/>
          <cell r="D1005"/>
          <cell r="E1005"/>
          <cell r="F1005">
            <v>0</v>
          </cell>
          <cell r="G1005"/>
          <cell r="H1005"/>
          <cell r="I1005">
            <v>0</v>
          </cell>
          <cell r="J1005">
            <v>0</v>
          </cell>
          <cell r="K1005">
            <v>0</v>
          </cell>
          <cell r="L1005">
            <v>601033</v>
          </cell>
          <cell r="M1005">
            <v>1</v>
          </cell>
          <cell r="N1005">
            <v>0</v>
          </cell>
          <cell r="O1005">
            <v>601033</v>
          </cell>
          <cell r="P1005"/>
          <cell r="Q1005"/>
          <cell r="R1005">
            <v>0</v>
          </cell>
          <cell r="S1005">
            <v>0</v>
          </cell>
        </row>
        <row r="1006">
          <cell r="A1006">
            <v>601014</v>
          </cell>
          <cell r="B1006" t="str">
            <v>Miscellaneous Income</v>
          </cell>
          <cell r="C1006"/>
          <cell r="D1006"/>
          <cell r="E1006"/>
          <cell r="F1006">
            <v>0</v>
          </cell>
          <cell r="G1006"/>
          <cell r="H1006"/>
          <cell r="I1006">
            <v>0</v>
          </cell>
          <cell r="J1006">
            <v>0</v>
          </cell>
          <cell r="K1006">
            <v>0</v>
          </cell>
          <cell r="L1006">
            <v>601014</v>
          </cell>
          <cell r="M1006">
            <v>1</v>
          </cell>
          <cell r="N1006">
            <v>0</v>
          </cell>
          <cell r="O1006">
            <v>601014</v>
          </cell>
          <cell r="P1006">
            <v>-261</v>
          </cell>
          <cell r="Q1006">
            <v>261</v>
          </cell>
          <cell r="R1006">
            <v>0</v>
          </cell>
          <cell r="S1006">
            <v>0</v>
          </cell>
        </row>
        <row r="1007">
          <cell r="A1007">
            <v>601015</v>
          </cell>
          <cell r="B1007" t="str">
            <v>Dividend - Interco</v>
          </cell>
          <cell r="C1007"/>
          <cell r="D1007"/>
          <cell r="E1007"/>
          <cell r="F1007">
            <v>0</v>
          </cell>
          <cell r="G1007"/>
          <cell r="H1007"/>
          <cell r="I1007">
            <v>0</v>
          </cell>
          <cell r="J1007">
            <v>0</v>
          </cell>
          <cell r="K1007">
            <v>0</v>
          </cell>
          <cell r="L1007">
            <v>601015</v>
          </cell>
          <cell r="M1007">
            <v>1</v>
          </cell>
          <cell r="N1007">
            <v>0</v>
          </cell>
          <cell r="O1007">
            <v>601015</v>
          </cell>
          <cell r="P1007">
            <v>0</v>
          </cell>
          <cell r="Q1007">
            <v>0</v>
          </cell>
          <cell r="R1007">
            <v>0</v>
          </cell>
          <cell r="S1007">
            <v>0</v>
          </cell>
        </row>
        <row r="1008">
          <cell r="A1008">
            <v>601016</v>
          </cell>
          <cell r="B1008" t="str">
            <v>Inter-Company Revenue</v>
          </cell>
          <cell r="C1008"/>
          <cell r="D1008"/>
          <cell r="E1008"/>
          <cell r="F1008">
            <v>0</v>
          </cell>
          <cell r="G1008"/>
          <cell r="H1008"/>
          <cell r="I1008">
            <v>0</v>
          </cell>
          <cell r="J1008">
            <v>0</v>
          </cell>
          <cell r="K1008">
            <v>0</v>
          </cell>
          <cell r="L1008">
            <v>601016</v>
          </cell>
          <cell r="M1008">
            <v>1</v>
          </cell>
          <cell r="N1008">
            <v>0</v>
          </cell>
          <cell r="O1008">
            <v>601016</v>
          </cell>
          <cell r="P1008">
            <v>0</v>
          </cell>
          <cell r="Q1008">
            <v>0</v>
          </cell>
          <cell r="R1008">
            <v>0</v>
          </cell>
          <cell r="S1008">
            <v>0</v>
          </cell>
        </row>
        <row r="1009">
          <cell r="A1009">
            <v>601017</v>
          </cell>
          <cell r="B1009" t="str">
            <v>Forex Interest Income Taxable</v>
          </cell>
          <cell r="C1009"/>
          <cell r="D1009"/>
          <cell r="E1009"/>
          <cell r="F1009">
            <v>0</v>
          </cell>
          <cell r="G1009"/>
          <cell r="H1009"/>
          <cell r="I1009">
            <v>0</v>
          </cell>
          <cell r="J1009">
            <v>0</v>
          </cell>
          <cell r="K1009">
            <v>0</v>
          </cell>
          <cell r="L1009">
            <v>601017</v>
          </cell>
          <cell r="M1009">
            <v>1</v>
          </cell>
          <cell r="N1009">
            <v>0</v>
          </cell>
          <cell r="O1009">
            <v>601017</v>
          </cell>
          <cell r="P1009">
            <v>-1777079.08</v>
          </cell>
          <cell r="Q1009">
            <v>1777079.08</v>
          </cell>
          <cell r="R1009">
            <v>0</v>
          </cell>
          <cell r="S1009">
            <v>0</v>
          </cell>
        </row>
        <row r="1010">
          <cell r="A1010">
            <v>601018</v>
          </cell>
          <cell r="B1010" t="str">
            <v>Employee - Interest on Loan</v>
          </cell>
          <cell r="C1010"/>
          <cell r="D1010"/>
          <cell r="E1010"/>
          <cell r="F1010">
            <v>0</v>
          </cell>
          <cell r="G1010"/>
          <cell r="H1010"/>
          <cell r="I1010">
            <v>0</v>
          </cell>
          <cell r="J1010">
            <v>0</v>
          </cell>
          <cell r="K1010">
            <v>0</v>
          </cell>
          <cell r="L1010">
            <v>601018</v>
          </cell>
          <cell r="M1010">
            <v>1</v>
          </cell>
          <cell r="N1010">
            <v>0</v>
          </cell>
          <cell r="O1010">
            <v>601018</v>
          </cell>
          <cell r="P1010">
            <v>-567</v>
          </cell>
          <cell r="Q1010">
            <v>567</v>
          </cell>
          <cell r="R1010">
            <v>0</v>
          </cell>
          <cell r="S1010">
            <v>0</v>
          </cell>
        </row>
        <row r="1011">
          <cell r="A1011">
            <v>601019</v>
          </cell>
          <cell r="B1011" t="str">
            <v>Profit on Sale of Assets</v>
          </cell>
          <cell r="C1011"/>
          <cell r="D1011"/>
          <cell r="E1011"/>
          <cell r="F1011">
            <v>0</v>
          </cell>
          <cell r="G1011"/>
          <cell r="H1011"/>
          <cell r="I1011">
            <v>0</v>
          </cell>
          <cell r="J1011">
            <v>0</v>
          </cell>
          <cell r="K1011">
            <v>0</v>
          </cell>
          <cell r="L1011">
            <v>601019</v>
          </cell>
          <cell r="M1011">
            <v>1</v>
          </cell>
          <cell r="N1011">
            <v>0</v>
          </cell>
          <cell r="O1011">
            <v>601019</v>
          </cell>
          <cell r="P1011">
            <v>0</v>
          </cell>
          <cell r="Q1011">
            <v>0</v>
          </cell>
          <cell r="R1011">
            <v>0</v>
          </cell>
          <cell r="S1011">
            <v>0</v>
          </cell>
        </row>
        <row r="1012">
          <cell r="A1012">
            <v>601020</v>
          </cell>
          <cell r="B1012" t="str">
            <v>Other Income - Non Taxable</v>
          </cell>
          <cell r="C1012"/>
          <cell r="D1012"/>
          <cell r="E1012"/>
          <cell r="F1012">
            <v>0</v>
          </cell>
          <cell r="G1012"/>
          <cell r="H1012"/>
          <cell r="I1012">
            <v>0</v>
          </cell>
          <cell r="J1012">
            <v>0</v>
          </cell>
          <cell r="K1012">
            <v>0</v>
          </cell>
          <cell r="L1012">
            <v>601020</v>
          </cell>
          <cell r="M1012">
            <v>1</v>
          </cell>
          <cell r="N1012">
            <v>0</v>
          </cell>
          <cell r="O1012">
            <v>601020</v>
          </cell>
          <cell r="P1012">
            <v>0</v>
          </cell>
          <cell r="Q1012">
            <v>0</v>
          </cell>
          <cell r="R1012">
            <v>0</v>
          </cell>
          <cell r="S1012">
            <v>0</v>
          </cell>
        </row>
        <row r="1013">
          <cell r="A1013">
            <v>601090</v>
          </cell>
          <cell r="B1013" t="str">
            <v>Interco Rent - Income</v>
          </cell>
          <cell r="C1013"/>
          <cell r="D1013"/>
          <cell r="E1013"/>
          <cell r="F1013">
            <v>0</v>
          </cell>
          <cell r="G1013"/>
          <cell r="H1013"/>
          <cell r="I1013">
            <v>0</v>
          </cell>
          <cell r="J1013">
            <v>0</v>
          </cell>
          <cell r="K1013">
            <v>0</v>
          </cell>
          <cell r="L1013">
            <v>601090</v>
          </cell>
          <cell r="M1013">
            <v>1</v>
          </cell>
          <cell r="N1013">
            <v>0</v>
          </cell>
          <cell r="O1013">
            <v>601090</v>
          </cell>
          <cell r="P1013">
            <v>0</v>
          </cell>
          <cell r="Q1013">
            <v>0</v>
          </cell>
          <cell r="R1013">
            <v>0</v>
          </cell>
          <cell r="S1013">
            <v>0</v>
          </cell>
        </row>
        <row r="1014">
          <cell r="A1014">
            <v>800010</v>
          </cell>
          <cell r="B1014" t="str">
            <v>State Income Taxes</v>
          </cell>
          <cell r="C1014"/>
          <cell r="D1014"/>
          <cell r="E1014"/>
          <cell r="F1014">
            <v>0</v>
          </cell>
          <cell r="G1014"/>
          <cell r="H1014"/>
          <cell r="I1014">
            <v>0</v>
          </cell>
          <cell r="J1014">
            <v>0</v>
          </cell>
          <cell r="K1014">
            <v>0</v>
          </cell>
          <cell r="L1014">
            <v>800010</v>
          </cell>
          <cell r="M1014">
            <v>1</v>
          </cell>
          <cell r="N1014">
            <v>0</v>
          </cell>
          <cell r="O1014">
            <v>800010</v>
          </cell>
          <cell r="P1014">
            <v>-862969.24842233222</v>
          </cell>
          <cell r="Q1014">
            <v>862969.24842233222</v>
          </cell>
          <cell r="R1014">
            <v>0</v>
          </cell>
          <cell r="S1014">
            <v>0</v>
          </cell>
        </row>
        <row r="1015">
          <cell r="A1015">
            <v>800011</v>
          </cell>
          <cell r="B1015" t="str">
            <v>Canada - State Income Tax</v>
          </cell>
          <cell r="C1015"/>
          <cell r="D1015"/>
          <cell r="E1015"/>
          <cell r="F1015">
            <v>0</v>
          </cell>
          <cell r="G1015"/>
          <cell r="H1015"/>
          <cell r="I1015">
            <v>0</v>
          </cell>
          <cell r="J1015">
            <v>0</v>
          </cell>
          <cell r="K1015">
            <v>0</v>
          </cell>
          <cell r="L1015">
            <v>800011</v>
          </cell>
          <cell r="M1015">
            <v>1</v>
          </cell>
          <cell r="N1015">
            <v>0</v>
          </cell>
          <cell r="O1015">
            <v>800011</v>
          </cell>
          <cell r="P1015">
            <v>0</v>
          </cell>
          <cell r="Q1015">
            <v>0</v>
          </cell>
          <cell r="R1015">
            <v>0</v>
          </cell>
          <cell r="S1015">
            <v>0</v>
          </cell>
        </row>
        <row r="1016">
          <cell r="A1016">
            <v>800015</v>
          </cell>
          <cell r="B1016" t="str">
            <v>Federal Income Taxes</v>
          </cell>
          <cell r="C1016"/>
          <cell r="D1016"/>
          <cell r="E1016"/>
          <cell r="F1016">
            <v>0</v>
          </cell>
          <cell r="G1016"/>
          <cell r="H1016"/>
          <cell r="I1016">
            <v>0</v>
          </cell>
          <cell r="J1016">
            <v>0</v>
          </cell>
          <cell r="K1016">
            <v>0</v>
          </cell>
          <cell r="L1016">
            <v>800015</v>
          </cell>
          <cell r="M1016">
            <v>1</v>
          </cell>
          <cell r="N1016">
            <v>0</v>
          </cell>
          <cell r="O1016">
            <v>800015</v>
          </cell>
          <cell r="P1016">
            <v>-2228210.7141514365</v>
          </cell>
          <cell r="Q1016">
            <v>2228210.7141514365</v>
          </cell>
          <cell r="R1016">
            <v>0</v>
          </cell>
          <cell r="S1016">
            <v>0</v>
          </cell>
        </row>
        <row r="1017">
          <cell r="A1017">
            <v>800016</v>
          </cell>
          <cell r="B1017" t="str">
            <v>Canada - Federal Income Tax</v>
          </cell>
          <cell r="C1017"/>
          <cell r="D1017"/>
          <cell r="E1017"/>
          <cell r="F1017">
            <v>0</v>
          </cell>
          <cell r="G1017"/>
          <cell r="H1017"/>
          <cell r="I1017">
            <v>0</v>
          </cell>
          <cell r="J1017">
            <v>0</v>
          </cell>
          <cell r="K1017">
            <v>0</v>
          </cell>
          <cell r="L1017">
            <v>800016</v>
          </cell>
          <cell r="M1017">
            <v>1</v>
          </cell>
          <cell r="N1017">
            <v>0</v>
          </cell>
          <cell r="O1017">
            <v>800016</v>
          </cell>
          <cell r="P1017">
            <v>0</v>
          </cell>
          <cell r="Q1017">
            <v>0</v>
          </cell>
          <cell r="R1017">
            <v>0</v>
          </cell>
          <cell r="S1017">
            <v>0</v>
          </cell>
        </row>
        <row r="1018">
          <cell r="A1018">
            <v>800020</v>
          </cell>
          <cell r="B1018" t="str">
            <v>Foreign Earned Income Tax Prov</v>
          </cell>
          <cell r="C1018"/>
          <cell r="D1018"/>
          <cell r="E1018"/>
          <cell r="F1018">
            <v>0</v>
          </cell>
          <cell r="G1018"/>
          <cell r="H1018"/>
          <cell r="I1018">
            <v>0</v>
          </cell>
          <cell r="J1018">
            <v>0</v>
          </cell>
          <cell r="K1018">
            <v>0</v>
          </cell>
          <cell r="L1018">
            <v>800020</v>
          </cell>
          <cell r="M1018">
            <v>1</v>
          </cell>
          <cell r="N1018">
            <v>0</v>
          </cell>
          <cell r="O1018">
            <v>800020</v>
          </cell>
          <cell r="P1018">
            <v>-836273.33999999962</v>
          </cell>
          <cell r="Q1018">
            <v>836273.33999999962</v>
          </cell>
          <cell r="R1018">
            <v>0</v>
          </cell>
          <cell r="S1018">
            <v>0</v>
          </cell>
        </row>
        <row r="1019">
          <cell r="A1019">
            <v>800021</v>
          </cell>
          <cell r="B1019" t="str">
            <v>Indian Income taxes</v>
          </cell>
          <cell r="C1019"/>
          <cell r="D1019"/>
          <cell r="E1019"/>
          <cell r="F1019">
            <v>0</v>
          </cell>
          <cell r="G1019"/>
          <cell r="H1019"/>
          <cell r="I1019">
            <v>0</v>
          </cell>
          <cell r="J1019">
            <v>0</v>
          </cell>
          <cell r="K1019">
            <v>0</v>
          </cell>
          <cell r="L1019">
            <v>800021</v>
          </cell>
          <cell r="M1019">
            <v>1</v>
          </cell>
          <cell r="N1019">
            <v>0</v>
          </cell>
          <cell r="O1019">
            <v>800021</v>
          </cell>
          <cell r="P1019">
            <v>91747329.942090482</v>
          </cell>
          <cell r="Q1019">
            <v>-91747329.942090482</v>
          </cell>
          <cell r="R1019">
            <v>0</v>
          </cell>
          <cell r="S1019">
            <v>0</v>
          </cell>
        </row>
        <row r="1020">
          <cell r="A1020">
            <v>800022</v>
          </cell>
          <cell r="B1020" t="str">
            <v>Deferred Income taxes</v>
          </cell>
          <cell r="C1020"/>
          <cell r="D1020"/>
          <cell r="E1020"/>
          <cell r="F1020">
            <v>0</v>
          </cell>
          <cell r="G1020"/>
          <cell r="H1020"/>
          <cell r="I1020">
            <v>0</v>
          </cell>
          <cell r="J1020">
            <v>0</v>
          </cell>
          <cell r="K1020">
            <v>0</v>
          </cell>
          <cell r="L1020">
            <v>800022</v>
          </cell>
          <cell r="M1020">
            <v>1</v>
          </cell>
          <cell r="N1020">
            <v>0</v>
          </cell>
          <cell r="O1020">
            <v>800022</v>
          </cell>
          <cell r="P1020">
            <v>-5782.6612410898088</v>
          </cell>
          <cell r="Q1020">
            <v>5782.6612410898088</v>
          </cell>
          <cell r="R1020">
            <v>0</v>
          </cell>
          <cell r="S1020">
            <v>0</v>
          </cell>
        </row>
        <row r="1021">
          <cell r="A1021">
            <v>800023</v>
          </cell>
          <cell r="B1021" t="str">
            <v>UK Corporation Tax</v>
          </cell>
          <cell r="C1021"/>
          <cell r="D1021"/>
          <cell r="E1021"/>
          <cell r="F1021">
            <v>0</v>
          </cell>
          <cell r="G1021"/>
          <cell r="H1021"/>
          <cell r="I1021">
            <v>0</v>
          </cell>
          <cell r="J1021">
            <v>0</v>
          </cell>
          <cell r="K1021">
            <v>0</v>
          </cell>
          <cell r="L1021">
            <v>800023</v>
          </cell>
          <cell r="M1021">
            <v>1</v>
          </cell>
          <cell r="N1021">
            <v>0</v>
          </cell>
          <cell r="O1021">
            <v>800023</v>
          </cell>
          <cell r="P1021">
            <v>0</v>
          </cell>
          <cell r="Q1021">
            <v>0</v>
          </cell>
          <cell r="R1021">
            <v>0</v>
          </cell>
          <cell r="S1021">
            <v>0</v>
          </cell>
        </row>
        <row r="1022">
          <cell r="A1022">
            <v>800024</v>
          </cell>
          <cell r="B1022" t="str">
            <v>City Corporate Income Tax</v>
          </cell>
          <cell r="C1022"/>
          <cell r="D1022"/>
          <cell r="E1022"/>
          <cell r="F1022">
            <v>0</v>
          </cell>
          <cell r="G1022"/>
          <cell r="H1022"/>
          <cell r="I1022">
            <v>0</v>
          </cell>
          <cell r="J1022">
            <v>0</v>
          </cell>
          <cell r="K1022">
            <v>0</v>
          </cell>
          <cell r="L1022">
            <v>800024</v>
          </cell>
          <cell r="M1022">
            <v>1</v>
          </cell>
          <cell r="N1022">
            <v>0</v>
          </cell>
          <cell r="O1022">
            <v>800024</v>
          </cell>
          <cell r="P1022">
            <v>0</v>
          </cell>
          <cell r="Q1022">
            <v>0</v>
          </cell>
          <cell r="R1022">
            <v>0</v>
          </cell>
          <cell r="S1022">
            <v>0</v>
          </cell>
        </row>
        <row r="1023">
          <cell r="A1023">
            <v>800029</v>
          </cell>
          <cell r="B1023" t="str">
            <v>Income Tax on Prop Dividend</v>
          </cell>
          <cell r="C1023"/>
          <cell r="D1023"/>
          <cell r="E1023"/>
          <cell r="F1023">
            <v>0</v>
          </cell>
          <cell r="G1023"/>
          <cell r="H1023"/>
          <cell r="I1023">
            <v>0</v>
          </cell>
          <cell r="J1023">
            <v>0</v>
          </cell>
          <cell r="K1023">
            <v>0</v>
          </cell>
          <cell r="L1023">
            <v>800029</v>
          </cell>
          <cell r="M1023">
            <v>1</v>
          </cell>
          <cell r="N1023">
            <v>0</v>
          </cell>
          <cell r="O1023">
            <v>800029</v>
          </cell>
          <cell r="P1023">
            <v>688</v>
          </cell>
          <cell r="Q1023">
            <v>-688</v>
          </cell>
          <cell r="R1023">
            <v>0</v>
          </cell>
          <cell r="S1023">
            <v>0</v>
          </cell>
        </row>
        <row r="1024">
          <cell r="A1024">
            <v>800030</v>
          </cell>
          <cell r="B1024" t="str">
            <v>Indian Fringe Benefit Tax</v>
          </cell>
          <cell r="C1024"/>
          <cell r="D1024"/>
          <cell r="E1024"/>
          <cell r="F1024">
            <v>0</v>
          </cell>
          <cell r="G1024"/>
          <cell r="H1024"/>
          <cell r="I1024">
            <v>0</v>
          </cell>
          <cell r="J1024">
            <v>0</v>
          </cell>
          <cell r="K1024">
            <v>0</v>
          </cell>
          <cell r="L1024">
            <v>800030</v>
          </cell>
          <cell r="M1024">
            <v>1</v>
          </cell>
          <cell r="N1024">
            <v>0</v>
          </cell>
          <cell r="O1024">
            <v>800030</v>
          </cell>
          <cell r="P1024">
            <v>0</v>
          </cell>
          <cell r="Q1024">
            <v>0</v>
          </cell>
          <cell r="R1024">
            <v>0</v>
          </cell>
          <cell r="S1024">
            <v>0</v>
          </cell>
        </row>
        <row r="1025">
          <cell r="A1025">
            <v>800033</v>
          </cell>
          <cell r="B1025" t="str">
            <v>Income Taxes - FIN 48</v>
          </cell>
          <cell r="C1025"/>
          <cell r="D1025"/>
          <cell r="E1025"/>
          <cell r="F1025">
            <v>0</v>
          </cell>
          <cell r="G1025"/>
          <cell r="H1025"/>
          <cell r="I1025">
            <v>0</v>
          </cell>
          <cell r="J1025">
            <v>0</v>
          </cell>
          <cell r="K1025">
            <v>0</v>
          </cell>
          <cell r="L1025" t="e">
            <v>#N/A</v>
          </cell>
          <cell r="M1025">
            <v>1</v>
          </cell>
          <cell r="N1025">
            <v>0</v>
          </cell>
          <cell r="O1025" t="e">
            <v>#N/A</v>
          </cell>
          <cell r="P1025">
            <v>0</v>
          </cell>
          <cell r="Q1025">
            <v>0</v>
          </cell>
          <cell r="R1025">
            <v>0</v>
          </cell>
          <cell r="S1025">
            <v>0</v>
          </cell>
        </row>
        <row r="1026">
          <cell r="A1026"/>
          <cell r="B1026"/>
          <cell r="C1026"/>
          <cell r="D1026"/>
          <cell r="E1026"/>
          <cell r="F1026"/>
          <cell r="G1026"/>
          <cell r="H1026"/>
          <cell r="I1026"/>
          <cell r="J1026"/>
          <cell r="K1026"/>
          <cell r="L1026"/>
          <cell r="M1026"/>
          <cell r="N1026">
            <v>0</v>
          </cell>
          <cell r="O1026" t="e">
            <v>#N/A</v>
          </cell>
          <cell r="P1026"/>
          <cell r="Q1026"/>
          <cell r="R1026">
            <v>0</v>
          </cell>
          <cell r="S1026">
            <v>0</v>
          </cell>
        </row>
        <row r="1027">
          <cell r="A1027">
            <v>604160</v>
          </cell>
          <cell r="B1027" t="str">
            <v>OP S/C T&amp;M. Interco</v>
          </cell>
          <cell r="C1027">
            <v>0</v>
          </cell>
          <cell r="D1027">
            <v>3643027.1099999994</v>
          </cell>
          <cell r="E1027">
            <v>0</v>
          </cell>
          <cell r="F1027">
            <v>3643027.1099999994</v>
          </cell>
          <cell r="G1027"/>
          <cell r="H1027"/>
          <cell r="I1027">
            <v>4451314.83</v>
          </cell>
          <cell r="J1027">
            <v>-912257</v>
          </cell>
          <cell r="K1027">
            <v>3539057.83</v>
          </cell>
          <cell r="L1027">
            <v>604160</v>
          </cell>
          <cell r="M1027">
            <v>1</v>
          </cell>
          <cell r="N1027"/>
          <cell r="O1027">
            <v>604160</v>
          </cell>
          <cell r="P1027"/>
          <cell r="Q1027"/>
          <cell r="R1027">
            <v>866419.7</v>
          </cell>
          <cell r="S1027">
            <v>3643027.1099999994</v>
          </cell>
        </row>
        <row r="1028">
          <cell r="A1028">
            <v>602050</v>
          </cell>
          <cell r="B1028" t="str">
            <v>Direct Global IT Recharge</v>
          </cell>
          <cell r="C1028">
            <v>0</v>
          </cell>
          <cell r="D1028">
            <v>269840.42000000004</v>
          </cell>
          <cell r="E1028">
            <v>0</v>
          </cell>
          <cell r="F1028">
            <v>269840.42000000004</v>
          </cell>
          <cell r="G1028"/>
          <cell r="H1028"/>
          <cell r="I1028"/>
          <cell r="J1028"/>
          <cell r="K1028"/>
          <cell r="L1028"/>
          <cell r="M1028"/>
          <cell r="N1028"/>
          <cell r="O1028"/>
          <cell r="P1028"/>
          <cell r="Q1028"/>
          <cell r="R1028"/>
          <cell r="S1028">
            <v>269840.42000000004</v>
          </cell>
        </row>
        <row r="1029">
          <cell r="A1029">
            <v>604230</v>
          </cell>
          <cell r="B1029" t="str">
            <v>Other foreign exchange Losses</v>
          </cell>
          <cell r="C1029">
            <v>0</v>
          </cell>
          <cell r="D1029">
            <v>-6558.72</v>
          </cell>
          <cell r="E1029">
            <v>0</v>
          </cell>
          <cell r="F1029">
            <v>-6558.72</v>
          </cell>
          <cell r="G1029"/>
          <cell r="H1029"/>
          <cell r="I1029">
            <v>12157.99</v>
          </cell>
          <cell r="J1029">
            <v>77319.653544827364</v>
          </cell>
          <cell r="K1029">
            <v>89477.64354482737</v>
          </cell>
          <cell r="L1029">
            <v>604230</v>
          </cell>
          <cell r="M1029">
            <v>1</v>
          </cell>
          <cell r="N1029"/>
          <cell r="O1029">
            <v>604230</v>
          </cell>
          <cell r="P1029"/>
          <cell r="Q1029"/>
          <cell r="R1029">
            <v>-2963.62</v>
          </cell>
          <cell r="S1029">
            <v>-6558.72</v>
          </cell>
        </row>
        <row r="1030">
          <cell r="A1030">
            <v>606130</v>
          </cell>
          <cell r="B1030" t="str">
            <v>ELECTRICITY</v>
          </cell>
          <cell r="C1030">
            <v>0</v>
          </cell>
          <cell r="D1030">
            <v>412815</v>
          </cell>
          <cell r="E1030">
            <v>64400</v>
          </cell>
          <cell r="F1030">
            <v>477215</v>
          </cell>
          <cell r="G1030"/>
          <cell r="H1030"/>
          <cell r="I1030">
            <v>466229</v>
          </cell>
          <cell r="J1030">
            <v>-64400</v>
          </cell>
          <cell r="K1030">
            <v>401829</v>
          </cell>
          <cell r="L1030">
            <v>606130</v>
          </cell>
          <cell r="M1030">
            <v>1</v>
          </cell>
          <cell r="N1030"/>
          <cell r="O1030">
            <v>606130</v>
          </cell>
          <cell r="P1030"/>
          <cell r="Q1030"/>
          <cell r="R1030">
            <v>96826</v>
          </cell>
          <cell r="S1030">
            <v>477215</v>
          </cell>
        </row>
        <row r="1031">
          <cell r="A1031">
            <v>606300</v>
          </cell>
          <cell r="B1031" t="str">
            <v>OFFICE SUPPLIES, SMALL TOOLS, MAINTENANCE SUPPLIES</v>
          </cell>
          <cell r="C1031">
            <v>0</v>
          </cell>
          <cell r="D1031">
            <v>0</v>
          </cell>
          <cell r="E1031">
            <v>0</v>
          </cell>
          <cell r="F1031">
            <v>0</v>
          </cell>
          <cell r="G1031"/>
          <cell r="H1031"/>
          <cell r="I1031">
            <v>9643</v>
          </cell>
          <cell r="J1031">
            <v>-9643</v>
          </cell>
          <cell r="K1031">
            <v>0</v>
          </cell>
          <cell r="L1031">
            <v>606300</v>
          </cell>
          <cell r="M1031">
            <v>1</v>
          </cell>
          <cell r="N1031"/>
          <cell r="O1031">
            <v>606300</v>
          </cell>
          <cell r="P1031"/>
          <cell r="Q1031"/>
          <cell r="R1031">
            <v>9643</v>
          </cell>
          <cell r="S1031">
            <v>0</v>
          </cell>
        </row>
        <row r="1032">
          <cell r="A1032">
            <v>613200</v>
          </cell>
          <cell r="B1032" t="str">
            <v>REAL-ESTATE RENTAL</v>
          </cell>
          <cell r="C1032">
            <v>0</v>
          </cell>
          <cell r="D1032">
            <v>3635112</v>
          </cell>
          <cell r="E1032">
            <v>0</v>
          </cell>
          <cell r="F1032">
            <v>3635112</v>
          </cell>
          <cell r="G1032"/>
          <cell r="H1032"/>
          <cell r="I1032">
            <v>3462024</v>
          </cell>
          <cell r="J1032">
            <v>0</v>
          </cell>
          <cell r="K1032">
            <v>3462024</v>
          </cell>
          <cell r="L1032">
            <v>613200</v>
          </cell>
          <cell r="M1032">
            <v>1</v>
          </cell>
          <cell r="N1032"/>
          <cell r="O1032">
            <v>613200</v>
          </cell>
          <cell r="P1032"/>
          <cell r="Q1032"/>
          <cell r="R1032">
            <v>865506</v>
          </cell>
          <cell r="S1032">
            <v>3635112</v>
          </cell>
        </row>
        <row r="1033">
          <cell r="A1033">
            <v>613207</v>
          </cell>
          <cell r="B1033" t="str">
            <v>Reversal rent real estate IFRS 16</v>
          </cell>
          <cell r="C1033">
            <v>0</v>
          </cell>
          <cell r="D1033">
            <v>0</v>
          </cell>
          <cell r="E1033">
            <v>0</v>
          </cell>
          <cell r="F1033">
            <v>0</v>
          </cell>
          <cell r="G1033"/>
          <cell r="H1033"/>
          <cell r="I1033">
            <v>0</v>
          </cell>
          <cell r="J1033">
            <v>-3462024</v>
          </cell>
          <cell r="K1033">
            <v>-3462024</v>
          </cell>
          <cell r="L1033">
            <v>613207</v>
          </cell>
          <cell r="M1033">
            <v>1</v>
          </cell>
          <cell r="N1033"/>
          <cell r="O1033">
            <v>613207</v>
          </cell>
          <cell r="P1033"/>
          <cell r="Q1033"/>
          <cell r="R1033">
            <v>0</v>
          </cell>
          <cell r="S1033">
            <v>0</v>
          </cell>
        </row>
        <row r="1034">
          <cell r="A1034">
            <v>615260</v>
          </cell>
          <cell r="B1034" t="str">
            <v>REPAIRS AND MAINTENANCE - REAL-ESTATE</v>
          </cell>
          <cell r="C1034">
            <v>0</v>
          </cell>
          <cell r="D1034">
            <v>1</v>
          </cell>
          <cell r="E1034">
            <v>0</v>
          </cell>
          <cell r="F1034">
            <v>1</v>
          </cell>
          <cell r="G1034"/>
          <cell r="H1034"/>
          <cell r="I1034"/>
          <cell r="J1034"/>
          <cell r="K1034"/>
          <cell r="L1034"/>
          <cell r="M1034"/>
          <cell r="N1034"/>
          <cell r="O1034"/>
          <cell r="P1034"/>
          <cell r="Q1034"/>
          <cell r="R1034"/>
          <cell r="S1034">
            <v>1</v>
          </cell>
        </row>
        <row r="1035">
          <cell r="A1035">
            <v>615290</v>
          </cell>
          <cell r="B1035" t="str">
            <v>OTHER BUILDING-RELATED SERVICES</v>
          </cell>
          <cell r="C1035">
            <v>0</v>
          </cell>
          <cell r="D1035">
            <v>0</v>
          </cell>
          <cell r="E1035">
            <v>0</v>
          </cell>
          <cell r="F1035">
            <v>0</v>
          </cell>
          <cell r="G1035"/>
          <cell r="H1035"/>
          <cell r="I1035">
            <v>-23931</v>
          </cell>
          <cell r="J1035">
            <v>0</v>
          </cell>
          <cell r="K1035">
            <v>-23931</v>
          </cell>
          <cell r="L1035">
            <v>615290</v>
          </cell>
          <cell r="M1035">
            <v>1</v>
          </cell>
          <cell r="N1035"/>
          <cell r="O1035">
            <v>615290</v>
          </cell>
          <cell r="P1035"/>
          <cell r="Q1035"/>
          <cell r="R1035">
            <v>0</v>
          </cell>
          <cell r="S1035">
            <v>0</v>
          </cell>
        </row>
        <row r="1036">
          <cell r="A1036">
            <v>615605</v>
          </cell>
          <cell r="B1036" t="str">
            <v>MAINTENANCE - OFFICE IT</v>
          </cell>
          <cell r="C1036">
            <v>0</v>
          </cell>
          <cell r="D1036">
            <v>-1</v>
          </cell>
          <cell r="E1036">
            <v>0</v>
          </cell>
          <cell r="F1036">
            <v>-1</v>
          </cell>
          <cell r="G1036"/>
          <cell r="H1036"/>
          <cell r="I1036"/>
          <cell r="J1036"/>
          <cell r="K1036"/>
          <cell r="L1036"/>
          <cell r="M1036"/>
          <cell r="N1036"/>
          <cell r="O1036"/>
          <cell r="P1036"/>
          <cell r="Q1036"/>
          <cell r="R1036"/>
          <cell r="S1036">
            <v>-1</v>
          </cell>
        </row>
        <row r="1037">
          <cell r="A1037">
            <v>616400</v>
          </cell>
          <cell r="B1037" t="str">
            <v>OTHER INSURANCE</v>
          </cell>
          <cell r="C1037">
            <v>0</v>
          </cell>
          <cell r="D1037">
            <v>211</v>
          </cell>
          <cell r="E1037">
            <v>0</v>
          </cell>
          <cell r="F1037">
            <v>211</v>
          </cell>
          <cell r="G1037"/>
          <cell r="H1037"/>
          <cell r="I1037"/>
          <cell r="J1037"/>
          <cell r="K1037"/>
          <cell r="L1037"/>
          <cell r="M1037"/>
          <cell r="N1037"/>
          <cell r="O1037"/>
          <cell r="P1037"/>
          <cell r="Q1037"/>
          <cell r="R1037"/>
          <cell r="S1037">
            <v>211</v>
          </cell>
        </row>
        <row r="1038">
          <cell r="A1038">
            <v>622500</v>
          </cell>
          <cell r="B1038" t="str">
            <v>lawyer fees (vs legal fees, counselling</v>
          </cell>
          <cell r="C1038">
            <v>0</v>
          </cell>
          <cell r="D1038">
            <v>4835.1499999999996</v>
          </cell>
          <cell r="E1038">
            <v>0</v>
          </cell>
          <cell r="F1038">
            <v>4835.1499999999996</v>
          </cell>
          <cell r="G1038"/>
          <cell r="H1038"/>
          <cell r="I1038">
            <v>5000</v>
          </cell>
          <cell r="J1038">
            <v>0</v>
          </cell>
          <cell r="K1038">
            <v>5000</v>
          </cell>
          <cell r="L1038">
            <v>622500</v>
          </cell>
          <cell r="M1038">
            <v>1</v>
          </cell>
          <cell r="N1038"/>
          <cell r="O1038">
            <v>622500</v>
          </cell>
          <cell r="P1038"/>
          <cell r="Q1038"/>
          <cell r="R1038">
            <v>5000</v>
          </cell>
          <cell r="S1038">
            <v>4835.1499999999996</v>
          </cell>
        </row>
        <row r="1039">
          <cell r="A1039">
            <v>622600</v>
          </cell>
          <cell r="B1039" t="str">
            <v>AUDITORS' FEES</v>
          </cell>
          <cell r="C1039">
            <v>0</v>
          </cell>
          <cell r="D1039">
            <v>222600</v>
          </cell>
          <cell r="E1039">
            <v>0</v>
          </cell>
          <cell r="F1039">
            <v>222600</v>
          </cell>
          <cell r="G1039"/>
          <cell r="H1039"/>
          <cell r="I1039">
            <v>233200</v>
          </cell>
          <cell r="J1039">
            <v>0</v>
          </cell>
          <cell r="K1039">
            <v>233200</v>
          </cell>
          <cell r="L1039">
            <v>622600</v>
          </cell>
          <cell r="M1039">
            <v>1</v>
          </cell>
          <cell r="N1039"/>
          <cell r="O1039">
            <v>622600</v>
          </cell>
          <cell r="P1039"/>
          <cell r="Q1039"/>
          <cell r="R1039">
            <v>55650</v>
          </cell>
          <cell r="S1039">
            <v>222600</v>
          </cell>
        </row>
        <row r="1040">
          <cell r="A1040">
            <v>622800</v>
          </cell>
          <cell r="B1040" t="str">
            <v>OTHER PROFESSIONAL FEES</v>
          </cell>
          <cell r="C1040">
            <v>0</v>
          </cell>
          <cell r="D1040">
            <v>1074570.58</v>
          </cell>
          <cell r="E1040">
            <v>86000</v>
          </cell>
          <cell r="F1040">
            <v>1160570.58</v>
          </cell>
          <cell r="G1040"/>
          <cell r="H1040"/>
          <cell r="I1040">
            <v>619851.18000000005</v>
          </cell>
          <cell r="J1040">
            <v>-89540</v>
          </cell>
          <cell r="K1040">
            <v>530311.18000000005</v>
          </cell>
          <cell r="L1040">
            <v>622800</v>
          </cell>
          <cell r="M1040">
            <v>1</v>
          </cell>
          <cell r="N1040"/>
          <cell r="O1040">
            <v>622800</v>
          </cell>
          <cell r="P1040"/>
          <cell r="Q1040"/>
          <cell r="R1040">
            <v>491084.53</v>
          </cell>
          <cell r="S1040">
            <v>1160570.58</v>
          </cell>
        </row>
        <row r="1041">
          <cell r="A1041">
            <v>625714</v>
          </cell>
          <cell r="B1041" t="str">
            <v>Staff Meals - Lunch</v>
          </cell>
          <cell r="C1041">
            <v>0</v>
          </cell>
          <cell r="D1041">
            <v>-2200</v>
          </cell>
          <cell r="E1041">
            <v>0</v>
          </cell>
          <cell r="F1041">
            <v>-2200</v>
          </cell>
          <cell r="G1041"/>
          <cell r="H1041"/>
          <cell r="I1041">
            <v>0</v>
          </cell>
          <cell r="J1041">
            <v>0</v>
          </cell>
          <cell r="K1041">
            <v>0</v>
          </cell>
          <cell r="L1041">
            <v>625714</v>
          </cell>
          <cell r="M1041">
            <v>1</v>
          </cell>
          <cell r="N1041"/>
          <cell r="O1041">
            <v>625714</v>
          </cell>
          <cell r="P1041"/>
          <cell r="Q1041"/>
          <cell r="R1041">
            <v>0</v>
          </cell>
          <cell r="S1041">
            <v>-2200</v>
          </cell>
        </row>
        <row r="1042">
          <cell r="A1042">
            <v>626424</v>
          </cell>
          <cell r="B1042" t="str">
            <v>Telephone Charges</v>
          </cell>
          <cell r="C1042">
            <v>0</v>
          </cell>
          <cell r="D1042">
            <v>37500</v>
          </cell>
          <cell r="E1042">
            <v>-22500</v>
          </cell>
          <cell r="F1042">
            <v>15000</v>
          </cell>
          <cell r="G1042"/>
          <cell r="H1042"/>
          <cell r="I1042">
            <v>-22500</v>
          </cell>
          <cell r="J1042">
            <v>22500</v>
          </cell>
          <cell r="K1042">
            <v>0</v>
          </cell>
          <cell r="L1042">
            <v>626424</v>
          </cell>
          <cell r="M1042">
            <v>1</v>
          </cell>
          <cell r="N1042"/>
          <cell r="O1042">
            <v>626424</v>
          </cell>
          <cell r="P1042"/>
          <cell r="Q1042"/>
          <cell r="R1042">
            <v>-22500</v>
          </cell>
          <cell r="S1042">
            <v>15000</v>
          </cell>
        </row>
        <row r="1043">
          <cell r="A1043">
            <v>627100</v>
          </cell>
          <cell r="B1043" t="str">
            <v>SECURITY EXPENSES</v>
          </cell>
          <cell r="C1043">
            <v>0</v>
          </cell>
          <cell r="D1043">
            <v>141058</v>
          </cell>
          <cell r="E1043">
            <v>0</v>
          </cell>
          <cell r="F1043">
            <v>141058</v>
          </cell>
          <cell r="G1043"/>
          <cell r="H1043"/>
          <cell r="I1043">
            <v>29141</v>
          </cell>
          <cell r="J1043">
            <v>9643</v>
          </cell>
          <cell r="K1043">
            <v>38784</v>
          </cell>
          <cell r="L1043">
            <v>627100</v>
          </cell>
          <cell r="M1043">
            <v>1</v>
          </cell>
          <cell r="N1043"/>
          <cell r="O1043">
            <v>627100</v>
          </cell>
          <cell r="P1043"/>
          <cell r="Q1043"/>
          <cell r="R1043">
            <v>-1681</v>
          </cell>
          <cell r="S1043">
            <v>141058</v>
          </cell>
        </row>
        <row r="1044">
          <cell r="A1044">
            <v>627800</v>
          </cell>
          <cell r="B1044" t="str">
            <v>OTHER BANK EXPENSES AND COMMISSION</v>
          </cell>
          <cell r="C1044">
            <v>0</v>
          </cell>
          <cell r="D1044">
            <v>4528.03</v>
          </cell>
          <cell r="E1044">
            <v>0</v>
          </cell>
          <cell r="F1044">
            <v>4528.03</v>
          </cell>
          <cell r="G1044"/>
          <cell r="H1044"/>
          <cell r="I1044">
            <v>1749.3</v>
          </cell>
          <cell r="J1044">
            <v>0</v>
          </cell>
          <cell r="K1044">
            <v>1749.3</v>
          </cell>
          <cell r="L1044">
            <v>627800</v>
          </cell>
          <cell r="M1044">
            <v>1</v>
          </cell>
          <cell r="N1044"/>
          <cell r="O1044">
            <v>627800</v>
          </cell>
          <cell r="P1044"/>
          <cell r="Q1044"/>
          <cell r="R1044">
            <v>-0.56000000000000005</v>
          </cell>
          <cell r="S1044">
            <v>4528.03</v>
          </cell>
        </row>
        <row r="1045">
          <cell r="A1045">
            <v>633300</v>
          </cell>
          <cell r="B1045" t="str">
            <v>TRAINING INVOICES</v>
          </cell>
          <cell r="C1045">
            <v>0</v>
          </cell>
          <cell r="D1045">
            <v>0</v>
          </cell>
          <cell r="E1045">
            <v>0</v>
          </cell>
          <cell r="F1045">
            <v>0</v>
          </cell>
          <cell r="G1045"/>
          <cell r="H1045"/>
          <cell r="I1045">
            <v>20477</v>
          </cell>
          <cell r="J1045">
            <v>0</v>
          </cell>
          <cell r="K1045">
            <v>20477</v>
          </cell>
          <cell r="L1045">
            <v>633300</v>
          </cell>
          <cell r="M1045">
            <v>1</v>
          </cell>
          <cell r="N1045"/>
          <cell r="O1045">
            <v>633300</v>
          </cell>
          <cell r="P1045"/>
          <cell r="Q1045"/>
          <cell r="R1045">
            <v>0</v>
          </cell>
          <cell r="S1045">
            <v>0</v>
          </cell>
        </row>
        <row r="1046">
          <cell r="A1046">
            <v>635130</v>
          </cell>
          <cell r="B1046" t="str">
            <v>OTHER LOCAL TAXES</v>
          </cell>
          <cell r="C1046">
            <v>0</v>
          </cell>
          <cell r="D1046">
            <v>8722</v>
          </cell>
          <cell r="E1046">
            <v>0</v>
          </cell>
          <cell r="F1046">
            <v>8722</v>
          </cell>
          <cell r="G1046"/>
          <cell r="H1046"/>
          <cell r="I1046">
            <v>1807</v>
          </cell>
          <cell r="J1046">
            <v>12262</v>
          </cell>
          <cell r="K1046">
            <v>14069</v>
          </cell>
          <cell r="L1046">
            <v>635130</v>
          </cell>
          <cell r="M1046">
            <v>1</v>
          </cell>
          <cell r="N1046"/>
          <cell r="O1046">
            <v>635130</v>
          </cell>
          <cell r="P1046"/>
          <cell r="Q1046"/>
          <cell r="R1046">
            <v>0</v>
          </cell>
          <cell r="S1046">
            <v>8722</v>
          </cell>
        </row>
        <row r="1047">
          <cell r="A1047">
            <v>637803</v>
          </cell>
          <cell r="B1047" t="str">
            <v>TAX PAID ON SALARIES - GEN&amp;ADM</v>
          </cell>
          <cell r="C1047">
            <v>0</v>
          </cell>
          <cell r="D1047">
            <v>0</v>
          </cell>
          <cell r="E1047">
            <v>0</v>
          </cell>
          <cell r="F1047">
            <v>0</v>
          </cell>
          <cell r="G1047"/>
          <cell r="H1047"/>
          <cell r="I1047">
            <v>0</v>
          </cell>
          <cell r="J1047">
            <v>0</v>
          </cell>
          <cell r="K1047">
            <v>0</v>
          </cell>
          <cell r="L1047">
            <v>637803</v>
          </cell>
          <cell r="M1047">
            <v>1</v>
          </cell>
          <cell r="N1047"/>
          <cell r="O1047">
            <v>637803</v>
          </cell>
          <cell r="P1047"/>
          <cell r="Q1047"/>
          <cell r="R1047">
            <v>0</v>
          </cell>
          <cell r="S1047">
            <v>0</v>
          </cell>
        </row>
        <row r="1048">
          <cell r="A1048">
            <v>641100</v>
          </cell>
          <cell r="B1048" t="str">
            <v>WAGES AND SALARIES</v>
          </cell>
          <cell r="C1048">
            <v>0</v>
          </cell>
          <cell r="D1048">
            <v>836707</v>
          </cell>
          <cell r="E1048">
            <v>0</v>
          </cell>
          <cell r="F1048">
            <v>836707</v>
          </cell>
          <cell r="G1048"/>
          <cell r="H1048"/>
          <cell r="I1048">
            <v>183275</v>
          </cell>
          <cell r="J1048">
            <v>0</v>
          </cell>
          <cell r="K1048">
            <v>183275</v>
          </cell>
          <cell r="L1048">
            <v>641100</v>
          </cell>
          <cell r="M1048">
            <v>1</v>
          </cell>
          <cell r="N1048"/>
          <cell r="O1048">
            <v>641100</v>
          </cell>
          <cell r="P1048"/>
          <cell r="Q1048"/>
          <cell r="R1048">
            <v>91391</v>
          </cell>
          <cell r="S1048">
            <v>836707</v>
          </cell>
        </row>
        <row r="1049">
          <cell r="A1049">
            <v>641111</v>
          </cell>
          <cell r="B1049" t="str">
            <v>SHIFT ALLOWANCES</v>
          </cell>
          <cell r="C1049">
            <v>0</v>
          </cell>
          <cell r="D1049">
            <v>4250</v>
          </cell>
          <cell r="E1049">
            <v>0</v>
          </cell>
          <cell r="F1049">
            <v>4250</v>
          </cell>
          <cell r="G1049"/>
          <cell r="H1049"/>
          <cell r="I1049"/>
          <cell r="J1049"/>
          <cell r="K1049"/>
          <cell r="L1049"/>
          <cell r="M1049"/>
          <cell r="N1049"/>
          <cell r="O1049"/>
          <cell r="P1049"/>
          <cell r="Q1049"/>
          <cell r="R1049"/>
          <cell r="S1049">
            <v>4250</v>
          </cell>
        </row>
        <row r="1050">
          <cell r="A1050">
            <v>641203</v>
          </cell>
          <cell r="B1050" t="str">
            <v>VACATION LEAVE PAYMENTS - GEN&amp;ADM</v>
          </cell>
          <cell r="C1050">
            <v>0</v>
          </cell>
          <cell r="D1050">
            <v>172812</v>
          </cell>
          <cell r="E1050">
            <v>-101739</v>
          </cell>
          <cell r="F1050">
            <v>71073</v>
          </cell>
          <cell r="G1050"/>
          <cell r="H1050"/>
          <cell r="I1050">
            <v>11957</v>
          </cell>
          <cell r="J1050">
            <v>101739</v>
          </cell>
          <cell r="K1050">
            <v>113696</v>
          </cell>
          <cell r="L1050">
            <v>641203</v>
          </cell>
          <cell r="M1050">
            <v>1</v>
          </cell>
          <cell r="N1050"/>
          <cell r="O1050">
            <v>641203</v>
          </cell>
          <cell r="P1050"/>
          <cell r="Q1050"/>
          <cell r="R1050">
            <v>43698</v>
          </cell>
          <cell r="S1050">
            <v>71073</v>
          </cell>
        </row>
        <row r="1051">
          <cell r="A1051">
            <v>641300</v>
          </cell>
          <cell r="B1051" t="str">
            <v>INCENTIVE WAGES AND BONUSES</v>
          </cell>
          <cell r="C1051">
            <v>0</v>
          </cell>
          <cell r="D1051">
            <v>564606</v>
          </cell>
          <cell r="E1051">
            <v>0</v>
          </cell>
          <cell r="F1051">
            <v>564606</v>
          </cell>
          <cell r="G1051"/>
          <cell r="H1051"/>
          <cell r="I1051">
            <v>646305</v>
          </cell>
          <cell r="J1051">
            <v>0</v>
          </cell>
          <cell r="K1051">
            <v>646305</v>
          </cell>
          <cell r="L1051">
            <v>641300</v>
          </cell>
          <cell r="M1051">
            <v>1</v>
          </cell>
          <cell r="N1051"/>
          <cell r="O1051">
            <v>641300</v>
          </cell>
          <cell r="P1051"/>
          <cell r="Q1051"/>
          <cell r="R1051">
            <v>191725</v>
          </cell>
          <cell r="S1051">
            <v>564606</v>
          </cell>
        </row>
        <row r="1052">
          <cell r="A1052">
            <v>641310</v>
          </cell>
          <cell r="B1052" t="str">
            <v>YEAR-END BONUSES</v>
          </cell>
          <cell r="C1052">
            <v>0</v>
          </cell>
          <cell r="D1052">
            <v>0</v>
          </cell>
          <cell r="E1052">
            <v>0</v>
          </cell>
          <cell r="F1052">
            <v>0</v>
          </cell>
          <cell r="G1052"/>
          <cell r="H1052"/>
          <cell r="I1052">
            <v>7674</v>
          </cell>
          <cell r="J1052">
            <v>0</v>
          </cell>
          <cell r="K1052">
            <v>7674</v>
          </cell>
          <cell r="L1052">
            <v>641310</v>
          </cell>
          <cell r="M1052">
            <v>1</v>
          </cell>
          <cell r="N1052"/>
          <cell r="O1052">
            <v>641310</v>
          </cell>
          <cell r="P1052"/>
          <cell r="Q1052"/>
          <cell r="R1052">
            <v>0</v>
          </cell>
          <cell r="S1052">
            <v>0</v>
          </cell>
        </row>
        <row r="1053">
          <cell r="A1053">
            <v>641404</v>
          </cell>
          <cell r="B1053" t="str">
            <v>HOUSING ALLOWANCE</v>
          </cell>
          <cell r="C1053">
            <v>0</v>
          </cell>
          <cell r="D1053">
            <v>61908</v>
          </cell>
          <cell r="E1053">
            <v>0</v>
          </cell>
          <cell r="F1053">
            <v>61908</v>
          </cell>
          <cell r="G1053"/>
          <cell r="H1053"/>
          <cell r="I1053"/>
          <cell r="J1053"/>
          <cell r="K1053"/>
          <cell r="L1053"/>
          <cell r="M1053"/>
          <cell r="N1053"/>
          <cell r="O1053"/>
          <cell r="P1053"/>
          <cell r="Q1053"/>
          <cell r="R1053"/>
          <cell r="S1053">
            <v>61908</v>
          </cell>
        </row>
        <row r="1054">
          <cell r="A1054">
            <v>641702</v>
          </cell>
          <cell r="B1054" t="str">
            <v>Allowance 2</v>
          </cell>
          <cell r="C1054">
            <v>0</v>
          </cell>
          <cell r="D1054">
            <v>6534241</v>
          </cell>
          <cell r="E1054">
            <v>0</v>
          </cell>
          <cell r="F1054">
            <v>6534241</v>
          </cell>
          <cell r="G1054"/>
          <cell r="H1054"/>
          <cell r="I1054">
            <v>6376186</v>
          </cell>
          <cell r="J1054">
            <v>912257</v>
          </cell>
          <cell r="K1054">
            <v>7288443</v>
          </cell>
          <cell r="L1054">
            <v>641702</v>
          </cell>
          <cell r="M1054">
            <v>1</v>
          </cell>
          <cell r="N1054"/>
          <cell r="O1054">
            <v>641702</v>
          </cell>
          <cell r="P1054"/>
          <cell r="Q1054"/>
          <cell r="R1054">
            <v>1694262</v>
          </cell>
          <cell r="S1054">
            <v>6534241</v>
          </cell>
        </row>
        <row r="1055">
          <cell r="A1055">
            <v>641704</v>
          </cell>
          <cell r="B1055" t="str">
            <v>LTA</v>
          </cell>
          <cell r="C1055">
            <v>0</v>
          </cell>
          <cell r="D1055">
            <v>18750</v>
          </cell>
          <cell r="E1055">
            <v>0</v>
          </cell>
          <cell r="F1055">
            <v>18750</v>
          </cell>
          <cell r="G1055"/>
          <cell r="H1055"/>
          <cell r="I1055">
            <v>-22405.49</v>
          </cell>
          <cell r="J1055">
            <v>0</v>
          </cell>
          <cell r="K1055">
            <v>-22405.49</v>
          </cell>
          <cell r="L1055">
            <v>641704</v>
          </cell>
          <cell r="M1055">
            <v>1</v>
          </cell>
          <cell r="N1055"/>
          <cell r="O1055">
            <v>641704</v>
          </cell>
          <cell r="P1055"/>
          <cell r="Q1055"/>
          <cell r="R1055">
            <v>0</v>
          </cell>
          <cell r="S1055">
            <v>18750</v>
          </cell>
        </row>
        <row r="1056">
          <cell r="A1056">
            <v>641711</v>
          </cell>
          <cell r="B1056" t="str">
            <v>Gratuity</v>
          </cell>
          <cell r="C1056">
            <v>0</v>
          </cell>
          <cell r="D1056">
            <v>275088</v>
          </cell>
          <cell r="E1056">
            <v>-61499</v>
          </cell>
          <cell r="F1056">
            <v>213589</v>
          </cell>
          <cell r="G1056"/>
          <cell r="H1056"/>
          <cell r="I1056">
            <v>375543</v>
          </cell>
          <cell r="J1056">
            <v>61499</v>
          </cell>
          <cell r="K1056">
            <v>437042</v>
          </cell>
          <cell r="L1056">
            <v>641711</v>
          </cell>
          <cell r="M1056">
            <v>1</v>
          </cell>
          <cell r="N1056"/>
          <cell r="O1056">
            <v>641711</v>
          </cell>
          <cell r="P1056"/>
          <cell r="Q1056"/>
          <cell r="R1056">
            <v>69009</v>
          </cell>
          <cell r="S1056">
            <v>213589</v>
          </cell>
        </row>
        <row r="1057">
          <cell r="A1057">
            <v>641713</v>
          </cell>
          <cell r="B1057" t="str">
            <v>Co. Cont. to P.F.</v>
          </cell>
          <cell r="C1057">
            <v>0</v>
          </cell>
          <cell r="D1057">
            <v>132173</v>
          </cell>
          <cell r="E1057">
            <v>0</v>
          </cell>
          <cell r="F1057">
            <v>132173</v>
          </cell>
          <cell r="G1057"/>
          <cell r="H1057"/>
          <cell r="I1057">
            <v>144201</v>
          </cell>
          <cell r="J1057">
            <v>0</v>
          </cell>
          <cell r="K1057">
            <v>144201</v>
          </cell>
          <cell r="L1057">
            <v>641713</v>
          </cell>
          <cell r="M1057">
            <v>1</v>
          </cell>
          <cell r="N1057"/>
          <cell r="O1057">
            <v>641713</v>
          </cell>
          <cell r="P1057"/>
          <cell r="Q1057"/>
          <cell r="R1057">
            <v>32400</v>
          </cell>
          <cell r="S1057">
            <v>132173</v>
          </cell>
        </row>
        <row r="1058">
          <cell r="A1058">
            <v>641716</v>
          </cell>
          <cell r="B1058" t="str">
            <v>Cont.-MLWF/PF/EDLI Admn.</v>
          </cell>
          <cell r="C1058">
            <v>0</v>
          </cell>
          <cell r="D1058">
            <v>5576.21</v>
          </cell>
          <cell r="E1058">
            <v>0</v>
          </cell>
          <cell r="F1058">
            <v>5576.21</v>
          </cell>
          <cell r="G1058"/>
          <cell r="H1058"/>
          <cell r="I1058">
            <v>6005.38</v>
          </cell>
          <cell r="J1058">
            <v>0</v>
          </cell>
          <cell r="K1058">
            <v>6005.38</v>
          </cell>
          <cell r="L1058">
            <v>641716</v>
          </cell>
          <cell r="M1058">
            <v>1</v>
          </cell>
          <cell r="N1058"/>
          <cell r="O1058">
            <v>641716</v>
          </cell>
          <cell r="P1058"/>
          <cell r="Q1058"/>
          <cell r="R1058">
            <v>1784</v>
          </cell>
          <cell r="S1058">
            <v>5576.21</v>
          </cell>
        </row>
        <row r="1059">
          <cell r="A1059">
            <v>641721</v>
          </cell>
          <cell r="B1059" t="str">
            <v>Petrol Exps-Personnel</v>
          </cell>
          <cell r="C1059">
            <v>0</v>
          </cell>
          <cell r="D1059">
            <v>21600</v>
          </cell>
          <cell r="E1059">
            <v>-16200</v>
          </cell>
          <cell r="F1059">
            <v>5400</v>
          </cell>
          <cell r="G1059"/>
          <cell r="H1059"/>
          <cell r="I1059">
            <v>-14400</v>
          </cell>
          <cell r="J1059">
            <v>16200</v>
          </cell>
          <cell r="K1059">
            <v>1800</v>
          </cell>
          <cell r="L1059">
            <v>641721</v>
          </cell>
          <cell r="M1059">
            <v>1</v>
          </cell>
          <cell r="N1059"/>
          <cell r="O1059">
            <v>641721</v>
          </cell>
          <cell r="P1059"/>
          <cell r="Q1059"/>
          <cell r="R1059">
            <v>-16200</v>
          </cell>
          <cell r="S1059">
            <v>5400</v>
          </cell>
        </row>
        <row r="1060">
          <cell r="A1060">
            <v>641722</v>
          </cell>
          <cell r="B1060" t="str">
            <v>Car Hire-Personnel</v>
          </cell>
          <cell r="C1060">
            <v>0</v>
          </cell>
          <cell r="D1060">
            <v>10800</v>
          </cell>
          <cell r="E1060">
            <v>-8100</v>
          </cell>
          <cell r="F1060">
            <v>2700</v>
          </cell>
          <cell r="G1060"/>
          <cell r="H1060"/>
          <cell r="I1060">
            <v>-9900</v>
          </cell>
          <cell r="J1060">
            <v>8100</v>
          </cell>
          <cell r="K1060">
            <v>-1800</v>
          </cell>
          <cell r="L1060">
            <v>641722</v>
          </cell>
          <cell r="M1060">
            <v>1</v>
          </cell>
          <cell r="N1060"/>
          <cell r="O1060">
            <v>641722</v>
          </cell>
          <cell r="P1060"/>
          <cell r="Q1060"/>
          <cell r="R1060">
            <v>-8100</v>
          </cell>
          <cell r="S1060">
            <v>2700</v>
          </cell>
        </row>
        <row r="1061">
          <cell r="A1061">
            <v>645004</v>
          </cell>
          <cell r="B1061" t="str">
            <v>Health Insurance 4</v>
          </cell>
          <cell r="C1061">
            <v>0</v>
          </cell>
          <cell r="D1061">
            <v>55108</v>
          </cell>
          <cell r="E1061">
            <v>0</v>
          </cell>
          <cell r="F1061">
            <v>55108</v>
          </cell>
          <cell r="G1061"/>
          <cell r="H1061"/>
          <cell r="I1061">
            <v>89654.85</v>
          </cell>
          <cell r="J1061">
            <v>0</v>
          </cell>
          <cell r="K1061">
            <v>89654.85</v>
          </cell>
          <cell r="L1061">
            <v>645004</v>
          </cell>
          <cell r="M1061">
            <v>1</v>
          </cell>
          <cell r="N1061"/>
          <cell r="O1061">
            <v>645004</v>
          </cell>
          <cell r="P1061"/>
          <cell r="Q1061"/>
          <cell r="R1061">
            <v>73968.850000000006</v>
          </cell>
          <cell r="S1061">
            <v>55108</v>
          </cell>
        </row>
        <row r="1062">
          <cell r="A1062">
            <v>645643</v>
          </cell>
          <cell r="B1062" t="str">
            <v>pension contr own employee</v>
          </cell>
          <cell r="C1062">
            <v>0</v>
          </cell>
          <cell r="D1062">
            <v>5507.21</v>
          </cell>
          <cell r="E1062">
            <v>0</v>
          </cell>
          <cell r="F1062">
            <v>5507.21</v>
          </cell>
          <cell r="G1062"/>
          <cell r="H1062"/>
          <cell r="I1062">
            <v>7261.38</v>
          </cell>
          <cell r="J1062">
            <v>0</v>
          </cell>
          <cell r="K1062">
            <v>7261.38</v>
          </cell>
          <cell r="L1062">
            <v>645643</v>
          </cell>
          <cell r="M1062">
            <v>1</v>
          </cell>
          <cell r="N1062"/>
          <cell r="O1062">
            <v>645643</v>
          </cell>
          <cell r="P1062"/>
          <cell r="Q1062"/>
          <cell r="R1062">
            <v>1350</v>
          </cell>
          <cell r="S1062">
            <v>5507.21</v>
          </cell>
        </row>
        <row r="1063">
          <cell r="A1063">
            <v>645700</v>
          </cell>
          <cell r="B1063" t="str">
            <v>dc pensions plans other</v>
          </cell>
          <cell r="C1063">
            <v>0</v>
          </cell>
          <cell r="D1063">
            <v>0</v>
          </cell>
          <cell r="E1063">
            <v>0</v>
          </cell>
          <cell r="F1063">
            <v>0</v>
          </cell>
          <cell r="G1063"/>
          <cell r="H1063"/>
          <cell r="I1063">
            <v>0.2</v>
          </cell>
          <cell r="J1063">
            <v>0</v>
          </cell>
          <cell r="K1063">
            <v>0.2</v>
          </cell>
          <cell r="L1063" t="e">
            <v>#N/A</v>
          </cell>
          <cell r="M1063">
            <v>1</v>
          </cell>
          <cell r="N1063"/>
          <cell r="O1063" t="e">
            <v>#N/A</v>
          </cell>
          <cell r="P1063"/>
          <cell r="Q1063"/>
          <cell r="R1063">
            <v>0.2</v>
          </cell>
          <cell r="S1063">
            <v>0</v>
          </cell>
        </row>
        <row r="1064">
          <cell r="A1064">
            <v>647500</v>
          </cell>
          <cell r="B1064" t="str">
            <v>COMPANY DOCTOR</v>
          </cell>
          <cell r="C1064">
            <v>0</v>
          </cell>
          <cell r="D1064">
            <v>0</v>
          </cell>
          <cell r="E1064">
            <v>0</v>
          </cell>
          <cell r="F1064">
            <v>0</v>
          </cell>
          <cell r="G1064"/>
          <cell r="H1064"/>
          <cell r="I1064">
            <v>2975</v>
          </cell>
          <cell r="J1064">
            <v>0</v>
          </cell>
          <cell r="K1064">
            <v>2975</v>
          </cell>
          <cell r="L1064">
            <v>647500</v>
          </cell>
          <cell r="M1064">
            <v>1</v>
          </cell>
          <cell r="N1064"/>
          <cell r="O1064">
            <v>647500</v>
          </cell>
          <cell r="P1064"/>
          <cell r="Q1064"/>
          <cell r="R1064">
            <v>0</v>
          </cell>
          <cell r="S1064">
            <v>0</v>
          </cell>
        </row>
        <row r="1065">
          <cell r="A1065">
            <v>647600</v>
          </cell>
          <cell r="B1065" t="str">
            <v>LUNCHEON VOUCHERS AND MEAL CARDS</v>
          </cell>
          <cell r="C1065">
            <v>0</v>
          </cell>
          <cell r="D1065">
            <v>28600.000000000004</v>
          </cell>
          <cell r="E1065">
            <v>0</v>
          </cell>
          <cell r="F1065">
            <v>28600.000000000004</v>
          </cell>
          <cell r="G1065"/>
          <cell r="H1065"/>
          <cell r="I1065">
            <v>26400</v>
          </cell>
          <cell r="J1065">
            <v>0</v>
          </cell>
          <cell r="K1065">
            <v>26400</v>
          </cell>
          <cell r="L1065">
            <v>647600</v>
          </cell>
          <cell r="M1065">
            <v>1</v>
          </cell>
          <cell r="N1065"/>
          <cell r="O1065">
            <v>647600</v>
          </cell>
          <cell r="P1065"/>
          <cell r="Q1065"/>
          <cell r="R1065">
            <v>6600</v>
          </cell>
          <cell r="S1065">
            <v>28600.000000000004</v>
          </cell>
        </row>
        <row r="1066">
          <cell r="A1066">
            <v>656000</v>
          </cell>
          <cell r="B1066" t="str">
            <v>GROUP OVERHEADS - STRUCTURE COSTS</v>
          </cell>
          <cell r="C1066">
            <v>0</v>
          </cell>
          <cell r="D1066">
            <v>31852.639999999956</v>
          </cell>
          <cell r="E1066">
            <v>0</v>
          </cell>
          <cell r="F1066">
            <v>31852.639999999956</v>
          </cell>
          <cell r="G1066"/>
          <cell r="H1066"/>
          <cell r="I1066">
            <v>21299.23</v>
          </cell>
          <cell r="J1066">
            <v>0</v>
          </cell>
          <cell r="K1066">
            <v>21299.23</v>
          </cell>
          <cell r="L1066">
            <v>656000</v>
          </cell>
          <cell r="M1066">
            <v>1</v>
          </cell>
          <cell r="N1066"/>
          <cell r="O1066">
            <v>656000</v>
          </cell>
          <cell r="P1066"/>
          <cell r="Q1066"/>
          <cell r="R1066">
            <v>21299.23</v>
          </cell>
          <cell r="S1066">
            <v>31852.639999999956</v>
          </cell>
        </row>
        <row r="1067">
          <cell r="A1067">
            <v>656100</v>
          </cell>
          <cell r="B1067" t="str">
            <v>GS Recharge General Management</v>
          </cell>
          <cell r="C1067">
            <v>0</v>
          </cell>
          <cell r="D1067">
            <v>6525.8300000000008</v>
          </cell>
          <cell r="E1067">
            <v>0</v>
          </cell>
          <cell r="F1067">
            <v>6525.8300000000008</v>
          </cell>
          <cell r="G1067"/>
          <cell r="H1067"/>
          <cell r="I1067"/>
          <cell r="J1067"/>
          <cell r="K1067"/>
          <cell r="L1067"/>
          <cell r="M1067"/>
          <cell r="N1067"/>
          <cell r="O1067"/>
          <cell r="P1067"/>
          <cell r="Q1067"/>
          <cell r="R1067"/>
          <cell r="S1067">
            <v>6525.8300000000008</v>
          </cell>
        </row>
        <row r="1068">
          <cell r="A1068">
            <v>656103</v>
          </cell>
          <cell r="B1068" t="str">
            <v>GS Recharge Purchasing</v>
          </cell>
          <cell r="C1068">
            <v>0</v>
          </cell>
          <cell r="D1068">
            <v>19358.95</v>
          </cell>
          <cell r="E1068">
            <v>0</v>
          </cell>
          <cell r="F1068">
            <v>19358.95</v>
          </cell>
          <cell r="G1068"/>
          <cell r="H1068"/>
          <cell r="I1068"/>
          <cell r="J1068"/>
          <cell r="K1068"/>
          <cell r="L1068"/>
          <cell r="M1068"/>
          <cell r="N1068"/>
          <cell r="O1068"/>
          <cell r="P1068"/>
          <cell r="Q1068"/>
          <cell r="R1068"/>
          <cell r="S1068">
            <v>19358.95</v>
          </cell>
        </row>
        <row r="1069">
          <cell r="A1069">
            <v>658000</v>
          </cell>
          <cell r="B1069" t="str">
            <v>OTHER OPERATING EXPENSES</v>
          </cell>
          <cell r="C1069">
            <v>0</v>
          </cell>
          <cell r="D1069">
            <v>-119355.63</v>
          </cell>
          <cell r="E1069">
            <v>0</v>
          </cell>
          <cell r="F1069">
            <v>-119355.63</v>
          </cell>
          <cell r="G1069"/>
          <cell r="H1069"/>
          <cell r="I1069">
            <v>48763.46</v>
          </cell>
          <cell r="J1069">
            <v>0</v>
          </cell>
          <cell r="K1069">
            <v>48763.46</v>
          </cell>
          <cell r="L1069">
            <v>658000</v>
          </cell>
          <cell r="M1069">
            <v>1</v>
          </cell>
          <cell r="N1069"/>
          <cell r="O1069">
            <v>658000</v>
          </cell>
          <cell r="P1069"/>
          <cell r="Q1069"/>
          <cell r="R1069">
            <v>48763.46</v>
          </cell>
          <cell r="S1069">
            <v>-119355.63</v>
          </cell>
        </row>
        <row r="1070">
          <cell r="A1070">
            <v>658003</v>
          </cell>
          <cell r="B1070" t="str">
            <v>Other facility management expenses</v>
          </cell>
          <cell r="C1070">
            <v>0</v>
          </cell>
          <cell r="D1070">
            <v>240037</v>
          </cell>
          <cell r="E1070">
            <v>0</v>
          </cell>
          <cell r="F1070">
            <v>240037</v>
          </cell>
          <cell r="G1070"/>
          <cell r="H1070"/>
          <cell r="I1070">
            <v>118376</v>
          </cell>
          <cell r="J1070">
            <v>0</v>
          </cell>
          <cell r="K1070">
            <v>118376</v>
          </cell>
          <cell r="L1070">
            <v>658003</v>
          </cell>
          <cell r="M1070">
            <v>1</v>
          </cell>
          <cell r="N1070"/>
          <cell r="O1070">
            <v>658003</v>
          </cell>
          <cell r="P1070"/>
          <cell r="Q1070"/>
          <cell r="R1070">
            <v>40598</v>
          </cell>
          <cell r="S1070">
            <v>240037</v>
          </cell>
        </row>
        <row r="1071">
          <cell r="A1071">
            <v>658013</v>
          </cell>
          <cell r="B1071" t="str">
            <v>Compensation Awards</v>
          </cell>
          <cell r="C1071">
            <v>0</v>
          </cell>
          <cell r="D1071">
            <v>23000</v>
          </cell>
          <cell r="E1071">
            <v>0</v>
          </cell>
          <cell r="F1071">
            <v>23000</v>
          </cell>
          <cell r="G1071"/>
          <cell r="H1071"/>
          <cell r="I1071">
            <v>-36822</v>
          </cell>
          <cell r="J1071">
            <v>0</v>
          </cell>
          <cell r="K1071">
            <v>-36822</v>
          </cell>
          <cell r="L1071">
            <v>658013</v>
          </cell>
          <cell r="M1071">
            <v>1</v>
          </cell>
          <cell r="N1071"/>
          <cell r="O1071">
            <v>658013</v>
          </cell>
          <cell r="P1071"/>
          <cell r="Q1071"/>
          <cell r="R1071">
            <v>-2831</v>
          </cell>
          <cell r="S1071">
            <v>23000</v>
          </cell>
        </row>
        <row r="1072">
          <cell r="A1072">
            <v>661510</v>
          </cell>
          <cell r="B1072" t="str">
            <v>OVERDRAFT INTEREST AND BANK CHARGES</v>
          </cell>
          <cell r="C1072">
            <v>0</v>
          </cell>
          <cell r="D1072">
            <v>0</v>
          </cell>
          <cell r="E1072">
            <v>0</v>
          </cell>
          <cell r="F1072">
            <v>0</v>
          </cell>
          <cell r="G1072"/>
          <cell r="H1072"/>
          <cell r="I1072">
            <v>138.44</v>
          </cell>
          <cell r="J1072">
            <v>0</v>
          </cell>
          <cell r="K1072">
            <v>138.44</v>
          </cell>
          <cell r="L1072">
            <v>661510</v>
          </cell>
          <cell r="M1072">
            <v>1</v>
          </cell>
          <cell r="N1072"/>
          <cell r="O1072">
            <v>661510</v>
          </cell>
          <cell r="P1072"/>
          <cell r="Q1072"/>
          <cell r="R1072">
            <v>0</v>
          </cell>
          <cell r="S1072">
            <v>0</v>
          </cell>
        </row>
        <row r="1073">
          <cell r="A1073">
            <v>664011</v>
          </cell>
          <cell r="B1073" t="str">
            <v>Financial interests on lease liability Real estate</v>
          </cell>
          <cell r="C1073">
            <v>0</v>
          </cell>
          <cell r="D1073">
            <v>0</v>
          </cell>
          <cell r="E1073">
            <v>0</v>
          </cell>
          <cell r="F1073">
            <v>0</v>
          </cell>
          <cell r="G1073"/>
          <cell r="H1073"/>
          <cell r="I1073">
            <v>0</v>
          </cell>
          <cell r="J1073">
            <v>845902.66036682122</v>
          </cell>
          <cell r="K1073">
            <v>845902.66036682122</v>
          </cell>
          <cell r="L1073">
            <v>664011</v>
          </cell>
          <cell r="M1073">
            <v>1</v>
          </cell>
          <cell r="N1073"/>
          <cell r="O1073">
            <v>664011</v>
          </cell>
          <cell r="P1073"/>
          <cell r="Q1073"/>
          <cell r="R1073">
            <v>0</v>
          </cell>
          <cell r="S1073">
            <v>0</v>
          </cell>
        </row>
        <row r="1074">
          <cell r="A1074">
            <v>666000</v>
          </cell>
          <cell r="B1074" t="str">
            <v>EXCHANGE LOSSES</v>
          </cell>
          <cell r="C1074">
            <v>0</v>
          </cell>
          <cell r="D1074">
            <v>752849.6100000001</v>
          </cell>
          <cell r="E1074">
            <v>-345.9837499149653</v>
          </cell>
          <cell r="F1074">
            <v>752503.62625008519</v>
          </cell>
          <cell r="G1074"/>
          <cell r="H1074"/>
          <cell r="I1074">
            <v>346797.09</v>
          </cell>
          <cell r="J1074">
            <v>345.9837499149653</v>
          </cell>
          <cell r="K1074">
            <v>347143.073749915</v>
          </cell>
          <cell r="L1074">
            <v>666000</v>
          </cell>
          <cell r="M1074">
            <v>1</v>
          </cell>
          <cell r="N1074"/>
          <cell r="O1074">
            <v>666000</v>
          </cell>
          <cell r="P1074"/>
          <cell r="Q1074"/>
          <cell r="R1074">
            <v>21729.47</v>
          </cell>
          <cell r="S1074">
            <v>752503.62625008519</v>
          </cell>
        </row>
        <row r="1075">
          <cell r="A1075">
            <v>666400</v>
          </cell>
          <cell r="B1075" t="str">
            <v>Exchange loss from revaluation of custo</v>
          </cell>
          <cell r="C1075">
            <v>0</v>
          </cell>
          <cell r="D1075">
            <v>22322.07000000004</v>
          </cell>
          <cell r="E1075">
            <v>0</v>
          </cell>
          <cell r="F1075">
            <v>22322.07000000004</v>
          </cell>
          <cell r="G1075"/>
          <cell r="H1075"/>
          <cell r="I1075">
            <v>158928.22</v>
          </cell>
          <cell r="J1075">
            <v>0</v>
          </cell>
          <cell r="K1075">
            <v>158928.22</v>
          </cell>
          <cell r="L1075">
            <v>666400</v>
          </cell>
          <cell r="M1075">
            <v>1</v>
          </cell>
          <cell r="N1075"/>
          <cell r="O1075">
            <v>666400</v>
          </cell>
          <cell r="P1075"/>
          <cell r="Q1075"/>
          <cell r="R1075">
            <v>448815.8</v>
          </cell>
          <cell r="S1075">
            <v>22322.07000000004</v>
          </cell>
        </row>
        <row r="1076">
          <cell r="A1076">
            <v>681210</v>
          </cell>
          <cell r="B1076" t="str">
            <v>Depreciations and impairment right of use</v>
          </cell>
          <cell r="C1076">
            <v>0</v>
          </cell>
          <cell r="D1076">
            <v>0</v>
          </cell>
          <cell r="E1076">
            <v>0</v>
          </cell>
          <cell r="F1076">
            <v>0</v>
          </cell>
          <cell r="G1076"/>
          <cell r="H1076"/>
          <cell r="I1076">
            <v>0</v>
          </cell>
          <cell r="J1076">
            <v>3173732.0113862976</v>
          </cell>
          <cell r="K1076">
            <v>3173732.0113862976</v>
          </cell>
          <cell r="L1076">
            <v>681210</v>
          </cell>
          <cell r="M1076">
            <v>1</v>
          </cell>
          <cell r="N1076"/>
          <cell r="O1076">
            <v>681210</v>
          </cell>
          <cell r="P1076"/>
          <cell r="Q1076"/>
          <cell r="R1076">
            <v>0</v>
          </cell>
          <cell r="S1076">
            <v>0</v>
          </cell>
        </row>
        <row r="1077">
          <cell r="A1077">
            <v>695000</v>
          </cell>
          <cell r="B1077" t="str">
            <v>CORPORATE INCOME TAX</v>
          </cell>
          <cell r="C1077">
            <v>0</v>
          </cell>
          <cell r="D1077">
            <v>0</v>
          </cell>
          <cell r="E1077">
            <v>1064831.9473236464</v>
          </cell>
          <cell r="F1077">
            <v>1064831.9473236464</v>
          </cell>
          <cell r="G1077"/>
          <cell r="H1077"/>
          <cell r="I1077">
            <v>0</v>
          </cell>
          <cell r="J1077">
            <v>-1062486.9473236464</v>
          </cell>
          <cell r="K1077">
            <v>-1062486.9473236464</v>
          </cell>
          <cell r="L1077">
            <v>695000</v>
          </cell>
          <cell r="M1077">
            <v>1</v>
          </cell>
          <cell r="N1077"/>
          <cell r="O1077">
            <v>695000</v>
          </cell>
          <cell r="P1077"/>
          <cell r="Q1077"/>
          <cell r="R1077">
            <v>0</v>
          </cell>
          <cell r="S1077">
            <v>1064831.9473236464</v>
          </cell>
        </row>
        <row r="1078">
          <cell r="A1078">
            <v>695900</v>
          </cell>
          <cell r="B1078" t="str">
            <v>DEFERRED TAX CHARGES</v>
          </cell>
          <cell r="C1078">
            <v>0</v>
          </cell>
          <cell r="D1078">
            <v>3702357</v>
          </cell>
          <cell r="E1078">
            <v>-9213134.1806400008</v>
          </cell>
          <cell r="F1078">
            <v>-5510777.1806400008</v>
          </cell>
          <cell r="G1078"/>
          <cell r="H1078"/>
          <cell r="I1078">
            <v>-259101.22</v>
          </cell>
          <cell r="J1078">
            <v>6446450.2206400009</v>
          </cell>
          <cell r="K1078">
            <v>6187349.0006400011</v>
          </cell>
          <cell r="L1078">
            <v>695900</v>
          </cell>
          <cell r="M1078">
            <v>1</v>
          </cell>
          <cell r="N1078"/>
          <cell r="O1078">
            <v>695900</v>
          </cell>
          <cell r="P1078"/>
          <cell r="Q1078"/>
          <cell r="R1078">
            <v>0</v>
          </cell>
          <cell r="S1078">
            <v>-5510777.1806400008</v>
          </cell>
        </row>
        <row r="1079">
          <cell r="A1079">
            <v>702310</v>
          </cell>
          <cell r="B1079" t="str">
            <v>Indirect IC Reinvoicing</v>
          </cell>
          <cell r="C1079">
            <v>0</v>
          </cell>
          <cell r="D1079">
            <v>-7000604</v>
          </cell>
          <cell r="E1079">
            <v>0</v>
          </cell>
          <cell r="F1079">
            <v>-7000604</v>
          </cell>
          <cell r="G1079"/>
          <cell r="H1079"/>
          <cell r="I1079">
            <v>15050592.5</v>
          </cell>
          <cell r="J1079">
            <v>0</v>
          </cell>
          <cell r="K1079">
            <v>15050592.5</v>
          </cell>
          <cell r="L1079">
            <v>702310</v>
          </cell>
          <cell r="M1079">
            <v>1</v>
          </cell>
          <cell r="N1079"/>
          <cell r="O1079">
            <v>702310</v>
          </cell>
          <cell r="P1079"/>
          <cell r="Q1079"/>
          <cell r="R1079">
            <v>3830755</v>
          </cell>
          <cell r="S1079">
            <v>-7000604</v>
          </cell>
        </row>
        <row r="1080">
          <cell r="A1080">
            <v>704040</v>
          </cell>
          <cell r="B1080" t="str">
            <v>Interest income on Cash at Bank-Other</v>
          </cell>
          <cell r="C1080">
            <v>0</v>
          </cell>
          <cell r="D1080">
            <v>-15878069.190000001</v>
          </cell>
          <cell r="E1080">
            <v>0</v>
          </cell>
          <cell r="F1080">
            <v>-15878069.190000001</v>
          </cell>
          <cell r="G1080"/>
          <cell r="H1080"/>
          <cell r="I1080">
            <v>-11683173.75</v>
          </cell>
          <cell r="J1080">
            <v>0</v>
          </cell>
          <cell r="K1080">
            <v>-11683173.75</v>
          </cell>
          <cell r="L1080">
            <v>704040</v>
          </cell>
          <cell r="M1080">
            <v>1</v>
          </cell>
          <cell r="N1080"/>
          <cell r="O1080">
            <v>704040</v>
          </cell>
          <cell r="P1080"/>
          <cell r="Q1080"/>
          <cell r="R1080">
            <v>-3514036.93</v>
          </cell>
          <cell r="S1080">
            <v>-15878069.190000001</v>
          </cell>
        </row>
        <row r="1081">
          <cell r="A1081">
            <v>704670</v>
          </cell>
          <cell r="B1081" t="str">
            <v>Other Financial Income</v>
          </cell>
          <cell r="C1081">
            <v>0</v>
          </cell>
          <cell r="D1081">
            <v>0</v>
          </cell>
          <cell r="E1081">
            <v>100000</v>
          </cell>
          <cell r="F1081">
            <v>100000</v>
          </cell>
          <cell r="G1081"/>
          <cell r="H1081"/>
          <cell r="I1081">
            <v>0</v>
          </cell>
          <cell r="J1081">
            <v>-100000</v>
          </cell>
          <cell r="K1081">
            <v>-100000</v>
          </cell>
          <cell r="L1081">
            <v>704670</v>
          </cell>
          <cell r="M1081">
            <v>1</v>
          </cell>
          <cell r="N1081"/>
          <cell r="O1081"/>
          <cell r="P1081"/>
          <cell r="Q1081"/>
          <cell r="R1081">
            <v>0</v>
          </cell>
          <cell r="S1081">
            <v>100000</v>
          </cell>
        </row>
        <row r="1082">
          <cell r="A1082">
            <v>706361</v>
          </cell>
          <cell r="B1082" t="str">
            <v>Sales of Services. Interco EXP</v>
          </cell>
          <cell r="C1082">
            <v>0</v>
          </cell>
          <cell r="D1082">
            <v>-13298075.340000002</v>
          </cell>
          <cell r="E1082">
            <v>0</v>
          </cell>
          <cell r="F1082">
            <v>-13298075.340000002</v>
          </cell>
          <cell r="G1082"/>
          <cell r="H1082"/>
          <cell r="I1082">
            <v>-13179627.279999999</v>
          </cell>
          <cell r="J1082">
            <v>0</v>
          </cell>
          <cell r="K1082">
            <v>-13179627.279999999</v>
          </cell>
          <cell r="L1082">
            <v>706361</v>
          </cell>
          <cell r="M1082">
            <v>1</v>
          </cell>
          <cell r="N1082"/>
          <cell r="O1082">
            <v>706361</v>
          </cell>
          <cell r="P1082"/>
          <cell r="Q1082"/>
          <cell r="R1082">
            <v>-3243133.36</v>
          </cell>
          <cell r="S1082">
            <v>-13298075.340000002</v>
          </cell>
        </row>
        <row r="1083">
          <cell r="A1083">
            <v>758000</v>
          </cell>
          <cell r="B1083" t="str">
            <v>INCOME FROM ORDINARY ACTIVITIES</v>
          </cell>
          <cell r="C1083">
            <v>0</v>
          </cell>
          <cell r="D1083">
            <v>0</v>
          </cell>
          <cell r="E1083">
            <v>0</v>
          </cell>
          <cell r="F1083">
            <v>0</v>
          </cell>
          <cell r="G1083"/>
          <cell r="H1083"/>
          <cell r="I1083">
            <v>-1.02</v>
          </cell>
          <cell r="J1083">
            <v>0</v>
          </cell>
          <cell r="K1083">
            <v>-1.02</v>
          </cell>
          <cell r="L1083" t="e">
            <v>#N/A</v>
          </cell>
          <cell r="M1083">
            <v>1</v>
          </cell>
          <cell r="N1083"/>
          <cell r="O1083" t="e">
            <v>#N/A</v>
          </cell>
          <cell r="P1083"/>
          <cell r="Q1083"/>
          <cell r="R1083">
            <v>-1.02</v>
          </cell>
          <cell r="S1083">
            <v>0</v>
          </cell>
        </row>
        <row r="1084">
          <cell r="A1084">
            <v>762510</v>
          </cell>
          <cell r="B1084" t="str">
            <v>Int Income-Personal Loan</v>
          </cell>
          <cell r="C1084">
            <v>0</v>
          </cell>
          <cell r="D1084">
            <v>-6596</v>
          </cell>
          <cell r="E1084">
            <v>917</v>
          </cell>
          <cell r="F1084">
            <v>-5679</v>
          </cell>
          <cell r="G1084"/>
          <cell r="H1084"/>
          <cell r="I1084">
            <v>-250</v>
          </cell>
          <cell r="J1084">
            <v>-917</v>
          </cell>
          <cell r="K1084">
            <v>-1167</v>
          </cell>
          <cell r="L1084">
            <v>762510</v>
          </cell>
          <cell r="M1084">
            <v>1</v>
          </cell>
          <cell r="N1084"/>
          <cell r="O1084">
            <v>762510</v>
          </cell>
          <cell r="P1084"/>
          <cell r="Q1084"/>
          <cell r="R1084">
            <v>0</v>
          </cell>
          <cell r="S1084">
            <v>-5679</v>
          </cell>
        </row>
        <row r="1085">
          <cell r="A1085">
            <v>766000</v>
          </cell>
          <cell r="B1085" t="str">
            <v>EXCHANGE GAINS</v>
          </cell>
          <cell r="C1085">
            <v>0</v>
          </cell>
          <cell r="D1085">
            <v>-1237022.0699999998</v>
          </cell>
          <cell r="E1085">
            <v>1084.4025717208715</v>
          </cell>
          <cell r="F1085">
            <v>-1235937.6674282791</v>
          </cell>
          <cell r="G1085"/>
          <cell r="H1085"/>
          <cell r="I1085">
            <v>-520498.22</v>
          </cell>
          <cell r="J1085">
            <v>-1084.4025717208715</v>
          </cell>
          <cell r="K1085">
            <v>-521582.62257172086</v>
          </cell>
          <cell r="L1085">
            <v>766000</v>
          </cell>
          <cell r="M1085">
            <v>1</v>
          </cell>
          <cell r="N1085"/>
          <cell r="O1085">
            <v>766000</v>
          </cell>
          <cell r="P1085"/>
          <cell r="Q1085"/>
          <cell r="R1085">
            <v>-58901.55</v>
          </cell>
          <cell r="S1085">
            <v>-1235937.6674282791</v>
          </cell>
        </row>
        <row r="1086">
          <cell r="A1086">
            <v>766200</v>
          </cell>
          <cell r="B1086" t="str">
            <v>Non-realized exchange gain</v>
          </cell>
          <cell r="C1086">
            <v>0</v>
          </cell>
          <cell r="D1086">
            <v>0</v>
          </cell>
          <cell r="E1086">
            <v>238025.14999999967</v>
          </cell>
          <cell r="F1086">
            <v>238025.14999999967</v>
          </cell>
          <cell r="G1086"/>
          <cell r="H1086"/>
          <cell r="I1086">
            <v>267596.67</v>
          </cell>
          <cell r="J1086">
            <v>-238025.14999999967</v>
          </cell>
          <cell r="K1086">
            <v>29571.52000000031</v>
          </cell>
          <cell r="L1086">
            <v>766200</v>
          </cell>
          <cell r="M1086">
            <v>1</v>
          </cell>
          <cell r="N1086"/>
          <cell r="O1086">
            <v>766200</v>
          </cell>
          <cell r="P1086"/>
          <cell r="Q1086"/>
          <cell r="R1086">
            <v>0</v>
          </cell>
          <cell r="S1086">
            <v>238025.14999999967</v>
          </cell>
        </row>
        <row r="1087">
          <cell r="A1087">
            <v>766300</v>
          </cell>
          <cell r="B1087" t="str">
            <v>Exchange gain from revaluation of bank and current</v>
          </cell>
          <cell r="C1087">
            <v>0</v>
          </cell>
          <cell r="D1087">
            <v>13702.719999999992</v>
          </cell>
          <cell r="E1087">
            <v>0</v>
          </cell>
          <cell r="F1087">
            <v>13702.719999999992</v>
          </cell>
          <cell r="G1087"/>
          <cell r="H1087"/>
          <cell r="I1087">
            <v>-101645.56</v>
          </cell>
          <cell r="J1087">
            <v>0</v>
          </cell>
          <cell r="K1087">
            <v>-101645.56</v>
          </cell>
          <cell r="L1087">
            <v>766300</v>
          </cell>
          <cell r="M1087">
            <v>1</v>
          </cell>
          <cell r="N1087"/>
          <cell r="O1087">
            <v>766300</v>
          </cell>
          <cell r="P1087"/>
          <cell r="Q1087"/>
          <cell r="R1087">
            <v>-101645.56</v>
          </cell>
          <cell r="S1087">
            <v>13702.719999999992</v>
          </cell>
        </row>
        <row r="1088">
          <cell r="A1088">
            <v>766400</v>
          </cell>
          <cell r="B1088" t="str">
            <v>Exchange gain from revaluation of custo</v>
          </cell>
          <cell r="C1088">
            <v>0</v>
          </cell>
          <cell r="D1088">
            <v>448399.38</v>
          </cell>
          <cell r="E1088">
            <v>0</v>
          </cell>
          <cell r="F1088">
            <v>448399.38</v>
          </cell>
          <cell r="G1088"/>
          <cell r="H1088"/>
          <cell r="I1088">
            <v>-491362.79</v>
          </cell>
          <cell r="J1088">
            <v>0</v>
          </cell>
          <cell r="K1088">
            <v>-491362.79</v>
          </cell>
          <cell r="L1088">
            <v>766400</v>
          </cell>
          <cell r="M1088">
            <v>1</v>
          </cell>
          <cell r="N1088"/>
          <cell r="O1088">
            <v>766400</v>
          </cell>
          <cell r="P1088"/>
          <cell r="Q1088"/>
          <cell r="R1088">
            <v>-920507</v>
          </cell>
          <cell r="S1088">
            <v>448399.38</v>
          </cell>
        </row>
        <row r="1089">
          <cell r="A1089">
            <v>762511</v>
          </cell>
          <cell r="B1089" t="str">
            <v>Interest Income-Deposits</v>
          </cell>
          <cell r="C1089">
            <v>0</v>
          </cell>
          <cell r="D1089">
            <v>0</v>
          </cell>
          <cell r="E1089">
            <v>0</v>
          </cell>
          <cell r="F1089">
            <v>0</v>
          </cell>
          <cell r="G1089"/>
          <cell r="H1089"/>
          <cell r="I1089">
            <v>0</v>
          </cell>
          <cell r="J1089">
            <v>-158934.20789983301</v>
          </cell>
          <cell r="K1089">
            <v>-158934.20789983301</v>
          </cell>
          <cell r="L1089">
            <v>762511</v>
          </cell>
          <cell r="M1089">
            <v>1</v>
          </cell>
          <cell r="N1089"/>
          <cell r="O1089">
            <v>762511</v>
          </cell>
          <cell r="P1089"/>
          <cell r="Q1089"/>
          <cell r="R1089">
            <v>0</v>
          </cell>
          <cell r="S1089">
            <v>0</v>
          </cell>
        </row>
        <row r="1090">
          <cell r="A1090">
            <v>779000</v>
          </cell>
          <cell r="B1090" t="str">
            <v>Revenue Offshore Netting Billing</v>
          </cell>
          <cell r="C1090">
            <v>0</v>
          </cell>
          <cell r="D1090">
            <v>-1847532.0800000005</v>
          </cell>
          <cell r="E1090">
            <v>626238.73126984143</v>
          </cell>
          <cell r="F1090">
            <v>-1221293.348730159</v>
          </cell>
          <cell r="G1090"/>
          <cell r="H1090"/>
          <cell r="I1090">
            <v>-1706266.84</v>
          </cell>
          <cell r="J1090">
            <v>-626238.73126984143</v>
          </cell>
          <cell r="K1090">
            <v>-2332505.5712698414</v>
          </cell>
          <cell r="L1090">
            <v>779000</v>
          </cell>
          <cell r="M1090">
            <v>1</v>
          </cell>
          <cell r="N1090"/>
          <cell r="O1090">
            <v>779000</v>
          </cell>
          <cell r="P1090"/>
          <cell r="Q1090"/>
          <cell r="R1090">
            <v>-689390.05</v>
          </cell>
          <cell r="S1090">
            <v>-1221293.348730159</v>
          </cell>
        </row>
        <row r="1091">
          <cell r="A1091"/>
          <cell r="B1091"/>
          <cell r="C1091"/>
          <cell r="D1091"/>
          <cell r="E1091"/>
          <cell r="F1091"/>
          <cell r="G1091"/>
          <cell r="H1091"/>
          <cell r="I1091"/>
          <cell r="J1091"/>
          <cell r="K1091"/>
          <cell r="L1091"/>
          <cell r="M1091"/>
          <cell r="O1091"/>
          <cell r="P1091"/>
          <cell r="Q1091"/>
          <cell r="R1091"/>
        </row>
        <row r="1092">
          <cell r="A1092"/>
          <cell r="B1092"/>
          <cell r="C1092"/>
          <cell r="D1092"/>
          <cell r="E1092"/>
          <cell r="F1092"/>
          <cell r="G1092"/>
          <cell r="H1092"/>
          <cell r="I1092"/>
          <cell r="J1092"/>
          <cell r="K1092"/>
          <cell r="L1092"/>
          <cell r="M1092"/>
          <cell r="O1092"/>
          <cell r="P1092"/>
          <cell r="Q1092"/>
          <cell r="R1092"/>
        </row>
      </sheetData>
      <sheetData sheetId="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Cover page"/>
      <sheetName val="Index"/>
      <sheetName val="Restatement"/>
      <sheetName val="BS"/>
      <sheetName val="Sch - BS"/>
      <sheetName val="BS Gr"/>
      <sheetName val="PL"/>
      <sheetName val="PL Gr"/>
      <sheetName val="Macro1"/>
      <sheetName val="Sch - PL"/>
      <sheetName val="CF"/>
      <sheetName val="Significant Accounting Poli New"/>
      <sheetName val="CF Working"/>
      <sheetName val="Statement of Equity "/>
      <sheetName val="Signi Acc Policy New"/>
      <sheetName val="Note 3 - 4"/>
      <sheetName val="Note 5-9"/>
      <sheetName val="Note 8 - Current Investment"/>
      <sheetName val="Note 10 - 17"/>
      <sheetName val="Note 18-26"/>
      <sheetName val="Note 27 Segment Reporting"/>
      <sheetName val="Notes 28-35"/>
      <sheetName val="Ratio Working"/>
      <sheetName val="Entries' 22-23"/>
      <sheetName val="TB for financial"/>
      <sheetName val="People Soft to Nessie to IRIS"/>
      <sheetName val="OCI"/>
      <sheetName val="Sch - FA"/>
      <sheetName val="FA Working 21-22"/>
      <sheetName val="FA Working_20-21"/>
      <sheetName val="TB Download"/>
      <sheetName val="SAP TB"/>
      <sheetName val="BSPL Grouping"/>
      <sheetName val="IND AS entries 22-23"/>
      <sheetName val="IND AS_TB18-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row r="1">
          <cell r="A1" t="str">
            <v>Syntel Solutions (India) Private Limited</v>
          </cell>
        </row>
        <row r="2">
          <cell r="A2" t="str">
            <v>Annexure to Grouping 31st March 2023</v>
          </cell>
        </row>
        <row r="4">
          <cell r="A4" t="str">
            <v>GL Code</v>
          </cell>
          <cell r="B4" t="str">
            <v>Particulars</v>
          </cell>
        </row>
        <row r="5">
          <cell r="A5">
            <v>100000</v>
          </cell>
          <cell r="B5" t="str">
            <v>TDR reclassed &gt; 3 months</v>
          </cell>
        </row>
        <row r="6">
          <cell r="A6">
            <v>100001</v>
          </cell>
          <cell r="B6" t="str">
            <v>TDR above 1 year - Non current ass</v>
          </cell>
        </row>
        <row r="7">
          <cell r="A7">
            <v>100300</v>
          </cell>
          <cell r="B7" t="str">
            <v>Bank-Dean Witter</v>
          </cell>
        </row>
        <row r="8">
          <cell r="A8">
            <v>100301</v>
          </cell>
          <cell r="B8" t="str">
            <v>JP Morgan - CAD Bank Account</v>
          </cell>
        </row>
        <row r="9">
          <cell r="A9">
            <v>100302</v>
          </cell>
          <cell r="B9" t="str">
            <v>Barclays Bank PLC - Wealth</v>
          </cell>
        </row>
        <row r="10">
          <cell r="A10">
            <v>100303</v>
          </cell>
          <cell r="B10" t="str">
            <v>Barclays Bank PLC - USD EEFC</v>
          </cell>
        </row>
        <row r="11">
          <cell r="A11">
            <v>100304</v>
          </cell>
          <cell r="B11" t="str">
            <v>Barclays Bank PLC - USD FC</v>
          </cell>
        </row>
        <row r="12">
          <cell r="A12">
            <v>100305</v>
          </cell>
          <cell r="B12" t="str">
            <v>Bank One Canada-Syntel Inc</v>
          </cell>
        </row>
        <row r="13">
          <cell r="A13">
            <v>100314</v>
          </cell>
          <cell r="B13" t="str">
            <v>Axis Bank - USD FCY</v>
          </cell>
        </row>
        <row r="14">
          <cell r="A14">
            <v>100320</v>
          </cell>
          <cell r="B14" t="str">
            <v>HDFC Bank -USD EEFC</v>
          </cell>
        </row>
        <row r="15">
          <cell r="A15">
            <v>100325</v>
          </cell>
          <cell r="B15" t="str">
            <v xml:space="preserve">HDFC Bank -USD FC </v>
          </cell>
        </row>
        <row r="16">
          <cell r="A16">
            <v>100327</v>
          </cell>
          <cell r="B16" t="str">
            <v>Standard Chartered -USD FC</v>
          </cell>
        </row>
        <row r="17">
          <cell r="A17">
            <v>100400</v>
          </cell>
          <cell r="B17" t="str">
            <v>Bank-NBD (Old)</v>
          </cell>
        </row>
        <row r="18">
          <cell r="A18">
            <v>100440</v>
          </cell>
          <cell r="B18" t="str">
            <v>Bank-NBD Deposit Account</v>
          </cell>
        </row>
        <row r="19">
          <cell r="A19">
            <v>100441</v>
          </cell>
          <cell r="B19" t="str">
            <v>Bank of America</v>
          </cell>
        </row>
        <row r="20">
          <cell r="A20">
            <v>100450</v>
          </cell>
          <cell r="B20" t="str">
            <v>Bank-NBD A/P Checks</v>
          </cell>
        </row>
        <row r="21">
          <cell r="A21">
            <v>100451</v>
          </cell>
          <cell r="B21" t="str">
            <v>JPMorgan Chase Bank N.A. Curre</v>
          </cell>
        </row>
        <row r="22">
          <cell r="A22">
            <v>100452</v>
          </cell>
          <cell r="B22" t="str">
            <v>JPMorgan Chase Bank N.A. Payro</v>
          </cell>
        </row>
        <row r="23">
          <cell r="A23">
            <v>100454</v>
          </cell>
          <cell r="B23" t="str">
            <v>JPMorgan Chase Bank N.A. FCY A</v>
          </cell>
        </row>
        <row r="24">
          <cell r="A24">
            <v>100460</v>
          </cell>
          <cell r="B24" t="str">
            <v>Bank-NBD Expense Checks</v>
          </cell>
        </row>
        <row r="25">
          <cell r="A25">
            <v>100470</v>
          </cell>
          <cell r="B25" t="str">
            <v>Bank-NBD Flexible Spending Ckg</v>
          </cell>
        </row>
        <row r="26">
          <cell r="A26">
            <v>100480</v>
          </cell>
          <cell r="B26" t="str">
            <v>Bank-NBD Escrow Checking Acct</v>
          </cell>
        </row>
        <row r="27">
          <cell r="A27">
            <v>100490</v>
          </cell>
          <cell r="B27" t="str">
            <v>Syntel Earthquake Relief Fund</v>
          </cell>
        </row>
        <row r="28">
          <cell r="A28">
            <v>100491</v>
          </cell>
          <cell r="B28" t="str">
            <v>Bank Of India - USD FCY</v>
          </cell>
        </row>
        <row r="29">
          <cell r="A29">
            <v>100492</v>
          </cell>
          <cell r="B29" t="str">
            <v>Allahabad Bank FD A/c</v>
          </cell>
        </row>
        <row r="30">
          <cell r="A30">
            <v>100493</v>
          </cell>
          <cell r="B30" t="str">
            <v>Yes Bank  Limited – FD  A/c</v>
          </cell>
        </row>
        <row r="31">
          <cell r="A31">
            <v>100500</v>
          </cell>
          <cell r="B31" t="str">
            <v>Metier Checking</v>
          </cell>
        </row>
        <row r="32">
          <cell r="A32">
            <v>100501</v>
          </cell>
          <cell r="B32" t="str">
            <v xml:space="preserve">Credit Agricole Indosuez INR </v>
          </cell>
        </row>
        <row r="33">
          <cell r="A33">
            <v>100502</v>
          </cell>
          <cell r="B33" t="str">
            <v>Bank of India - INR</v>
          </cell>
        </row>
        <row r="34">
          <cell r="A34">
            <v>100503</v>
          </cell>
          <cell r="B34" t="str">
            <v>State Bank of India - INR</v>
          </cell>
        </row>
        <row r="35">
          <cell r="A35">
            <v>100504</v>
          </cell>
          <cell r="B35" t="str">
            <v>Standard Chartered - INR Mumbai</v>
          </cell>
        </row>
        <row r="36">
          <cell r="A36">
            <v>100505</v>
          </cell>
          <cell r="B36" t="str">
            <v>American Express Bank - INR</v>
          </cell>
        </row>
        <row r="37">
          <cell r="A37">
            <v>100506</v>
          </cell>
          <cell r="B37" t="str">
            <v>ICICI Bank - INR</v>
          </cell>
        </row>
        <row r="38">
          <cell r="A38">
            <v>100507</v>
          </cell>
          <cell r="B38" t="str">
            <v>UCO Bank - INR</v>
          </cell>
        </row>
        <row r="39">
          <cell r="A39">
            <v>100508</v>
          </cell>
          <cell r="B39" t="str">
            <v>Credit Agricole Indosuez EEFC</v>
          </cell>
        </row>
        <row r="40">
          <cell r="A40">
            <v>100509</v>
          </cell>
          <cell r="B40" t="str">
            <v xml:space="preserve">Bank of India - EEFC </v>
          </cell>
        </row>
        <row r="41">
          <cell r="A41">
            <v>100510</v>
          </cell>
          <cell r="B41" t="str">
            <v>Metier Payroll</v>
          </cell>
        </row>
        <row r="42">
          <cell r="A42">
            <v>100511</v>
          </cell>
          <cell r="B42" t="str">
            <v>Bank One - USA CA</v>
          </cell>
        </row>
        <row r="43">
          <cell r="A43">
            <v>100513</v>
          </cell>
          <cell r="B43" t="str">
            <v>HDFC Bank Limited - INR</v>
          </cell>
        </row>
        <row r="44">
          <cell r="A44">
            <v>100514</v>
          </cell>
          <cell r="B44" t="str">
            <v>Kotak Bank- Current A/c</v>
          </cell>
        </row>
        <row r="45">
          <cell r="A45">
            <v>100515</v>
          </cell>
          <cell r="B45" t="str">
            <v>Kotak Bank-Fixed Deposits</v>
          </cell>
        </row>
        <row r="46">
          <cell r="A46">
            <v>100516</v>
          </cell>
          <cell r="B46" t="str">
            <v>PNB - Current A/c</v>
          </cell>
        </row>
        <row r="47">
          <cell r="A47">
            <v>100519</v>
          </cell>
          <cell r="B47" t="str">
            <v>Citibank</v>
          </cell>
        </row>
        <row r="48">
          <cell r="A48">
            <v>100520</v>
          </cell>
          <cell r="B48" t="str">
            <v>Metier Investments</v>
          </cell>
        </row>
        <row r="49">
          <cell r="A49">
            <v>100517</v>
          </cell>
          <cell r="B49" t="str">
            <v>PNB-Fixed Deposits</v>
          </cell>
        </row>
        <row r="50">
          <cell r="A50">
            <v>100521</v>
          </cell>
          <cell r="B50" t="str">
            <v>Bank of India - TDR</v>
          </cell>
        </row>
        <row r="51">
          <cell r="A51">
            <v>100522</v>
          </cell>
          <cell r="B51" t="str">
            <v>State Bank of India - TDR</v>
          </cell>
        </row>
        <row r="52">
          <cell r="A52">
            <v>100523</v>
          </cell>
          <cell r="B52" t="str">
            <v>Credit Agricole Indosuez - TDR</v>
          </cell>
        </row>
        <row r="53">
          <cell r="A53">
            <v>100524</v>
          </cell>
          <cell r="B53" t="str">
            <v>UCO Bank - TDR</v>
          </cell>
        </row>
        <row r="54">
          <cell r="A54">
            <v>100525</v>
          </cell>
          <cell r="B54" t="str">
            <v>Standard Chartered - INR Chennai</v>
          </cell>
        </row>
        <row r="55">
          <cell r="A55">
            <v>100526</v>
          </cell>
          <cell r="B55" t="str">
            <v>ICICI Bank - TDR</v>
          </cell>
        </row>
        <row r="56">
          <cell r="A56">
            <v>100527</v>
          </cell>
          <cell r="B56" t="str">
            <v>Bank of India - USD TDR</v>
          </cell>
        </row>
        <row r="57">
          <cell r="A57">
            <v>100528</v>
          </cell>
          <cell r="B57" t="str">
            <v>ICICI Bank - TDR - OBU</v>
          </cell>
        </row>
        <row r="58">
          <cell r="A58">
            <v>100529</v>
          </cell>
          <cell r="B58" t="str">
            <v>Reliance Floating Rate Fund</v>
          </cell>
        </row>
        <row r="59">
          <cell r="A59">
            <v>100530</v>
          </cell>
          <cell r="B59" t="str">
            <v>Punjab National Bank - USD TDR</v>
          </cell>
        </row>
        <row r="60">
          <cell r="A60">
            <v>100531</v>
          </cell>
          <cell r="B60" t="str">
            <v>Punjab National Bank</v>
          </cell>
        </row>
        <row r="61">
          <cell r="A61">
            <v>100533</v>
          </cell>
          <cell r="B61" t="str">
            <v>Standard Chartered Bank - TDR</v>
          </cell>
        </row>
        <row r="62">
          <cell r="A62">
            <v>100534</v>
          </cell>
          <cell r="B62" t="str">
            <v>HDFC Bank Limited -INR TDR</v>
          </cell>
        </row>
        <row r="63">
          <cell r="A63">
            <v>100535</v>
          </cell>
          <cell r="B63" t="str">
            <v>Corporation Bank - INR</v>
          </cell>
        </row>
        <row r="64">
          <cell r="A64">
            <v>100536</v>
          </cell>
          <cell r="B64" t="str">
            <v>Corporation Bank - INR TDR</v>
          </cell>
        </row>
        <row r="65">
          <cell r="A65">
            <v>100539</v>
          </cell>
          <cell r="B65" t="str">
            <v>Axis Bank - INR</v>
          </cell>
        </row>
        <row r="66">
          <cell r="A66">
            <v>100545</v>
          </cell>
          <cell r="B66" t="str">
            <v>Kotak Mahindra Bank-USD EEFC</v>
          </cell>
        </row>
        <row r="67">
          <cell r="A67">
            <v>100546</v>
          </cell>
          <cell r="B67" t="str">
            <v>Kotak Mahindra Bank-USD FCY</v>
          </cell>
        </row>
        <row r="68">
          <cell r="A68">
            <v>100540</v>
          </cell>
          <cell r="B68" t="str">
            <v>Axis Bank - INR TDR</v>
          </cell>
        </row>
        <row r="69">
          <cell r="A69">
            <v>100541</v>
          </cell>
          <cell r="B69" t="str">
            <v>Canara Bank TDR INR</v>
          </cell>
        </row>
        <row r="70">
          <cell r="A70">
            <v>100542</v>
          </cell>
          <cell r="B70" t="str">
            <v>Bank of Baroda-INR TDR A/c</v>
          </cell>
        </row>
        <row r="71">
          <cell r="A71">
            <v>100543</v>
          </cell>
          <cell r="B71" t="str">
            <v>Axis Mutual Fund</v>
          </cell>
        </row>
        <row r="72">
          <cell r="A72">
            <v>100547</v>
          </cell>
          <cell r="B72" t="str">
            <v>Peerlees Mutual Fund</v>
          </cell>
        </row>
        <row r="73">
          <cell r="A73">
            <v>100548</v>
          </cell>
          <cell r="B73" t="str">
            <v>L &amp; T Mutual Fund</v>
          </cell>
        </row>
        <row r="74">
          <cell r="A74">
            <v>100549</v>
          </cell>
          <cell r="B74" t="str">
            <v>Canara Robeco Mutual Fund</v>
          </cell>
        </row>
        <row r="75">
          <cell r="A75">
            <v>100550</v>
          </cell>
          <cell r="B75" t="str">
            <v>Baroda Pioneer Mutual Fund</v>
          </cell>
        </row>
        <row r="76">
          <cell r="A76">
            <v>100518</v>
          </cell>
          <cell r="B76" t="str">
            <v>Taurus Mutual Fund</v>
          </cell>
        </row>
        <row r="77">
          <cell r="A77">
            <v>100551</v>
          </cell>
          <cell r="B77" t="str">
            <v>HDFC High Int. Fund - Reg. Gr</v>
          </cell>
        </row>
        <row r="78">
          <cell r="A78">
            <v>100552</v>
          </cell>
          <cell r="B78" t="str">
            <v>Templeton India Inc. Fund - Gr</v>
          </cell>
        </row>
        <row r="79">
          <cell r="A79">
            <v>100553</v>
          </cell>
          <cell r="B79" t="str">
            <v>Templeton Floating Fund - ST</v>
          </cell>
        </row>
        <row r="80">
          <cell r="A80">
            <v>100554</v>
          </cell>
          <cell r="B80" t="str">
            <v>DSP ML - Bond Fund - Gr.</v>
          </cell>
        </row>
        <row r="81">
          <cell r="A81">
            <v>100555</v>
          </cell>
          <cell r="B81" t="str">
            <v>DSP ML Liquidity Fund - Gr</v>
          </cell>
        </row>
        <row r="82">
          <cell r="A82">
            <v>100556</v>
          </cell>
          <cell r="B82" t="str">
            <v>DSP ML Floating Fund - Gr</v>
          </cell>
        </row>
        <row r="83">
          <cell r="A83">
            <v>100557</v>
          </cell>
          <cell r="B83" t="str">
            <v>Prudential ICICI Floating - Gr</v>
          </cell>
        </row>
        <row r="84">
          <cell r="A84">
            <v>100558</v>
          </cell>
          <cell r="B84" t="str">
            <v>Grindlays Cash Fund - IP - Gr</v>
          </cell>
        </row>
        <row r="85">
          <cell r="A85">
            <v>100559</v>
          </cell>
          <cell r="B85" t="str">
            <v>HSBC Cash Fund - Growth</v>
          </cell>
        </row>
        <row r="86">
          <cell r="A86">
            <v>100560</v>
          </cell>
          <cell r="B86" t="str">
            <v>Reliance Treasury - IP - Gr</v>
          </cell>
        </row>
        <row r="87">
          <cell r="A87">
            <v>100561</v>
          </cell>
          <cell r="B87" t="str">
            <v>Reliance STerm Fund - Gr</v>
          </cell>
        </row>
        <row r="88">
          <cell r="A88">
            <v>100562</v>
          </cell>
          <cell r="B88" t="str">
            <v>TLHG TATA Liquid HIF - Gr</v>
          </cell>
        </row>
        <row r="89">
          <cell r="A89">
            <v>100563</v>
          </cell>
          <cell r="B89" t="str">
            <v>Kotak Liquid IP - Growth</v>
          </cell>
        </row>
        <row r="90">
          <cell r="A90">
            <v>100564</v>
          </cell>
          <cell r="B90" t="str">
            <v>Principal Cash Mgmt Fund</v>
          </cell>
        </row>
        <row r="91">
          <cell r="A91">
            <v>100565</v>
          </cell>
          <cell r="B91" t="str">
            <v>JM Short Term Fund - IP</v>
          </cell>
        </row>
        <row r="92">
          <cell r="A92">
            <v>100566</v>
          </cell>
          <cell r="B92" t="str">
            <v>Birla Bond Plus IP - Gr</v>
          </cell>
        </row>
        <row r="93">
          <cell r="A93">
            <v>100567</v>
          </cell>
          <cell r="B93" t="str">
            <v>Birla Cash Plus - IP - Gr</v>
          </cell>
        </row>
        <row r="94">
          <cell r="A94">
            <v>100568</v>
          </cell>
          <cell r="B94" t="str">
            <v>DSP ML ST Fund - Gr</v>
          </cell>
        </row>
        <row r="95">
          <cell r="A95">
            <v>100569</v>
          </cell>
          <cell r="B95" t="str">
            <v>Kotak KMMF - K Floater</v>
          </cell>
        </row>
        <row r="96">
          <cell r="A96">
            <v>100570</v>
          </cell>
          <cell r="B96" t="str">
            <v>Grindlays Floating Rate Fund - IP - Gr</v>
          </cell>
        </row>
        <row r="97">
          <cell r="A97">
            <v>100571</v>
          </cell>
          <cell r="B97" t="str">
            <v>Prudential ICICI Liquid - Gr</v>
          </cell>
        </row>
        <row r="98">
          <cell r="A98">
            <v>100572</v>
          </cell>
          <cell r="B98" t="str">
            <v>Templeton India Tresury Management</v>
          </cell>
        </row>
        <row r="99">
          <cell r="A99">
            <v>100573</v>
          </cell>
          <cell r="B99" t="str">
            <v>HDFC Floating Rate Income Fund</v>
          </cell>
        </row>
        <row r="100">
          <cell r="A100">
            <v>100574</v>
          </cell>
          <cell r="B100" t="str">
            <v>Birla Floating Rate Fund</v>
          </cell>
        </row>
        <row r="101">
          <cell r="A101">
            <v>100575</v>
          </cell>
          <cell r="B101" t="str">
            <v>Deutsche Insta Cash Plus Fund</v>
          </cell>
        </row>
        <row r="102">
          <cell r="A102">
            <v>100576</v>
          </cell>
          <cell r="B102" t="str">
            <v>Templeton Floating Rate Income</v>
          </cell>
        </row>
        <row r="103">
          <cell r="A103">
            <v>100577</v>
          </cell>
          <cell r="B103" t="str">
            <v>Kotak Long Term Floater</v>
          </cell>
        </row>
        <row r="104">
          <cell r="A104">
            <v>100578</v>
          </cell>
          <cell r="B104" t="str">
            <v>Deutsche InstaCash Instit Plan</v>
          </cell>
        </row>
        <row r="105">
          <cell r="A105">
            <v>100579</v>
          </cell>
          <cell r="B105" t="str">
            <v>Birla Floating Rate Fund Long</v>
          </cell>
        </row>
        <row r="106">
          <cell r="A106">
            <v>100580</v>
          </cell>
          <cell r="B106" t="str">
            <v>Grindlays Floating Rate Fund L</v>
          </cell>
        </row>
        <row r="107">
          <cell r="A107">
            <v>100581</v>
          </cell>
          <cell r="B107" t="str">
            <v>HDFC High Int. Fund - Reg. Gr</v>
          </cell>
        </row>
        <row r="108">
          <cell r="A108">
            <v>100582</v>
          </cell>
          <cell r="B108" t="str">
            <v>Principal Floating Rate Fund</v>
          </cell>
        </row>
        <row r="109">
          <cell r="A109">
            <v>100583</v>
          </cell>
          <cell r="B109" t="str">
            <v>UTI Liquid Cash Plan Fund</v>
          </cell>
        </row>
        <row r="110">
          <cell r="A110">
            <v>100584</v>
          </cell>
          <cell r="B110" t="str">
            <v>SBI Magnum Ins Inc-Sa</v>
          </cell>
        </row>
        <row r="111">
          <cell r="A111">
            <v>100586</v>
          </cell>
          <cell r="B111" t="str">
            <v>JM Floater Fund LTP P</v>
          </cell>
        </row>
        <row r="112">
          <cell r="A112">
            <v>100587</v>
          </cell>
          <cell r="B112" t="str">
            <v>Prudential ICICI STIP</v>
          </cell>
        </row>
        <row r="113">
          <cell r="A113">
            <v>100588</v>
          </cell>
          <cell r="B113" t="str">
            <v>Princ Float Rate Fund-FMP-IP-G</v>
          </cell>
        </row>
        <row r="114">
          <cell r="A114">
            <v>100589</v>
          </cell>
          <cell r="B114" t="str">
            <v>Prudential ICICI LT F</v>
          </cell>
        </row>
        <row r="115">
          <cell r="A115">
            <v>100590</v>
          </cell>
          <cell r="B115" t="str">
            <v>Prudential ICICI FMP</v>
          </cell>
        </row>
        <row r="116">
          <cell r="A116">
            <v>100593</v>
          </cell>
          <cell r="B116" t="str">
            <v>SCB TDR</v>
          </cell>
        </row>
        <row r="117">
          <cell r="A117">
            <v>100594</v>
          </cell>
          <cell r="B117" t="str">
            <v>LICMF Liquid Fund</v>
          </cell>
        </row>
        <row r="118">
          <cell r="A118">
            <v>100595</v>
          </cell>
          <cell r="B118" t="str">
            <v>SCB Liquidity Manager Plus</v>
          </cell>
        </row>
        <row r="119">
          <cell r="A119">
            <v>100597</v>
          </cell>
          <cell r="B119" t="str">
            <v>Sundaram BNP Paribas MF</v>
          </cell>
        </row>
        <row r="120">
          <cell r="A120">
            <v>100598</v>
          </cell>
          <cell r="B120" t="str">
            <v>ABN AMRO Mutual Func</v>
          </cell>
        </row>
        <row r="121">
          <cell r="A121">
            <v>100599</v>
          </cell>
          <cell r="B121" t="str">
            <v>Religare MF</v>
          </cell>
        </row>
        <row r="122">
          <cell r="A122">
            <v>100600</v>
          </cell>
          <cell r="B122" t="str">
            <v>IMG Cash</v>
          </cell>
        </row>
        <row r="123">
          <cell r="A123">
            <v>100601</v>
          </cell>
          <cell r="B123" t="str">
            <v>JP Morgan MF</v>
          </cell>
        </row>
        <row r="124">
          <cell r="A124">
            <v>100605</v>
          </cell>
          <cell r="B124" t="str">
            <v>JP Morgan Treasury Stock</v>
          </cell>
        </row>
        <row r="125">
          <cell r="A125">
            <v>100602</v>
          </cell>
          <cell r="B125" t="str">
            <v>Union KBC MF</v>
          </cell>
        </row>
        <row r="126">
          <cell r="A126">
            <v>100700</v>
          </cell>
          <cell r="B126" t="str">
            <v>Mutual Fund - Investments</v>
          </cell>
        </row>
        <row r="127">
          <cell r="A127">
            <v>100750</v>
          </cell>
          <cell r="B127" t="str">
            <v>Mutual Fund - One Group</v>
          </cell>
        </row>
        <row r="128">
          <cell r="A128">
            <v>100760</v>
          </cell>
          <cell r="B128" t="str">
            <v>Mutual Fund-First Union Securi</v>
          </cell>
        </row>
        <row r="129">
          <cell r="A129">
            <v>100761</v>
          </cell>
          <cell r="B129" t="str">
            <v>Mutual Fund - Wells Fargo Bank</v>
          </cell>
        </row>
        <row r="130">
          <cell r="A130">
            <v>100762</v>
          </cell>
          <cell r="B130" t="str">
            <v>CSFB - Mutual Fund</v>
          </cell>
        </row>
        <row r="131">
          <cell r="A131">
            <v>100763</v>
          </cell>
          <cell r="B131" t="str">
            <v>Standard Federal</v>
          </cell>
        </row>
        <row r="132">
          <cell r="A132">
            <v>100765</v>
          </cell>
          <cell r="B132" t="str">
            <v>Mutual Fund - Salomon Smith</v>
          </cell>
        </row>
        <row r="133">
          <cell r="A133">
            <v>100770</v>
          </cell>
          <cell r="B133" t="str">
            <v>Bear Stearns Securities Corp.</v>
          </cell>
        </row>
        <row r="134">
          <cell r="A134">
            <v>100780</v>
          </cell>
          <cell r="B134" t="str">
            <v>Mutual Fund-Escrow Investments</v>
          </cell>
        </row>
        <row r="135">
          <cell r="A135">
            <v>100800</v>
          </cell>
          <cell r="B135" t="str">
            <v>Petty Cash</v>
          </cell>
        </row>
        <row r="136">
          <cell r="A136">
            <v>100801</v>
          </cell>
          <cell r="B136" t="str">
            <v>Cash in Safe</v>
          </cell>
        </row>
        <row r="137">
          <cell r="A137">
            <v>100802</v>
          </cell>
          <cell r="B137" t="str">
            <v>Cash in Hand - Chennai</v>
          </cell>
        </row>
        <row r="138">
          <cell r="A138">
            <v>100803</v>
          </cell>
          <cell r="B138" t="str">
            <v>Cash in Safe,Chennai</v>
          </cell>
        </row>
        <row r="139">
          <cell r="A139">
            <v>100804</v>
          </cell>
          <cell r="B139" t="str">
            <v>Cash in Hand - Pune</v>
          </cell>
        </row>
        <row r="140">
          <cell r="A140">
            <v>100806</v>
          </cell>
          <cell r="B140" t="str">
            <v>Remittance in Transit</v>
          </cell>
        </row>
        <row r="141">
          <cell r="A141">
            <v>100807</v>
          </cell>
          <cell r="B141" t="str">
            <v>Forex Surrendered</v>
          </cell>
        </row>
        <row r="142">
          <cell r="A142">
            <v>101000</v>
          </cell>
          <cell r="B142" t="str">
            <v>Accounts Receivable - Trade</v>
          </cell>
        </row>
        <row r="143">
          <cell r="A143">
            <v>101001</v>
          </cell>
          <cell r="B143" t="str">
            <v>Accounts Receivable-Trade-IMG</v>
          </cell>
        </row>
        <row r="144">
          <cell r="A144">
            <v>101002</v>
          </cell>
          <cell r="B144" t="str">
            <v>Accts Receivable-Trade Metier</v>
          </cell>
        </row>
        <row r="145">
          <cell r="A145">
            <v>101003</v>
          </cell>
          <cell r="B145" t="str">
            <v>Account receivable Inter Com</v>
          </cell>
        </row>
        <row r="146">
          <cell r="A146">
            <v>101050</v>
          </cell>
          <cell r="B146" t="str">
            <v>Allowance for Doubtful Account</v>
          </cell>
        </row>
        <row r="147">
          <cell r="A147">
            <v>101052</v>
          </cell>
          <cell r="B147" t="str">
            <v>Allow for Dbtful Accts-Metier</v>
          </cell>
        </row>
        <row r="148">
          <cell r="A148">
            <v>101060</v>
          </cell>
          <cell r="B148" t="str">
            <v>Credit Reserve</v>
          </cell>
        </row>
        <row r="149">
          <cell r="A149">
            <v>101065</v>
          </cell>
          <cell r="B149" t="str">
            <v>Accounts Receivable - Accrued</v>
          </cell>
        </row>
        <row r="150">
          <cell r="A150">
            <v>101066</v>
          </cell>
          <cell r="B150" t="str">
            <v>Interco AR accruals</v>
          </cell>
        </row>
        <row r="151">
          <cell r="A151">
            <v>101090</v>
          </cell>
          <cell r="B151" t="str">
            <v>AR - Volume Rebate</v>
          </cell>
        </row>
        <row r="152">
          <cell r="A152">
            <v>101120</v>
          </cell>
          <cell r="B152" t="str">
            <v>Accounts Receivable - Advance</v>
          </cell>
        </row>
        <row r="153">
          <cell r="A153">
            <v>101130</v>
          </cell>
          <cell r="B153" t="str">
            <v>Accounts Receivables - Retaina</v>
          </cell>
        </row>
        <row r="154">
          <cell r="A154">
            <v>101150</v>
          </cell>
          <cell r="B154" t="str">
            <v>Accounts Receivable Other</v>
          </cell>
        </row>
        <row r="155">
          <cell r="A155">
            <v>101160</v>
          </cell>
          <cell r="B155" t="str">
            <v>Interest Receivable</v>
          </cell>
        </row>
        <row r="156">
          <cell r="A156">
            <v>101170</v>
          </cell>
          <cell r="B156" t="str">
            <v>A/R from Syntel UK</v>
          </cell>
        </row>
        <row r="157">
          <cell r="A157">
            <v>101180</v>
          </cell>
          <cell r="B157" t="str">
            <v>A/R from Syntel Singapore</v>
          </cell>
        </row>
        <row r="158">
          <cell r="A158">
            <v>101190</v>
          </cell>
          <cell r="B158" t="str">
            <v>Employee Loans</v>
          </cell>
        </row>
        <row r="159">
          <cell r="A159">
            <v>101200</v>
          </cell>
          <cell r="B159" t="str">
            <v>Transition Cost Defferal</v>
          </cell>
        </row>
        <row r="160">
          <cell r="A160">
            <v>101201</v>
          </cell>
          <cell r="B160" t="str">
            <v>No Sow- Cost Deferred</v>
          </cell>
        </row>
        <row r="161">
          <cell r="A161">
            <v>101202</v>
          </cell>
          <cell r="B161" t="str">
            <v>Deferred Cost-WIP</v>
          </cell>
        </row>
        <row r="162">
          <cell r="A162">
            <v>101309</v>
          </cell>
          <cell r="B162" t="str">
            <v>Employee F. Travel Adv-Jersey</v>
          </cell>
        </row>
        <row r="163">
          <cell r="A163">
            <v>101310</v>
          </cell>
          <cell r="B163" t="str">
            <v>Employee Travel Advances</v>
          </cell>
        </row>
        <row r="164">
          <cell r="A164">
            <v>101311</v>
          </cell>
          <cell r="B164" t="str">
            <v>Employee F.Travel Adv-US</v>
          </cell>
        </row>
        <row r="165">
          <cell r="A165">
            <v>101312</v>
          </cell>
          <cell r="B165" t="str">
            <v>Employee F.Travel Adv-UK</v>
          </cell>
        </row>
        <row r="166">
          <cell r="A166">
            <v>101313</v>
          </cell>
          <cell r="B166" t="str">
            <v>Employee F.Travel Adv-Germany</v>
          </cell>
        </row>
        <row r="167">
          <cell r="A167">
            <v>101314</v>
          </cell>
          <cell r="B167" t="str">
            <v>Employee F.Travel Adv-Sing.</v>
          </cell>
        </row>
        <row r="168">
          <cell r="A168">
            <v>101315</v>
          </cell>
          <cell r="B168" t="str">
            <v>Employee F.Travel Adv-Others</v>
          </cell>
        </row>
        <row r="169">
          <cell r="A169">
            <v>101316</v>
          </cell>
          <cell r="B169" t="str">
            <v>Employee F.Travel Settlement</v>
          </cell>
        </row>
        <row r="170">
          <cell r="A170">
            <v>101317</v>
          </cell>
          <cell r="B170" t="str">
            <v>Employee F.Travel Adv-Canada</v>
          </cell>
        </row>
        <row r="171">
          <cell r="A171">
            <v>101318</v>
          </cell>
          <cell r="B171" t="str">
            <v>Admin Expenses Advance</v>
          </cell>
        </row>
        <row r="172">
          <cell r="A172">
            <v>101320</v>
          </cell>
          <cell r="B172" t="str">
            <v>Employee Payroll Advances</v>
          </cell>
        </row>
        <row r="173">
          <cell r="A173">
            <v>101321</v>
          </cell>
          <cell r="B173" t="str">
            <v>Employee Vehicle Loans</v>
          </cell>
        </row>
        <row r="174">
          <cell r="A174">
            <v>101322</v>
          </cell>
          <cell r="B174" t="str">
            <v>Employee Housing Loans</v>
          </cell>
        </row>
        <row r="175">
          <cell r="A175">
            <v>101323</v>
          </cell>
          <cell r="B175" t="str">
            <v>Employee Other Loans</v>
          </cell>
        </row>
        <row r="176">
          <cell r="A176">
            <v>101324</v>
          </cell>
          <cell r="B176" t="str">
            <v>Employee Advances for Expenses</v>
          </cell>
        </row>
        <row r="177">
          <cell r="A177">
            <v>101325</v>
          </cell>
          <cell r="B177" t="str">
            <v>EMPLOYEES ACH/EFT REVERSAL</v>
          </cell>
        </row>
        <row r="178">
          <cell r="A178">
            <v>101326</v>
          </cell>
          <cell r="B178" t="str">
            <v>Insurance Claims Receivable</v>
          </cell>
        </row>
        <row r="179">
          <cell r="A179">
            <v>101327</v>
          </cell>
          <cell r="B179" t="str">
            <v>Critical CTR Loan</v>
          </cell>
        </row>
        <row r="180">
          <cell r="A180">
            <v>101328</v>
          </cell>
          <cell r="B180" t="str">
            <v>Employee Tuition Fee Loan</v>
          </cell>
        </row>
        <row r="181">
          <cell r="A181">
            <v>101329</v>
          </cell>
          <cell r="B181" t="str">
            <v>Employee Vehicle Loan</v>
          </cell>
        </row>
        <row r="182">
          <cell r="A182">
            <v>101330</v>
          </cell>
          <cell r="B182" t="str">
            <v>Recv from Terminated Employees</v>
          </cell>
        </row>
        <row r="183">
          <cell r="A183">
            <v>101331</v>
          </cell>
          <cell r="B183" t="str">
            <v>Employee Marriage Loan</v>
          </cell>
        </row>
        <row r="184">
          <cell r="A184">
            <v>101332</v>
          </cell>
          <cell r="B184" t="str">
            <v>Employee Lease Breakage Loan</v>
          </cell>
        </row>
        <row r="185">
          <cell r="A185">
            <v>101333</v>
          </cell>
          <cell r="B185" t="str">
            <v>Employee Medical Emergncy Loan</v>
          </cell>
        </row>
        <row r="186">
          <cell r="A186">
            <v>101334</v>
          </cell>
          <cell r="B186" t="str">
            <v>Emp. Natural Calamities Loan</v>
          </cell>
        </row>
        <row r="187">
          <cell r="A187">
            <v>101335</v>
          </cell>
          <cell r="B187" t="str">
            <v>Immigration Advances</v>
          </cell>
        </row>
        <row r="188">
          <cell r="A188">
            <v>101336</v>
          </cell>
          <cell r="B188" t="str">
            <v>Visa Fees Advances - USA</v>
          </cell>
        </row>
        <row r="189">
          <cell r="A189">
            <v>101337</v>
          </cell>
          <cell r="B189" t="str">
            <v>Visa Fees Advances - UK</v>
          </cell>
        </row>
        <row r="190">
          <cell r="A190">
            <v>101338</v>
          </cell>
          <cell r="B190" t="str">
            <v>Visa Fees Advances - Germany</v>
          </cell>
        </row>
        <row r="191">
          <cell r="A191">
            <v>101339</v>
          </cell>
          <cell r="B191" t="str">
            <v>Visa Fees Advances - Others</v>
          </cell>
        </row>
        <row r="192">
          <cell r="A192">
            <v>101340</v>
          </cell>
          <cell r="B192" t="str">
            <v>Sub-Contractor's Advance</v>
          </cell>
        </row>
        <row r="193">
          <cell r="A193">
            <v>101341</v>
          </cell>
          <cell r="B193" t="str">
            <v>Recoverable fr Syn Philippine</v>
          </cell>
        </row>
        <row r="194">
          <cell r="A194">
            <v>101342</v>
          </cell>
          <cell r="B194" t="str">
            <v>Advance Syntel Philippines</v>
          </cell>
        </row>
        <row r="195">
          <cell r="A195">
            <v>101360</v>
          </cell>
          <cell r="B195" t="str">
            <v>Stock Options Suspense - Earni</v>
          </cell>
        </row>
        <row r="196">
          <cell r="A196">
            <v>101361</v>
          </cell>
          <cell r="B196" t="str">
            <v>Stock Options Suspense - Deduc</v>
          </cell>
        </row>
        <row r="197">
          <cell r="A197">
            <v>101363</v>
          </cell>
          <cell r="B197" t="str">
            <v>Recover from Synt Switzerland</v>
          </cell>
        </row>
        <row r="198">
          <cell r="A198">
            <v>101366</v>
          </cell>
          <cell r="B198" t="str">
            <v>Recoverable from TSSPL</v>
          </cell>
        </row>
        <row r="199">
          <cell r="A199">
            <v>101367</v>
          </cell>
          <cell r="B199" t="str">
            <v>Advance - TSSPL</v>
          </cell>
        </row>
        <row r="200">
          <cell r="A200">
            <v>101368</v>
          </cell>
          <cell r="B200" t="str">
            <v>Advance - Syntel Canada</v>
          </cell>
        </row>
        <row r="201">
          <cell r="A201">
            <v>101369</v>
          </cell>
          <cell r="B201" t="str">
            <v>Recoverable from Syntel Canada</v>
          </cell>
        </row>
        <row r="202">
          <cell r="A202">
            <v>101370</v>
          </cell>
          <cell r="B202" t="str">
            <v>Officer Advances</v>
          </cell>
        </row>
        <row r="203">
          <cell r="A203">
            <v>101371</v>
          </cell>
          <cell r="B203" t="str">
            <v>Recoverable from Europe</v>
          </cell>
        </row>
        <row r="204">
          <cell r="A204">
            <v>101372</v>
          </cell>
          <cell r="B204" t="str">
            <v>Recoverable from Singapore</v>
          </cell>
        </row>
        <row r="205">
          <cell r="A205">
            <v>101373</v>
          </cell>
          <cell r="B205" t="str">
            <v>Recoverable from Syntel Germany</v>
          </cell>
        </row>
        <row r="206">
          <cell r="A206">
            <v>101374</v>
          </cell>
          <cell r="B206" t="str">
            <v>Recoverable from Syntel Inc.</v>
          </cell>
        </row>
        <row r="207">
          <cell r="A207">
            <v>101376</v>
          </cell>
          <cell r="B207" t="str">
            <v>Recoverable SIL</v>
          </cell>
        </row>
        <row r="208">
          <cell r="A208">
            <v>101377</v>
          </cell>
          <cell r="B208" t="str">
            <v>Recoverable from Syntel Delaware</v>
          </cell>
        </row>
        <row r="209">
          <cell r="A209">
            <v>101378</v>
          </cell>
          <cell r="B209" t="str">
            <v>Recoverable from Synt Sourcing</v>
          </cell>
        </row>
        <row r="210">
          <cell r="A210">
            <v>101379</v>
          </cell>
          <cell r="B210" t="str">
            <v>Recoverable from Synt Bestshor</v>
          </cell>
        </row>
        <row r="211">
          <cell r="A211">
            <v>101380</v>
          </cell>
          <cell r="B211" t="str">
            <v>Recoverable from Synt Global</v>
          </cell>
        </row>
        <row r="212">
          <cell r="A212">
            <v>101381</v>
          </cell>
          <cell r="B212" t="str">
            <v>Recoverable from Syntel Consulting</v>
          </cell>
        </row>
        <row r="213">
          <cell r="A213">
            <v>101382</v>
          </cell>
          <cell r="B213" t="str">
            <v>Recoverable from Syntel Intern</v>
          </cell>
        </row>
        <row r="214">
          <cell r="A214">
            <v>101383</v>
          </cell>
          <cell r="B214" t="str">
            <v>Recover from Direct Customer</v>
          </cell>
        </row>
        <row r="215">
          <cell r="A215">
            <v>101384</v>
          </cell>
          <cell r="B215" t="str">
            <v>Recoverabl Fm Syntel Australia</v>
          </cell>
        </row>
        <row r="216">
          <cell r="A216">
            <v>101385</v>
          </cell>
          <cell r="B216" t="str">
            <v>Advance - Syntel Australia</v>
          </cell>
        </row>
        <row r="217">
          <cell r="A217">
            <v>101386</v>
          </cell>
          <cell r="B217" t="str">
            <v>Advance to Direct Customers</v>
          </cell>
        </row>
        <row r="218">
          <cell r="A218">
            <v>101387</v>
          </cell>
          <cell r="B218" t="str">
            <v>Advance  - Syntel Limited</v>
          </cell>
        </row>
        <row r="219">
          <cell r="A219">
            <v>101388</v>
          </cell>
          <cell r="B219" t="str">
            <v>Advance from Synt Bestshores</v>
          </cell>
        </row>
        <row r="220">
          <cell r="A220">
            <v>101389</v>
          </cell>
          <cell r="B220" t="str">
            <v>Advnace Syntel Consulting</v>
          </cell>
        </row>
        <row r="221">
          <cell r="A221">
            <v>101390</v>
          </cell>
          <cell r="B221" t="str">
            <v>Other Misc Advances</v>
          </cell>
        </row>
        <row r="222">
          <cell r="A222">
            <v>101391</v>
          </cell>
          <cell r="B222" t="str">
            <v>Advance - Syntel Internat. P L</v>
          </cell>
        </row>
        <row r="223">
          <cell r="A223">
            <v>101392</v>
          </cell>
          <cell r="B223" t="str">
            <v>Advance - Syntel Sourcing P L</v>
          </cell>
        </row>
        <row r="224">
          <cell r="A224">
            <v>101393</v>
          </cell>
          <cell r="B224" t="str">
            <v>Advance - Syntel Inc.</v>
          </cell>
        </row>
        <row r="225">
          <cell r="A225">
            <v>101394</v>
          </cell>
          <cell r="B225" t="str">
            <v>Advance - Syntel Europe</v>
          </cell>
        </row>
        <row r="226">
          <cell r="A226">
            <v>101395</v>
          </cell>
          <cell r="B226" t="str">
            <v>Advance - Syntel Singapore</v>
          </cell>
        </row>
        <row r="227">
          <cell r="A227">
            <v>101396</v>
          </cell>
          <cell r="B227" t="str">
            <v>Advance - Syntel Germany</v>
          </cell>
        </row>
        <row r="228">
          <cell r="A228">
            <v>101397</v>
          </cell>
          <cell r="B228" t="str">
            <v>Advance - Syntel Delaware</v>
          </cell>
        </row>
        <row r="229">
          <cell r="A229">
            <v>101398</v>
          </cell>
          <cell r="B229" t="str">
            <v>Advance - Syntel Global P L</v>
          </cell>
        </row>
        <row r="230">
          <cell r="A230">
            <v>101399</v>
          </cell>
          <cell r="B230" t="str">
            <v>Provisions - Doubtful Advances</v>
          </cell>
        </row>
        <row r="231">
          <cell r="A231">
            <v>101400</v>
          </cell>
          <cell r="B231" t="str">
            <v>Recoverable fr Syn Netherland</v>
          </cell>
        </row>
        <row r="232">
          <cell r="A232">
            <v>101410</v>
          </cell>
          <cell r="B232" t="str">
            <v>Deposit</v>
          </cell>
        </row>
        <row r="233">
          <cell r="A233">
            <v>101415</v>
          </cell>
          <cell r="B233" t="str">
            <v>Prepaid Rent - Office</v>
          </cell>
        </row>
        <row r="234">
          <cell r="A234">
            <v>101416</v>
          </cell>
          <cell r="B234" t="str">
            <v>Prepaid Rent - Flat for Empl.</v>
          </cell>
        </row>
        <row r="235">
          <cell r="A235">
            <v>101417</v>
          </cell>
          <cell r="B235" t="str">
            <v>Prepaid Rent - Guest House</v>
          </cell>
        </row>
        <row r="236">
          <cell r="A236">
            <v>101418</v>
          </cell>
          <cell r="B236" t="str">
            <v>Prepaid Rent - Others</v>
          </cell>
        </row>
        <row r="237">
          <cell r="A237">
            <v>101420</v>
          </cell>
          <cell r="B237" t="str">
            <v>Prepaid Insurance</v>
          </cell>
        </row>
        <row r="238">
          <cell r="A238">
            <v>101421</v>
          </cell>
          <cell r="B238" t="str">
            <v>Prepaid Overseas Insu</v>
          </cell>
        </row>
        <row r="239">
          <cell r="A239">
            <v>101425</v>
          </cell>
          <cell r="B239" t="str">
            <v>Prepaid Prop Taxes</v>
          </cell>
        </row>
        <row r="240">
          <cell r="A240">
            <v>101430</v>
          </cell>
          <cell r="B240" t="str">
            <v>Prepaid Licenses</v>
          </cell>
        </row>
        <row r="241">
          <cell r="A241">
            <v>101435</v>
          </cell>
          <cell r="B241" t="str">
            <v>Prepaid Link expenses</v>
          </cell>
        </row>
        <row r="242">
          <cell r="A242">
            <v>101436</v>
          </cell>
          <cell r="B242" t="str">
            <v>Prepaid Internet Charges</v>
          </cell>
        </row>
        <row r="243">
          <cell r="A243">
            <v>101437</v>
          </cell>
          <cell r="B243" t="str">
            <v>Prepaid Membership fees</v>
          </cell>
        </row>
        <row r="244">
          <cell r="A244">
            <v>101438</v>
          </cell>
          <cell r="B244" t="str">
            <v>Prepaid Subscription fees</v>
          </cell>
        </row>
        <row r="245">
          <cell r="A245">
            <v>101439</v>
          </cell>
          <cell r="B245" t="str">
            <v>Prepaid Pager expenses</v>
          </cell>
        </row>
        <row r="246">
          <cell r="A246">
            <v>101440</v>
          </cell>
          <cell r="B246" t="str">
            <v>Prepaid BMC Taxes</v>
          </cell>
        </row>
        <row r="247">
          <cell r="A247">
            <v>101441</v>
          </cell>
          <cell r="B247" t="str">
            <v>Prepaid R&amp;M</v>
          </cell>
        </row>
        <row r="248">
          <cell r="A248">
            <v>101442</v>
          </cell>
          <cell r="B248" t="str">
            <v>Prepaid Rates &amp; Taxes</v>
          </cell>
        </row>
        <row r="249">
          <cell r="A249">
            <v>101443</v>
          </cell>
          <cell r="B249" t="str">
            <v>Prepaid Professional Fees</v>
          </cell>
        </row>
        <row r="250">
          <cell r="A250">
            <v>101444</v>
          </cell>
          <cell r="B250" t="str">
            <v>Prepaid Profession Tax Co.</v>
          </cell>
        </row>
        <row r="251">
          <cell r="A251">
            <v>101445</v>
          </cell>
          <cell r="B251" t="str">
            <v>Prepaid Locker Rent</v>
          </cell>
        </row>
        <row r="252">
          <cell r="A252">
            <v>101475</v>
          </cell>
          <cell r="B252" t="str">
            <v>Prepaid Other</v>
          </cell>
        </row>
        <row r="253">
          <cell r="A253">
            <v>101495</v>
          </cell>
          <cell r="B253" t="str">
            <v>Early Paymt Disc Def. - Int Co</v>
          </cell>
        </row>
        <row r="254">
          <cell r="A254">
            <v>101701</v>
          </cell>
          <cell r="B254" t="str">
            <v>MAH. SEZ - SGST Recoverable</v>
          </cell>
        </row>
        <row r="255">
          <cell r="A255">
            <v>101702</v>
          </cell>
          <cell r="B255" t="str">
            <v>MAH. SEZ - CGST Recoverable</v>
          </cell>
        </row>
        <row r="256">
          <cell r="A256">
            <v>101703</v>
          </cell>
          <cell r="B256" t="str">
            <v>MAH. SEZ - IGST Recoverable</v>
          </cell>
        </row>
        <row r="257">
          <cell r="A257">
            <v>101704</v>
          </cell>
          <cell r="B257" t="str">
            <v>MAH. NSEZ - SGST Recoverable</v>
          </cell>
        </row>
        <row r="258">
          <cell r="A258">
            <v>101705</v>
          </cell>
          <cell r="B258" t="str">
            <v>MAH. NSEZ - CGST Recoverable</v>
          </cell>
        </row>
        <row r="259">
          <cell r="A259">
            <v>101741</v>
          </cell>
          <cell r="B259" t="str">
            <v>Contra control account</v>
          </cell>
        </row>
        <row r="260">
          <cell r="A260">
            <v>101750</v>
          </cell>
          <cell r="B260" t="str">
            <v>Service Tax Recoverable - non</v>
          </cell>
        </row>
        <row r="261">
          <cell r="A261">
            <v>101760</v>
          </cell>
          <cell r="B261" t="str">
            <v>Service Tax Recoverable - non</v>
          </cell>
        </row>
        <row r="262">
          <cell r="A262">
            <v>101751</v>
          </cell>
          <cell r="B262" t="str">
            <v>Service Tax Refundable</v>
          </cell>
        </row>
        <row r="263">
          <cell r="A263">
            <v>101780</v>
          </cell>
          <cell r="B263" t="str">
            <v>Deferred Tax Assets - Current</v>
          </cell>
        </row>
        <row r="264">
          <cell r="A264">
            <v>101785</v>
          </cell>
          <cell r="B264" t="str">
            <v>Line of Credit-New2usa.com</v>
          </cell>
        </row>
        <row r="265">
          <cell r="A265">
            <v>101788</v>
          </cell>
          <cell r="B265" t="str">
            <v>Educational Cess Recoverable</v>
          </cell>
        </row>
        <row r="266">
          <cell r="A266">
            <v>101789</v>
          </cell>
          <cell r="B266" t="str">
            <v>Derivative Assets</v>
          </cell>
        </row>
        <row r="267">
          <cell r="A267">
            <v>101790</v>
          </cell>
          <cell r="B267" t="str">
            <v>Advance Tax Payments</v>
          </cell>
        </row>
        <row r="268">
          <cell r="A268">
            <v>101791</v>
          </cell>
          <cell r="B268" t="str">
            <v>CST Refundable</v>
          </cell>
        </row>
        <row r="269">
          <cell r="A269">
            <v>101792</v>
          </cell>
          <cell r="B269" t="str">
            <v>Vat recoverable</v>
          </cell>
        </row>
        <row r="270">
          <cell r="A270">
            <v>101365</v>
          </cell>
          <cell r="B270" t="str">
            <v>Service Tax Accrual Account</v>
          </cell>
        </row>
        <row r="271">
          <cell r="A271">
            <v>101793</v>
          </cell>
          <cell r="B271" t="str">
            <v>Service Tax Recoverable</v>
          </cell>
        </row>
        <row r="272">
          <cell r="A272">
            <v>101794</v>
          </cell>
          <cell r="B272" t="str">
            <v>Sales Tax Recoverable</v>
          </cell>
        </row>
        <row r="273">
          <cell r="A273">
            <v>101795</v>
          </cell>
          <cell r="B273" t="str">
            <v>Preliminary Expenses</v>
          </cell>
        </row>
        <row r="274">
          <cell r="A274">
            <v>101796</v>
          </cell>
          <cell r="B274" t="str">
            <v>Octroi Recoverable</v>
          </cell>
        </row>
        <row r="275">
          <cell r="A275">
            <v>101797</v>
          </cell>
          <cell r="B275" t="str">
            <v>VAT Recoverable ( Chennai)</v>
          </cell>
        </row>
        <row r="276">
          <cell r="A276">
            <v>101798</v>
          </cell>
          <cell r="B276" t="str">
            <v>Min Alt Tax Credit entitlement</v>
          </cell>
        </row>
        <row r="277">
          <cell r="A277">
            <v>101799</v>
          </cell>
          <cell r="B277" t="str">
            <v>S&amp;H Educational Cess Recover</v>
          </cell>
        </row>
        <row r="278">
          <cell r="A278">
            <v>101800</v>
          </cell>
          <cell r="B278" t="str">
            <v>DEPB/DBK Claims Receivable</v>
          </cell>
        </row>
        <row r="279">
          <cell r="A279">
            <v>101801</v>
          </cell>
          <cell r="B279" t="str">
            <v>Service Tax Recoverable - SEZ</v>
          </cell>
        </row>
        <row r="280">
          <cell r="A280">
            <v>101802</v>
          </cell>
          <cell r="B280" t="str">
            <v xml:space="preserve">Provision for doubtful Service tax recoverable </v>
          </cell>
        </row>
        <row r="281">
          <cell r="A281">
            <v>101803</v>
          </cell>
          <cell r="B281" t="str">
            <v>VAT Recoverable-SEZ purchase</v>
          </cell>
        </row>
        <row r="282">
          <cell r="A282">
            <v>101804</v>
          </cell>
          <cell r="B282" t="str">
            <v>VAT Recoverable-STPI purchase</v>
          </cell>
        </row>
        <row r="283">
          <cell r="A283">
            <v>101806</v>
          </cell>
          <cell r="B283" t="str">
            <v>Prov doubtful VAT reco-SEZ BS</v>
          </cell>
        </row>
        <row r="284">
          <cell r="A284">
            <v>101807</v>
          </cell>
          <cell r="B284" t="str">
            <v>Swacch Bharat Cess</v>
          </cell>
        </row>
        <row r="285">
          <cell r="A285">
            <v>101808</v>
          </cell>
          <cell r="B285" t="str">
            <v>Prov-Doubtful Octroi&amp;DEPB/DBK</v>
          </cell>
        </row>
        <row r="286">
          <cell r="A286">
            <v>101809</v>
          </cell>
          <cell r="B286" t="str">
            <v>Krishi Kalyan Cess Recoverable</v>
          </cell>
        </row>
        <row r="287">
          <cell r="A287">
            <v>101811</v>
          </cell>
          <cell r="B287" t="str">
            <v>Deposits - Electricity</v>
          </cell>
        </row>
        <row r="288">
          <cell r="A288">
            <v>101812</v>
          </cell>
          <cell r="B288" t="str">
            <v>Deposits - Water meter</v>
          </cell>
        </row>
        <row r="289">
          <cell r="A289">
            <v>101813</v>
          </cell>
          <cell r="B289" t="str">
            <v>Deposits - Telephone</v>
          </cell>
        </row>
        <row r="290">
          <cell r="A290">
            <v>101814</v>
          </cell>
          <cell r="B290" t="str">
            <v>Deposits - Cellphones</v>
          </cell>
        </row>
        <row r="291">
          <cell r="A291">
            <v>101815</v>
          </cell>
          <cell r="B291" t="str">
            <v>Deposits - Satellite Link</v>
          </cell>
        </row>
        <row r="292">
          <cell r="A292">
            <v>101816</v>
          </cell>
          <cell r="B292" t="str">
            <v>Deposits - Office Premises</v>
          </cell>
        </row>
        <row r="293">
          <cell r="A293">
            <v>101861</v>
          </cell>
          <cell r="B293" t="str">
            <v>JPMorgan Chase Bank FD</v>
          </cell>
        </row>
        <row r="294">
          <cell r="A294">
            <v>101872</v>
          </cell>
          <cell r="B294" t="str">
            <v>Prepaid rent - intrnl deposits</v>
          </cell>
        </row>
        <row r="295">
          <cell r="A295">
            <v>101817</v>
          </cell>
          <cell r="B295" t="str">
            <v>Deposits - Guest House</v>
          </cell>
        </row>
        <row r="296">
          <cell r="A296">
            <v>101818</v>
          </cell>
          <cell r="B296" t="str">
            <v>Deposits - Flat for Employees</v>
          </cell>
        </row>
        <row r="297">
          <cell r="A297">
            <v>101819</v>
          </cell>
          <cell r="B297" t="str">
            <v>Deposits - Petrol Pumps</v>
          </cell>
        </row>
        <row r="298">
          <cell r="A298">
            <v>101820</v>
          </cell>
          <cell r="B298" t="str">
            <v>Deposits - F &amp; F Hired</v>
          </cell>
        </row>
        <row r="299">
          <cell r="A299">
            <v>101821</v>
          </cell>
          <cell r="B299" t="str">
            <v>Deposits - Plants Hired</v>
          </cell>
        </row>
        <row r="300">
          <cell r="A300">
            <v>101822</v>
          </cell>
          <cell r="B300" t="str">
            <v>Deposits - Oriental - F Travel</v>
          </cell>
        </row>
        <row r="301">
          <cell r="A301">
            <v>101823</v>
          </cell>
          <cell r="B301" t="str">
            <v>Deposits - Oriental - Others</v>
          </cell>
        </row>
        <row r="302">
          <cell r="A302">
            <v>101824</v>
          </cell>
          <cell r="B302" t="str">
            <v>Deposits - Books</v>
          </cell>
        </row>
        <row r="303">
          <cell r="A303">
            <v>101825</v>
          </cell>
          <cell r="B303" t="str">
            <v>Deposits - Hospitals</v>
          </cell>
        </row>
        <row r="304">
          <cell r="A304">
            <v>101826</v>
          </cell>
          <cell r="B304" t="str">
            <v>Deposits - Membership</v>
          </cell>
        </row>
        <row r="305">
          <cell r="A305">
            <v>101827</v>
          </cell>
          <cell r="B305" t="str">
            <v>Deposits - Security Dep.</v>
          </cell>
        </row>
        <row r="306">
          <cell r="A306">
            <v>101828</v>
          </cell>
          <cell r="B306" t="str">
            <v>Deposits - Pagers</v>
          </cell>
        </row>
        <row r="307">
          <cell r="A307">
            <v>101829</v>
          </cell>
          <cell r="B307" t="str">
            <v>Deposits - Water Cooler Hired</v>
          </cell>
        </row>
        <row r="308">
          <cell r="A308">
            <v>101830</v>
          </cell>
          <cell r="B308" t="str">
            <v>Deposits - TATA AIG Overseas Insurance</v>
          </cell>
        </row>
        <row r="309">
          <cell r="A309">
            <v>101831</v>
          </cell>
          <cell r="B309" t="str">
            <v>Deposits - Bajaj Allianz</v>
          </cell>
        </row>
        <row r="310">
          <cell r="A310">
            <v>101832</v>
          </cell>
          <cell r="B310" t="str">
            <v>Deposits - Inter Company</v>
          </cell>
        </row>
        <row r="311">
          <cell r="A311">
            <v>101833</v>
          </cell>
          <cell r="B311" t="str">
            <v>Deposits-Sec. Dep. Canada Rev</v>
          </cell>
        </row>
        <row r="312">
          <cell r="A312">
            <v>101834</v>
          </cell>
          <cell r="B312" t="str">
            <v>Earnest Money Deposit</v>
          </cell>
        </row>
        <row r="313">
          <cell r="A313">
            <v>101835</v>
          </cell>
          <cell r="B313" t="str">
            <v>Deposit -Metlife</v>
          </cell>
        </row>
        <row r="314">
          <cell r="A314">
            <v>101836</v>
          </cell>
          <cell r="B314" t="str">
            <v>Deposit - ICICI Lombard</v>
          </cell>
        </row>
        <row r="315">
          <cell r="A315">
            <v>101837</v>
          </cell>
          <cell r="B315" t="str">
            <v>Deposit-HDFC ERGO General Ins</v>
          </cell>
        </row>
        <row r="316">
          <cell r="A316">
            <v>101838</v>
          </cell>
          <cell r="B316" t="str">
            <v>Deposit The New India Assuranc</v>
          </cell>
        </row>
        <row r="317">
          <cell r="A317">
            <v>101839</v>
          </cell>
          <cell r="B317" t="str">
            <v>Deposit-Futur Gener Life Insur</v>
          </cell>
        </row>
        <row r="318">
          <cell r="A318">
            <v>101843</v>
          </cell>
          <cell r="B318" t="str">
            <v>Regrou Non Cur Advanc Tax less</v>
          </cell>
        </row>
        <row r="319">
          <cell r="A319">
            <v>101848</v>
          </cell>
          <cell r="B319" t="str">
            <v>Regrou Non Cur Advance Tax add</v>
          </cell>
        </row>
        <row r="320">
          <cell r="A320">
            <v>101850</v>
          </cell>
          <cell r="B320" t="str">
            <v>Deposits - Inter Corporate</v>
          </cell>
        </row>
        <row r="321">
          <cell r="A321">
            <v>101851</v>
          </cell>
          <cell r="B321" t="str">
            <v>Provision for Doubtful Deposits</v>
          </cell>
        </row>
        <row r="322">
          <cell r="A322">
            <v>101852</v>
          </cell>
          <cell r="B322" t="str">
            <v>Deposit - Kotak M Old Mut Life</v>
          </cell>
        </row>
        <row r="323">
          <cell r="A323">
            <v>101853</v>
          </cell>
          <cell r="B323" t="str">
            <v>Deposit - United India Ins.</v>
          </cell>
        </row>
        <row r="324">
          <cell r="A324">
            <v>101858</v>
          </cell>
          <cell r="B324" t="str">
            <v>Deposit-National India Insuran</v>
          </cell>
        </row>
        <row r="325">
          <cell r="A325">
            <v>110020</v>
          </cell>
          <cell r="B325" t="str">
            <v>Automobiles</v>
          </cell>
        </row>
        <row r="326">
          <cell r="A326">
            <v>110025</v>
          </cell>
          <cell r="B326" t="str">
            <v>Automobile-Emp Vehicle Policy</v>
          </cell>
        </row>
        <row r="327">
          <cell r="A327">
            <v>110030</v>
          </cell>
          <cell r="B327" t="str">
            <v>Computer Equipment</v>
          </cell>
        </row>
        <row r="328">
          <cell r="A328">
            <v>110031</v>
          </cell>
          <cell r="B328" t="str">
            <v>CWIP – Computers</v>
          </cell>
        </row>
        <row r="329">
          <cell r="A329">
            <v>110035</v>
          </cell>
          <cell r="B329" t="str">
            <v>Office Building</v>
          </cell>
        </row>
        <row r="330">
          <cell r="A330">
            <v>110040</v>
          </cell>
          <cell r="B330" t="str">
            <v>Furniture and Fixtures</v>
          </cell>
        </row>
        <row r="331">
          <cell r="A331">
            <v>110050</v>
          </cell>
          <cell r="B331" t="str">
            <v>Leasehold Improvements</v>
          </cell>
        </row>
        <row r="332">
          <cell r="A332">
            <v>110055</v>
          </cell>
          <cell r="B332" t="str">
            <v>Leasehold Land - GDC</v>
          </cell>
        </row>
        <row r="333">
          <cell r="A333">
            <v>110060</v>
          </cell>
          <cell r="B333" t="str">
            <v>Communications Equipment</v>
          </cell>
        </row>
        <row r="334">
          <cell r="A334">
            <v>110061</v>
          </cell>
          <cell r="B334" t="str">
            <v>Air Conditioners</v>
          </cell>
        </row>
        <row r="335">
          <cell r="A335">
            <v>110062</v>
          </cell>
          <cell r="B335" t="str">
            <v>Electrical Equipments</v>
          </cell>
        </row>
        <row r="336">
          <cell r="A336">
            <v>110063</v>
          </cell>
          <cell r="B336" t="str">
            <v>Electrical Fittings</v>
          </cell>
        </row>
        <row r="337">
          <cell r="A337">
            <v>110064</v>
          </cell>
          <cell r="B337" t="str">
            <v>Office Equipments</v>
          </cell>
        </row>
        <row r="338">
          <cell r="A338">
            <v>110065</v>
          </cell>
          <cell r="B338" t="str">
            <v>Residential Property</v>
          </cell>
        </row>
        <row r="339">
          <cell r="A339">
            <v>110066</v>
          </cell>
          <cell r="B339" t="str">
            <v>CWIP – Air Conditioners</v>
          </cell>
        </row>
        <row r="340">
          <cell r="A340">
            <v>110067</v>
          </cell>
          <cell r="B340" t="str">
            <v>CWIP – Electrical Fittings</v>
          </cell>
        </row>
        <row r="341">
          <cell r="A341">
            <v>110068</v>
          </cell>
          <cell r="B341" t="str">
            <v>CWIP – Office equipment</v>
          </cell>
        </row>
        <row r="342">
          <cell r="A342">
            <v>110070</v>
          </cell>
          <cell r="B342" t="str">
            <v>Capitalized Software</v>
          </cell>
        </row>
        <row r="343">
          <cell r="A343">
            <v>110080</v>
          </cell>
          <cell r="B343" t="str">
            <v>Captilized Dev Costs-P/Soft</v>
          </cell>
        </row>
        <row r="344">
          <cell r="A344">
            <v>110085</v>
          </cell>
          <cell r="B344" t="str">
            <v>Capitalized Dev Costs-skillbay</v>
          </cell>
        </row>
        <row r="345">
          <cell r="A345">
            <v>110089</v>
          </cell>
          <cell r="B345" t="str">
            <v>CWIP - Computer Software</v>
          </cell>
        </row>
        <row r="346">
          <cell r="A346">
            <v>110090</v>
          </cell>
          <cell r="B346" t="str">
            <v xml:space="preserve">Metier Fixed Assets           </v>
          </cell>
        </row>
        <row r="347">
          <cell r="A347">
            <v>110091</v>
          </cell>
          <cell r="B347" t="str">
            <v>Capital work in Progress - GDC</v>
          </cell>
        </row>
        <row r="348">
          <cell r="A348">
            <v>110092</v>
          </cell>
          <cell r="B348" t="str">
            <v>Capital Advances-Regrouped</v>
          </cell>
        </row>
        <row r="349">
          <cell r="A349">
            <v>110093</v>
          </cell>
          <cell r="B349" t="str">
            <v>Capital work in Progress</v>
          </cell>
        </row>
        <row r="350">
          <cell r="A350">
            <v>110094</v>
          </cell>
          <cell r="B350" t="str">
            <v>CWIP - Communication equipment</v>
          </cell>
        </row>
        <row r="351">
          <cell r="A351">
            <v>110095</v>
          </cell>
          <cell r="B351" t="str">
            <v>IMG Fixed Assets</v>
          </cell>
        </row>
        <row r="352">
          <cell r="A352">
            <v>110096</v>
          </cell>
          <cell r="B352" t="str">
            <v>CWIP - Electrical equipments</v>
          </cell>
        </row>
        <row r="353">
          <cell r="A353">
            <v>110097</v>
          </cell>
          <cell r="B353" t="str">
            <v>CWIP - Furniture &amp; Fixtures</v>
          </cell>
        </row>
        <row r="354">
          <cell r="A354">
            <v>110099</v>
          </cell>
          <cell r="B354" t="str">
            <v>CWIP - Buildings</v>
          </cell>
        </row>
        <row r="355">
          <cell r="A355">
            <v>110098</v>
          </cell>
          <cell r="B355" t="str">
            <v>CWIP - Leasehold Improvements</v>
          </cell>
        </row>
        <row r="356">
          <cell r="A356">
            <v>110120</v>
          </cell>
          <cell r="B356" t="str">
            <v>Accumulated Dep-Automobile</v>
          </cell>
        </row>
        <row r="357">
          <cell r="A357">
            <v>110125</v>
          </cell>
          <cell r="B357" t="str">
            <v>Accumulat Dep-Auto-Emp Vehicle</v>
          </cell>
        </row>
        <row r="358">
          <cell r="A358">
            <v>110130</v>
          </cell>
          <cell r="B358" t="str">
            <v>Accumulated Dep-Computer</v>
          </cell>
        </row>
        <row r="359">
          <cell r="A359">
            <v>110135</v>
          </cell>
          <cell r="B359" t="str">
            <v>Accum Depn - Office Building</v>
          </cell>
        </row>
        <row r="360">
          <cell r="A360">
            <v>110140</v>
          </cell>
          <cell r="B360" t="str">
            <v>Accumulated Dep-Furniture</v>
          </cell>
        </row>
        <row r="361">
          <cell r="A361">
            <v>110150</v>
          </cell>
          <cell r="B361" t="str">
            <v>Accumulated Dep-LHI</v>
          </cell>
        </row>
        <row r="362">
          <cell r="A362">
            <v>110155</v>
          </cell>
          <cell r="B362" t="str">
            <v>Accumulated Dep-LHLand</v>
          </cell>
        </row>
        <row r="363">
          <cell r="A363">
            <v>110160</v>
          </cell>
          <cell r="B363" t="str">
            <v>Accumulated Dep-Comm.Eq.</v>
          </cell>
        </row>
        <row r="364">
          <cell r="A364">
            <v>110161</v>
          </cell>
          <cell r="B364" t="str">
            <v>Accumulated Dep-Air Con.</v>
          </cell>
        </row>
        <row r="365">
          <cell r="A365">
            <v>110162</v>
          </cell>
          <cell r="B365" t="str">
            <v>Accumulated Dep-Elec. Eq.</v>
          </cell>
        </row>
        <row r="366">
          <cell r="A366">
            <v>110163</v>
          </cell>
          <cell r="B366" t="str">
            <v>Accumulated Dep-Elec. Fit.</v>
          </cell>
        </row>
        <row r="367">
          <cell r="A367">
            <v>110164</v>
          </cell>
          <cell r="B367" t="str">
            <v>Accumulated Dep-Office Eq.</v>
          </cell>
        </row>
        <row r="368">
          <cell r="A368">
            <v>110165</v>
          </cell>
          <cell r="B368" t="str">
            <v>Accumulated Dep-Resi. Pr.</v>
          </cell>
        </row>
        <row r="369">
          <cell r="A369">
            <v>110170</v>
          </cell>
          <cell r="B369" t="str">
            <v>Accumulated Software Amortizat</v>
          </cell>
        </row>
        <row r="370">
          <cell r="A370">
            <v>110175</v>
          </cell>
          <cell r="B370" t="str">
            <v>Accum Amort-Cap Dev-P/Soft</v>
          </cell>
        </row>
        <row r="371">
          <cell r="A371">
            <v>110180</v>
          </cell>
          <cell r="B371" t="str">
            <v>Accum Amort-Cap Dev-Proj 98</v>
          </cell>
        </row>
        <row r="372">
          <cell r="A372">
            <v>110190</v>
          </cell>
          <cell r="B372" t="str">
            <v>Accum Depr-Metier</v>
          </cell>
        </row>
        <row r="373">
          <cell r="A373">
            <v>110195</v>
          </cell>
          <cell r="B373" t="str">
            <v>Accum Depr-IMG</v>
          </cell>
        </row>
        <row r="374">
          <cell r="A374">
            <v>110510</v>
          </cell>
          <cell r="B374" t="str">
            <v>Investment in Singapore</v>
          </cell>
        </row>
        <row r="375">
          <cell r="A375">
            <v>110520</v>
          </cell>
          <cell r="B375" t="str">
            <v>Investment in India</v>
          </cell>
        </row>
        <row r="376">
          <cell r="A376">
            <v>110530</v>
          </cell>
          <cell r="B376" t="str">
            <v>Investment in new2usa.com</v>
          </cell>
        </row>
        <row r="377">
          <cell r="A377">
            <v>110540</v>
          </cell>
          <cell r="B377" t="str">
            <v>Investment in skillbay.com</v>
          </cell>
        </row>
        <row r="378">
          <cell r="A378">
            <v>110550</v>
          </cell>
          <cell r="B378" t="str">
            <v>Investment in Textiles Online</v>
          </cell>
        </row>
        <row r="379">
          <cell r="A379">
            <v>110560</v>
          </cell>
          <cell r="B379" t="str">
            <v>Investment in Vianetta Commun</v>
          </cell>
        </row>
        <row r="380">
          <cell r="A380">
            <v>110570</v>
          </cell>
          <cell r="B380" t="str">
            <v>Investmnt in Utilitiesmart.com</v>
          </cell>
        </row>
        <row r="381">
          <cell r="A381">
            <v>110580</v>
          </cell>
          <cell r="B381" t="str">
            <v>Investment in Convergent Appli</v>
          </cell>
        </row>
        <row r="382">
          <cell r="A382">
            <v>110590</v>
          </cell>
          <cell r="B382" t="str">
            <v>Invst In Nekema.com</v>
          </cell>
        </row>
        <row r="383">
          <cell r="A383">
            <v>110591</v>
          </cell>
          <cell r="B383" t="str">
            <v>Syntel International Pref.Sh.3</v>
          </cell>
        </row>
        <row r="384">
          <cell r="A384">
            <v>110592</v>
          </cell>
          <cell r="B384" t="str">
            <v>Syntel Sourcing  Pref.Sh.3%</v>
          </cell>
        </row>
        <row r="385">
          <cell r="A385">
            <v>110593</v>
          </cell>
          <cell r="B385" t="str">
            <v>3% Pref Shares - SSBS</v>
          </cell>
        </row>
        <row r="386">
          <cell r="A386">
            <v>110594</v>
          </cell>
          <cell r="B386" t="str">
            <v>Syntel Global Pvt. Ltd Pref shares</v>
          </cell>
        </row>
        <row r="387">
          <cell r="A387">
            <v>110595</v>
          </cell>
          <cell r="B387" t="str">
            <v>Investment in Syntel Germany</v>
          </cell>
        </row>
        <row r="388">
          <cell r="A388">
            <v>110610</v>
          </cell>
          <cell r="B388" t="str">
            <v>Deferred Tax Assets - Long Ter</v>
          </cell>
        </row>
        <row r="389">
          <cell r="A389">
            <v>120101</v>
          </cell>
          <cell r="B389" t="str">
            <v>Goodwill-IMG</v>
          </cell>
        </row>
        <row r="390">
          <cell r="A390">
            <v>120201</v>
          </cell>
          <cell r="B390" t="str">
            <v>Goodwill Amortz-IMG</v>
          </cell>
        </row>
        <row r="391">
          <cell r="A391">
            <v>200010</v>
          </cell>
          <cell r="B391" t="str">
            <v>Accounts Payable</v>
          </cell>
        </row>
        <row r="392">
          <cell r="A392">
            <v>200011</v>
          </cell>
          <cell r="B392" t="str">
            <v>Capital Adv. Trfd</v>
          </cell>
        </row>
        <row r="393">
          <cell r="A393">
            <v>200012</v>
          </cell>
          <cell r="B393" t="str">
            <v>Advances to customers regrouped</v>
          </cell>
        </row>
        <row r="394">
          <cell r="A394">
            <v>200013</v>
          </cell>
          <cell r="B394" t="str">
            <v>Insurance claim payable</v>
          </cell>
        </row>
        <row r="395">
          <cell r="A395">
            <v>200014</v>
          </cell>
          <cell r="B395" t="str">
            <v>Other Payables</v>
          </cell>
        </row>
        <row r="396">
          <cell r="A396">
            <v>200015</v>
          </cell>
          <cell r="B396" t="str">
            <v>Provision for capital</v>
          </cell>
        </row>
        <row r="397">
          <cell r="A397">
            <v>200016</v>
          </cell>
          <cell r="B397" t="str">
            <v>Expenses Payable</v>
          </cell>
        </row>
        <row r="398">
          <cell r="A398">
            <v>200018</v>
          </cell>
          <cell r="B398" t="str">
            <v>ICICI Bank Control Account-Exp</v>
          </cell>
        </row>
        <row r="399">
          <cell r="A399">
            <v>200019</v>
          </cell>
          <cell r="B399" t="str">
            <v>Vendor balance - Revaluation</v>
          </cell>
        </row>
        <row r="400">
          <cell r="A400">
            <v>200021</v>
          </cell>
          <cell r="B400" t="str">
            <v>USBK1 Control Account</v>
          </cell>
        </row>
        <row r="401">
          <cell r="A401">
            <v>200022</v>
          </cell>
          <cell r="B401" t="str">
            <v>Vendor balance Reval Inter co</v>
          </cell>
        </row>
        <row r="402">
          <cell r="A402">
            <v>200026</v>
          </cell>
          <cell r="B402" t="str">
            <v>Adv from Customers - Inter Co</v>
          </cell>
        </row>
        <row r="403">
          <cell r="A403">
            <v>200041</v>
          </cell>
          <cell r="B403" t="str">
            <v>Accounts Payable-Inter Co</v>
          </cell>
        </row>
        <row r="404">
          <cell r="A404">
            <v>201005</v>
          </cell>
          <cell r="B404" t="str">
            <v>Accrued PC Purchases</v>
          </cell>
        </row>
        <row r="405">
          <cell r="A405">
            <v>201010</v>
          </cell>
          <cell r="B405" t="str">
            <v>Accrued Payroll</v>
          </cell>
        </row>
        <row r="406">
          <cell r="A406">
            <v>201015</v>
          </cell>
          <cell r="B406" t="str">
            <v>Accrued Bonus</v>
          </cell>
        </row>
        <row r="407">
          <cell r="A407">
            <v>201017</v>
          </cell>
          <cell r="B407" t="str">
            <v>Accrued Awards</v>
          </cell>
        </row>
        <row r="408">
          <cell r="A408">
            <v>201020</v>
          </cell>
          <cell r="B408" t="str">
            <v>Accrued Wages</v>
          </cell>
        </row>
        <row r="409">
          <cell r="A409">
            <v>201023</v>
          </cell>
          <cell r="B409" t="str">
            <v>Accrued Wages - Troy payroll</v>
          </cell>
        </row>
        <row r="410">
          <cell r="A410">
            <v>201035</v>
          </cell>
          <cell r="B410" t="str">
            <v>Accrued - Variable Pay</v>
          </cell>
        </row>
        <row r="411">
          <cell r="A411">
            <v>201030</v>
          </cell>
          <cell r="B411" t="str">
            <v>Accr Vacation Payout</v>
          </cell>
        </row>
        <row r="412">
          <cell r="A412">
            <v>201040</v>
          </cell>
          <cell r="B412" t="str">
            <v>Flexible Spending Liability</v>
          </cell>
        </row>
        <row r="413">
          <cell r="A413">
            <v>201045</v>
          </cell>
          <cell r="B413" t="str">
            <v>Accum Stock Purch-Oct-Sep</v>
          </cell>
        </row>
        <row r="414">
          <cell r="A414">
            <v>201046</v>
          </cell>
          <cell r="B414" t="str">
            <v>Accum Stock Plan-Apr-Mar</v>
          </cell>
        </row>
        <row r="415">
          <cell r="A415">
            <v>201047</v>
          </cell>
          <cell r="B415" t="str">
            <v>Accumulated Stock Plan</v>
          </cell>
        </row>
        <row r="416">
          <cell r="A416">
            <v>201050</v>
          </cell>
          <cell r="B416" t="str">
            <v>Accrued US Payroll Taxes</v>
          </cell>
        </row>
        <row r="417">
          <cell r="A417">
            <v>201052</v>
          </cell>
          <cell r="B417" t="str">
            <v>Accrued Canada Payroll Taxes</v>
          </cell>
        </row>
        <row r="418">
          <cell r="A418">
            <v>201065</v>
          </cell>
          <cell r="B418" t="str">
            <v>Accrued SBT</v>
          </cell>
        </row>
        <row r="419">
          <cell r="A419">
            <v>201066</v>
          </cell>
          <cell r="B419" t="str">
            <v>Accrued Tennesse</v>
          </cell>
        </row>
        <row r="420">
          <cell r="A420">
            <v>201070</v>
          </cell>
          <cell r="B420" t="str">
            <v>Accrued NM SUI</v>
          </cell>
        </row>
        <row r="421">
          <cell r="A421">
            <v>201075</v>
          </cell>
          <cell r="B421" t="str">
            <v>Tax Provision</v>
          </cell>
        </row>
        <row r="422">
          <cell r="A422">
            <v>201076</v>
          </cell>
          <cell r="B422" t="str">
            <v>VAT Taxes Payable</v>
          </cell>
        </row>
        <row r="423">
          <cell r="A423">
            <v>201080</v>
          </cell>
          <cell r="B423" t="str">
            <v>Withheld-401 (K)</v>
          </cell>
        </row>
        <row r="424">
          <cell r="A424">
            <v>201085</v>
          </cell>
          <cell r="B424" t="str">
            <v>W/H Friend of Cout</v>
          </cell>
        </row>
        <row r="425">
          <cell r="A425">
            <v>201101</v>
          </cell>
          <cell r="B425" t="str">
            <v>Accrued Bonus - Leadership</v>
          </cell>
        </row>
        <row r="426">
          <cell r="A426">
            <v>201102</v>
          </cell>
          <cell r="B426" t="str">
            <v>Accrued Bonus - Vertical Team</v>
          </cell>
        </row>
        <row r="427">
          <cell r="A427">
            <v>201103</v>
          </cell>
          <cell r="B427" t="str">
            <v>Accrued Bonus - Practice Team</v>
          </cell>
        </row>
        <row r="428">
          <cell r="A428">
            <v>201104</v>
          </cell>
          <cell r="B428" t="str">
            <v>Accrued Bonus - Engagement Mgr</v>
          </cell>
        </row>
        <row r="429">
          <cell r="A429">
            <v>201105</v>
          </cell>
          <cell r="B429" t="str">
            <v>Accrued Bonus - TIA for Revenu</v>
          </cell>
        </row>
        <row r="430">
          <cell r="A430">
            <v>201106</v>
          </cell>
          <cell r="B430" t="str">
            <v>Accrued Bonus - TIA for TCV</v>
          </cell>
        </row>
        <row r="431">
          <cell r="A431">
            <v>201107</v>
          </cell>
          <cell r="B431" t="str">
            <v>Accrued Bonus - Billable</v>
          </cell>
        </row>
        <row r="432">
          <cell r="A432">
            <v>201108</v>
          </cell>
          <cell r="B432" t="str">
            <v>Accrued Bonus - Corporate</v>
          </cell>
        </row>
        <row r="433">
          <cell r="A433">
            <v>201109</v>
          </cell>
          <cell r="B433" t="str">
            <v>Accrued Bonus - Others</v>
          </cell>
        </row>
        <row r="434">
          <cell r="A434">
            <v>201114</v>
          </cell>
          <cell r="B434" t="str">
            <v>HCA Billable Bonus</v>
          </cell>
        </row>
        <row r="435">
          <cell r="A435">
            <v>201115</v>
          </cell>
          <cell r="B435" t="str">
            <v>Prov for Increment-Comp/Bonus</v>
          </cell>
        </row>
        <row r="436">
          <cell r="A436">
            <v>201117</v>
          </cell>
          <cell r="B436" t="str">
            <v>Accrued Long term incentive Plan</v>
          </cell>
        </row>
        <row r="437">
          <cell r="A437">
            <v>201201</v>
          </cell>
          <cell r="B437" t="str">
            <v>Full &amp; Final Settlement</v>
          </cell>
        </row>
        <row r="438">
          <cell r="A438">
            <v>201202</v>
          </cell>
          <cell r="B438" t="str">
            <v>Provisions - FFS</v>
          </cell>
        </row>
        <row r="439">
          <cell r="A439">
            <v>201203</v>
          </cell>
          <cell r="B439" t="str">
            <v>Provision NPS-Co.Contribution</v>
          </cell>
        </row>
        <row r="440">
          <cell r="A440">
            <v>201211</v>
          </cell>
          <cell r="B440" t="str">
            <v>TDS - Employees - 2002-03</v>
          </cell>
        </row>
        <row r="441">
          <cell r="A441">
            <v>201212</v>
          </cell>
          <cell r="B441" t="str">
            <v>TDS - Employees - 2003-04</v>
          </cell>
        </row>
        <row r="442">
          <cell r="A442">
            <v>201213</v>
          </cell>
          <cell r="B442" t="str">
            <v>Withholding - Salarie</v>
          </cell>
        </row>
        <row r="443">
          <cell r="A443">
            <v>201214</v>
          </cell>
          <cell r="B443" t="str">
            <v>TDS - Employees - 2004-05</v>
          </cell>
        </row>
        <row r="444">
          <cell r="A444">
            <v>201215</v>
          </cell>
          <cell r="B444" t="str">
            <v>TDS - Employees - 2006-07</v>
          </cell>
        </row>
        <row r="445">
          <cell r="A445">
            <v>201221</v>
          </cell>
          <cell r="B445" t="str">
            <v>Provision PF - Co. Contribution</v>
          </cell>
        </row>
        <row r="446">
          <cell r="A446">
            <v>201222</v>
          </cell>
          <cell r="B446" t="str">
            <v>Provision ESIC - Co. Contribution</v>
          </cell>
        </row>
        <row r="447">
          <cell r="A447">
            <v>201223</v>
          </cell>
          <cell r="B447" t="str">
            <v>Provision MLWF - Co. Contribution</v>
          </cell>
        </row>
        <row r="448">
          <cell r="A448">
            <v>201224</v>
          </cell>
          <cell r="B448" t="str">
            <v>Provision CLWF - Co. Contribution</v>
          </cell>
        </row>
        <row r="449">
          <cell r="A449">
            <v>201225</v>
          </cell>
          <cell r="B449" t="str">
            <v>TSUNAMI Contribution from Emp</v>
          </cell>
        </row>
        <row r="450">
          <cell r="A450">
            <v>201226</v>
          </cell>
          <cell r="B450" t="str">
            <v>Accident Victim Fund</v>
          </cell>
        </row>
        <row r="451">
          <cell r="A451">
            <v>201228</v>
          </cell>
          <cell r="B451" t="str">
            <v>Liability VPF-Voluntary Deduct</v>
          </cell>
        </row>
        <row r="452">
          <cell r="A452">
            <v>201230</v>
          </cell>
          <cell r="B452" t="str">
            <v>Employee welfare trust</v>
          </cell>
        </row>
        <row r="453">
          <cell r="A453">
            <v>201231</v>
          </cell>
          <cell r="B453" t="str">
            <v>Liability Payroll Processed</v>
          </cell>
        </row>
        <row r="454">
          <cell r="A454">
            <v>201232</v>
          </cell>
          <cell r="B454" t="str">
            <v>Liability PF - Deduction</v>
          </cell>
        </row>
        <row r="455">
          <cell r="A455">
            <v>201233</v>
          </cell>
          <cell r="B455" t="str">
            <v>Liability ESIC - Deduction</v>
          </cell>
        </row>
        <row r="456">
          <cell r="A456">
            <v>201234</v>
          </cell>
          <cell r="B456" t="str">
            <v>Liability MLWF - Deduction</v>
          </cell>
        </row>
        <row r="457">
          <cell r="A457">
            <v>201235</v>
          </cell>
          <cell r="B457" t="str">
            <v>Liability CLWF - Deduction</v>
          </cell>
        </row>
        <row r="458">
          <cell r="A458">
            <v>201236</v>
          </cell>
          <cell r="B458" t="str">
            <v>Liability P Tax  - Deduction</v>
          </cell>
        </row>
        <row r="459">
          <cell r="A459">
            <v>201241</v>
          </cell>
          <cell r="B459" t="str">
            <v>Provision - Gratuity</v>
          </cell>
        </row>
        <row r="460">
          <cell r="A460">
            <v>201242</v>
          </cell>
          <cell r="B460" t="str">
            <v xml:space="preserve">Provision - Unutilised Leave </v>
          </cell>
        </row>
        <row r="461">
          <cell r="A461">
            <v>201243</v>
          </cell>
          <cell r="B461" t="str">
            <v>Provision - Leave Travel</v>
          </cell>
        </row>
        <row r="462">
          <cell r="A462">
            <v>201244</v>
          </cell>
          <cell r="B462" t="str">
            <v>Provision - Medical Reimbursement</v>
          </cell>
        </row>
        <row r="463">
          <cell r="A463">
            <v>202010</v>
          </cell>
          <cell r="B463" t="str">
            <v>Accumulated Warranty reserves</v>
          </cell>
        </row>
        <row r="464">
          <cell r="A464">
            <v>205010</v>
          </cell>
          <cell r="B464" t="str">
            <v>Health Insurance Accrual</v>
          </cell>
        </row>
        <row r="465">
          <cell r="A465">
            <v>205011</v>
          </cell>
          <cell r="B465" t="str">
            <v>Insurance - Parental Coverage</v>
          </cell>
        </row>
        <row r="466">
          <cell r="A466">
            <v>205012</v>
          </cell>
          <cell r="B466" t="str">
            <v>Insurance-Volunt Life &amp; Medi</v>
          </cell>
        </row>
        <row r="467">
          <cell r="A467">
            <v>205014</v>
          </cell>
          <cell r="B467" t="str">
            <v>Tax Collected at source</v>
          </cell>
        </row>
        <row r="468">
          <cell r="A468">
            <v>205015</v>
          </cell>
          <cell r="B468" t="str">
            <v>Connecticut Sales and Use Tax</v>
          </cell>
        </row>
        <row r="469">
          <cell r="A469">
            <v>205020</v>
          </cell>
          <cell r="B469" t="str">
            <v>Health Insurance Reserve</v>
          </cell>
        </row>
        <row r="470">
          <cell r="A470">
            <v>205030</v>
          </cell>
          <cell r="B470" t="str">
            <v>Accrued Cigna Health</v>
          </cell>
        </row>
        <row r="471">
          <cell r="A471">
            <v>205032</v>
          </cell>
          <cell r="B471" t="str">
            <v>Accrued Aetna Health</v>
          </cell>
        </row>
        <row r="472">
          <cell r="A472">
            <v>205040</v>
          </cell>
          <cell r="B472" t="str">
            <v>Accrued Expenses</v>
          </cell>
        </row>
        <row r="473">
          <cell r="A473">
            <v>205041</v>
          </cell>
          <cell r="B473" t="str">
            <v>Accrued Expenses-Metier</v>
          </cell>
        </row>
        <row r="474">
          <cell r="A474">
            <v>205042</v>
          </cell>
          <cell r="B474" t="str">
            <v>Accrued Expenses-IMG</v>
          </cell>
        </row>
        <row r="475">
          <cell r="A475">
            <v>205043</v>
          </cell>
          <cell r="B475" t="str">
            <v>Deferred Lease equalisation</v>
          </cell>
        </row>
        <row r="476">
          <cell r="A476">
            <v>205046</v>
          </cell>
          <cell r="B476" t="str">
            <v>Accrued F Travel Expe</v>
          </cell>
        </row>
        <row r="477">
          <cell r="A477">
            <v>205047</v>
          </cell>
          <cell r="B477" t="str">
            <v>Accrued Marketing Fee</v>
          </cell>
        </row>
        <row r="478">
          <cell r="A478">
            <v>205048</v>
          </cell>
          <cell r="B478" t="str">
            <v>Accrued Comp – Sp Dividend</v>
          </cell>
        </row>
        <row r="479">
          <cell r="A479">
            <v>205056</v>
          </cell>
          <cell r="B479" t="str">
            <v>Deferred Lease equal Inter Co</v>
          </cell>
        </row>
        <row r="480">
          <cell r="A480">
            <v>205057</v>
          </cell>
          <cell r="B480" t="str">
            <v>Def Lease equal IC N-Curr Less</v>
          </cell>
        </row>
        <row r="481">
          <cell r="A481">
            <v>240007</v>
          </cell>
          <cell r="B481" t="str">
            <v>Def Lease equal IC N-Curr Add</v>
          </cell>
        </row>
        <row r="482">
          <cell r="A482">
            <v>205080</v>
          </cell>
          <cell r="B482" t="str">
            <v>Accumulated  Productivity reserve</v>
          </cell>
        </row>
        <row r="483">
          <cell r="A483">
            <v>205085</v>
          </cell>
          <cell r="B483" t="str">
            <v>Other Current Liabilities</v>
          </cell>
        </row>
        <row r="484">
          <cell r="A484">
            <v>205087</v>
          </cell>
          <cell r="B484" t="str">
            <v>Accrued Interest</v>
          </cell>
        </row>
        <row r="485">
          <cell r="A485">
            <v>205090</v>
          </cell>
          <cell r="B485" t="str">
            <v>Capital Leases-IMG</v>
          </cell>
        </row>
        <row r="486">
          <cell r="A486">
            <v>205091</v>
          </cell>
          <cell r="B486" t="str">
            <v>Accrued - Wealth tax</v>
          </cell>
        </row>
        <row r="487">
          <cell r="A487">
            <v>205092</v>
          </cell>
          <cell r="B487" t="str">
            <v>Accrued - Sales tax</v>
          </cell>
        </row>
        <row r="488">
          <cell r="A488">
            <v>205095</v>
          </cell>
          <cell r="B488" t="str">
            <v>Liability - Deposits Recd</v>
          </cell>
        </row>
        <row r="489">
          <cell r="A489">
            <v>205101</v>
          </cell>
          <cell r="B489" t="str">
            <v>TDS - Contractors</v>
          </cell>
        </row>
        <row r="490">
          <cell r="A490">
            <v>205102</v>
          </cell>
          <cell r="B490" t="str">
            <v>TDS - Professionals</v>
          </cell>
        </row>
        <row r="491">
          <cell r="A491">
            <v>205103</v>
          </cell>
          <cell r="B491" t="str">
            <v>TDS - Rent</v>
          </cell>
        </row>
        <row r="492">
          <cell r="A492">
            <v>205104</v>
          </cell>
          <cell r="B492" t="str">
            <v>TDS - Advertisement</v>
          </cell>
        </row>
        <row r="493">
          <cell r="A493">
            <v>205105</v>
          </cell>
          <cell r="B493" t="str">
            <v>TDS - Brokerage</v>
          </cell>
        </row>
        <row r="494">
          <cell r="A494">
            <v>205106</v>
          </cell>
          <cell r="B494" t="str">
            <v>TDS - WCT</v>
          </cell>
        </row>
        <row r="495">
          <cell r="A495">
            <v>205107</v>
          </cell>
          <cell r="B495" t="str">
            <v>Sales Tax payable</v>
          </cell>
        </row>
        <row r="496">
          <cell r="A496">
            <v>205108</v>
          </cell>
          <cell r="B496" t="str">
            <v>CPF Payable</v>
          </cell>
        </row>
        <row r="497">
          <cell r="A497">
            <v>205109</v>
          </cell>
          <cell r="B497" t="str">
            <v>TDS - Brokerage - Companies</v>
          </cell>
        </row>
        <row r="498">
          <cell r="A498">
            <v>205110</v>
          </cell>
          <cell r="B498" t="str">
            <v>TDS - Advertisement - Co.</v>
          </cell>
        </row>
        <row r="499">
          <cell r="A499">
            <v>205111</v>
          </cell>
          <cell r="B499" t="str">
            <v>TDS - Rent - Companies</v>
          </cell>
        </row>
        <row r="500">
          <cell r="A500">
            <v>205112</v>
          </cell>
          <cell r="B500" t="str">
            <v>TDS - Professionals - Companie</v>
          </cell>
        </row>
        <row r="501">
          <cell r="A501">
            <v>205113</v>
          </cell>
          <cell r="B501" t="str">
            <v>TDS - Contractors - Companies</v>
          </cell>
        </row>
        <row r="502">
          <cell r="A502">
            <v>205114</v>
          </cell>
          <cell r="B502" t="str">
            <v>Service Tax Payable</v>
          </cell>
        </row>
        <row r="503">
          <cell r="A503">
            <v>205115</v>
          </cell>
          <cell r="B503" t="str">
            <v>GST Tax - Canada</v>
          </cell>
        </row>
        <row r="504">
          <cell r="A504">
            <v>205116</v>
          </cell>
          <cell r="B504" t="str">
            <v>GST Payable - Australia</v>
          </cell>
        </row>
        <row r="505">
          <cell r="A505">
            <v>205119</v>
          </cell>
          <cell r="B505" t="str">
            <v>TDS - Non Resident</v>
          </cell>
        </row>
        <row r="506">
          <cell r="A506">
            <v>205120</v>
          </cell>
          <cell r="B506" t="str">
            <v>Swacch Bharat Cess Payable</v>
          </cell>
        </row>
        <row r="507">
          <cell r="A507">
            <v>205121</v>
          </cell>
          <cell r="B507" t="str">
            <v>Amount held in trust Trambak</v>
          </cell>
        </row>
        <row r="508">
          <cell r="A508">
            <v>205122</v>
          </cell>
          <cell r="B508" t="str">
            <v>Earnest Money - Contractors</v>
          </cell>
        </row>
        <row r="509">
          <cell r="A509">
            <v>205123</v>
          </cell>
          <cell r="B509" t="str">
            <v>Liability - Emp. benefit cont.</v>
          </cell>
        </row>
        <row r="510">
          <cell r="A510">
            <v>205124</v>
          </cell>
          <cell r="B510" t="str">
            <v>Deferred Tax liability - Current</v>
          </cell>
        </row>
        <row r="511">
          <cell r="A511">
            <v>205128</v>
          </cell>
          <cell r="B511" t="str">
            <v>Krishi Kalyan Cess Payable</v>
          </cell>
        </row>
        <row r="512">
          <cell r="A512">
            <v>205130</v>
          </cell>
          <cell r="B512" t="str">
            <v>Derivative Liabilities</v>
          </cell>
        </row>
        <row r="513">
          <cell r="A513">
            <v>205133</v>
          </cell>
          <cell r="B513" t="str">
            <v>MAH. SEZ - IGST Payable</v>
          </cell>
        </row>
        <row r="514">
          <cell r="A514">
            <v>205136</v>
          </cell>
          <cell r="B514" t="str">
            <v>MAH. NSEZ - IGST Payable</v>
          </cell>
        </row>
        <row r="515">
          <cell r="A515">
            <v>206010</v>
          </cell>
          <cell r="B515" t="str">
            <v>Tax Reserve</v>
          </cell>
        </row>
        <row r="516">
          <cell r="A516">
            <v>206020</v>
          </cell>
          <cell r="B516" t="str">
            <v>Federal Inc Taxes Payable-Curr</v>
          </cell>
        </row>
        <row r="517">
          <cell r="A517">
            <v>206023</v>
          </cell>
          <cell r="B517" t="str">
            <v>Canada - Fed Inc Taxes Pay Cur</v>
          </cell>
        </row>
        <row r="518">
          <cell r="A518">
            <v>206026</v>
          </cell>
          <cell r="B518" t="str">
            <v>Advance US city Income Tax</v>
          </cell>
        </row>
        <row r="519">
          <cell r="A519">
            <v>206033</v>
          </cell>
          <cell r="B519" t="str">
            <v>Taxes Payable - FIN 48</v>
          </cell>
        </row>
        <row r="520">
          <cell r="A520">
            <v>206034</v>
          </cell>
          <cell r="B520" t="str">
            <v>Canada - State Inc Tax Pay Cur</v>
          </cell>
        </row>
        <row r="521">
          <cell r="A521">
            <v>206030</v>
          </cell>
          <cell r="B521" t="str">
            <v>State Inc Taxes Payable - Curr</v>
          </cell>
        </row>
        <row r="522">
          <cell r="A522">
            <v>206035</v>
          </cell>
          <cell r="B522" t="str">
            <v>Indian Income taxes Payable</v>
          </cell>
        </row>
        <row r="523">
          <cell r="A523">
            <v>206036</v>
          </cell>
          <cell r="B523" t="str">
            <v>Corporation Tax UK</v>
          </cell>
        </row>
        <row r="524">
          <cell r="A524">
            <v>206037</v>
          </cell>
          <cell r="B524" t="str">
            <v>Fringe Benefit Tax</v>
          </cell>
        </row>
        <row r="525">
          <cell r="A525">
            <v>206038</v>
          </cell>
          <cell r="B525" t="str">
            <v>Service Tax Payable</v>
          </cell>
        </row>
        <row r="526">
          <cell r="A526">
            <v>206039</v>
          </cell>
          <cell r="B526" t="str">
            <v>City Corp Income Tax Provision</v>
          </cell>
        </row>
        <row r="527">
          <cell r="A527">
            <v>206040</v>
          </cell>
          <cell r="B527" t="str">
            <v>Deferred Tax Liabilities-Curre</v>
          </cell>
        </row>
        <row r="528">
          <cell r="A528">
            <v>206041</v>
          </cell>
          <cell r="B528" t="str">
            <v xml:space="preserve">Advance Indian Income tax </v>
          </cell>
        </row>
        <row r="529">
          <cell r="A529">
            <v>206042</v>
          </cell>
          <cell r="B529" t="str">
            <v>Advance Indian IT - TDS</v>
          </cell>
        </row>
        <row r="530">
          <cell r="A530">
            <v>206043</v>
          </cell>
          <cell r="B530" t="str">
            <v xml:space="preserve">Advance US Federal Income Tax </v>
          </cell>
        </row>
        <row r="531">
          <cell r="A531">
            <v>206044</v>
          </cell>
          <cell r="B531" t="str">
            <v xml:space="preserve">Advance US State Income Tax </v>
          </cell>
        </row>
        <row r="532">
          <cell r="A532">
            <v>206045</v>
          </cell>
          <cell r="B532" t="str">
            <v>Dividend Distribtion</v>
          </cell>
        </row>
        <row r="533">
          <cell r="A533">
            <v>206046</v>
          </cell>
          <cell r="B533" t="str">
            <v>Advance Fringe Benefit Tax</v>
          </cell>
        </row>
        <row r="534">
          <cell r="A534">
            <v>206047</v>
          </cell>
          <cell r="B534" t="str">
            <v>Forex Advance Indian IT - TDS</v>
          </cell>
        </row>
        <row r="535">
          <cell r="A535">
            <v>206048</v>
          </cell>
          <cell r="B535" t="str">
            <v>Canada - Adv Tax - TDS</v>
          </cell>
        </row>
        <row r="536">
          <cell r="A536">
            <v>207010</v>
          </cell>
          <cell r="B536" t="str">
            <v>Dividends Payable</v>
          </cell>
        </row>
        <row r="537">
          <cell r="A537">
            <v>210110</v>
          </cell>
          <cell r="B537" t="str">
            <v>Due to India</v>
          </cell>
        </row>
        <row r="538">
          <cell r="A538">
            <v>210111</v>
          </cell>
          <cell r="B538" t="str">
            <v>Due to Syntel Australia</v>
          </cell>
        </row>
        <row r="539">
          <cell r="A539">
            <v>210112</v>
          </cell>
          <cell r="B539" t="str">
            <v>Due from Syntel Australia</v>
          </cell>
        </row>
        <row r="540">
          <cell r="A540">
            <v>210115</v>
          </cell>
          <cell r="B540" t="str">
            <v>Due from India</v>
          </cell>
        </row>
        <row r="541">
          <cell r="A541">
            <v>210120</v>
          </cell>
          <cell r="B541" t="str">
            <v>Due to Europe</v>
          </cell>
        </row>
        <row r="542">
          <cell r="A542">
            <v>210125</v>
          </cell>
          <cell r="B542" t="str">
            <v>Due from Europe</v>
          </cell>
        </row>
        <row r="543">
          <cell r="A543">
            <v>210130</v>
          </cell>
          <cell r="B543" t="str">
            <v>Due to Singapore</v>
          </cell>
        </row>
        <row r="544">
          <cell r="A544">
            <v>210135</v>
          </cell>
          <cell r="B544" t="str">
            <v>Due from Singapore</v>
          </cell>
        </row>
        <row r="545">
          <cell r="A545">
            <v>210140</v>
          </cell>
          <cell r="B545" t="str">
            <v>Due to Syntel Canada</v>
          </cell>
        </row>
        <row r="546">
          <cell r="A546">
            <v>210150</v>
          </cell>
          <cell r="B546" t="str">
            <v>Due to Syntel Germany</v>
          </cell>
        </row>
        <row r="547">
          <cell r="A547">
            <v>210155</v>
          </cell>
          <cell r="B547" t="str">
            <v>Due from Syntel Germany</v>
          </cell>
        </row>
        <row r="548">
          <cell r="A548">
            <v>210160</v>
          </cell>
          <cell r="B548" t="str">
            <v>Due to Syntel Inc.</v>
          </cell>
        </row>
        <row r="549">
          <cell r="A549">
            <v>210165</v>
          </cell>
          <cell r="B549" t="str">
            <v>Due from Syntel Inc.</v>
          </cell>
        </row>
        <row r="550">
          <cell r="A550">
            <v>210171</v>
          </cell>
          <cell r="B550" t="str">
            <v>Due from SIL - Mumbai</v>
          </cell>
        </row>
        <row r="551">
          <cell r="A551">
            <v>210172</v>
          </cell>
          <cell r="B551" t="str">
            <v>Due from SIL - Chennai</v>
          </cell>
        </row>
        <row r="552">
          <cell r="A552">
            <v>210173</v>
          </cell>
          <cell r="B552" t="str">
            <v>Due from SIL - Pune</v>
          </cell>
        </row>
        <row r="553">
          <cell r="A553">
            <v>210181</v>
          </cell>
          <cell r="B553" t="str">
            <v>Due to SIL - Mumbai</v>
          </cell>
        </row>
        <row r="554">
          <cell r="A554">
            <v>210182</v>
          </cell>
          <cell r="B554" t="str">
            <v>Due to SIL - Chennai</v>
          </cell>
        </row>
        <row r="555">
          <cell r="A555">
            <v>210183</v>
          </cell>
          <cell r="B555" t="str">
            <v>Due to SIL - Pune</v>
          </cell>
        </row>
        <row r="556">
          <cell r="A556">
            <v>210185</v>
          </cell>
          <cell r="B556" t="str">
            <v>Due from Syntel Sourcing</v>
          </cell>
        </row>
        <row r="557">
          <cell r="A557">
            <v>210168</v>
          </cell>
          <cell r="B557" t="str">
            <v>Due to Syntel Solution BV</v>
          </cell>
        </row>
        <row r="558">
          <cell r="A558">
            <v>220010</v>
          </cell>
          <cell r="B558" t="str">
            <v>Deferred Revenues</v>
          </cell>
        </row>
        <row r="559">
          <cell r="A559">
            <v>220020</v>
          </cell>
          <cell r="B559" t="str">
            <v>Advanced Billing Receipts</v>
          </cell>
        </row>
        <row r="560">
          <cell r="A560">
            <v>220021</v>
          </cell>
          <cell r="B560" t="str">
            <v>NO SOW - Revenue Deferral</v>
          </cell>
        </row>
        <row r="561">
          <cell r="A561">
            <v>220022</v>
          </cell>
          <cell r="B561" t="str">
            <v>Transition Rev Defferal</v>
          </cell>
        </row>
        <row r="562">
          <cell r="A562">
            <v>220030</v>
          </cell>
          <cell r="B562" t="str">
            <v>AIG Advanced Billing Receipts</v>
          </cell>
        </row>
        <row r="563">
          <cell r="A563">
            <v>240001</v>
          </cell>
          <cell r="B563" t="str">
            <v>Preference Share 3%</v>
          </cell>
        </row>
        <row r="564">
          <cell r="A564">
            <v>240002</v>
          </cell>
          <cell r="B564" t="str">
            <v>Share premium on Preference Shares 3%</v>
          </cell>
        </row>
        <row r="565">
          <cell r="A565">
            <v>240003</v>
          </cell>
          <cell r="B565" t="str">
            <v>Share Application money Preference Shares</v>
          </cell>
        </row>
        <row r="566">
          <cell r="A566">
            <v>240004</v>
          </cell>
          <cell r="B566" t="str">
            <v>Accrued Finance Costs</v>
          </cell>
        </row>
        <row r="567">
          <cell r="A567">
            <v>240230</v>
          </cell>
          <cell r="B567" t="str">
            <v>Deferred Income tax, Non current</v>
          </cell>
        </row>
        <row r="568">
          <cell r="A568">
            <v>240235</v>
          </cell>
          <cell r="B568" t="str">
            <v>Deferred I Tax, Non Curr-India</v>
          </cell>
        </row>
        <row r="569">
          <cell r="A569">
            <v>300010</v>
          </cell>
          <cell r="B569" t="str">
            <v>Common Stock</v>
          </cell>
        </row>
        <row r="570">
          <cell r="A570">
            <v>300110</v>
          </cell>
          <cell r="B570" t="str">
            <v>Additional Paid in Capital</v>
          </cell>
        </row>
        <row r="571">
          <cell r="A571">
            <v>300115</v>
          </cell>
          <cell r="B571" t="str">
            <v>Deferred stock based compensation</v>
          </cell>
        </row>
        <row r="572">
          <cell r="A572">
            <v>300120</v>
          </cell>
          <cell r="B572" t="str">
            <v>Deferred Sales Incentive</v>
          </cell>
        </row>
        <row r="573">
          <cell r="A573">
            <v>301001</v>
          </cell>
          <cell r="B573" t="str">
            <v>General Reserve</v>
          </cell>
        </row>
        <row r="574">
          <cell r="A574">
            <v>301002</v>
          </cell>
          <cell r="B574" t="str">
            <v xml:space="preserve">Opening balance in Profit and Loss account </v>
          </cell>
        </row>
        <row r="575">
          <cell r="A575">
            <v>301009</v>
          </cell>
          <cell r="B575" t="str">
            <v>Ind AS impact - Res. &amp; Surplus</v>
          </cell>
        </row>
        <row r="576">
          <cell r="A576">
            <v>300210</v>
          </cell>
          <cell r="B576" t="str">
            <v>Retained Earnings</v>
          </cell>
        </row>
        <row r="577">
          <cell r="A577">
            <v>300211</v>
          </cell>
          <cell r="B577" t="str">
            <v>Special Economic Zone Re-Investment Allowance Reserve Account</v>
          </cell>
        </row>
        <row r="578">
          <cell r="A578">
            <v>301003</v>
          </cell>
          <cell r="B578" t="str">
            <v>Profit and Loss account for the current period</v>
          </cell>
        </row>
        <row r="579">
          <cell r="A579">
            <v>301004</v>
          </cell>
          <cell r="B579" t="str">
            <v>Accumulated and Other Comprehensive Income</v>
          </cell>
        </row>
        <row r="580">
          <cell r="A580">
            <v>301005</v>
          </cell>
          <cell r="B580" t="str">
            <v>Dividend Account</v>
          </cell>
        </row>
        <row r="581">
          <cell r="A581">
            <v>101005</v>
          </cell>
          <cell r="B581" t="str">
            <v>Regrouping - VR setoff with AR - AR</v>
          </cell>
        </row>
        <row r="582">
          <cell r="A582">
            <v>101015</v>
          </cell>
          <cell r="B582" t="str">
            <v>Regrouping - Account receivable - Internal</v>
          </cell>
        </row>
        <row r="583">
          <cell r="A583">
            <v>101010</v>
          </cell>
          <cell r="B583" t="str">
            <v>Regrouping - Account receivable - Internal</v>
          </cell>
        </row>
        <row r="584">
          <cell r="A584">
            <v>101070</v>
          </cell>
          <cell r="B584" t="str">
            <v>Regrouping - Accounts Receivable - Accrued - Internal</v>
          </cell>
        </row>
        <row r="585">
          <cell r="A585">
            <v>101075</v>
          </cell>
          <cell r="B585" t="str">
            <v>Regrouping - Accounts Receivable - Accrued - Internal</v>
          </cell>
        </row>
        <row r="586">
          <cell r="A586" t="str">
            <v>101300 - P</v>
          </cell>
          <cell r="B586" t="str">
            <v>Advance Inter Company</v>
          </cell>
        </row>
        <row r="587">
          <cell r="A587">
            <v>101355</v>
          </cell>
          <cell r="B587" t="str">
            <v>Regrouping - Advances - Internal</v>
          </cell>
        </row>
        <row r="588">
          <cell r="A588">
            <v>101350</v>
          </cell>
          <cell r="B588" t="str">
            <v>Regrouping - Advances - Internal</v>
          </cell>
        </row>
        <row r="589">
          <cell r="A589">
            <v>101362</v>
          </cell>
          <cell r="B589" t="str">
            <v>TDS Refund receivable</v>
          </cell>
        </row>
        <row r="590">
          <cell r="A590">
            <v>101840</v>
          </cell>
          <cell r="B590" t="str">
            <v>Regrouping - current - lease deposit</v>
          </cell>
        </row>
        <row r="591">
          <cell r="A591">
            <v>101845</v>
          </cell>
          <cell r="B591" t="str">
            <v>Regrouping - current - lease deposit</v>
          </cell>
        </row>
        <row r="592">
          <cell r="A592">
            <v>101847</v>
          </cell>
          <cell r="B592" t="str">
            <v>Regrouping - Lease deposits - Internal</v>
          </cell>
        </row>
        <row r="593">
          <cell r="A593">
            <v>101846</v>
          </cell>
          <cell r="B593" t="str">
            <v>Regrouping - Lease deposits - Internal</v>
          </cell>
        </row>
        <row r="594">
          <cell r="A594">
            <v>110545</v>
          </cell>
          <cell r="B594" t="str">
            <v>Regrouping - Pref share Application Money</v>
          </cell>
        </row>
        <row r="595">
          <cell r="A595">
            <v>101781</v>
          </cell>
          <cell r="B595" t="str">
            <v>Regrouping - Pref share Application Money</v>
          </cell>
        </row>
        <row r="596">
          <cell r="A596">
            <v>200050</v>
          </cell>
          <cell r="B596" t="str">
            <v>Regrouping - Account payable - Internal</v>
          </cell>
        </row>
        <row r="597">
          <cell r="A597">
            <v>200040</v>
          </cell>
          <cell r="B597" t="str">
            <v>Regrouping - Account payable - Internal</v>
          </cell>
        </row>
        <row r="598">
          <cell r="A598">
            <v>201095</v>
          </cell>
          <cell r="B598" t="str">
            <v>Regrouping - Non current - gratuity</v>
          </cell>
        </row>
        <row r="599">
          <cell r="A599">
            <v>205035</v>
          </cell>
          <cell r="B599" t="str">
            <v>Regrouping - VR setoff with AR - accrued expense</v>
          </cell>
        </row>
        <row r="600">
          <cell r="A600">
            <v>205055</v>
          </cell>
          <cell r="B600" t="str">
            <v>Regrouping - Non current - deferred lease equalisation</v>
          </cell>
        </row>
        <row r="601">
          <cell r="A601">
            <v>205065</v>
          </cell>
          <cell r="B601" t="str">
            <v>Regrouping - current - capital lease</v>
          </cell>
        </row>
        <row r="602">
          <cell r="A602">
            <v>205096</v>
          </cell>
          <cell r="B602" t="str">
            <v>Regrouping - current - capital lease</v>
          </cell>
        </row>
        <row r="603">
          <cell r="A603">
            <v>205097</v>
          </cell>
          <cell r="B603" t="str">
            <v>Regrouping - Non current - gratuity</v>
          </cell>
        </row>
        <row r="604">
          <cell r="A604">
            <v>205098</v>
          </cell>
          <cell r="B604" t="str">
            <v>Regrouping - Non current - deferred lease equalisation</v>
          </cell>
        </row>
        <row r="605">
          <cell r="A605">
            <v>301006</v>
          </cell>
          <cell r="B605" t="str">
            <v>Dividend Distribtion Tax A/c</v>
          </cell>
        </row>
        <row r="606">
          <cell r="A606">
            <v>301007</v>
          </cell>
          <cell r="B606" t="str">
            <v>Accumulated and Other Comprehensive Income - investmetn</v>
          </cell>
        </row>
        <row r="607">
          <cell r="A607">
            <v>301008</v>
          </cell>
          <cell r="B607" t="str">
            <v>Accumulated and Other Comprehensive Income - Gratuity</v>
          </cell>
        </row>
        <row r="608">
          <cell r="A608">
            <v>888913</v>
          </cell>
          <cell r="B608" t="str">
            <v>Regrouping-Other deposits to Non Current</v>
          </cell>
        </row>
        <row r="609">
          <cell r="A609">
            <v>888914</v>
          </cell>
          <cell r="B609" t="str">
            <v>Regrouping-Other deposits to Non Current</v>
          </cell>
        </row>
        <row r="610">
          <cell r="A610">
            <v>100512</v>
          </cell>
          <cell r="B610" t="str">
            <v>Bank of India-Dividend Account</v>
          </cell>
        </row>
        <row r="611">
          <cell r="A611">
            <v>100544</v>
          </cell>
          <cell r="B611" t="str">
            <v>IDBI Mutual Fund</v>
          </cell>
        </row>
        <row r="612">
          <cell r="A612">
            <v>110511</v>
          </cell>
          <cell r="B612" t="str">
            <v>Investment in Trizetto Syntel</v>
          </cell>
        </row>
        <row r="613">
          <cell r="A613">
            <v>110596</v>
          </cell>
          <cell r="B613" t="str">
            <v>TSSPL Pref. Share 3%</v>
          </cell>
        </row>
        <row r="614">
          <cell r="A614">
            <v>101873</v>
          </cell>
          <cell r="B614" t="str">
            <v>Deferred lease expense (IndAS)</v>
          </cell>
        </row>
        <row r="615">
          <cell r="A615">
            <v>710102</v>
          </cell>
          <cell r="B615" t="str">
            <v>Deferred Lease Income</v>
          </cell>
        </row>
        <row r="616">
          <cell r="A616">
            <v>300018</v>
          </cell>
          <cell r="B616" t="str">
            <v>Capital Redemption Reserve</v>
          </cell>
        </row>
        <row r="617">
          <cell r="A617">
            <v>300212</v>
          </cell>
          <cell r="B617" t="str">
            <v>Buy Back Tax</v>
          </cell>
        </row>
        <row r="618">
          <cell r="A618">
            <v>110049</v>
          </cell>
          <cell r="B618" t="str">
            <v>ROU of Lease Assets</v>
          </cell>
        </row>
        <row r="619">
          <cell r="A619">
            <v>110156</v>
          </cell>
          <cell r="B619" t="str">
            <v>Acc Dep right of use Lease</v>
          </cell>
        </row>
        <row r="620">
          <cell r="A620">
            <v>240236</v>
          </cell>
          <cell r="B620" t="str">
            <v>Lease Liability</v>
          </cell>
        </row>
        <row r="621">
          <cell r="A621">
            <v>240237</v>
          </cell>
          <cell r="B621" t="str">
            <v>Regrp of Lease Liabil</v>
          </cell>
        </row>
        <row r="622">
          <cell r="A622">
            <v>205094</v>
          </cell>
          <cell r="B622" t="str">
            <v>Regrp of Lease Liabil</v>
          </cell>
        </row>
        <row r="624">
          <cell r="A624" t="str">
            <v>101300 - N</v>
          </cell>
          <cell r="B624" t="str">
            <v>CAPITAL SUBSCRIBED - CALLED AND PAID</v>
          </cell>
        </row>
        <row r="625">
          <cell r="A625">
            <v>106810</v>
          </cell>
          <cell r="B625" t="str">
            <v>OTHER RESERVES 4</v>
          </cell>
        </row>
        <row r="626">
          <cell r="A626">
            <v>106960</v>
          </cell>
          <cell r="B626" t="str">
            <v>Stat, Of Recognized Income and Expense</v>
          </cell>
        </row>
        <row r="627">
          <cell r="A627">
            <v>110000</v>
          </cell>
          <cell r="B627" t="str">
            <v>RETAINED EARNINGS</v>
          </cell>
        </row>
        <row r="628">
          <cell r="A628">
            <v>155000</v>
          </cell>
          <cell r="B628" t="str">
            <v>DEFERRED TAX LIABILITY</v>
          </cell>
        </row>
        <row r="629">
          <cell r="A629">
            <v>159200</v>
          </cell>
          <cell r="B629" t="str">
            <v>Unfunded post employment DB plans</v>
          </cell>
        </row>
        <row r="630">
          <cell r="A630">
            <v>159300</v>
          </cell>
          <cell r="B630" t="str">
            <v>Other long term DB plans</v>
          </cell>
        </row>
        <row r="631">
          <cell r="A631">
            <v>167211</v>
          </cell>
          <cell r="B631" t="str">
            <v>Lease liability Real estate</v>
          </cell>
        </row>
        <row r="632">
          <cell r="A632">
            <v>168100</v>
          </cell>
          <cell r="B632" t="str">
            <v>SUNDRY BORROWINGS</v>
          </cell>
        </row>
        <row r="633">
          <cell r="A633">
            <v>205000</v>
          </cell>
          <cell r="B633" t="str">
            <v>SOFTWARE</v>
          </cell>
        </row>
        <row r="634">
          <cell r="A634">
            <v>215500</v>
          </cell>
          <cell r="B634" t="str">
            <v>Personal Computers</v>
          </cell>
        </row>
        <row r="635">
          <cell r="A635">
            <v>217000</v>
          </cell>
          <cell r="B635" t="str">
            <v>Right of use real estate</v>
          </cell>
        </row>
        <row r="636">
          <cell r="A636">
            <v>219000</v>
          </cell>
          <cell r="B636" t="str">
            <v>OTHER TANGIBLE FIXED ASSETS</v>
          </cell>
        </row>
        <row r="637">
          <cell r="A637">
            <v>275000</v>
          </cell>
          <cell r="B637" t="str">
            <v>DEPOSITS AND SURETIES PAID</v>
          </cell>
        </row>
        <row r="638">
          <cell r="A638">
            <v>276840</v>
          </cell>
          <cell r="B638" t="str">
            <v>ACCRUED INTEREST / LOANS</v>
          </cell>
        </row>
        <row r="639">
          <cell r="A639">
            <v>280500</v>
          </cell>
          <cell r="B639" t="str">
            <v>DEPRECIATION - SOFTWARE</v>
          </cell>
        </row>
        <row r="640">
          <cell r="A640">
            <v>281550</v>
          </cell>
          <cell r="B640" t="str">
            <v>Depreciation - Personal Computers</v>
          </cell>
        </row>
        <row r="641">
          <cell r="A641">
            <v>281700</v>
          </cell>
          <cell r="B641" t="str">
            <v>Depreciation right of use real estate</v>
          </cell>
        </row>
        <row r="642">
          <cell r="A642">
            <v>281900</v>
          </cell>
          <cell r="B642" t="str">
            <v>DEPRECIATION - OTHER TANGIBLE FIXED ASS</v>
          </cell>
        </row>
        <row r="643">
          <cell r="A643">
            <v>401100</v>
          </cell>
          <cell r="B643" t="str">
            <v>TRADE PAYABLES - DOMESTIC</v>
          </cell>
        </row>
        <row r="644">
          <cell r="A644">
            <v>401450</v>
          </cell>
          <cell r="B644" t="str">
            <v>TRADE PAYABLES - FOREIGN</v>
          </cell>
        </row>
        <row r="645">
          <cell r="A645">
            <v>401500</v>
          </cell>
          <cell r="B645" t="str">
            <v>TRADE PAYABLES - DOMESTIC</v>
          </cell>
        </row>
        <row r="646">
          <cell r="A646">
            <v>401998</v>
          </cell>
          <cell r="B646" t="str">
            <v>TRADE PAYABLES - FOREIGN CURRENCY REVAL</v>
          </cell>
        </row>
        <row r="647">
          <cell r="A647">
            <v>408120</v>
          </cell>
          <cell r="B647" t="str">
            <v>TRADE PAYABLES - COSTS ACCRUALS SPECIFI</v>
          </cell>
        </row>
        <row r="648">
          <cell r="A648">
            <v>408151</v>
          </cell>
          <cell r="B648" t="str">
            <v>Outstanding Liabilities</v>
          </cell>
        </row>
        <row r="649">
          <cell r="A649">
            <v>408500</v>
          </cell>
          <cell r="B649" t="str">
            <v>TRADE CREDITORS - PURCH. INV. ACCRUALS</v>
          </cell>
        </row>
        <row r="650">
          <cell r="A650">
            <v>411450</v>
          </cell>
          <cell r="B650" t="str">
            <v>TRADE RECEIVABLES - FOREIGN</v>
          </cell>
        </row>
        <row r="651">
          <cell r="A651">
            <v>411500</v>
          </cell>
          <cell r="B651" t="str">
            <v>TRADE RECEIVABLES - DOMESTIC</v>
          </cell>
        </row>
        <row r="652">
          <cell r="A652">
            <v>411700</v>
          </cell>
          <cell r="B652" t="str">
            <v>TRADE DEBTORS - GUARANTEE RETENTIONS</v>
          </cell>
        </row>
        <row r="653">
          <cell r="A653">
            <v>418150</v>
          </cell>
          <cell r="B653" t="str">
            <v>TRADE DEBTORS - SALES INVOICE ACCRUALS</v>
          </cell>
        </row>
        <row r="654">
          <cell r="A654">
            <v>425000</v>
          </cell>
          <cell r="B654" t="str">
            <v>ADVANCES ON SALARIES</v>
          </cell>
        </row>
        <row r="655">
          <cell r="A655">
            <v>425004</v>
          </cell>
          <cell r="B655" t="str">
            <v>Empl Personal Loan</v>
          </cell>
        </row>
        <row r="656">
          <cell r="A656">
            <v>427100</v>
          </cell>
          <cell r="B656" t="str">
            <v>Payroll Clearing Account</v>
          </cell>
        </row>
        <row r="657">
          <cell r="A657">
            <v>427101</v>
          </cell>
          <cell r="B657" t="str">
            <v>Net Salary Payable</v>
          </cell>
        </row>
        <row r="658">
          <cell r="A658">
            <v>427103</v>
          </cell>
          <cell r="B658" t="str">
            <v>Provision - LTA</v>
          </cell>
        </row>
        <row r="659">
          <cell r="A659">
            <v>428200</v>
          </cell>
          <cell r="B659" t="str">
            <v>PROVISION - PAID HOLIDAYS</v>
          </cell>
        </row>
        <row r="660">
          <cell r="A660">
            <v>428400</v>
          </cell>
          <cell r="B660" t="str">
            <v>PROVISION - EMPLOYEE PROFIT-SHARING</v>
          </cell>
        </row>
        <row r="661">
          <cell r="A661">
            <v>428610</v>
          </cell>
          <cell r="B661" t="str">
            <v>ACCRUED EXPENSES - YEAR-END BONUS</v>
          </cell>
        </row>
        <row r="662">
          <cell r="A662">
            <v>428616</v>
          </cell>
          <cell r="B662" t="str">
            <v>ACCRUED EXPENSES - PROV. OBJECTIVES BON</v>
          </cell>
        </row>
        <row r="663">
          <cell r="A663">
            <v>437200</v>
          </cell>
          <cell r="B663" t="str">
            <v>WELFARE INSTITUTIONS</v>
          </cell>
        </row>
        <row r="664">
          <cell r="A664">
            <v>437407</v>
          </cell>
          <cell r="B664" t="str">
            <v>TDS - Rent</v>
          </cell>
        </row>
        <row r="665">
          <cell r="A665">
            <v>437408</v>
          </cell>
          <cell r="B665" t="str">
            <v>TDS - Professional Fees</v>
          </cell>
        </row>
        <row r="666">
          <cell r="A666">
            <v>437409</v>
          </cell>
          <cell r="B666" t="str">
            <v>TDS - Foreign Payments</v>
          </cell>
        </row>
        <row r="667">
          <cell r="A667">
            <v>437425</v>
          </cell>
          <cell r="B667" t="str">
            <v>Emp PF Pension Payable</v>
          </cell>
        </row>
        <row r="668">
          <cell r="A668">
            <v>437427</v>
          </cell>
          <cell r="B668" t="str">
            <v>Lab Welfare Fund Payable</v>
          </cell>
        </row>
        <row r="669">
          <cell r="A669">
            <v>437522</v>
          </cell>
          <cell r="B669" t="str">
            <v>Emp Prof. Tax Payable</v>
          </cell>
        </row>
        <row r="670">
          <cell r="A670">
            <v>438666</v>
          </cell>
          <cell r="B670" t="str">
            <v>INCOME TAXES ON SALARIES</v>
          </cell>
        </row>
        <row r="671">
          <cell r="A671">
            <v>444000</v>
          </cell>
          <cell r="B671" t="str">
            <v>Corporate Income Tax and Accrued Income</v>
          </cell>
        </row>
        <row r="672">
          <cell r="A672">
            <v>444400</v>
          </cell>
          <cell r="B672" t="str">
            <v>US federal income tax liability</v>
          </cell>
        </row>
        <row r="673">
          <cell r="A673">
            <v>444410</v>
          </cell>
          <cell r="B673" t="str">
            <v>US state income tax liability</v>
          </cell>
        </row>
        <row r="674">
          <cell r="A674">
            <v>444042</v>
          </cell>
          <cell r="B674" t="str">
            <v>Income tax - Monthly prepayment</v>
          </cell>
        </row>
        <row r="675">
          <cell r="A675">
            <v>444508</v>
          </cell>
          <cell r="B675" t="str">
            <v xml:space="preserve"> Adv Tax-Income 05</v>
          </cell>
        </row>
        <row r="676">
          <cell r="A676">
            <v>444550</v>
          </cell>
          <cell r="B676" t="str">
            <v>WCT TDS Recoverable-HPCL</v>
          </cell>
        </row>
        <row r="677">
          <cell r="A677">
            <v>444562</v>
          </cell>
          <cell r="B677" t="str">
            <v>Recl TDS-Income 12</v>
          </cell>
        </row>
        <row r="678">
          <cell r="A678">
            <v>444566</v>
          </cell>
          <cell r="B678" t="str">
            <v>Recl TDS-Income 1-16</v>
          </cell>
        </row>
        <row r="679">
          <cell r="A679">
            <v>445614</v>
          </cell>
          <cell r="B679" t="str">
            <v>Service Tax Recoverable - SEZ</v>
          </cell>
        </row>
        <row r="680">
          <cell r="A680">
            <v>445616</v>
          </cell>
          <cell r="B680" t="str">
            <v>VAT Recoverable-SEZ purchase</v>
          </cell>
        </row>
        <row r="681">
          <cell r="A681">
            <v>445780</v>
          </cell>
          <cell r="B681" t="str">
            <v>MAH. SEZ - IGST Payable</v>
          </cell>
        </row>
        <row r="682">
          <cell r="A682">
            <v>445882</v>
          </cell>
          <cell r="B682" t="str">
            <v>SERVICE TAX INPUT CREDIT AVAILED</v>
          </cell>
        </row>
        <row r="683">
          <cell r="A683">
            <v>445885</v>
          </cell>
          <cell r="B683" t="str">
            <v>Service Tax Input Credit - Swachh Bharat Cess</v>
          </cell>
        </row>
        <row r="684">
          <cell r="A684">
            <v>445886</v>
          </cell>
          <cell r="B684" t="str">
            <v>Service Tax Payable - Swachh Bharat Cess</v>
          </cell>
        </row>
        <row r="685">
          <cell r="A685">
            <v>445888</v>
          </cell>
          <cell r="B685" t="str">
            <v>Krishi Kalyan Cess of 0.5% ST Payable</v>
          </cell>
        </row>
        <row r="686">
          <cell r="A686">
            <v>445891</v>
          </cell>
          <cell r="B686" t="str">
            <v>Input IGST Availed</v>
          </cell>
        </row>
        <row r="687">
          <cell r="A687">
            <v>445916</v>
          </cell>
          <cell r="B687" t="str">
            <v>Service Tax Payable</v>
          </cell>
        </row>
        <row r="688">
          <cell r="A688">
            <v>445960</v>
          </cell>
          <cell r="B688" t="str">
            <v>MAH. SEZ - CGST Recoverable</v>
          </cell>
        </row>
        <row r="689">
          <cell r="A689">
            <v>445970</v>
          </cell>
          <cell r="B689" t="str">
            <v>MAH. SEZ - SGST Recoverable</v>
          </cell>
        </row>
        <row r="690">
          <cell r="A690">
            <v>445980</v>
          </cell>
          <cell r="B690" t="str">
            <v>MAH. SEZ - IGST Recoverable</v>
          </cell>
        </row>
        <row r="691">
          <cell r="A691">
            <v>451099</v>
          </cell>
          <cell r="B691" t="str">
            <v>C/A Atos Syntel Inc. (US)</v>
          </cell>
        </row>
        <row r="692">
          <cell r="A692">
            <v>451115</v>
          </cell>
          <cell r="B692" t="str">
            <v>C/A Syntel Pvt Ltd</v>
          </cell>
        </row>
        <row r="693">
          <cell r="A693">
            <v>451998</v>
          </cell>
          <cell r="B693" t="str">
            <v>Current Accounts Foreign Curr revaluati</v>
          </cell>
        </row>
        <row r="694">
          <cell r="A694">
            <v>457000</v>
          </cell>
          <cell r="B694" t="str">
            <v>DIVIDENDS TO BE PAID</v>
          </cell>
        </row>
        <row r="695">
          <cell r="A695">
            <v>467010</v>
          </cell>
          <cell r="B695" t="str">
            <v>OTHER ACCOUNTS IN DEBIT</v>
          </cell>
        </row>
        <row r="696">
          <cell r="A696">
            <v>467100</v>
          </cell>
          <cell r="B696" t="str">
            <v>OTHER ACCOUNTS IN CREDIT</v>
          </cell>
        </row>
        <row r="697">
          <cell r="A697">
            <v>468701</v>
          </cell>
          <cell r="B697" t="str">
            <v>General Deposits</v>
          </cell>
        </row>
        <row r="698">
          <cell r="A698">
            <v>481100</v>
          </cell>
          <cell r="B698" t="str">
            <v>DEFERRED CHARGES</v>
          </cell>
        </row>
        <row r="699">
          <cell r="A699">
            <v>486200</v>
          </cell>
          <cell r="B699" t="str">
            <v>Long term prepayment</v>
          </cell>
        </row>
        <row r="700">
          <cell r="A700">
            <v>488000</v>
          </cell>
          <cell r="B700" t="str">
            <v>DEFERRED TAX</v>
          </cell>
        </row>
        <row r="701">
          <cell r="A701">
            <v>488010</v>
          </cell>
          <cell r="B701" t="str">
            <v>Deferred tax asset - Valuation allowanc</v>
          </cell>
        </row>
        <row r="702">
          <cell r="A702">
            <v>488120</v>
          </cell>
          <cell r="B702" t="str">
            <v>Deferred Tax - Mininumum alternate tax</v>
          </cell>
        </row>
        <row r="703">
          <cell r="A703">
            <v>409100</v>
          </cell>
          <cell r="B703" t="str">
            <v>DOWN PAYMENTS TO EXTERNAL VENDORS</v>
          </cell>
        </row>
        <row r="704">
          <cell r="A704">
            <v>496700</v>
          </cell>
          <cell r="B704" t="str">
            <v>PROVISION - SUNDRY DEBTORS</v>
          </cell>
        </row>
        <row r="705">
          <cell r="A705">
            <v>508200</v>
          </cell>
          <cell r="B705" t="str">
            <v>Bank Deposit</v>
          </cell>
        </row>
        <row r="706">
          <cell r="A706">
            <v>508226</v>
          </cell>
          <cell r="B706" t="str">
            <v>JPMC Bank FD Account</v>
          </cell>
        </row>
        <row r="707">
          <cell r="A707">
            <v>508227</v>
          </cell>
          <cell r="B707" t="str">
            <v>JPMC Bank Flexi FD Account</v>
          </cell>
        </row>
        <row r="708">
          <cell r="A708">
            <v>511998</v>
          </cell>
          <cell r="B708" t="str">
            <v>SUNDRY EXPENSES CDN TIME DEPOSITS</v>
          </cell>
        </row>
        <row r="709">
          <cell r="A709">
            <v>5120276</v>
          </cell>
          <cell r="B709" t="str">
            <v>JPMorgan USD</v>
          </cell>
        </row>
        <row r="710">
          <cell r="A710">
            <v>5890000</v>
          </cell>
          <cell r="B710" t="str">
            <v>EBS transit account</v>
          </cell>
        </row>
        <row r="711">
          <cell r="A711">
            <v>51120215</v>
          </cell>
          <cell r="B711" t="str">
            <v>J. P. Morgan Chase Bank N.A.-INR-Rcpt</v>
          </cell>
        </row>
        <row r="712">
          <cell r="A712">
            <v>51120216</v>
          </cell>
          <cell r="B712" t="str">
            <v>J. P. Morgan Chase Bank N.A.-INR-Rcpt</v>
          </cell>
        </row>
        <row r="713">
          <cell r="A713">
            <v>51120217</v>
          </cell>
          <cell r="B713" t="str">
            <v>J. P. Morgan Chase Bank N.A.-INR-Rcpt</v>
          </cell>
        </row>
        <row r="714">
          <cell r="A714">
            <v>51150215</v>
          </cell>
          <cell r="B714" t="str">
            <v>J. P. Morgan Chase Bank N.A.-INR-Pymt</v>
          </cell>
        </row>
        <row r="715">
          <cell r="A715">
            <v>51150216</v>
          </cell>
          <cell r="B715" t="str">
            <v>J. P. Morgan Chase Bank N.A.-INR-Pymt</v>
          </cell>
        </row>
        <row r="716">
          <cell r="A716">
            <v>51150217</v>
          </cell>
          <cell r="B716" t="str">
            <v>J. P. Morgan Chase Bank N.A.-INR-Pymt</v>
          </cell>
        </row>
        <row r="717">
          <cell r="A717">
            <v>51200208</v>
          </cell>
          <cell r="B717" t="str">
            <v>Bank Of India-INR-Main</v>
          </cell>
        </row>
        <row r="718">
          <cell r="A718">
            <v>51200215</v>
          </cell>
          <cell r="B718" t="str">
            <v>J. P. Morgan Chase Bank N.A.-INR-Main</v>
          </cell>
        </row>
        <row r="719">
          <cell r="A719">
            <v>51200217</v>
          </cell>
          <cell r="B719" t="str">
            <v>J. P. Morgan Chase Bank N.A.-INR-Main</v>
          </cell>
        </row>
        <row r="720">
          <cell r="A720">
            <v>411998</v>
          </cell>
          <cell r="B720" t="str">
            <v>Debtorss - Foreign Curr Revaluation Account</v>
          </cell>
        </row>
        <row r="721">
          <cell r="A721">
            <v>428650</v>
          </cell>
          <cell r="B721" t="str">
            <v>OTHER ACCRUED EXPENSES</v>
          </cell>
        </row>
        <row r="722">
          <cell r="A722">
            <v>1013001</v>
          </cell>
          <cell r="B722" t="str">
            <v>CAPITAL SUBSCRIBED - CALLED AND PAID</v>
          </cell>
        </row>
        <row r="723">
          <cell r="A723">
            <v>4014500</v>
          </cell>
          <cell r="B723" t="str">
            <v>interco foreign Vendors</v>
          </cell>
        </row>
        <row r="724">
          <cell r="A724">
            <v>4015000</v>
          </cell>
          <cell r="B724" t="str">
            <v>TRADE CREDITORS - GOODS AND SERVICES GROUP</v>
          </cell>
        </row>
        <row r="725">
          <cell r="A725">
            <v>4081510</v>
          </cell>
          <cell r="B725" t="str">
            <v>Outstanding Liabilities</v>
          </cell>
        </row>
        <row r="726">
          <cell r="A726">
            <v>4085000</v>
          </cell>
          <cell r="B726" t="str">
            <v>TRADE CREDITORS - PURCH. INV. ACCRUALS GROUP</v>
          </cell>
        </row>
        <row r="727">
          <cell r="A727">
            <v>4115000</v>
          </cell>
          <cell r="B727" t="str">
            <v>TRADE DEBTORS GROUP</v>
          </cell>
        </row>
        <row r="728">
          <cell r="A728">
            <v>4181500</v>
          </cell>
          <cell r="B728" t="str">
            <v>WIP: travel costs</v>
          </cell>
        </row>
        <row r="729">
          <cell r="A729">
            <v>4210100</v>
          </cell>
          <cell r="B729" t="str">
            <v>Salary payables - regularization</v>
          </cell>
        </row>
        <row r="730">
          <cell r="A730">
            <v>4286100</v>
          </cell>
          <cell r="B730" t="str">
            <v>ACCRUED EXPENSES - YEAR-END BONUS</v>
          </cell>
        </row>
        <row r="731">
          <cell r="A731">
            <v>4372000</v>
          </cell>
          <cell r="B731" t="str">
            <v>WELFARE INSTITUTIONS</v>
          </cell>
        </row>
        <row r="732">
          <cell r="A732">
            <v>4373000</v>
          </cell>
          <cell r="B732" t="str">
            <v>PENSION FUNDS</v>
          </cell>
        </row>
        <row r="733">
          <cell r="A733">
            <v>4374070</v>
          </cell>
          <cell r="B733" t="str">
            <v>TDS - Rent</v>
          </cell>
        </row>
        <row r="734">
          <cell r="A734">
            <v>4374080</v>
          </cell>
          <cell r="B734" t="str">
            <v>TDS - Professional Fees</v>
          </cell>
        </row>
        <row r="735">
          <cell r="A735">
            <v>4386660</v>
          </cell>
          <cell r="B735" t="str">
            <v>INCOME TAXES ON SALARIES</v>
          </cell>
        </row>
        <row r="736">
          <cell r="A736">
            <v>4510000</v>
          </cell>
          <cell r="B736" t="str">
            <v>Current Account</v>
          </cell>
        </row>
        <row r="737">
          <cell r="A737">
            <v>4550000</v>
          </cell>
          <cell r="B737" t="str">
            <v>Intercompany current accounts liabilities</v>
          </cell>
        </row>
        <row r="738">
          <cell r="A738">
            <v>4880000</v>
          </cell>
          <cell r="B738" t="str">
            <v>DEFERRED TAX</v>
          </cell>
        </row>
        <row r="739">
          <cell r="A739">
            <v>4459160</v>
          </cell>
          <cell r="B739" t="str">
            <v>STAMP DUTY PAYABLE</v>
          </cell>
        </row>
        <row r="740">
          <cell r="A740">
            <v>4458700</v>
          </cell>
          <cell r="B740" t="str">
            <v>VAT Provision Account</v>
          </cell>
        </row>
        <row r="742">
          <cell r="A742">
            <v>400010</v>
          </cell>
          <cell r="B742" t="str">
            <v>Onsite/Offsite Revenues</v>
          </cell>
        </row>
        <row r="743">
          <cell r="A743">
            <v>400020</v>
          </cell>
          <cell r="B743" t="str">
            <v>Revenue Adjustments</v>
          </cell>
        </row>
        <row r="744">
          <cell r="A744">
            <v>400021</v>
          </cell>
          <cell r="B744" t="str">
            <v>Local Sales - India</v>
          </cell>
        </row>
        <row r="745">
          <cell r="A745">
            <v>400030</v>
          </cell>
          <cell r="B745" t="str">
            <v>Offshore Revenue</v>
          </cell>
        </row>
        <row r="746">
          <cell r="A746">
            <v>400040</v>
          </cell>
          <cell r="B746" t="str">
            <v>Domestic Direct Revenue</v>
          </cell>
        </row>
        <row r="747">
          <cell r="A747">
            <v>400050</v>
          </cell>
          <cell r="B747" t="str">
            <v>Reimbursement of Expenses-REVE</v>
          </cell>
        </row>
        <row r="748">
          <cell r="A748">
            <v>400060</v>
          </cell>
          <cell r="B748" t="str">
            <v>Sales Incentives</v>
          </cell>
        </row>
        <row r="749">
          <cell r="A749">
            <v>400061</v>
          </cell>
          <cell r="B749" t="str">
            <v>Volume Discount/Rebates</v>
          </cell>
        </row>
        <row r="750">
          <cell r="A750">
            <v>400070</v>
          </cell>
          <cell r="B750" t="str">
            <v>Exchange Gain / Loss</v>
          </cell>
        </row>
        <row r="751">
          <cell r="A751">
            <v>400071</v>
          </cell>
          <cell r="B751" t="str">
            <v>Exch Gain / Loss (Actual)</v>
          </cell>
        </row>
        <row r="752">
          <cell r="A752">
            <v>400072</v>
          </cell>
          <cell r="B752" t="str">
            <v>Rounding Suspense Account</v>
          </cell>
        </row>
        <row r="753">
          <cell r="A753">
            <v>400073</v>
          </cell>
          <cell r="B753" t="str">
            <v>Exchange Gain/Loss Derivatives</v>
          </cell>
        </row>
        <row r="754">
          <cell r="A754">
            <v>400074</v>
          </cell>
          <cell r="B754" t="str">
            <v>Exch Gain / Loss-Inter com</v>
          </cell>
        </row>
        <row r="755">
          <cell r="A755">
            <v>400075</v>
          </cell>
          <cell r="B755" t="str">
            <v>Exch Gain/Loss(Act)-Inter com</v>
          </cell>
        </row>
        <row r="756">
          <cell r="A756">
            <v>400110</v>
          </cell>
          <cell r="B756" t="str">
            <v>Inter Unit Onsite/Offsite Reve</v>
          </cell>
        </row>
        <row r="757">
          <cell r="A757">
            <v>400130</v>
          </cell>
          <cell r="B757" t="str">
            <v>Inter Unit Offshore Revenue</v>
          </cell>
        </row>
        <row r="758">
          <cell r="A758">
            <v>400140</v>
          </cell>
          <cell r="B758" t="str">
            <v>Finder Fees - Inter company</v>
          </cell>
        </row>
        <row r="759">
          <cell r="A759">
            <v>400141</v>
          </cell>
          <cell r="B759" t="str">
            <v>Finder Fee-InterCompany Domes</v>
          </cell>
        </row>
        <row r="760">
          <cell r="A760">
            <v>500010</v>
          </cell>
          <cell r="B760" t="str">
            <v>Payroll - Corporate</v>
          </cell>
        </row>
        <row r="761">
          <cell r="A761">
            <v>500015</v>
          </cell>
          <cell r="B761" t="str">
            <v>Payroll - Consultants</v>
          </cell>
        </row>
        <row r="762">
          <cell r="A762">
            <v>500020</v>
          </cell>
          <cell r="B762" t="str">
            <v>City Allowance</v>
          </cell>
        </row>
        <row r="763">
          <cell r="A763">
            <v>500025</v>
          </cell>
          <cell r="B763" t="str">
            <v>Payroll - Vacation</v>
          </cell>
        </row>
        <row r="764">
          <cell r="A764">
            <v>500026</v>
          </cell>
          <cell r="B764" t="str">
            <v>Payroll - Cost Deferral</v>
          </cell>
        </row>
        <row r="765">
          <cell r="A765">
            <v>500030</v>
          </cell>
          <cell r="B765" t="str">
            <v>Payroll - Retro Payments</v>
          </cell>
        </row>
        <row r="766">
          <cell r="A766">
            <v>500035</v>
          </cell>
          <cell r="B766" t="str">
            <v>Payroll - Restricted Stock</v>
          </cell>
        </row>
        <row r="767">
          <cell r="A767">
            <v>500036</v>
          </cell>
          <cell r="B767" t="str">
            <v>FAS 123R expenses</v>
          </cell>
        </row>
        <row r="768">
          <cell r="A768">
            <v>500040</v>
          </cell>
          <cell r="B768" t="str">
            <v>Payroll - Overtime</v>
          </cell>
        </row>
        <row r="769">
          <cell r="A769">
            <v>500060</v>
          </cell>
          <cell r="B769" t="str">
            <v>Payroll - Misc Bonuses</v>
          </cell>
        </row>
        <row r="770">
          <cell r="A770">
            <v>500065</v>
          </cell>
          <cell r="B770" t="str">
            <v>Payroll - Management Bonuses</v>
          </cell>
        </row>
        <row r="771">
          <cell r="A771">
            <v>500071</v>
          </cell>
          <cell r="B771" t="str">
            <v>Payroll - E.S.I.C. - Co. Cont.</v>
          </cell>
        </row>
        <row r="772">
          <cell r="A772">
            <v>500072</v>
          </cell>
          <cell r="B772" t="str">
            <v>Payroll - F P F - Co Cont.</v>
          </cell>
        </row>
        <row r="773">
          <cell r="A773">
            <v>500073</v>
          </cell>
          <cell r="B773" t="str">
            <v>Payroll - M L W F - Co. Cont.</v>
          </cell>
        </row>
        <row r="774">
          <cell r="A774">
            <v>500074</v>
          </cell>
          <cell r="B774" t="str">
            <v>Payroll - C L W F - Co. Cont.</v>
          </cell>
        </row>
        <row r="775">
          <cell r="A775">
            <v>500075</v>
          </cell>
          <cell r="B775" t="str">
            <v>Payroll - P F Admin. Charges</v>
          </cell>
        </row>
        <row r="776">
          <cell r="A776">
            <v>500076</v>
          </cell>
          <cell r="B776" t="str">
            <v>Payroll - P F - Co Contribution</v>
          </cell>
        </row>
        <row r="777">
          <cell r="A777">
            <v>500077</v>
          </cell>
          <cell r="B777" t="str">
            <v>Payroll - Recovered</v>
          </cell>
        </row>
        <row r="778">
          <cell r="A778">
            <v>500078</v>
          </cell>
          <cell r="B778" t="str">
            <v>Payroll - Notice Period Reimb.</v>
          </cell>
        </row>
        <row r="779">
          <cell r="A779">
            <v>500079</v>
          </cell>
          <cell r="B779" t="str">
            <v>Payroll - Notice Pay Recovery</v>
          </cell>
        </row>
        <row r="780">
          <cell r="A780">
            <v>500080</v>
          </cell>
          <cell r="B780" t="str">
            <v>Payroll - Encash. of Earned Leave</v>
          </cell>
        </row>
        <row r="781">
          <cell r="A781">
            <v>500081</v>
          </cell>
          <cell r="B781" t="str">
            <v>Payroll - Gratuity</v>
          </cell>
        </row>
        <row r="782">
          <cell r="A782">
            <v>500082</v>
          </cell>
          <cell r="B782" t="str">
            <v>Payroll - P.F. Allowance</v>
          </cell>
        </row>
        <row r="783">
          <cell r="A783">
            <v>500083</v>
          </cell>
          <cell r="B783" t="str">
            <v>Payroll - Salary &amp; Allowances</v>
          </cell>
        </row>
        <row r="784">
          <cell r="A784">
            <v>500084</v>
          </cell>
          <cell r="B784" t="str">
            <v>Payroll - Med. &amp; Trans. Allow.</v>
          </cell>
        </row>
        <row r="785">
          <cell r="A785">
            <v>500085</v>
          </cell>
          <cell r="B785" t="str">
            <v>Payroll - Special Allowance</v>
          </cell>
        </row>
        <row r="786">
          <cell r="A786">
            <v>500086</v>
          </cell>
          <cell r="B786" t="str">
            <v>Payroll - House Rent Allowance</v>
          </cell>
        </row>
        <row r="787">
          <cell r="A787">
            <v>500087</v>
          </cell>
          <cell r="B787" t="str">
            <v>Payroll - Incentives</v>
          </cell>
        </row>
        <row r="788">
          <cell r="A788">
            <v>500088</v>
          </cell>
          <cell r="B788" t="str">
            <v>Payroll - Leave Travel Allowance</v>
          </cell>
        </row>
        <row r="789">
          <cell r="A789">
            <v>500089</v>
          </cell>
          <cell r="B789" t="str">
            <v>Payroll - EDLIS</v>
          </cell>
        </row>
        <row r="790">
          <cell r="A790">
            <v>500090</v>
          </cell>
          <cell r="B790" t="str">
            <v>Payroll - Other Payments</v>
          </cell>
        </row>
        <row r="791">
          <cell r="A791">
            <v>500091</v>
          </cell>
          <cell r="B791" t="str">
            <v>Payroll - Technical Allowances</v>
          </cell>
        </row>
        <row r="792">
          <cell r="A792">
            <v>500092</v>
          </cell>
          <cell r="B792" t="str">
            <v>Payroll - Bond Recovery</v>
          </cell>
        </row>
        <row r="793">
          <cell r="A793">
            <v>500093</v>
          </cell>
          <cell r="B793" t="str">
            <v>Payroll - Transport A</v>
          </cell>
        </row>
        <row r="794">
          <cell r="A794">
            <v>500094</v>
          </cell>
          <cell r="B794" t="str">
            <v>Payroll - Meal Alloawnce</v>
          </cell>
        </row>
        <row r="795">
          <cell r="A795">
            <v>500100</v>
          </cell>
          <cell r="B795" t="str">
            <v>Payroll - Troy</v>
          </cell>
        </row>
        <row r="796">
          <cell r="A796">
            <v>500101</v>
          </cell>
          <cell r="B796" t="str">
            <v>Payroll - Bonus Leadership</v>
          </cell>
        </row>
        <row r="797">
          <cell r="A797">
            <v>500102</v>
          </cell>
          <cell r="B797" t="str">
            <v>Payroll - Bonus Vertical Team</v>
          </cell>
        </row>
        <row r="798">
          <cell r="A798">
            <v>500103</v>
          </cell>
          <cell r="B798" t="str">
            <v>Payroll - Bonus Practice Team</v>
          </cell>
        </row>
        <row r="799">
          <cell r="A799">
            <v>500104</v>
          </cell>
          <cell r="B799" t="str">
            <v>Payroll - Bonus Engagement Mgr</v>
          </cell>
        </row>
        <row r="800">
          <cell r="A800">
            <v>500105</v>
          </cell>
          <cell r="B800" t="str">
            <v>Payroll - Bonus TIA for Revenu</v>
          </cell>
        </row>
        <row r="801">
          <cell r="A801">
            <v>500106</v>
          </cell>
          <cell r="B801" t="str">
            <v>Payroll - Bonus TIA for TCV</v>
          </cell>
        </row>
        <row r="802">
          <cell r="A802">
            <v>500107</v>
          </cell>
          <cell r="B802" t="str">
            <v>Payroll - Bonus Billable</v>
          </cell>
        </row>
        <row r="803">
          <cell r="A803">
            <v>500108</v>
          </cell>
          <cell r="B803" t="str">
            <v>Payroll - Bonus Corporate</v>
          </cell>
        </row>
        <row r="804">
          <cell r="A804">
            <v>500109</v>
          </cell>
          <cell r="B804" t="str">
            <v>Payroll - Bonus Others</v>
          </cell>
        </row>
        <row r="805">
          <cell r="A805">
            <v>500110</v>
          </cell>
          <cell r="B805" t="str">
            <v>Payroll - Bonus CEO</v>
          </cell>
        </row>
        <row r="806">
          <cell r="A806">
            <v>500111</v>
          </cell>
          <cell r="B806" t="str">
            <v>Payroll - Awards</v>
          </cell>
        </row>
        <row r="807">
          <cell r="A807">
            <v>500114</v>
          </cell>
          <cell r="B807" t="str">
            <v>HCA Billable Bonus</v>
          </cell>
        </row>
        <row r="808">
          <cell r="A808">
            <v>500115</v>
          </cell>
          <cell r="B808" t="str">
            <v>Increment - Comp/Bonus</v>
          </cell>
        </row>
        <row r="809">
          <cell r="A809">
            <v>500117</v>
          </cell>
          <cell r="B809" t="str">
            <v>Payroll Long term incentive Plan</v>
          </cell>
        </row>
        <row r="810">
          <cell r="A810">
            <v>500123</v>
          </cell>
          <cell r="B810" t="str">
            <v>Employee Referral Bonus Comp</v>
          </cell>
        </row>
        <row r="811">
          <cell r="A811">
            <v>501110</v>
          </cell>
          <cell r="B811" t="str">
            <v>Payroll Taxes</v>
          </cell>
        </row>
        <row r="812">
          <cell r="A812">
            <v>501111</v>
          </cell>
          <cell r="B812" t="str">
            <v>Payroll-Tax on Perquisites</v>
          </cell>
        </row>
        <row r="813">
          <cell r="A813">
            <v>501115</v>
          </cell>
          <cell r="B813" t="str">
            <v>Health Insurance</v>
          </cell>
        </row>
        <row r="814">
          <cell r="A814">
            <v>501116</v>
          </cell>
          <cell r="B814" t="str">
            <v>Accident Insurance</v>
          </cell>
        </row>
        <row r="815">
          <cell r="A815">
            <v>501117</v>
          </cell>
          <cell r="B815" t="str">
            <v>Life Insurance</v>
          </cell>
        </row>
        <row r="816">
          <cell r="A816">
            <v>501120</v>
          </cell>
          <cell r="B816" t="str">
            <v>Benefits - PC Purchase</v>
          </cell>
        </row>
        <row r="817">
          <cell r="A817">
            <v>501125</v>
          </cell>
          <cell r="B817" t="str">
            <v>Tuition Reimbursement</v>
          </cell>
        </row>
        <row r="818">
          <cell r="A818">
            <v>501130</v>
          </cell>
          <cell r="B818" t="str">
            <v>Employee Relations</v>
          </cell>
        </row>
        <row r="819">
          <cell r="A819">
            <v>501132</v>
          </cell>
          <cell r="B819" t="str">
            <v>Client Entertainment Exps</v>
          </cell>
        </row>
        <row r="820">
          <cell r="A820">
            <v>501135</v>
          </cell>
          <cell r="B820" t="str">
            <v>Insurance - Workmans Compensat</v>
          </cell>
        </row>
        <row r="821">
          <cell r="A821">
            <v>501140</v>
          </cell>
          <cell r="B821" t="str">
            <v>Benefits - Canteen expenses</v>
          </cell>
        </row>
        <row r="822">
          <cell r="A822">
            <v>501141</v>
          </cell>
          <cell r="B822" t="str">
            <v>Benefits - Medical expenses</v>
          </cell>
        </row>
        <row r="823">
          <cell r="A823">
            <v>501142</v>
          </cell>
          <cell r="B823" t="str">
            <v>Benefits - Staff Functions</v>
          </cell>
        </row>
        <row r="824">
          <cell r="A824">
            <v>501143</v>
          </cell>
          <cell r="B824" t="str">
            <v>Benefits - Proj. Lunch/Picnic</v>
          </cell>
        </row>
        <row r="825">
          <cell r="A825">
            <v>501144</v>
          </cell>
          <cell r="B825" t="str">
            <v xml:space="preserve">Benefits - Staff Transport </v>
          </cell>
        </row>
        <row r="826">
          <cell r="A826">
            <v>501145</v>
          </cell>
          <cell r="B826" t="str">
            <v>Benefits - Others</v>
          </cell>
        </row>
        <row r="827">
          <cell r="A827">
            <v>501146</v>
          </cell>
          <cell r="B827" t="str">
            <v>Benefits - Staff Gifts</v>
          </cell>
        </row>
        <row r="828">
          <cell r="A828">
            <v>501153</v>
          </cell>
          <cell r="B828" t="str">
            <v>Benefits - Transport Recovery</v>
          </cell>
        </row>
        <row r="829">
          <cell r="A829">
            <v>501310</v>
          </cell>
          <cell r="B829" t="str">
            <v>Billable Outside Consulting</v>
          </cell>
        </row>
        <row r="830">
          <cell r="A830">
            <v>501311</v>
          </cell>
          <cell r="B830" t="str">
            <v>Billable out consulting - Inter Co.</v>
          </cell>
        </row>
        <row r="831">
          <cell r="A831">
            <v>501315</v>
          </cell>
          <cell r="B831" t="str">
            <v>Offshore Charges</v>
          </cell>
        </row>
        <row r="832">
          <cell r="A832">
            <v>501320</v>
          </cell>
          <cell r="B832" t="str">
            <v>Offshore -Transition Charges</v>
          </cell>
        </row>
        <row r="833">
          <cell r="A833">
            <v>501321</v>
          </cell>
          <cell r="B833" t="str">
            <v>Offshore-L1 Charges</v>
          </cell>
        </row>
        <row r="834">
          <cell r="A834">
            <v>501322</v>
          </cell>
          <cell r="B834" t="str">
            <v>Offshore-Buffer Charges</v>
          </cell>
        </row>
        <row r="835">
          <cell r="A835">
            <v>501324</v>
          </cell>
          <cell r="B835" t="str">
            <v>Inter-Co. Service charges</v>
          </cell>
        </row>
        <row r="836">
          <cell r="A836">
            <v>501329</v>
          </cell>
          <cell r="B836" t="str">
            <v>Deferred Offshore/Onsite Chgs</v>
          </cell>
        </row>
        <row r="837">
          <cell r="A837">
            <v>501330</v>
          </cell>
          <cell r="B837" t="str">
            <v>Outside Services</v>
          </cell>
        </row>
        <row r="838">
          <cell r="A838">
            <v>501410</v>
          </cell>
          <cell r="B838" t="str">
            <v>Relocation - NonTaxable</v>
          </cell>
        </row>
        <row r="839">
          <cell r="A839">
            <v>501420</v>
          </cell>
          <cell r="B839" t="str">
            <v>Relocation - Taxable</v>
          </cell>
        </row>
        <row r="840">
          <cell r="A840">
            <v>501510</v>
          </cell>
          <cell r="B840" t="str">
            <v>Advertising - Recruitng</v>
          </cell>
        </row>
        <row r="841">
          <cell r="A841">
            <v>501515</v>
          </cell>
          <cell r="B841" t="str">
            <v>Employee Recruitng Expense</v>
          </cell>
        </row>
        <row r="842">
          <cell r="A842">
            <v>501516</v>
          </cell>
          <cell r="B842" t="str">
            <v>Employee Referal Incentive</v>
          </cell>
        </row>
        <row r="843">
          <cell r="A843">
            <v>501520</v>
          </cell>
          <cell r="B843" t="str">
            <v>Employee Referral Bonus</v>
          </cell>
        </row>
        <row r="844">
          <cell r="A844">
            <v>501590</v>
          </cell>
          <cell r="B844" t="str">
            <v>Finder Fees - Inter co. Costs</v>
          </cell>
        </row>
        <row r="845">
          <cell r="A845">
            <v>501610</v>
          </cell>
          <cell r="B845" t="str">
            <v>Immigration Fees</v>
          </cell>
        </row>
        <row r="846">
          <cell r="A846">
            <v>501655</v>
          </cell>
          <cell r="B846" t="str">
            <v>Training &amp; Seminars</v>
          </cell>
        </row>
        <row r="847">
          <cell r="A847">
            <v>501660</v>
          </cell>
          <cell r="B847" t="str">
            <v>Employee Training</v>
          </cell>
        </row>
        <row r="848">
          <cell r="A848">
            <v>501661</v>
          </cell>
          <cell r="B848" t="str">
            <v>Membership - PMI</v>
          </cell>
        </row>
        <row r="849">
          <cell r="A849">
            <v>501710</v>
          </cell>
          <cell r="B849" t="str">
            <v>Travel - Personal Meals</v>
          </cell>
        </row>
        <row r="850">
          <cell r="A850">
            <v>501715</v>
          </cell>
          <cell r="B850" t="str">
            <v>Travel-Business Meals</v>
          </cell>
        </row>
        <row r="851">
          <cell r="A851">
            <v>501720</v>
          </cell>
          <cell r="B851" t="str">
            <v>Travel-Automobile</v>
          </cell>
        </row>
        <row r="852">
          <cell r="A852">
            <v>501725</v>
          </cell>
          <cell r="B852" t="str">
            <v>Travel-Airfare/Train</v>
          </cell>
        </row>
        <row r="853">
          <cell r="A853">
            <v>501730</v>
          </cell>
          <cell r="B853" t="str">
            <v>Travel-Lodging</v>
          </cell>
        </row>
        <row r="854">
          <cell r="A854">
            <v>501732</v>
          </cell>
          <cell r="B854" t="str">
            <v>Guest House expenses</v>
          </cell>
        </row>
        <row r="855">
          <cell r="A855">
            <v>501735</v>
          </cell>
          <cell r="B855" t="str">
            <v>Travel - Billable</v>
          </cell>
        </row>
        <row r="856">
          <cell r="A856">
            <v>501740</v>
          </cell>
          <cell r="B856" t="str">
            <v>Immigration Travel Expenses</v>
          </cell>
        </row>
        <row r="857">
          <cell r="A857">
            <v>501745</v>
          </cell>
          <cell r="B857" t="str">
            <v>Billable Travel</v>
          </cell>
        </row>
        <row r="858">
          <cell r="A858">
            <v>501801</v>
          </cell>
          <cell r="B858" t="str">
            <v xml:space="preserve">Vehicle - Petrol </v>
          </cell>
        </row>
        <row r="859">
          <cell r="A859">
            <v>501802</v>
          </cell>
          <cell r="B859" t="str">
            <v>Vehicle - RM/Driver</v>
          </cell>
        </row>
        <row r="860">
          <cell r="A860">
            <v>501803</v>
          </cell>
          <cell r="B860" t="str">
            <v>Local Conveyance</v>
          </cell>
        </row>
        <row r="861">
          <cell r="A861">
            <v>501901</v>
          </cell>
          <cell r="B861" t="str">
            <v>F Travel - Living Exp.US</v>
          </cell>
        </row>
        <row r="862">
          <cell r="A862">
            <v>501902</v>
          </cell>
          <cell r="B862" t="str">
            <v>F Travel - Living Exp.UK</v>
          </cell>
        </row>
        <row r="863">
          <cell r="A863">
            <v>501903</v>
          </cell>
          <cell r="B863" t="str">
            <v>F Travel - Living Exp.Germany</v>
          </cell>
        </row>
        <row r="864">
          <cell r="A864">
            <v>501904</v>
          </cell>
          <cell r="B864" t="str">
            <v>F Travel - Living Exp.Corp.</v>
          </cell>
        </row>
        <row r="865">
          <cell r="A865">
            <v>501905</v>
          </cell>
          <cell r="B865" t="str">
            <v>F Travel - Living Exp.Others</v>
          </cell>
        </row>
        <row r="866">
          <cell r="A866">
            <v>501906</v>
          </cell>
          <cell r="B866" t="str">
            <v>F Travel - Living Exp. Jersey</v>
          </cell>
        </row>
        <row r="867">
          <cell r="A867">
            <v>501907</v>
          </cell>
          <cell r="B867" t="str">
            <v>F Travel - Living Exp.Canada</v>
          </cell>
        </row>
        <row r="868">
          <cell r="A868">
            <v>501908</v>
          </cell>
          <cell r="B868" t="str">
            <v>F Travel - Cost Deferral</v>
          </cell>
        </row>
        <row r="869">
          <cell r="A869">
            <v>501911</v>
          </cell>
          <cell r="B869" t="str">
            <v>F Travel - Airfare US</v>
          </cell>
        </row>
        <row r="870">
          <cell r="A870">
            <v>501912</v>
          </cell>
          <cell r="B870" t="str">
            <v>F Travel - Airfare UK</v>
          </cell>
        </row>
        <row r="871">
          <cell r="A871">
            <v>501913</v>
          </cell>
          <cell r="B871" t="str">
            <v>F Travel - Airfare Germany</v>
          </cell>
        </row>
        <row r="872">
          <cell r="A872">
            <v>501914</v>
          </cell>
          <cell r="B872" t="str">
            <v>F Travel - Airfare Corp.</v>
          </cell>
        </row>
        <row r="873">
          <cell r="A873">
            <v>501915</v>
          </cell>
          <cell r="B873" t="str">
            <v>F Travel - Airfare Family</v>
          </cell>
        </row>
        <row r="874">
          <cell r="A874">
            <v>501916</v>
          </cell>
          <cell r="B874" t="str">
            <v>F Travel - Airfare Others</v>
          </cell>
        </row>
        <row r="875">
          <cell r="A875">
            <v>501917</v>
          </cell>
          <cell r="B875" t="str">
            <v>F Travel - Airfare Canada</v>
          </cell>
        </row>
        <row r="876">
          <cell r="A876">
            <v>501921</v>
          </cell>
          <cell r="B876" t="str">
            <v>F Travel - Insurance US</v>
          </cell>
        </row>
        <row r="877">
          <cell r="A877">
            <v>501922</v>
          </cell>
          <cell r="B877" t="str">
            <v>F Travel - Insurance UK</v>
          </cell>
        </row>
        <row r="878">
          <cell r="A878">
            <v>501923</v>
          </cell>
          <cell r="B878" t="str">
            <v>F Travel - Insurance Germany</v>
          </cell>
        </row>
        <row r="879">
          <cell r="A879">
            <v>501924</v>
          </cell>
          <cell r="B879" t="str">
            <v>F Travel - Insurance Corporate</v>
          </cell>
        </row>
        <row r="880">
          <cell r="A880">
            <v>501925</v>
          </cell>
          <cell r="B880" t="str">
            <v>F Travel - Insurance Others</v>
          </cell>
        </row>
        <row r="881">
          <cell r="A881">
            <v>501926</v>
          </cell>
          <cell r="B881" t="str">
            <v>F Travel - Insurance Marsh US</v>
          </cell>
        </row>
        <row r="882">
          <cell r="A882">
            <v>501927</v>
          </cell>
          <cell r="B882" t="str">
            <v>F Travel - Insurance Canada</v>
          </cell>
        </row>
        <row r="883">
          <cell r="A883">
            <v>501931</v>
          </cell>
          <cell r="B883" t="str">
            <v>F Travel - Visa US</v>
          </cell>
        </row>
        <row r="884">
          <cell r="A884">
            <v>501932</v>
          </cell>
          <cell r="B884" t="str">
            <v>F Travel - Visa UK</v>
          </cell>
        </row>
        <row r="885">
          <cell r="A885">
            <v>501933</v>
          </cell>
          <cell r="B885" t="str">
            <v>F Travel - Visa Germany</v>
          </cell>
        </row>
        <row r="886">
          <cell r="A886">
            <v>501934</v>
          </cell>
          <cell r="B886" t="str">
            <v>F Travel - Visa Corp.</v>
          </cell>
        </row>
        <row r="887">
          <cell r="A887">
            <v>501935</v>
          </cell>
          <cell r="B887" t="str">
            <v>F Travel - Visa Others</v>
          </cell>
        </row>
        <row r="888">
          <cell r="A888">
            <v>501937</v>
          </cell>
          <cell r="B888" t="str">
            <v>F Travel - Visa Canada</v>
          </cell>
        </row>
        <row r="889">
          <cell r="A889">
            <v>501941</v>
          </cell>
          <cell r="B889" t="str">
            <v>F Travel - Kit allowance US</v>
          </cell>
        </row>
        <row r="890">
          <cell r="A890">
            <v>501942</v>
          </cell>
          <cell r="B890" t="str">
            <v>F Travel - Kit allowance UK</v>
          </cell>
        </row>
        <row r="891">
          <cell r="A891">
            <v>501943</v>
          </cell>
          <cell r="B891" t="str">
            <v>F Travel - Kit allowance Corp.</v>
          </cell>
        </row>
        <row r="892">
          <cell r="A892">
            <v>501944</v>
          </cell>
          <cell r="B892" t="str">
            <v>F Travel - Kit allowance Other</v>
          </cell>
        </row>
        <row r="893">
          <cell r="A893">
            <v>501945</v>
          </cell>
          <cell r="B893" t="str">
            <v>F Travel - US Employment tax</v>
          </cell>
        </row>
        <row r="894">
          <cell r="A894">
            <v>501946</v>
          </cell>
          <cell r="B894" t="str">
            <v>F Travel - Registration charges</v>
          </cell>
        </row>
        <row r="895">
          <cell r="A895">
            <v>501948</v>
          </cell>
          <cell r="B895" t="str">
            <v>F Travel-Canada Employment Tax</v>
          </cell>
        </row>
        <row r="896">
          <cell r="A896">
            <v>502010</v>
          </cell>
          <cell r="B896" t="str">
            <v>Michigan SBT Tax</v>
          </cell>
        </row>
        <row r="897">
          <cell r="A897">
            <v>502020</v>
          </cell>
          <cell r="B897" t="str">
            <v>Taxes - Federal Provision</v>
          </cell>
        </row>
        <row r="898">
          <cell r="A898">
            <v>502025</v>
          </cell>
          <cell r="B898" t="str">
            <v>Warranty Expense</v>
          </cell>
        </row>
        <row r="899">
          <cell r="A899">
            <v>502050</v>
          </cell>
          <cell r="B899" t="str">
            <v>CPC Charges</v>
          </cell>
        </row>
        <row r="900">
          <cell r="A900">
            <v>502051</v>
          </cell>
          <cell r="B900" t="str">
            <v>Customer Claim</v>
          </cell>
        </row>
        <row r="901">
          <cell r="A901">
            <v>502110</v>
          </cell>
          <cell r="B901" t="str">
            <v>Rent - Office</v>
          </cell>
        </row>
        <row r="902">
          <cell r="A902">
            <v>502113</v>
          </cell>
          <cell r="B902" t="str">
            <v>Amortisation of ROU A</v>
          </cell>
        </row>
        <row r="903">
          <cell r="A903">
            <v>502115</v>
          </cell>
          <cell r="B903" t="str">
            <v>Reversal of rent Lease IFRS 16</v>
          </cell>
        </row>
        <row r="904">
          <cell r="A904">
            <v>502120</v>
          </cell>
          <cell r="B904" t="str">
            <v>Rent - Guest House</v>
          </cell>
        </row>
        <row r="905">
          <cell r="A905">
            <v>502121</v>
          </cell>
          <cell r="B905" t="str">
            <v>Rent - Flat for staff</v>
          </cell>
        </row>
        <row r="906">
          <cell r="A906">
            <v>502129</v>
          </cell>
          <cell r="B906" t="str">
            <v>Rent - Office Intercompany</v>
          </cell>
        </row>
        <row r="907">
          <cell r="A907">
            <v>502112</v>
          </cell>
          <cell r="B907" t="str">
            <v>Lease expense IC (IndAS)</v>
          </cell>
        </row>
        <row r="908">
          <cell r="A908">
            <v>502130</v>
          </cell>
          <cell r="B908" t="str">
            <v>Fixed Asset Depreciation</v>
          </cell>
        </row>
        <row r="909">
          <cell r="A909">
            <v>502146</v>
          </cell>
          <cell r="B909" t="str">
            <v>Amortz Exp- Cap Dev- Proj 98</v>
          </cell>
        </row>
        <row r="910">
          <cell r="A910">
            <v>502150</v>
          </cell>
          <cell r="B910" t="str">
            <v>Software Amortization</v>
          </cell>
        </row>
        <row r="911">
          <cell r="A911">
            <v>502170</v>
          </cell>
          <cell r="B911" t="str">
            <v>Voice &amp; Data Communications</v>
          </cell>
        </row>
        <row r="912">
          <cell r="A912">
            <v>502171</v>
          </cell>
          <cell r="B912" t="str">
            <v>Satellite Link Expenses</v>
          </cell>
        </row>
        <row r="913">
          <cell r="A913">
            <v>502172</v>
          </cell>
          <cell r="B913" t="str">
            <v>Internet expenses</v>
          </cell>
        </row>
        <row r="914">
          <cell r="A914">
            <v>502173</v>
          </cell>
          <cell r="B914" t="str">
            <v>Telephone / Mobile Reimursemen</v>
          </cell>
        </row>
        <row r="915">
          <cell r="A915">
            <v>503015</v>
          </cell>
          <cell r="B915" t="str">
            <v>Dues</v>
          </cell>
        </row>
        <row r="916">
          <cell r="A916">
            <v>503020</v>
          </cell>
          <cell r="B916" t="str">
            <v>Freight/Postage</v>
          </cell>
        </row>
        <row r="917">
          <cell r="A917">
            <v>503021</v>
          </cell>
          <cell r="B917" t="str">
            <v>Goods Clearing charges</v>
          </cell>
        </row>
        <row r="918">
          <cell r="A918">
            <v>503022</v>
          </cell>
          <cell r="B918" t="str">
            <v>Octroi Charges</v>
          </cell>
        </row>
        <row r="919">
          <cell r="A919">
            <v>503025</v>
          </cell>
          <cell r="B919" t="str">
            <v>Insurance-Property &amp; Other</v>
          </cell>
        </row>
        <row r="920">
          <cell r="A920">
            <v>503030</v>
          </cell>
          <cell r="B920" t="str">
            <v>Insurance-Directors &amp; Officers</v>
          </cell>
        </row>
        <row r="921">
          <cell r="A921">
            <v>503040</v>
          </cell>
          <cell r="B921" t="str">
            <v>Insurance-Vehicles</v>
          </cell>
        </row>
        <row r="922">
          <cell r="A922">
            <v>503041</v>
          </cell>
          <cell r="B922" t="str">
            <v>Insurance-Transit</v>
          </cell>
        </row>
        <row r="923">
          <cell r="A923">
            <v>503042</v>
          </cell>
          <cell r="B923" t="str">
            <v>Insurance Others</v>
          </cell>
        </row>
        <row r="924">
          <cell r="A924">
            <v>503045</v>
          </cell>
          <cell r="B924" t="str">
            <v>Maint.&amp; Repairs - Facilities</v>
          </cell>
        </row>
        <row r="925">
          <cell r="A925">
            <v>503046</v>
          </cell>
          <cell r="B925" t="str">
            <v>Maint. &amp; Repairs - Housekeep</v>
          </cell>
        </row>
        <row r="926">
          <cell r="A926">
            <v>503047</v>
          </cell>
          <cell r="B926" t="str">
            <v>Maint. &amp; Repairs - Hw/Sw</v>
          </cell>
        </row>
        <row r="927">
          <cell r="A927">
            <v>503048</v>
          </cell>
          <cell r="B927" t="str">
            <v>Maint. &amp; Repairs - AMC</v>
          </cell>
        </row>
        <row r="928">
          <cell r="A928">
            <v>503049</v>
          </cell>
          <cell r="B928" t="str">
            <v>Maint. &amp; Repairs - Others</v>
          </cell>
        </row>
        <row r="929">
          <cell r="A929">
            <v>503050</v>
          </cell>
          <cell r="B929" t="str">
            <v>Space Rentals / Meeting  Expen</v>
          </cell>
        </row>
        <row r="930">
          <cell r="A930">
            <v>503055</v>
          </cell>
          <cell r="B930" t="str">
            <v>Equipment Rentals</v>
          </cell>
        </row>
        <row r="931">
          <cell r="A931">
            <v>503060</v>
          </cell>
          <cell r="B931" t="str">
            <v>Vehicle Rentals</v>
          </cell>
        </row>
        <row r="932">
          <cell r="A932">
            <v>503061</v>
          </cell>
          <cell r="B932" t="str">
            <v>Other Rentals</v>
          </cell>
        </row>
        <row r="933">
          <cell r="A933">
            <v>503062</v>
          </cell>
          <cell r="B933" t="str">
            <v>Maint. Chgs - Society</v>
          </cell>
        </row>
        <row r="934">
          <cell r="A934">
            <v>503063</v>
          </cell>
          <cell r="B934" t="str">
            <v>Lease Rent - Car</v>
          </cell>
        </row>
        <row r="935">
          <cell r="A935">
            <v>503065</v>
          </cell>
          <cell r="B935" t="str">
            <v>Books, Subscriptions &amp; Periodicals</v>
          </cell>
        </row>
        <row r="936">
          <cell r="A936">
            <v>503070</v>
          </cell>
          <cell r="B936" t="str">
            <v>Stationary &amp; Office Supplies</v>
          </cell>
        </row>
        <row r="937">
          <cell r="A937">
            <v>503075</v>
          </cell>
          <cell r="B937" t="str">
            <v>Office Equipment Consumables</v>
          </cell>
        </row>
        <row r="938">
          <cell r="A938">
            <v>503080</v>
          </cell>
          <cell r="B938" t="str">
            <v>Computer Consumables</v>
          </cell>
        </row>
        <row r="939">
          <cell r="A939">
            <v>503081</v>
          </cell>
          <cell r="B939" t="str">
            <v>Bank Charges</v>
          </cell>
        </row>
        <row r="940">
          <cell r="A940">
            <v>503082</v>
          </cell>
          <cell r="B940" t="str">
            <v>NMMC Cess</v>
          </cell>
        </row>
        <row r="941">
          <cell r="A941">
            <v>503084</v>
          </cell>
          <cell r="B941" t="str">
            <v>Water Charges</v>
          </cell>
        </row>
        <row r="942">
          <cell r="A942">
            <v>503085</v>
          </cell>
          <cell r="B942" t="str">
            <v>Utilities</v>
          </cell>
        </row>
        <row r="943">
          <cell r="A943">
            <v>503086</v>
          </cell>
          <cell r="B943" t="str">
            <v>Electricity Charges</v>
          </cell>
        </row>
        <row r="944">
          <cell r="A944">
            <v>503087</v>
          </cell>
          <cell r="B944" t="str">
            <v>Export Processing Charges</v>
          </cell>
        </row>
        <row r="945">
          <cell r="A945">
            <v>503088</v>
          </cell>
          <cell r="B945" t="str">
            <v>BMC Taxes</v>
          </cell>
        </row>
        <row r="946">
          <cell r="A946">
            <v>503089</v>
          </cell>
          <cell r="B946" t="str">
            <v>Stamp Duty</v>
          </cell>
        </row>
        <row r="947">
          <cell r="A947">
            <v>503090</v>
          </cell>
          <cell r="B947" t="str">
            <v>Taxes-Property</v>
          </cell>
        </row>
        <row r="948">
          <cell r="A948">
            <v>503095</v>
          </cell>
          <cell r="B948" t="str">
            <v>Taxes-Other</v>
          </cell>
        </row>
        <row r="949">
          <cell r="A949">
            <v>503096</v>
          </cell>
          <cell r="B949" t="str">
            <v>Taxes-Sales Tax</v>
          </cell>
        </row>
        <row r="950">
          <cell r="A950">
            <v>503097</v>
          </cell>
          <cell r="B950" t="str">
            <v>Taxes-Wealth Tax</v>
          </cell>
        </row>
        <row r="951">
          <cell r="A951">
            <v>503098</v>
          </cell>
          <cell r="B951" t="str">
            <v>ROC Fees</v>
          </cell>
        </row>
        <row r="952">
          <cell r="A952">
            <v>503099</v>
          </cell>
          <cell r="B952" t="str">
            <v>Oracle Application Guides</v>
          </cell>
        </row>
        <row r="953">
          <cell r="A953">
            <v>503100</v>
          </cell>
          <cell r="B953" t="str">
            <v>Misc Expense</v>
          </cell>
        </row>
        <row r="954">
          <cell r="A954">
            <v>503101</v>
          </cell>
          <cell r="B954" t="str">
            <v>Finance Charges</v>
          </cell>
        </row>
        <row r="955">
          <cell r="A955">
            <v>503102</v>
          </cell>
          <cell r="B955" t="str">
            <v>Security Charges</v>
          </cell>
        </row>
        <row r="956">
          <cell r="A956">
            <v>503103</v>
          </cell>
          <cell r="B956" t="str">
            <v>Finance Charges - Interco</v>
          </cell>
        </row>
        <row r="957">
          <cell r="A957">
            <v>503104</v>
          </cell>
          <cell r="B957" t="str">
            <v>Early Paymt Discount - Int Co</v>
          </cell>
        </row>
        <row r="958">
          <cell r="A958">
            <v>504010</v>
          </cell>
          <cell r="B958" t="str">
            <v>Advertising - Marketing</v>
          </cell>
        </row>
        <row r="959">
          <cell r="A959">
            <v>504015</v>
          </cell>
          <cell r="B959" t="str">
            <v>Business Promotions / Gifts</v>
          </cell>
        </row>
        <row r="960">
          <cell r="A960">
            <v>504016</v>
          </cell>
          <cell r="B960" t="str">
            <v>Gifts to clients</v>
          </cell>
        </row>
        <row r="961">
          <cell r="A961">
            <v>504018</v>
          </cell>
          <cell r="B961" t="str">
            <v>Client Entertainment Exps</v>
          </cell>
        </row>
        <row r="962">
          <cell r="A962">
            <v>504020</v>
          </cell>
          <cell r="B962" t="str">
            <v>Donations &amp; Contributions</v>
          </cell>
        </row>
        <row r="963">
          <cell r="A963">
            <v>504025</v>
          </cell>
          <cell r="B963" t="str">
            <v>Marketing Exp</v>
          </cell>
        </row>
        <row r="964">
          <cell r="A964">
            <v>504030</v>
          </cell>
          <cell r="B964" t="str">
            <v>Marketing Conferences</v>
          </cell>
        </row>
        <row r="965">
          <cell r="A965">
            <v>504035</v>
          </cell>
          <cell r="B965" t="str">
            <v>Marketing Materials</v>
          </cell>
        </row>
        <row r="966">
          <cell r="A966">
            <v>504040</v>
          </cell>
          <cell r="B966" t="str">
            <v>Customer Relations</v>
          </cell>
        </row>
        <row r="967">
          <cell r="A967">
            <v>504042</v>
          </cell>
          <cell r="B967" t="str">
            <v>Print Advertising</v>
          </cell>
        </row>
        <row r="968">
          <cell r="A968">
            <v>504044</v>
          </cell>
          <cell r="B968" t="str">
            <v>Trade Shows/Conferences</v>
          </cell>
        </row>
        <row r="969">
          <cell r="A969">
            <v>504045</v>
          </cell>
          <cell r="B969" t="str">
            <v>Entertainment</v>
          </cell>
        </row>
        <row r="970">
          <cell r="A970">
            <v>504046</v>
          </cell>
          <cell r="B970" t="str">
            <v>Public Relations</v>
          </cell>
        </row>
        <row r="971">
          <cell r="A971">
            <v>504048</v>
          </cell>
          <cell r="B971" t="str">
            <v>Marketing Collateral</v>
          </cell>
        </row>
        <row r="972">
          <cell r="A972">
            <v>504052</v>
          </cell>
          <cell r="B972" t="str">
            <v>Investor Relations</v>
          </cell>
        </row>
        <row r="973">
          <cell r="A973">
            <v>504060</v>
          </cell>
          <cell r="B973" t="str">
            <v>Publications</v>
          </cell>
        </row>
        <row r="974">
          <cell r="A974">
            <v>504090</v>
          </cell>
          <cell r="B974" t="str">
            <v>Marketing fees - Interco.</v>
          </cell>
        </row>
        <row r="975">
          <cell r="A975">
            <v>505010</v>
          </cell>
          <cell r="B975" t="str">
            <v>Bad Debt Expense</v>
          </cell>
        </row>
        <row r="976">
          <cell r="A976">
            <v>505011</v>
          </cell>
          <cell r="B976" t="str">
            <v>Provision for Doubtful Debts / Advances</v>
          </cell>
        </row>
        <row r="977">
          <cell r="A977">
            <v>505012</v>
          </cell>
          <cell r="B977" t="str">
            <v>Sundry Debit / Credit balances w/off</v>
          </cell>
        </row>
        <row r="978">
          <cell r="A978">
            <v>505013</v>
          </cell>
          <cell r="B978" t="str">
            <v>Loss on Sale of Assets</v>
          </cell>
        </row>
        <row r="979">
          <cell r="A979">
            <v>505015</v>
          </cell>
          <cell r="B979" t="str">
            <v>Fees - Legal</v>
          </cell>
        </row>
        <row r="980">
          <cell r="A980">
            <v>505017</v>
          </cell>
          <cell r="B980" t="str">
            <v xml:space="preserve">Provision for doubtful Service tax recoverable </v>
          </cell>
        </row>
        <row r="981">
          <cell r="A981">
            <v>505019</v>
          </cell>
          <cell r="B981" t="str">
            <v>Prov doubtful VAT reco-SEZ P&amp;L</v>
          </cell>
        </row>
        <row r="982">
          <cell r="A982">
            <v>505020</v>
          </cell>
          <cell r="B982" t="str">
            <v>Fees - Other</v>
          </cell>
        </row>
        <row r="983">
          <cell r="A983">
            <v>505025</v>
          </cell>
          <cell r="B983" t="str">
            <v>Fees-Professional / Accounting</v>
          </cell>
        </row>
        <row r="984">
          <cell r="A984">
            <v>505026</v>
          </cell>
          <cell r="B984" t="str">
            <v>Audit Fees-Statutory Audit</v>
          </cell>
        </row>
        <row r="985">
          <cell r="A985">
            <v>505027</v>
          </cell>
          <cell r="B985" t="str">
            <v>Audit Fees-Tax Audit</v>
          </cell>
        </row>
        <row r="986">
          <cell r="A986">
            <v>505028</v>
          </cell>
          <cell r="B986" t="str">
            <v>Audit Fees-Internal Audit</v>
          </cell>
        </row>
        <row r="987">
          <cell r="A987">
            <v>505029</v>
          </cell>
          <cell r="B987" t="str">
            <v>Audit Fees-Cerfitication</v>
          </cell>
        </row>
        <row r="988">
          <cell r="A988">
            <v>505030</v>
          </cell>
          <cell r="B988" t="str">
            <v>Fees - 401K</v>
          </cell>
        </row>
        <row r="989">
          <cell r="A989">
            <v>505031</v>
          </cell>
          <cell r="B989" t="str">
            <v>Audit Fees-Out of pocket</v>
          </cell>
        </row>
        <row r="990">
          <cell r="A990">
            <v>505032</v>
          </cell>
          <cell r="B990" t="str">
            <v>Fees - Auditors</v>
          </cell>
        </row>
        <row r="991">
          <cell r="A991">
            <v>505035</v>
          </cell>
          <cell r="B991" t="str">
            <v>Interest Expense</v>
          </cell>
        </row>
        <row r="992">
          <cell r="A992">
            <v>505040</v>
          </cell>
          <cell r="B992" t="str">
            <v>Capitalized Development Costs</v>
          </cell>
        </row>
        <row r="993">
          <cell r="A993">
            <v>505043</v>
          </cell>
          <cell r="B993" t="str">
            <v>CSR Expenses</v>
          </cell>
        </row>
        <row r="994">
          <cell r="A994">
            <v>505053</v>
          </cell>
          <cell r="B994" t="str">
            <v>Global Crg. - Support function</v>
          </cell>
        </row>
        <row r="995">
          <cell r="A995">
            <v>601010</v>
          </cell>
          <cell r="B995" t="str">
            <v>Interest Income Taxable</v>
          </cell>
        </row>
        <row r="996">
          <cell r="A996">
            <v>601011</v>
          </cell>
          <cell r="B996" t="str">
            <v>Interest Income Non Taxable</v>
          </cell>
        </row>
        <row r="997">
          <cell r="A997">
            <v>601012</v>
          </cell>
          <cell r="B997" t="str">
            <v>Dividend Income</v>
          </cell>
        </row>
        <row r="998">
          <cell r="A998">
            <v>601013</v>
          </cell>
          <cell r="B998" t="str">
            <v>Profit on redemption of mutual fund</v>
          </cell>
        </row>
        <row r="999">
          <cell r="A999">
            <v>601023</v>
          </cell>
          <cell r="B999" t="str">
            <v>Interest Exp on Lease Liab</v>
          </cell>
        </row>
        <row r="1000">
          <cell r="A1000">
            <v>601032</v>
          </cell>
          <cell r="B1000" t="str">
            <v>Interest income IC Dep (IndAS)</v>
          </cell>
        </row>
        <row r="1001">
          <cell r="A1001">
            <v>601033</v>
          </cell>
          <cell r="B1001" t="str">
            <v>MF unrealised gain (IndAS)</v>
          </cell>
        </row>
        <row r="1002">
          <cell r="A1002">
            <v>601014</v>
          </cell>
          <cell r="B1002" t="str">
            <v>Miscellaneous Income</v>
          </cell>
        </row>
        <row r="1003">
          <cell r="A1003">
            <v>601015</v>
          </cell>
          <cell r="B1003" t="str">
            <v>Dividend - Interco</v>
          </cell>
        </row>
        <row r="1004">
          <cell r="A1004">
            <v>601016</v>
          </cell>
          <cell r="B1004" t="str">
            <v>Inter-Company Revenue</v>
          </cell>
        </row>
        <row r="1005">
          <cell r="A1005">
            <v>601017</v>
          </cell>
          <cell r="B1005" t="str">
            <v>Forex Interest Income Taxable</v>
          </cell>
        </row>
        <row r="1006">
          <cell r="A1006">
            <v>601018</v>
          </cell>
          <cell r="B1006" t="str">
            <v>Employee - Interest on Loan</v>
          </cell>
        </row>
        <row r="1007">
          <cell r="A1007">
            <v>601019</v>
          </cell>
          <cell r="B1007" t="str">
            <v>Profit on Sale of Assets</v>
          </cell>
        </row>
        <row r="1008">
          <cell r="A1008">
            <v>601020</v>
          </cell>
          <cell r="B1008" t="str">
            <v>Other Income - Non Taxable</v>
          </cell>
        </row>
        <row r="1009">
          <cell r="A1009">
            <v>601090</v>
          </cell>
          <cell r="B1009" t="str">
            <v>Interco Rent - Income</v>
          </cell>
        </row>
        <row r="1010">
          <cell r="A1010">
            <v>800010</v>
          </cell>
          <cell r="B1010" t="str">
            <v>State Income Taxes</v>
          </cell>
        </row>
        <row r="1011">
          <cell r="A1011">
            <v>800011</v>
          </cell>
          <cell r="B1011" t="str">
            <v>Canada - State Income Tax</v>
          </cell>
        </row>
        <row r="1012">
          <cell r="A1012">
            <v>800015</v>
          </cell>
          <cell r="B1012" t="str">
            <v>Federal Income Taxes</v>
          </cell>
        </row>
        <row r="1013">
          <cell r="A1013">
            <v>800016</v>
          </cell>
          <cell r="B1013" t="str">
            <v>Canada - Federal Income Tax</v>
          </cell>
        </row>
        <row r="1014">
          <cell r="A1014">
            <v>800020</v>
          </cell>
          <cell r="B1014" t="str">
            <v>Foreign Earned Income Tax Prov</v>
          </cell>
        </row>
        <row r="1015">
          <cell r="A1015">
            <v>800021</v>
          </cell>
          <cell r="B1015" t="str">
            <v>Indian Income taxes</v>
          </cell>
        </row>
        <row r="1016">
          <cell r="A1016">
            <v>800022</v>
          </cell>
          <cell r="B1016" t="str">
            <v>Deferred Income taxes</v>
          </cell>
        </row>
        <row r="1017">
          <cell r="A1017">
            <v>800023</v>
          </cell>
          <cell r="B1017" t="str">
            <v>UK Corporation Tax</v>
          </cell>
        </row>
        <row r="1018">
          <cell r="A1018">
            <v>800024</v>
          </cell>
          <cell r="B1018" t="str">
            <v>City Corporate Income Tax</v>
          </cell>
        </row>
        <row r="1019">
          <cell r="A1019">
            <v>800029</v>
          </cell>
          <cell r="B1019" t="str">
            <v>Income Tax on Prop Dividend</v>
          </cell>
        </row>
        <row r="1020">
          <cell r="A1020">
            <v>800030</v>
          </cell>
          <cell r="B1020" t="str">
            <v>Indian Fringe Benefit Tax</v>
          </cell>
        </row>
        <row r="1021">
          <cell r="A1021">
            <v>800033</v>
          </cell>
          <cell r="B1021" t="str">
            <v>Income Taxes - FIN 48</v>
          </cell>
        </row>
        <row r="1023">
          <cell r="A1023">
            <v>604160</v>
          </cell>
          <cell r="B1023" t="str">
            <v>OP S/C T&amp;M. Interco</v>
          </cell>
        </row>
        <row r="1024">
          <cell r="A1024">
            <v>604230</v>
          </cell>
          <cell r="B1024" t="str">
            <v>Other foreign exchange Losses</v>
          </cell>
        </row>
        <row r="1025">
          <cell r="A1025">
            <v>606130</v>
          </cell>
          <cell r="B1025" t="str">
            <v>ELECTRICITY</v>
          </cell>
        </row>
        <row r="1026">
          <cell r="A1026">
            <v>606300</v>
          </cell>
          <cell r="B1026" t="str">
            <v>OFFICE SUPPLIES, SMALL TOOLS, MAINTENANCE SUPPLIES</v>
          </cell>
        </row>
        <row r="1027">
          <cell r="A1027">
            <v>613200</v>
          </cell>
          <cell r="B1027" t="str">
            <v>REAL-ESTATE RENTAL</v>
          </cell>
        </row>
        <row r="1028">
          <cell r="A1028">
            <v>613207</v>
          </cell>
          <cell r="B1028" t="str">
            <v>Reversal rent real estate IFRS 16</v>
          </cell>
        </row>
        <row r="1029">
          <cell r="A1029">
            <v>615290</v>
          </cell>
          <cell r="B1029" t="str">
            <v>OTHER BUILDING-RELATED SERVICES</v>
          </cell>
        </row>
        <row r="1030">
          <cell r="A1030">
            <v>622500</v>
          </cell>
          <cell r="B1030" t="str">
            <v>lawyer fees (vs legal fees, counselling</v>
          </cell>
        </row>
        <row r="1031">
          <cell r="A1031">
            <v>622600</v>
          </cell>
          <cell r="B1031" t="str">
            <v>AUDITORS' FEES</v>
          </cell>
        </row>
        <row r="1032">
          <cell r="A1032">
            <v>622800</v>
          </cell>
          <cell r="B1032" t="str">
            <v>OTHER PROFESSIONAL FEES</v>
          </cell>
        </row>
        <row r="1033">
          <cell r="A1033">
            <v>625714</v>
          </cell>
          <cell r="B1033" t="str">
            <v>Staff Meals - Lunch</v>
          </cell>
        </row>
        <row r="1034">
          <cell r="A1034">
            <v>626424</v>
          </cell>
          <cell r="B1034" t="str">
            <v>Telephone Charges</v>
          </cell>
        </row>
        <row r="1035">
          <cell r="A1035">
            <v>627100</v>
          </cell>
          <cell r="B1035" t="str">
            <v>SECURITY EXPENSES</v>
          </cell>
        </row>
        <row r="1036">
          <cell r="A1036">
            <v>627800</v>
          </cell>
          <cell r="B1036" t="str">
            <v>OTHER BANK EXPENSES AND COMMISSION</v>
          </cell>
        </row>
        <row r="1037">
          <cell r="A1037">
            <v>633300</v>
          </cell>
          <cell r="B1037" t="str">
            <v>TRAINING INVOICES</v>
          </cell>
        </row>
        <row r="1038">
          <cell r="A1038">
            <v>635130</v>
          </cell>
          <cell r="B1038" t="str">
            <v>OTHER LOCAL TAXES</v>
          </cell>
        </row>
        <row r="1039">
          <cell r="A1039">
            <v>637803</v>
          </cell>
          <cell r="B1039" t="str">
            <v>TAX PAID ON SALARIES - GEN&amp;ADM</v>
          </cell>
        </row>
        <row r="1040">
          <cell r="A1040">
            <v>641100</v>
          </cell>
          <cell r="B1040" t="str">
            <v>WAGES AND SALARIES</v>
          </cell>
        </row>
        <row r="1041">
          <cell r="A1041">
            <v>641203</v>
          </cell>
          <cell r="B1041" t="str">
            <v>VACATION LEAVE PAYMENTS - GEN&amp;ADM</v>
          </cell>
        </row>
        <row r="1042">
          <cell r="A1042">
            <v>641300</v>
          </cell>
          <cell r="B1042" t="str">
            <v>INCENTIVE WAGES AND BONUSES</v>
          </cell>
        </row>
        <row r="1043">
          <cell r="A1043">
            <v>641310</v>
          </cell>
          <cell r="B1043" t="str">
            <v>YEAR-END BONUSES</v>
          </cell>
        </row>
        <row r="1044">
          <cell r="A1044">
            <v>641702</v>
          </cell>
          <cell r="B1044" t="str">
            <v>Allowance 2</v>
          </cell>
        </row>
        <row r="1045">
          <cell r="A1045">
            <v>641704</v>
          </cell>
          <cell r="B1045" t="str">
            <v>LTA</v>
          </cell>
        </row>
        <row r="1046">
          <cell r="A1046">
            <v>641711</v>
          </cell>
          <cell r="B1046" t="str">
            <v>Gratuity</v>
          </cell>
        </row>
        <row r="1047">
          <cell r="A1047">
            <v>641713</v>
          </cell>
          <cell r="B1047" t="str">
            <v>Co. Cont. to P.F.</v>
          </cell>
        </row>
        <row r="1048">
          <cell r="A1048">
            <v>641716</v>
          </cell>
          <cell r="B1048" t="str">
            <v>Cont.-MLWF/PF/EDLI Admn.</v>
          </cell>
        </row>
        <row r="1049">
          <cell r="A1049">
            <v>641721</v>
          </cell>
          <cell r="B1049" t="str">
            <v>Petrol Exps-Personnel</v>
          </cell>
        </row>
        <row r="1050">
          <cell r="A1050">
            <v>641722</v>
          </cell>
          <cell r="B1050" t="str">
            <v>Car Hire-Personnel</v>
          </cell>
        </row>
        <row r="1051">
          <cell r="A1051">
            <v>645004</v>
          </cell>
          <cell r="B1051" t="str">
            <v>Health Insurance 4</v>
          </cell>
        </row>
        <row r="1052">
          <cell r="A1052">
            <v>645643</v>
          </cell>
          <cell r="B1052" t="str">
            <v>pension contr own employee</v>
          </cell>
        </row>
        <row r="1053">
          <cell r="A1053">
            <v>645700</v>
          </cell>
          <cell r="B1053" t="str">
            <v>dc pensions plans other</v>
          </cell>
        </row>
        <row r="1054">
          <cell r="A1054">
            <v>647500</v>
          </cell>
          <cell r="B1054" t="str">
            <v>COMPANY DOCTOR</v>
          </cell>
        </row>
        <row r="1055">
          <cell r="A1055">
            <v>647600</v>
          </cell>
          <cell r="B1055" t="str">
            <v>LUNCHEON VOUCHERS AND MEAL CARDS</v>
          </cell>
        </row>
        <row r="1056">
          <cell r="A1056">
            <v>656000</v>
          </cell>
          <cell r="B1056" t="str">
            <v>GROUP OVERHEADS - STRUCTURE COSTS</v>
          </cell>
        </row>
        <row r="1057">
          <cell r="A1057">
            <v>658000</v>
          </cell>
          <cell r="B1057" t="str">
            <v>OTHER OPERATING EXPENSES</v>
          </cell>
        </row>
        <row r="1058">
          <cell r="A1058">
            <v>658003</v>
          </cell>
          <cell r="B1058" t="str">
            <v>Other facility management expenses</v>
          </cell>
        </row>
        <row r="1059">
          <cell r="A1059">
            <v>658013</v>
          </cell>
          <cell r="B1059" t="str">
            <v>Compensation Awards</v>
          </cell>
        </row>
        <row r="1060">
          <cell r="A1060">
            <v>661510</v>
          </cell>
          <cell r="B1060" t="str">
            <v>OVERDRAFT INTEREST AND BANK CHARGES</v>
          </cell>
        </row>
        <row r="1061">
          <cell r="A1061">
            <v>664011</v>
          </cell>
          <cell r="B1061" t="str">
            <v>Financial interests on lease liability Real estate</v>
          </cell>
        </row>
        <row r="1062">
          <cell r="A1062">
            <v>666000</v>
          </cell>
          <cell r="B1062" t="str">
            <v>EXCHANGE LOSSES</v>
          </cell>
        </row>
        <row r="1063">
          <cell r="A1063">
            <v>666400</v>
          </cell>
          <cell r="B1063" t="str">
            <v>Exchange loss from revaluation of custo</v>
          </cell>
        </row>
        <row r="1064">
          <cell r="A1064">
            <v>681210</v>
          </cell>
          <cell r="B1064" t="str">
            <v>Depreciations and impairment right of use</v>
          </cell>
        </row>
        <row r="1065">
          <cell r="A1065">
            <v>695000</v>
          </cell>
          <cell r="B1065" t="str">
            <v>CORPORATE INCOME TAX</v>
          </cell>
        </row>
        <row r="1066">
          <cell r="A1066">
            <v>695900</v>
          </cell>
          <cell r="B1066" t="str">
            <v>DEFERRED TAX CHARGES</v>
          </cell>
        </row>
        <row r="1067">
          <cell r="A1067">
            <v>702310</v>
          </cell>
          <cell r="B1067" t="str">
            <v>Indirect IC Reinvoicing</v>
          </cell>
        </row>
        <row r="1068">
          <cell r="A1068">
            <v>704040</v>
          </cell>
          <cell r="B1068" t="str">
            <v>Interest income on Cash at Bank-Other</v>
          </cell>
        </row>
        <row r="1069">
          <cell r="A1069">
            <v>704670</v>
          </cell>
          <cell r="B1069" t="str">
            <v>Other Financial Income</v>
          </cell>
        </row>
        <row r="1070">
          <cell r="A1070">
            <v>706361</v>
          </cell>
          <cell r="B1070" t="str">
            <v>Sales of Services. Interco EXP</v>
          </cell>
        </row>
        <row r="1071">
          <cell r="A1071">
            <v>758000</v>
          </cell>
          <cell r="B1071" t="str">
            <v>INCOME FROM ORDINARY ACTIVITIES</v>
          </cell>
        </row>
        <row r="1072">
          <cell r="A1072">
            <v>762510</v>
          </cell>
          <cell r="B1072" t="str">
            <v>Int Income-Personal Loan</v>
          </cell>
        </row>
        <row r="1073">
          <cell r="A1073">
            <v>766000</v>
          </cell>
          <cell r="B1073" t="str">
            <v>EXCHANGE GAINS</v>
          </cell>
        </row>
        <row r="1074">
          <cell r="A1074">
            <v>766200</v>
          </cell>
          <cell r="B1074" t="str">
            <v>Non-realized exchange gain</v>
          </cell>
        </row>
        <row r="1075">
          <cell r="A1075">
            <v>766300</v>
          </cell>
          <cell r="B1075" t="str">
            <v>Exchange gain from revaluation of bank and current</v>
          </cell>
        </row>
        <row r="1076">
          <cell r="A1076">
            <v>766400</v>
          </cell>
          <cell r="B1076" t="str">
            <v>Exchange gain from revaluation of custo</v>
          </cell>
        </row>
        <row r="1077">
          <cell r="A1077">
            <v>762511</v>
          </cell>
          <cell r="B1077" t="str">
            <v>Interest Income-Deposits</v>
          </cell>
        </row>
        <row r="1078">
          <cell r="A1078">
            <v>779000</v>
          </cell>
          <cell r="B1078" t="str">
            <v>Revenue Offshore Netting Billing</v>
          </cell>
        </row>
        <row r="1082">
          <cell r="B1082" t="str">
            <v>Total</v>
          </cell>
        </row>
        <row r="1083">
          <cell r="B1083" t="str">
            <v>Profit</v>
          </cell>
        </row>
        <row r="1093">
          <cell r="A1093">
            <v>167211</v>
          </cell>
          <cell r="B1093" t="str">
            <v>Lease liability Real estate</v>
          </cell>
        </row>
        <row r="1094">
          <cell r="A1094">
            <v>167211</v>
          </cell>
          <cell r="B1094" t="str">
            <v>Lease liability Real estate</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IND AS entries 23-24"/>
      <sheetName val="Entries' 23-24"/>
      <sheetName val="FINAL ENTRIES"/>
      <sheetName val="TB for financial"/>
      <sheetName val="Profit Reco"/>
      <sheetName val="Error in entries"/>
      <sheetName val="SSIPL"/>
      <sheetName val="Sheet2"/>
      <sheetName val="Sheet3"/>
      <sheetName val="SSIPL Test Errors2"/>
      <sheetName val="Sheet1"/>
      <sheetName val="Reco"/>
      <sheetName val="Draft entries PL impact"/>
      <sheetName val="Sheet6"/>
      <sheetName val="Sheet7"/>
      <sheetName val="1"/>
    </sheetNames>
    <sheetDataSet>
      <sheetData sheetId="0" refreshError="1"/>
      <sheetData sheetId="1" refreshError="1"/>
      <sheetData sheetId="2" refreshError="1"/>
      <sheetData sheetId="3">
        <row r="1">
          <cell r="A1" t="str">
            <v>Syntel Solutions (India) Private Limited</v>
          </cell>
        </row>
        <row r="2">
          <cell r="A2" t="str">
            <v>Annexure to Grouping 31st March 2024</v>
          </cell>
        </row>
        <row r="4">
          <cell r="A4" t="str">
            <v>GL Code</v>
          </cell>
          <cell r="E4" t="str">
            <v>Entries including IND AS entries</v>
          </cell>
        </row>
        <row r="5">
          <cell r="A5">
            <v>100000</v>
          </cell>
          <cell r="E5">
            <v>0</v>
          </cell>
        </row>
        <row r="6">
          <cell r="A6">
            <v>100001</v>
          </cell>
          <cell r="E6">
            <v>0</v>
          </cell>
        </row>
        <row r="7">
          <cell r="A7">
            <v>100300</v>
          </cell>
          <cell r="E7">
            <v>0</v>
          </cell>
        </row>
        <row r="8">
          <cell r="A8">
            <v>100301</v>
          </cell>
          <cell r="E8">
            <v>0</v>
          </cell>
        </row>
        <row r="9">
          <cell r="A9">
            <v>100302</v>
          </cell>
          <cell r="E9">
            <v>0</v>
          </cell>
        </row>
        <row r="10">
          <cell r="A10">
            <v>100303</v>
          </cell>
          <cell r="E10">
            <v>0</v>
          </cell>
        </row>
        <row r="11">
          <cell r="A11">
            <v>100304</v>
          </cell>
          <cell r="E11">
            <v>0</v>
          </cell>
        </row>
        <row r="12">
          <cell r="A12">
            <v>100305</v>
          </cell>
          <cell r="E12">
            <v>0</v>
          </cell>
        </row>
        <row r="13">
          <cell r="A13">
            <v>100314</v>
          </cell>
          <cell r="E13">
            <v>0</v>
          </cell>
        </row>
        <row r="14">
          <cell r="A14">
            <v>100320</v>
          </cell>
          <cell r="E14">
            <v>0</v>
          </cell>
        </row>
        <row r="15">
          <cell r="A15">
            <v>100325</v>
          </cell>
          <cell r="E15">
            <v>0</v>
          </cell>
        </row>
        <row r="16">
          <cell r="A16">
            <v>100327</v>
          </cell>
          <cell r="E16">
            <v>0</v>
          </cell>
        </row>
        <row r="17">
          <cell r="A17">
            <v>100400</v>
          </cell>
          <cell r="E17">
            <v>0</v>
          </cell>
        </row>
        <row r="18">
          <cell r="A18">
            <v>100440</v>
          </cell>
          <cell r="E18">
            <v>0</v>
          </cell>
        </row>
        <row r="19">
          <cell r="A19">
            <v>100441</v>
          </cell>
          <cell r="E19">
            <v>0</v>
          </cell>
        </row>
        <row r="20">
          <cell r="A20">
            <v>100450</v>
          </cell>
          <cell r="E20">
            <v>0</v>
          </cell>
        </row>
        <row r="21">
          <cell r="A21">
            <v>100451</v>
          </cell>
          <cell r="E21">
            <v>0</v>
          </cell>
        </row>
        <row r="22">
          <cell r="A22">
            <v>100452</v>
          </cell>
          <cell r="E22">
            <v>0</v>
          </cell>
        </row>
        <row r="23">
          <cell r="A23">
            <v>100454</v>
          </cell>
          <cell r="E23">
            <v>0</v>
          </cell>
        </row>
        <row r="24">
          <cell r="A24">
            <v>100460</v>
          </cell>
          <cell r="E24">
            <v>0</v>
          </cell>
        </row>
        <row r="25">
          <cell r="A25">
            <v>100470</v>
          </cell>
          <cell r="E25">
            <v>0</v>
          </cell>
        </row>
        <row r="26">
          <cell r="A26">
            <v>100480</v>
          </cell>
          <cell r="E26">
            <v>0</v>
          </cell>
        </row>
        <row r="27">
          <cell r="A27">
            <v>100490</v>
          </cell>
          <cell r="E27">
            <v>0</v>
          </cell>
        </row>
        <row r="28">
          <cell r="A28">
            <v>100491</v>
          </cell>
          <cell r="E28">
            <v>0</v>
          </cell>
        </row>
        <row r="29">
          <cell r="A29">
            <v>100492</v>
          </cell>
          <cell r="E29">
            <v>0</v>
          </cell>
        </row>
        <row r="30">
          <cell r="A30">
            <v>100493</v>
          </cell>
          <cell r="E30">
            <v>0</v>
          </cell>
        </row>
        <row r="31">
          <cell r="A31">
            <v>100500</v>
          </cell>
          <cell r="E31">
            <v>0</v>
          </cell>
        </row>
        <row r="32">
          <cell r="A32">
            <v>100501</v>
          </cell>
          <cell r="E32">
            <v>0</v>
          </cell>
        </row>
        <row r="33">
          <cell r="A33">
            <v>100502</v>
          </cell>
          <cell r="E33">
            <v>0</v>
          </cell>
        </row>
        <row r="34">
          <cell r="A34">
            <v>100503</v>
          </cell>
          <cell r="E34">
            <v>0</v>
          </cell>
        </row>
        <row r="35">
          <cell r="A35">
            <v>100504</v>
          </cell>
          <cell r="E35">
            <v>0</v>
          </cell>
        </row>
        <row r="36">
          <cell r="A36">
            <v>100505</v>
          </cell>
          <cell r="E36">
            <v>0</v>
          </cell>
        </row>
        <row r="37">
          <cell r="A37">
            <v>100506</v>
          </cell>
          <cell r="E37">
            <v>0</v>
          </cell>
        </row>
        <row r="38">
          <cell r="A38">
            <v>100507</v>
          </cell>
          <cell r="E38">
            <v>0</v>
          </cell>
        </row>
        <row r="39">
          <cell r="A39">
            <v>100508</v>
          </cell>
          <cell r="E39">
            <v>0</v>
          </cell>
        </row>
        <row r="40">
          <cell r="A40">
            <v>100509</v>
          </cell>
          <cell r="E40">
            <v>0</v>
          </cell>
        </row>
        <row r="41">
          <cell r="A41">
            <v>100510</v>
          </cell>
          <cell r="E41">
            <v>0</v>
          </cell>
        </row>
        <row r="42">
          <cell r="A42">
            <v>100511</v>
          </cell>
          <cell r="E42">
            <v>0</v>
          </cell>
        </row>
        <row r="43">
          <cell r="A43">
            <v>100513</v>
          </cell>
          <cell r="E43">
            <v>0</v>
          </cell>
        </row>
        <row r="44">
          <cell r="A44">
            <v>100514</v>
          </cell>
          <cell r="E44">
            <v>0</v>
          </cell>
        </row>
        <row r="45">
          <cell r="A45">
            <v>100515</v>
          </cell>
          <cell r="E45">
            <v>0</v>
          </cell>
        </row>
        <row r="46">
          <cell r="A46">
            <v>100516</v>
          </cell>
          <cell r="E46">
            <v>0</v>
          </cell>
        </row>
        <row r="47">
          <cell r="A47">
            <v>100519</v>
          </cell>
          <cell r="E47">
            <v>0</v>
          </cell>
        </row>
        <row r="48">
          <cell r="A48">
            <v>100520</v>
          </cell>
          <cell r="E48">
            <v>0</v>
          </cell>
        </row>
        <row r="49">
          <cell r="A49">
            <v>100517</v>
          </cell>
          <cell r="E49">
            <v>0</v>
          </cell>
        </row>
        <row r="50">
          <cell r="A50">
            <v>100521</v>
          </cell>
          <cell r="E50">
            <v>0</v>
          </cell>
        </row>
        <row r="51">
          <cell r="A51">
            <v>100522</v>
          </cell>
          <cell r="E51">
            <v>0</v>
          </cell>
        </row>
        <row r="52">
          <cell r="A52">
            <v>100523</v>
          </cell>
          <cell r="E52">
            <v>0</v>
          </cell>
        </row>
        <row r="53">
          <cell r="A53">
            <v>100524</v>
          </cell>
          <cell r="E53">
            <v>0</v>
          </cell>
        </row>
        <row r="54">
          <cell r="A54">
            <v>100525</v>
          </cell>
          <cell r="E54">
            <v>0</v>
          </cell>
        </row>
        <row r="55">
          <cell r="A55">
            <v>100526</v>
          </cell>
          <cell r="E55">
            <v>0</v>
          </cell>
        </row>
        <row r="56">
          <cell r="A56">
            <v>100527</v>
          </cell>
          <cell r="E56">
            <v>0</v>
          </cell>
        </row>
        <row r="57">
          <cell r="A57">
            <v>100528</v>
          </cell>
          <cell r="E57">
            <v>0</v>
          </cell>
        </row>
        <row r="58">
          <cell r="A58">
            <v>100529</v>
          </cell>
          <cell r="E58">
            <v>0</v>
          </cell>
        </row>
        <row r="59">
          <cell r="A59">
            <v>100530</v>
          </cell>
          <cell r="E59">
            <v>0</v>
          </cell>
        </row>
        <row r="60">
          <cell r="A60">
            <v>100531</v>
          </cell>
          <cell r="E60">
            <v>0</v>
          </cell>
        </row>
        <row r="61">
          <cell r="A61">
            <v>100533</v>
          </cell>
          <cell r="E61">
            <v>0</v>
          </cell>
        </row>
        <row r="62">
          <cell r="A62">
            <v>100534</v>
          </cell>
          <cell r="E62">
            <v>0</v>
          </cell>
        </row>
        <row r="63">
          <cell r="A63">
            <v>100535</v>
          </cell>
          <cell r="E63">
            <v>0</v>
          </cell>
        </row>
        <row r="64">
          <cell r="A64">
            <v>100536</v>
          </cell>
          <cell r="E64">
            <v>0</v>
          </cell>
        </row>
        <row r="65">
          <cell r="A65">
            <v>100539</v>
          </cell>
          <cell r="E65">
            <v>0</v>
          </cell>
        </row>
        <row r="66">
          <cell r="A66">
            <v>100545</v>
          </cell>
          <cell r="E66">
            <v>0</v>
          </cell>
        </row>
        <row r="67">
          <cell r="A67">
            <v>100546</v>
          </cell>
          <cell r="E67">
            <v>0</v>
          </cell>
        </row>
        <row r="68">
          <cell r="A68">
            <v>100540</v>
          </cell>
          <cell r="E68">
            <v>0</v>
          </cell>
        </row>
        <row r="69">
          <cell r="A69">
            <v>100541</v>
          </cell>
          <cell r="E69">
            <v>0</v>
          </cell>
        </row>
        <row r="70">
          <cell r="A70">
            <v>100542</v>
          </cell>
          <cell r="E70">
            <v>0</v>
          </cell>
        </row>
        <row r="71">
          <cell r="A71">
            <v>100543</v>
          </cell>
          <cell r="E71">
            <v>0</v>
          </cell>
        </row>
        <row r="72">
          <cell r="A72">
            <v>100547</v>
          </cell>
          <cell r="E72">
            <v>0</v>
          </cell>
        </row>
        <row r="73">
          <cell r="A73">
            <v>100548</v>
          </cell>
          <cell r="E73">
            <v>0</v>
          </cell>
        </row>
        <row r="74">
          <cell r="A74">
            <v>100549</v>
          </cell>
          <cell r="E74">
            <v>0</v>
          </cell>
        </row>
        <row r="75">
          <cell r="A75">
            <v>100550</v>
          </cell>
          <cell r="E75">
            <v>0</v>
          </cell>
        </row>
        <row r="76">
          <cell r="A76">
            <v>100518</v>
          </cell>
          <cell r="E76">
            <v>0</v>
          </cell>
        </row>
        <row r="77">
          <cell r="A77">
            <v>100551</v>
          </cell>
          <cell r="E77">
            <v>0</v>
          </cell>
        </row>
        <row r="78">
          <cell r="A78">
            <v>100552</v>
          </cell>
          <cell r="E78">
            <v>0</v>
          </cell>
        </row>
        <row r="79">
          <cell r="A79">
            <v>100553</v>
          </cell>
          <cell r="E79">
            <v>0</v>
          </cell>
        </row>
        <row r="80">
          <cell r="A80">
            <v>100554</v>
          </cell>
          <cell r="E80">
            <v>0</v>
          </cell>
        </row>
        <row r="81">
          <cell r="A81">
            <v>100555</v>
          </cell>
          <cell r="E81">
            <v>0</v>
          </cell>
        </row>
        <row r="82">
          <cell r="A82">
            <v>100556</v>
          </cell>
          <cell r="E82">
            <v>0</v>
          </cell>
        </row>
        <row r="83">
          <cell r="A83">
            <v>100557</v>
          </cell>
          <cell r="E83">
            <v>0</v>
          </cell>
        </row>
        <row r="84">
          <cell r="A84">
            <v>100558</v>
          </cell>
          <cell r="E84">
            <v>0</v>
          </cell>
        </row>
        <row r="85">
          <cell r="A85">
            <v>100559</v>
          </cell>
          <cell r="E85">
            <v>0</v>
          </cell>
        </row>
        <row r="86">
          <cell r="A86">
            <v>100560</v>
          </cell>
          <cell r="E86">
            <v>0</v>
          </cell>
        </row>
        <row r="87">
          <cell r="A87">
            <v>100561</v>
          </cell>
          <cell r="E87">
            <v>0</v>
          </cell>
        </row>
        <row r="88">
          <cell r="A88">
            <v>100562</v>
          </cell>
          <cell r="E88">
            <v>0</v>
          </cell>
        </row>
        <row r="89">
          <cell r="A89">
            <v>100563</v>
          </cell>
          <cell r="E89">
            <v>0</v>
          </cell>
        </row>
        <row r="90">
          <cell r="A90">
            <v>100564</v>
          </cell>
          <cell r="E90">
            <v>0</v>
          </cell>
        </row>
        <row r="91">
          <cell r="A91">
            <v>100565</v>
          </cell>
          <cell r="E91">
            <v>0</v>
          </cell>
        </row>
        <row r="92">
          <cell r="A92">
            <v>100566</v>
          </cell>
          <cell r="E92">
            <v>0</v>
          </cell>
        </row>
        <row r="93">
          <cell r="A93">
            <v>100567</v>
          </cell>
          <cell r="E93">
            <v>0</v>
          </cell>
        </row>
        <row r="94">
          <cell r="A94">
            <v>100568</v>
          </cell>
          <cell r="E94">
            <v>0</v>
          </cell>
        </row>
        <row r="95">
          <cell r="A95">
            <v>100569</v>
          </cell>
          <cell r="E95">
            <v>0</v>
          </cell>
        </row>
        <row r="96">
          <cell r="A96">
            <v>100570</v>
          </cell>
          <cell r="E96">
            <v>0</v>
          </cell>
        </row>
        <row r="97">
          <cell r="A97">
            <v>100571</v>
          </cell>
          <cell r="E97">
            <v>0</v>
          </cell>
        </row>
        <row r="98">
          <cell r="A98">
            <v>100572</v>
          </cell>
          <cell r="E98">
            <v>0</v>
          </cell>
        </row>
        <row r="99">
          <cell r="A99">
            <v>100573</v>
          </cell>
          <cell r="E99">
            <v>0</v>
          </cell>
        </row>
        <row r="100">
          <cell r="A100">
            <v>100574</v>
          </cell>
          <cell r="E100">
            <v>0</v>
          </cell>
        </row>
        <row r="101">
          <cell r="A101">
            <v>100575</v>
          </cell>
          <cell r="E101">
            <v>0</v>
          </cell>
        </row>
        <row r="102">
          <cell r="A102">
            <v>100576</v>
          </cell>
          <cell r="E102">
            <v>0</v>
          </cell>
        </row>
        <row r="103">
          <cell r="A103">
            <v>100577</v>
          </cell>
          <cell r="E103">
            <v>0</v>
          </cell>
        </row>
        <row r="104">
          <cell r="A104">
            <v>100578</v>
          </cell>
          <cell r="E104">
            <v>0</v>
          </cell>
        </row>
        <row r="105">
          <cell r="A105">
            <v>100579</v>
          </cell>
          <cell r="E105">
            <v>0</v>
          </cell>
        </row>
        <row r="106">
          <cell r="A106">
            <v>100580</v>
          </cell>
          <cell r="E106">
            <v>0</v>
          </cell>
        </row>
        <row r="107">
          <cell r="A107">
            <v>100581</v>
          </cell>
          <cell r="E107">
            <v>0</v>
          </cell>
        </row>
        <row r="108">
          <cell r="A108">
            <v>100582</v>
          </cell>
          <cell r="E108">
            <v>0</v>
          </cell>
        </row>
        <row r="109">
          <cell r="A109">
            <v>100583</v>
          </cell>
          <cell r="E109">
            <v>0</v>
          </cell>
        </row>
        <row r="110">
          <cell r="A110">
            <v>100584</v>
          </cell>
          <cell r="E110">
            <v>0</v>
          </cell>
        </row>
        <row r="111">
          <cell r="A111">
            <v>100586</v>
          </cell>
          <cell r="E111">
            <v>0</v>
          </cell>
        </row>
        <row r="112">
          <cell r="A112">
            <v>100587</v>
          </cell>
          <cell r="E112">
            <v>0</v>
          </cell>
        </row>
        <row r="113">
          <cell r="A113">
            <v>100588</v>
          </cell>
          <cell r="E113">
            <v>0</v>
          </cell>
        </row>
        <row r="114">
          <cell r="A114">
            <v>100589</v>
          </cell>
          <cell r="E114">
            <v>0</v>
          </cell>
        </row>
        <row r="115">
          <cell r="A115">
            <v>100590</v>
          </cell>
          <cell r="E115">
            <v>0</v>
          </cell>
        </row>
        <row r="116">
          <cell r="A116">
            <v>100593</v>
          </cell>
          <cell r="E116">
            <v>0</v>
          </cell>
        </row>
        <row r="117">
          <cell r="A117">
            <v>100594</v>
          </cell>
          <cell r="E117">
            <v>0</v>
          </cell>
        </row>
        <row r="118">
          <cell r="A118">
            <v>100595</v>
          </cell>
          <cell r="E118">
            <v>0</v>
          </cell>
        </row>
        <row r="119">
          <cell r="A119">
            <v>100597</v>
          </cell>
          <cell r="E119">
            <v>0</v>
          </cell>
        </row>
        <row r="120">
          <cell r="A120">
            <v>100598</v>
          </cell>
          <cell r="E120">
            <v>0</v>
          </cell>
        </row>
        <row r="121">
          <cell r="A121">
            <v>100599</v>
          </cell>
          <cell r="E121">
            <v>0</v>
          </cell>
        </row>
        <row r="122">
          <cell r="A122">
            <v>100600</v>
          </cell>
          <cell r="E122">
            <v>0</v>
          </cell>
        </row>
        <row r="123">
          <cell r="A123">
            <v>100601</v>
          </cell>
          <cell r="E123">
            <v>0</v>
          </cell>
        </row>
        <row r="124">
          <cell r="A124">
            <v>100605</v>
          </cell>
          <cell r="E124">
            <v>0</v>
          </cell>
        </row>
        <row r="125">
          <cell r="A125">
            <v>100602</v>
          </cell>
          <cell r="E125">
            <v>0</v>
          </cell>
        </row>
        <row r="126">
          <cell r="A126">
            <v>100700</v>
          </cell>
          <cell r="E126">
            <v>0</v>
          </cell>
        </row>
        <row r="127">
          <cell r="A127">
            <v>100750</v>
          </cell>
          <cell r="E127">
            <v>0</v>
          </cell>
        </row>
        <row r="128">
          <cell r="A128">
            <v>100760</v>
          </cell>
          <cell r="E128">
            <v>0</v>
          </cell>
        </row>
        <row r="129">
          <cell r="A129">
            <v>100761</v>
          </cell>
          <cell r="E129">
            <v>0</v>
          </cell>
        </row>
        <row r="130">
          <cell r="A130">
            <v>100762</v>
          </cell>
          <cell r="E130">
            <v>0</v>
          </cell>
        </row>
        <row r="131">
          <cell r="A131">
            <v>100763</v>
          </cell>
          <cell r="E131">
            <v>0</v>
          </cell>
        </row>
        <row r="132">
          <cell r="A132">
            <v>100765</v>
          </cell>
          <cell r="E132">
            <v>0</v>
          </cell>
        </row>
        <row r="133">
          <cell r="A133">
            <v>100770</v>
          </cell>
          <cell r="E133">
            <v>0</v>
          </cell>
        </row>
        <row r="134">
          <cell r="A134">
            <v>100780</v>
          </cell>
          <cell r="E134">
            <v>0</v>
          </cell>
        </row>
        <row r="135">
          <cell r="A135">
            <v>100800</v>
          </cell>
          <cell r="E135">
            <v>0</v>
          </cell>
        </row>
        <row r="136">
          <cell r="A136">
            <v>100801</v>
          </cell>
          <cell r="E136">
            <v>0</v>
          </cell>
        </row>
        <row r="137">
          <cell r="A137">
            <v>100802</v>
          </cell>
          <cell r="E137">
            <v>0</v>
          </cell>
        </row>
        <row r="138">
          <cell r="A138">
            <v>100803</v>
          </cell>
          <cell r="E138">
            <v>0</v>
          </cell>
        </row>
        <row r="139">
          <cell r="A139">
            <v>100804</v>
          </cell>
          <cell r="E139">
            <v>0</v>
          </cell>
        </row>
        <row r="140">
          <cell r="A140">
            <v>100806</v>
          </cell>
          <cell r="E140">
            <v>0</v>
          </cell>
        </row>
        <row r="141">
          <cell r="A141">
            <v>100807</v>
          </cell>
          <cell r="E141">
            <v>0</v>
          </cell>
        </row>
        <row r="142">
          <cell r="A142">
            <v>101000</v>
          </cell>
          <cell r="E142">
            <v>0</v>
          </cell>
        </row>
        <row r="143">
          <cell r="A143">
            <v>101001</v>
          </cell>
          <cell r="E143">
            <v>0</v>
          </cell>
        </row>
        <row r="144">
          <cell r="A144">
            <v>101002</v>
          </cell>
          <cell r="E144">
            <v>0</v>
          </cell>
        </row>
        <row r="145">
          <cell r="A145">
            <v>101003</v>
          </cell>
          <cell r="E145">
            <v>0</v>
          </cell>
        </row>
        <row r="146">
          <cell r="A146">
            <v>101050</v>
          </cell>
          <cell r="E146">
            <v>0</v>
          </cell>
        </row>
        <row r="147">
          <cell r="A147">
            <v>101052</v>
          </cell>
          <cell r="E147">
            <v>0</v>
          </cell>
        </row>
        <row r="148">
          <cell r="A148">
            <v>101060</v>
          </cell>
          <cell r="E148">
            <v>0</v>
          </cell>
        </row>
        <row r="149">
          <cell r="A149">
            <v>101065</v>
          </cell>
          <cell r="E149">
            <v>0</v>
          </cell>
        </row>
        <row r="150">
          <cell r="A150">
            <v>101066</v>
          </cell>
          <cell r="E150">
            <v>0</v>
          </cell>
        </row>
        <row r="151">
          <cell r="A151">
            <v>101090</v>
          </cell>
          <cell r="E151">
            <v>0</v>
          </cell>
        </row>
        <row r="152">
          <cell r="A152">
            <v>101120</v>
          </cell>
          <cell r="E152">
            <v>0</v>
          </cell>
        </row>
        <row r="153">
          <cell r="A153">
            <v>101130</v>
          </cell>
          <cell r="E153">
            <v>0</v>
          </cell>
        </row>
        <row r="154">
          <cell r="A154">
            <v>101150</v>
          </cell>
          <cell r="E154">
            <v>0</v>
          </cell>
        </row>
        <row r="155">
          <cell r="A155">
            <v>101160</v>
          </cell>
          <cell r="E155">
            <v>0</v>
          </cell>
        </row>
        <row r="156">
          <cell r="A156">
            <v>101170</v>
          </cell>
          <cell r="E156">
            <v>0</v>
          </cell>
        </row>
        <row r="157">
          <cell r="A157">
            <v>101180</v>
          </cell>
          <cell r="E157">
            <v>0</v>
          </cell>
        </row>
        <row r="158">
          <cell r="A158">
            <v>101190</v>
          </cell>
          <cell r="E158">
            <v>0</v>
          </cell>
        </row>
        <row r="159">
          <cell r="A159">
            <v>101200</v>
          </cell>
          <cell r="E159">
            <v>0</v>
          </cell>
        </row>
        <row r="160">
          <cell r="A160">
            <v>101201</v>
          </cell>
          <cell r="E160">
            <v>0</v>
          </cell>
        </row>
        <row r="161">
          <cell r="A161">
            <v>101202</v>
          </cell>
          <cell r="E161">
            <v>0</v>
          </cell>
        </row>
        <row r="162">
          <cell r="A162">
            <v>101309</v>
          </cell>
          <cell r="E162">
            <v>0</v>
          </cell>
        </row>
        <row r="163">
          <cell r="A163">
            <v>101310</v>
          </cell>
          <cell r="E163">
            <v>0</v>
          </cell>
        </row>
        <row r="164">
          <cell r="A164">
            <v>101311</v>
          </cell>
          <cell r="E164">
            <v>0</v>
          </cell>
        </row>
        <row r="165">
          <cell r="A165">
            <v>101312</v>
          </cell>
          <cell r="E165">
            <v>0</v>
          </cell>
        </row>
        <row r="166">
          <cell r="A166">
            <v>101313</v>
          </cell>
          <cell r="E166">
            <v>0</v>
          </cell>
        </row>
        <row r="167">
          <cell r="A167">
            <v>101314</v>
          </cell>
          <cell r="E167">
            <v>0</v>
          </cell>
        </row>
        <row r="168">
          <cell r="A168">
            <v>101315</v>
          </cell>
          <cell r="E168">
            <v>0</v>
          </cell>
        </row>
        <row r="169">
          <cell r="A169">
            <v>101316</v>
          </cell>
          <cell r="E169">
            <v>0</v>
          </cell>
        </row>
        <row r="170">
          <cell r="A170">
            <v>101317</v>
          </cell>
          <cell r="E170">
            <v>0</v>
          </cell>
        </row>
        <row r="171">
          <cell r="A171">
            <v>101318</v>
          </cell>
          <cell r="E171">
            <v>0</v>
          </cell>
        </row>
        <row r="172">
          <cell r="A172">
            <v>101320</v>
          </cell>
          <cell r="E172">
            <v>0</v>
          </cell>
        </row>
        <row r="173">
          <cell r="A173">
            <v>101321</v>
          </cell>
          <cell r="E173">
            <v>0</v>
          </cell>
        </row>
        <row r="174">
          <cell r="A174">
            <v>101322</v>
          </cell>
          <cell r="E174">
            <v>0</v>
          </cell>
        </row>
        <row r="175">
          <cell r="A175">
            <v>101323</v>
          </cell>
          <cell r="E175">
            <v>0</v>
          </cell>
        </row>
        <row r="176">
          <cell r="A176">
            <v>101324</v>
          </cell>
          <cell r="E176">
            <v>0</v>
          </cell>
        </row>
        <row r="177">
          <cell r="A177">
            <v>101325</v>
          </cell>
          <cell r="E177">
            <v>0</v>
          </cell>
        </row>
        <row r="178">
          <cell r="A178">
            <v>101326</v>
          </cell>
          <cell r="E178">
            <v>0</v>
          </cell>
        </row>
        <row r="179">
          <cell r="A179">
            <v>101327</v>
          </cell>
          <cell r="E179">
            <v>0</v>
          </cell>
        </row>
        <row r="180">
          <cell r="A180">
            <v>101328</v>
          </cell>
          <cell r="E180">
            <v>0</v>
          </cell>
        </row>
        <row r="181">
          <cell r="A181">
            <v>101329</v>
          </cell>
          <cell r="E181">
            <v>0</v>
          </cell>
        </row>
        <row r="182">
          <cell r="A182">
            <v>101330</v>
          </cell>
          <cell r="E182">
            <v>0</v>
          </cell>
        </row>
        <row r="183">
          <cell r="A183">
            <v>101331</v>
          </cell>
          <cell r="E183">
            <v>0</v>
          </cell>
        </row>
        <row r="184">
          <cell r="A184">
            <v>101332</v>
          </cell>
          <cell r="E184">
            <v>0</v>
          </cell>
        </row>
        <row r="185">
          <cell r="A185">
            <v>101333</v>
          </cell>
          <cell r="E185">
            <v>0</v>
          </cell>
        </row>
        <row r="186">
          <cell r="A186">
            <v>101334</v>
          </cell>
          <cell r="E186">
            <v>0</v>
          </cell>
        </row>
        <row r="187">
          <cell r="A187">
            <v>101335</v>
          </cell>
          <cell r="E187">
            <v>0</v>
          </cell>
        </row>
        <row r="188">
          <cell r="A188">
            <v>101336</v>
          </cell>
          <cell r="E188">
            <v>0</v>
          </cell>
        </row>
        <row r="189">
          <cell r="A189">
            <v>101337</v>
          </cell>
          <cell r="E189">
            <v>0</v>
          </cell>
        </row>
        <row r="190">
          <cell r="A190">
            <v>101338</v>
          </cell>
          <cell r="E190">
            <v>0</v>
          </cell>
        </row>
        <row r="191">
          <cell r="A191">
            <v>101339</v>
          </cell>
          <cell r="E191">
            <v>0</v>
          </cell>
        </row>
        <row r="192">
          <cell r="A192">
            <v>101340</v>
          </cell>
          <cell r="E192">
            <v>0</v>
          </cell>
        </row>
        <row r="193">
          <cell r="A193">
            <v>101341</v>
          </cell>
          <cell r="E193">
            <v>0</v>
          </cell>
        </row>
        <row r="194">
          <cell r="A194">
            <v>101342</v>
          </cell>
          <cell r="E194">
            <v>0</v>
          </cell>
        </row>
        <row r="195">
          <cell r="A195">
            <v>101360</v>
          </cell>
          <cell r="E195">
            <v>0</v>
          </cell>
        </row>
        <row r="196">
          <cell r="A196">
            <v>101361</v>
          </cell>
          <cell r="E196">
            <v>0</v>
          </cell>
        </row>
        <row r="197">
          <cell r="A197">
            <v>101363</v>
          </cell>
          <cell r="E197">
            <v>0</v>
          </cell>
        </row>
        <row r="198">
          <cell r="A198">
            <v>101366</v>
          </cell>
          <cell r="E198">
            <v>0</v>
          </cell>
        </row>
        <row r="199">
          <cell r="A199">
            <v>101367</v>
          </cell>
          <cell r="E199">
            <v>0</v>
          </cell>
        </row>
        <row r="200">
          <cell r="A200">
            <v>101368</v>
          </cell>
          <cell r="E200">
            <v>0</v>
          </cell>
        </row>
        <row r="201">
          <cell r="A201">
            <v>101369</v>
          </cell>
          <cell r="E201">
            <v>0</v>
          </cell>
        </row>
        <row r="202">
          <cell r="A202">
            <v>101370</v>
          </cell>
          <cell r="E202">
            <v>0</v>
          </cell>
        </row>
        <row r="203">
          <cell r="A203">
            <v>101371</v>
          </cell>
          <cell r="E203">
            <v>0</v>
          </cell>
        </row>
        <row r="204">
          <cell r="A204">
            <v>101372</v>
          </cell>
          <cell r="E204">
            <v>0</v>
          </cell>
        </row>
        <row r="205">
          <cell r="A205">
            <v>101373</v>
          </cell>
          <cell r="E205">
            <v>0</v>
          </cell>
        </row>
        <row r="206">
          <cell r="A206">
            <v>101374</v>
          </cell>
          <cell r="E206">
            <v>0</v>
          </cell>
        </row>
        <row r="207">
          <cell r="A207">
            <v>101376</v>
          </cell>
          <cell r="E207">
            <v>0</v>
          </cell>
        </row>
        <row r="208">
          <cell r="A208">
            <v>101377</v>
          </cell>
          <cell r="E208">
            <v>0</v>
          </cell>
        </row>
        <row r="209">
          <cell r="A209">
            <v>101378</v>
          </cell>
          <cell r="E209">
            <v>0</v>
          </cell>
        </row>
        <row r="210">
          <cell r="A210">
            <v>101379</v>
          </cell>
          <cell r="E210">
            <v>0</v>
          </cell>
        </row>
        <row r="211">
          <cell r="A211">
            <v>101380</v>
          </cell>
          <cell r="E211">
            <v>0</v>
          </cell>
        </row>
        <row r="212">
          <cell r="A212">
            <v>101381</v>
          </cell>
          <cell r="E212">
            <v>0</v>
          </cell>
        </row>
        <row r="213">
          <cell r="A213">
            <v>101382</v>
          </cell>
          <cell r="E213">
            <v>0</v>
          </cell>
        </row>
        <row r="214">
          <cell r="A214">
            <v>101383</v>
          </cell>
          <cell r="E214">
            <v>0</v>
          </cell>
        </row>
        <row r="215">
          <cell r="A215">
            <v>101384</v>
          </cell>
          <cell r="E215">
            <v>0</v>
          </cell>
        </row>
        <row r="216">
          <cell r="A216">
            <v>101385</v>
          </cell>
          <cell r="E216">
            <v>0</v>
          </cell>
        </row>
        <row r="217">
          <cell r="A217">
            <v>101386</v>
          </cell>
          <cell r="E217">
            <v>0</v>
          </cell>
        </row>
        <row r="218">
          <cell r="A218">
            <v>101387</v>
          </cell>
          <cell r="E218">
            <v>0</v>
          </cell>
        </row>
        <row r="219">
          <cell r="A219">
            <v>101388</v>
          </cell>
          <cell r="E219">
            <v>0</v>
          </cell>
        </row>
        <row r="220">
          <cell r="A220">
            <v>101389</v>
          </cell>
          <cell r="E220">
            <v>0</v>
          </cell>
        </row>
        <row r="221">
          <cell r="A221">
            <v>101390</v>
          </cell>
          <cell r="E221">
            <v>0</v>
          </cell>
        </row>
        <row r="222">
          <cell r="A222">
            <v>101391</v>
          </cell>
          <cell r="E222">
            <v>0</v>
          </cell>
        </row>
        <row r="223">
          <cell r="A223">
            <v>101392</v>
          </cell>
          <cell r="E223">
            <v>0</v>
          </cell>
        </row>
        <row r="224">
          <cell r="A224">
            <v>101393</v>
          </cell>
          <cell r="E224">
            <v>0</v>
          </cell>
        </row>
        <row r="225">
          <cell r="A225">
            <v>101394</v>
          </cell>
          <cell r="E225">
            <v>0</v>
          </cell>
        </row>
        <row r="226">
          <cell r="A226">
            <v>101395</v>
          </cell>
          <cell r="E226">
            <v>0</v>
          </cell>
        </row>
        <row r="227">
          <cell r="A227">
            <v>101396</v>
          </cell>
          <cell r="E227">
            <v>0</v>
          </cell>
        </row>
        <row r="228">
          <cell r="A228">
            <v>101397</v>
          </cell>
          <cell r="E228">
            <v>0</v>
          </cell>
        </row>
        <row r="229">
          <cell r="A229">
            <v>101398</v>
          </cell>
          <cell r="E229">
            <v>0</v>
          </cell>
        </row>
        <row r="230">
          <cell r="A230">
            <v>101399</v>
          </cell>
          <cell r="E230">
            <v>0</v>
          </cell>
        </row>
        <row r="231">
          <cell r="A231">
            <v>101400</v>
          </cell>
          <cell r="E231">
            <v>0</v>
          </cell>
        </row>
        <row r="232">
          <cell r="A232">
            <v>101410</v>
          </cell>
          <cell r="E232">
            <v>0</v>
          </cell>
        </row>
        <row r="233">
          <cell r="A233">
            <v>101415</v>
          </cell>
          <cell r="E233">
            <v>0</v>
          </cell>
        </row>
        <row r="234">
          <cell r="A234">
            <v>101416</v>
          </cell>
          <cell r="E234">
            <v>0</v>
          </cell>
        </row>
        <row r="235">
          <cell r="A235">
            <v>101417</v>
          </cell>
          <cell r="E235">
            <v>0</v>
          </cell>
        </row>
        <row r="236">
          <cell r="A236">
            <v>101418</v>
          </cell>
          <cell r="E236">
            <v>0</v>
          </cell>
        </row>
        <row r="237">
          <cell r="A237">
            <v>101420</v>
          </cell>
          <cell r="E237">
            <v>0</v>
          </cell>
        </row>
        <row r="238">
          <cell r="A238">
            <v>101421</v>
          </cell>
          <cell r="E238">
            <v>0</v>
          </cell>
        </row>
        <row r="239">
          <cell r="A239">
            <v>101425</v>
          </cell>
          <cell r="E239">
            <v>0</v>
          </cell>
        </row>
        <row r="240">
          <cell r="A240">
            <v>101430</v>
          </cell>
          <cell r="E240">
            <v>0</v>
          </cell>
        </row>
        <row r="241">
          <cell r="A241">
            <v>101435</v>
          </cell>
          <cell r="E241">
            <v>0</v>
          </cell>
        </row>
        <row r="242">
          <cell r="A242">
            <v>101436</v>
          </cell>
          <cell r="E242">
            <v>0</v>
          </cell>
        </row>
        <row r="243">
          <cell r="A243">
            <v>101437</v>
          </cell>
          <cell r="E243">
            <v>0</v>
          </cell>
        </row>
        <row r="244">
          <cell r="A244">
            <v>101438</v>
          </cell>
          <cell r="E244">
            <v>0</v>
          </cell>
        </row>
        <row r="245">
          <cell r="A245">
            <v>101439</v>
          </cell>
          <cell r="E245">
            <v>0</v>
          </cell>
        </row>
        <row r="246">
          <cell r="A246">
            <v>101440</v>
          </cell>
          <cell r="E246">
            <v>0</v>
          </cell>
        </row>
        <row r="247">
          <cell r="A247">
            <v>101441</v>
          </cell>
          <cell r="E247">
            <v>0</v>
          </cell>
        </row>
        <row r="248">
          <cell r="A248">
            <v>101442</v>
          </cell>
          <cell r="E248">
            <v>0</v>
          </cell>
        </row>
        <row r="249">
          <cell r="A249">
            <v>101443</v>
          </cell>
          <cell r="E249">
            <v>0</v>
          </cell>
        </row>
        <row r="250">
          <cell r="A250">
            <v>101444</v>
          </cell>
          <cell r="E250">
            <v>0</v>
          </cell>
        </row>
        <row r="251">
          <cell r="A251">
            <v>101445</v>
          </cell>
          <cell r="E251">
            <v>0</v>
          </cell>
        </row>
        <row r="252">
          <cell r="A252">
            <v>101475</v>
          </cell>
          <cell r="E252">
            <v>0</v>
          </cell>
        </row>
        <row r="253">
          <cell r="A253">
            <v>101495</v>
          </cell>
          <cell r="E253">
            <v>0</v>
          </cell>
        </row>
        <row r="254">
          <cell r="A254">
            <v>101701</v>
          </cell>
          <cell r="E254">
            <v>0</v>
          </cell>
        </row>
        <row r="255">
          <cell r="A255">
            <v>101702</v>
          </cell>
          <cell r="E255">
            <v>0</v>
          </cell>
        </row>
        <row r="256">
          <cell r="A256">
            <v>101703</v>
          </cell>
          <cell r="E256">
            <v>0</v>
          </cell>
        </row>
        <row r="257">
          <cell r="A257">
            <v>101704</v>
          </cell>
          <cell r="E257">
            <v>0</v>
          </cell>
        </row>
        <row r="258">
          <cell r="A258">
            <v>101705</v>
          </cell>
          <cell r="E258">
            <v>0</v>
          </cell>
        </row>
        <row r="259">
          <cell r="A259">
            <v>101741</v>
          </cell>
          <cell r="E259">
            <v>0</v>
          </cell>
        </row>
        <row r="260">
          <cell r="A260">
            <v>101750</v>
          </cell>
          <cell r="E260">
            <v>0</v>
          </cell>
        </row>
        <row r="261">
          <cell r="A261">
            <v>101760</v>
          </cell>
          <cell r="E261">
            <v>0</v>
          </cell>
        </row>
        <row r="262">
          <cell r="A262">
            <v>101751</v>
          </cell>
          <cell r="E262">
            <v>0</v>
          </cell>
        </row>
        <row r="263">
          <cell r="A263">
            <v>101780</v>
          </cell>
          <cell r="E263">
            <v>0</v>
          </cell>
        </row>
        <row r="264">
          <cell r="A264">
            <v>101785</v>
          </cell>
          <cell r="E264">
            <v>0</v>
          </cell>
        </row>
        <row r="265">
          <cell r="A265">
            <v>101788</v>
          </cell>
          <cell r="E265">
            <v>0</v>
          </cell>
        </row>
        <row r="266">
          <cell r="A266">
            <v>101789</v>
          </cell>
          <cell r="E266">
            <v>0</v>
          </cell>
        </row>
        <row r="267">
          <cell r="A267">
            <v>101790</v>
          </cell>
          <cell r="E267">
            <v>0</v>
          </cell>
        </row>
        <row r="268">
          <cell r="A268">
            <v>101791</v>
          </cell>
          <cell r="E268">
            <v>0</v>
          </cell>
        </row>
        <row r="269">
          <cell r="A269">
            <v>101792</v>
          </cell>
          <cell r="E269">
            <v>0</v>
          </cell>
        </row>
        <row r="270">
          <cell r="A270">
            <v>101365</v>
          </cell>
          <cell r="E270">
            <v>0</v>
          </cell>
        </row>
        <row r="271">
          <cell r="A271">
            <v>101793</v>
          </cell>
          <cell r="E271">
            <v>0</v>
          </cell>
        </row>
        <row r="272">
          <cell r="A272">
            <v>101794</v>
          </cell>
          <cell r="E272">
            <v>0</v>
          </cell>
        </row>
        <row r="273">
          <cell r="A273">
            <v>101795</v>
          </cell>
          <cell r="E273">
            <v>0</v>
          </cell>
        </row>
        <row r="274">
          <cell r="A274">
            <v>101796</v>
          </cell>
          <cell r="E274">
            <v>0</v>
          </cell>
        </row>
        <row r="275">
          <cell r="A275">
            <v>101797</v>
          </cell>
          <cell r="E275">
            <v>0</v>
          </cell>
        </row>
        <row r="276">
          <cell r="A276">
            <v>101798</v>
          </cell>
          <cell r="E276">
            <v>0</v>
          </cell>
        </row>
        <row r="277">
          <cell r="A277">
            <v>101799</v>
          </cell>
          <cell r="E277">
            <v>0</v>
          </cell>
        </row>
        <row r="278">
          <cell r="A278">
            <v>101800</v>
          </cell>
          <cell r="E278">
            <v>0</v>
          </cell>
        </row>
        <row r="279">
          <cell r="A279">
            <v>101801</v>
          </cell>
          <cell r="E279">
            <v>0</v>
          </cell>
        </row>
        <row r="280">
          <cell r="A280">
            <v>101802</v>
          </cell>
          <cell r="E280">
            <v>0</v>
          </cell>
        </row>
        <row r="281">
          <cell r="A281">
            <v>101803</v>
          </cell>
          <cell r="E281">
            <v>0</v>
          </cell>
        </row>
        <row r="282">
          <cell r="A282">
            <v>101804</v>
          </cell>
          <cell r="E282">
            <v>0</v>
          </cell>
        </row>
        <row r="283">
          <cell r="A283">
            <v>101806</v>
          </cell>
          <cell r="E283">
            <v>0</v>
          </cell>
        </row>
        <row r="284">
          <cell r="A284">
            <v>101807</v>
          </cell>
          <cell r="E284">
            <v>0</v>
          </cell>
        </row>
        <row r="285">
          <cell r="A285">
            <v>101808</v>
          </cell>
          <cell r="E285">
            <v>0</v>
          </cell>
        </row>
        <row r="286">
          <cell r="A286">
            <v>101809</v>
          </cell>
          <cell r="E286">
            <v>0</v>
          </cell>
        </row>
        <row r="287">
          <cell r="A287">
            <v>101811</v>
          </cell>
          <cell r="E287">
            <v>0</v>
          </cell>
        </row>
        <row r="288">
          <cell r="A288">
            <v>101812</v>
          </cell>
          <cell r="E288">
            <v>0</v>
          </cell>
        </row>
        <row r="289">
          <cell r="A289">
            <v>101813</v>
          </cell>
          <cell r="E289">
            <v>0</v>
          </cell>
        </row>
        <row r="290">
          <cell r="A290">
            <v>101814</v>
          </cell>
          <cell r="E290">
            <v>0</v>
          </cell>
        </row>
        <row r="291">
          <cell r="A291">
            <v>101815</v>
          </cell>
          <cell r="E291">
            <v>0</v>
          </cell>
        </row>
        <row r="292">
          <cell r="A292">
            <v>101816</v>
          </cell>
          <cell r="E292">
            <v>0</v>
          </cell>
        </row>
        <row r="293">
          <cell r="A293">
            <v>101861</v>
          </cell>
          <cell r="E293">
            <v>0</v>
          </cell>
        </row>
        <row r="294">
          <cell r="A294">
            <v>101872</v>
          </cell>
          <cell r="E294">
            <v>0</v>
          </cell>
        </row>
        <row r="295">
          <cell r="A295">
            <v>101817</v>
          </cell>
          <cell r="E295">
            <v>0</v>
          </cell>
        </row>
        <row r="296">
          <cell r="A296">
            <v>101818</v>
          </cell>
          <cell r="E296">
            <v>0</v>
          </cell>
        </row>
        <row r="297">
          <cell r="A297">
            <v>101819</v>
          </cell>
          <cell r="E297">
            <v>0</v>
          </cell>
        </row>
        <row r="298">
          <cell r="A298">
            <v>101820</v>
          </cell>
          <cell r="E298">
            <v>0</v>
          </cell>
        </row>
        <row r="299">
          <cell r="A299">
            <v>101821</v>
          </cell>
          <cell r="E299">
            <v>0</v>
          </cell>
        </row>
        <row r="300">
          <cell r="A300">
            <v>101822</v>
          </cell>
          <cell r="E300">
            <v>0</v>
          </cell>
        </row>
        <row r="301">
          <cell r="A301">
            <v>101823</v>
          </cell>
          <cell r="E301">
            <v>0</v>
          </cell>
        </row>
        <row r="302">
          <cell r="A302">
            <v>101824</v>
          </cell>
          <cell r="E302">
            <v>0</v>
          </cell>
        </row>
        <row r="303">
          <cell r="A303">
            <v>101825</v>
          </cell>
          <cell r="E303">
            <v>0</v>
          </cell>
        </row>
        <row r="304">
          <cell r="A304">
            <v>101826</v>
          </cell>
          <cell r="E304">
            <v>0</v>
          </cell>
        </row>
        <row r="305">
          <cell r="A305">
            <v>101827</v>
          </cell>
          <cell r="E305">
            <v>0</v>
          </cell>
        </row>
        <row r="306">
          <cell r="A306">
            <v>101828</v>
          </cell>
          <cell r="E306">
            <v>0</v>
          </cell>
        </row>
        <row r="307">
          <cell r="A307">
            <v>101829</v>
          </cell>
          <cell r="E307">
            <v>0</v>
          </cell>
        </row>
        <row r="308">
          <cell r="A308">
            <v>101830</v>
          </cell>
          <cell r="E308">
            <v>0</v>
          </cell>
        </row>
        <row r="309">
          <cell r="A309">
            <v>101831</v>
          </cell>
          <cell r="E309">
            <v>0</v>
          </cell>
        </row>
        <row r="310">
          <cell r="A310">
            <v>101832</v>
          </cell>
          <cell r="E310">
            <v>0</v>
          </cell>
        </row>
        <row r="311">
          <cell r="A311">
            <v>101833</v>
          </cell>
          <cell r="E311">
            <v>0</v>
          </cell>
        </row>
        <row r="312">
          <cell r="A312">
            <v>101834</v>
          </cell>
          <cell r="E312">
            <v>0</v>
          </cell>
        </row>
        <row r="313">
          <cell r="A313">
            <v>101835</v>
          </cell>
          <cell r="E313">
            <v>0</v>
          </cell>
        </row>
        <row r="314">
          <cell r="A314">
            <v>101836</v>
          </cell>
          <cell r="E314">
            <v>0</v>
          </cell>
        </row>
        <row r="315">
          <cell r="A315">
            <v>101837</v>
          </cell>
          <cell r="E315">
            <v>0</v>
          </cell>
        </row>
        <row r="316">
          <cell r="A316">
            <v>101838</v>
          </cell>
          <cell r="E316">
            <v>0</v>
          </cell>
        </row>
        <row r="317">
          <cell r="A317">
            <v>101839</v>
          </cell>
          <cell r="E317">
            <v>0</v>
          </cell>
        </row>
        <row r="318">
          <cell r="A318">
            <v>101843</v>
          </cell>
          <cell r="E318">
            <v>0</v>
          </cell>
        </row>
        <row r="319">
          <cell r="A319">
            <v>101848</v>
          </cell>
          <cell r="E319">
            <v>0</v>
          </cell>
        </row>
        <row r="320">
          <cell r="A320">
            <v>101850</v>
          </cell>
          <cell r="E320">
            <v>0</v>
          </cell>
        </row>
        <row r="321">
          <cell r="A321">
            <v>101851</v>
          </cell>
          <cell r="E321">
            <v>0</v>
          </cell>
        </row>
        <row r="322">
          <cell r="A322">
            <v>101852</v>
          </cell>
          <cell r="E322">
            <v>0</v>
          </cell>
        </row>
        <row r="323">
          <cell r="A323">
            <v>101853</v>
          </cell>
          <cell r="E323">
            <v>0</v>
          </cell>
        </row>
        <row r="324">
          <cell r="A324">
            <v>101858</v>
          </cell>
          <cell r="E324">
            <v>0</v>
          </cell>
        </row>
        <row r="325">
          <cell r="A325">
            <v>110020</v>
          </cell>
          <cell r="E325">
            <v>0</v>
          </cell>
        </row>
        <row r="326">
          <cell r="A326">
            <v>110025</v>
          </cell>
          <cell r="E326">
            <v>0</v>
          </cell>
        </row>
        <row r="327">
          <cell r="A327">
            <v>110030</v>
          </cell>
          <cell r="E327">
            <v>0</v>
          </cell>
        </row>
        <row r="328">
          <cell r="A328">
            <v>110031</v>
          </cell>
          <cell r="E328">
            <v>0</v>
          </cell>
        </row>
        <row r="329">
          <cell r="A329">
            <v>110035</v>
          </cell>
          <cell r="E329">
            <v>0</v>
          </cell>
        </row>
        <row r="330">
          <cell r="A330">
            <v>110040</v>
          </cell>
          <cell r="E330">
            <v>0</v>
          </cell>
        </row>
        <row r="331">
          <cell r="A331">
            <v>110050</v>
          </cell>
          <cell r="E331">
            <v>0</v>
          </cell>
        </row>
        <row r="332">
          <cell r="A332">
            <v>110055</v>
          </cell>
          <cell r="E332">
            <v>0</v>
          </cell>
        </row>
        <row r="333">
          <cell r="A333">
            <v>110060</v>
          </cell>
          <cell r="E333">
            <v>0</v>
          </cell>
        </row>
        <row r="334">
          <cell r="A334">
            <v>110061</v>
          </cell>
          <cell r="E334">
            <v>0</v>
          </cell>
        </row>
        <row r="335">
          <cell r="A335">
            <v>110062</v>
          </cell>
          <cell r="E335">
            <v>0</v>
          </cell>
        </row>
        <row r="336">
          <cell r="A336">
            <v>110063</v>
          </cell>
          <cell r="E336">
            <v>0</v>
          </cell>
        </row>
        <row r="337">
          <cell r="A337">
            <v>110064</v>
          </cell>
          <cell r="E337">
            <v>0</v>
          </cell>
        </row>
        <row r="338">
          <cell r="A338">
            <v>110065</v>
          </cell>
          <cell r="E338">
            <v>0</v>
          </cell>
        </row>
        <row r="339">
          <cell r="A339">
            <v>110066</v>
          </cell>
          <cell r="E339">
            <v>0</v>
          </cell>
        </row>
        <row r="340">
          <cell r="A340">
            <v>110067</v>
          </cell>
          <cell r="E340">
            <v>0</v>
          </cell>
        </row>
        <row r="341">
          <cell r="A341">
            <v>110068</v>
          </cell>
          <cell r="E341">
            <v>0</v>
          </cell>
        </row>
        <row r="342">
          <cell r="A342">
            <v>110070</v>
          </cell>
          <cell r="E342">
            <v>0</v>
          </cell>
        </row>
        <row r="343">
          <cell r="A343">
            <v>110080</v>
          </cell>
          <cell r="E343">
            <v>0</v>
          </cell>
        </row>
        <row r="344">
          <cell r="A344">
            <v>110085</v>
          </cell>
          <cell r="E344">
            <v>0</v>
          </cell>
        </row>
        <row r="345">
          <cell r="A345">
            <v>110089</v>
          </cell>
          <cell r="E345">
            <v>0</v>
          </cell>
        </row>
        <row r="346">
          <cell r="A346">
            <v>110090</v>
          </cell>
          <cell r="E346">
            <v>0</v>
          </cell>
        </row>
        <row r="347">
          <cell r="A347">
            <v>110091</v>
          </cell>
          <cell r="E347">
            <v>0</v>
          </cell>
        </row>
        <row r="348">
          <cell r="A348">
            <v>110092</v>
          </cell>
          <cell r="E348">
            <v>0</v>
          </cell>
        </row>
        <row r="349">
          <cell r="A349">
            <v>110093</v>
          </cell>
          <cell r="E349">
            <v>0</v>
          </cell>
        </row>
        <row r="350">
          <cell r="A350">
            <v>110094</v>
          </cell>
          <cell r="E350">
            <v>0</v>
          </cell>
        </row>
        <row r="351">
          <cell r="A351">
            <v>110095</v>
          </cell>
          <cell r="E351">
            <v>0</v>
          </cell>
        </row>
        <row r="352">
          <cell r="A352">
            <v>110096</v>
          </cell>
          <cell r="E352">
            <v>0</v>
          </cell>
        </row>
        <row r="353">
          <cell r="A353">
            <v>110097</v>
          </cell>
          <cell r="E353">
            <v>0</v>
          </cell>
        </row>
        <row r="354">
          <cell r="A354">
            <v>110099</v>
          </cell>
          <cell r="E354">
            <v>0</v>
          </cell>
        </row>
        <row r="355">
          <cell r="A355">
            <v>110098</v>
          </cell>
          <cell r="E355">
            <v>0</v>
          </cell>
        </row>
        <row r="356">
          <cell r="A356">
            <v>110120</v>
          </cell>
          <cell r="E356">
            <v>0</v>
          </cell>
        </row>
        <row r="357">
          <cell r="A357">
            <v>110125</v>
          </cell>
          <cell r="E357">
            <v>0</v>
          </cell>
        </row>
        <row r="358">
          <cell r="A358">
            <v>110130</v>
          </cell>
          <cell r="E358">
            <v>0</v>
          </cell>
        </row>
        <row r="359">
          <cell r="A359">
            <v>110135</v>
          </cell>
          <cell r="E359">
            <v>0</v>
          </cell>
        </row>
        <row r="360">
          <cell r="A360">
            <v>110140</v>
          </cell>
          <cell r="E360">
            <v>0</v>
          </cell>
        </row>
        <row r="361">
          <cell r="A361">
            <v>110150</v>
          </cell>
          <cell r="E361">
            <v>0</v>
          </cell>
        </row>
        <row r="362">
          <cell r="A362">
            <v>110155</v>
          </cell>
          <cell r="E362">
            <v>0</v>
          </cell>
        </row>
        <row r="363">
          <cell r="A363">
            <v>110160</v>
          </cell>
          <cell r="E363">
            <v>0</v>
          </cell>
        </row>
        <row r="364">
          <cell r="A364">
            <v>110161</v>
          </cell>
          <cell r="E364">
            <v>0</v>
          </cell>
        </row>
        <row r="365">
          <cell r="A365">
            <v>110162</v>
          </cell>
          <cell r="E365">
            <v>0</v>
          </cell>
        </row>
        <row r="366">
          <cell r="A366">
            <v>110163</v>
          </cell>
          <cell r="E366">
            <v>0</v>
          </cell>
        </row>
        <row r="367">
          <cell r="A367">
            <v>110164</v>
          </cell>
          <cell r="E367">
            <v>0</v>
          </cell>
        </row>
        <row r="368">
          <cell r="A368">
            <v>110165</v>
          </cell>
          <cell r="E368">
            <v>0</v>
          </cell>
        </row>
        <row r="369">
          <cell r="A369">
            <v>110170</v>
          </cell>
          <cell r="E369">
            <v>0</v>
          </cell>
        </row>
        <row r="370">
          <cell r="A370">
            <v>110175</v>
          </cell>
          <cell r="E370">
            <v>0</v>
          </cell>
        </row>
        <row r="371">
          <cell r="A371">
            <v>110180</v>
          </cell>
          <cell r="E371">
            <v>0</v>
          </cell>
        </row>
        <row r="372">
          <cell r="A372">
            <v>110190</v>
          </cell>
          <cell r="E372">
            <v>0</v>
          </cell>
        </row>
        <row r="373">
          <cell r="A373">
            <v>110195</v>
          </cell>
          <cell r="E373">
            <v>0</v>
          </cell>
        </row>
        <row r="374">
          <cell r="A374">
            <v>110510</v>
          </cell>
          <cell r="E374">
            <v>0</v>
          </cell>
        </row>
        <row r="375">
          <cell r="A375">
            <v>110520</v>
          </cell>
          <cell r="E375">
            <v>0</v>
          </cell>
        </row>
        <row r="376">
          <cell r="A376">
            <v>110530</v>
          </cell>
          <cell r="E376">
            <v>0</v>
          </cell>
        </row>
        <row r="377">
          <cell r="A377">
            <v>110540</v>
          </cell>
          <cell r="E377">
            <v>0</v>
          </cell>
        </row>
        <row r="378">
          <cell r="A378">
            <v>110550</v>
          </cell>
          <cell r="E378">
            <v>0</v>
          </cell>
        </row>
        <row r="379">
          <cell r="A379">
            <v>110560</v>
          </cell>
          <cell r="E379">
            <v>0</v>
          </cell>
        </row>
        <row r="380">
          <cell r="A380">
            <v>110570</v>
          </cell>
          <cell r="E380">
            <v>0</v>
          </cell>
        </row>
        <row r="381">
          <cell r="A381">
            <v>110580</v>
          </cell>
          <cell r="E381">
            <v>0</v>
          </cell>
        </row>
        <row r="382">
          <cell r="A382">
            <v>110590</v>
          </cell>
          <cell r="E382">
            <v>0</v>
          </cell>
        </row>
        <row r="383">
          <cell r="A383">
            <v>110591</v>
          </cell>
          <cell r="E383">
            <v>0</v>
          </cell>
        </row>
        <row r="384">
          <cell r="A384">
            <v>110592</v>
          </cell>
          <cell r="E384">
            <v>0</v>
          </cell>
        </row>
        <row r="385">
          <cell r="A385">
            <v>110593</v>
          </cell>
          <cell r="E385">
            <v>0</v>
          </cell>
        </row>
        <row r="386">
          <cell r="A386">
            <v>110594</v>
          </cell>
          <cell r="E386">
            <v>0</v>
          </cell>
        </row>
        <row r="387">
          <cell r="A387">
            <v>110595</v>
          </cell>
          <cell r="E387">
            <v>0</v>
          </cell>
        </row>
        <row r="388">
          <cell r="A388">
            <v>110610</v>
          </cell>
          <cell r="E388">
            <v>0</v>
          </cell>
        </row>
        <row r="389">
          <cell r="A389">
            <v>120101</v>
          </cell>
          <cell r="E389">
            <v>0</v>
          </cell>
        </row>
        <row r="390">
          <cell r="A390">
            <v>120201</v>
          </cell>
          <cell r="E390">
            <v>0</v>
          </cell>
        </row>
        <row r="391">
          <cell r="A391">
            <v>200010</v>
          </cell>
          <cell r="E391">
            <v>0</v>
          </cell>
        </row>
        <row r="392">
          <cell r="A392">
            <v>200011</v>
          </cell>
          <cell r="E392">
            <v>0</v>
          </cell>
        </row>
        <row r="393">
          <cell r="A393">
            <v>200012</v>
          </cell>
          <cell r="E393">
            <v>0</v>
          </cell>
        </row>
        <row r="394">
          <cell r="A394">
            <v>200013</v>
          </cell>
          <cell r="E394">
            <v>0</v>
          </cell>
        </row>
        <row r="395">
          <cell r="A395">
            <v>200014</v>
          </cell>
          <cell r="E395">
            <v>0</v>
          </cell>
        </row>
        <row r="396">
          <cell r="A396">
            <v>200015</v>
          </cell>
          <cell r="E396">
            <v>0</v>
          </cell>
        </row>
        <row r="397">
          <cell r="A397">
            <v>200016</v>
          </cell>
          <cell r="E397">
            <v>0</v>
          </cell>
        </row>
        <row r="398">
          <cell r="A398">
            <v>200018</v>
          </cell>
          <cell r="E398">
            <v>0</v>
          </cell>
        </row>
        <row r="399">
          <cell r="A399">
            <v>200019</v>
          </cell>
          <cell r="E399">
            <v>0</v>
          </cell>
        </row>
        <row r="400">
          <cell r="A400">
            <v>200021</v>
          </cell>
          <cell r="E400">
            <v>0</v>
          </cell>
        </row>
        <row r="401">
          <cell r="A401">
            <v>200022</v>
          </cell>
          <cell r="E401">
            <v>0</v>
          </cell>
        </row>
        <row r="402">
          <cell r="A402">
            <v>200026</v>
          </cell>
          <cell r="E402">
            <v>0</v>
          </cell>
        </row>
        <row r="403">
          <cell r="A403">
            <v>200041</v>
          </cell>
          <cell r="E403">
            <v>0</v>
          </cell>
        </row>
        <row r="404">
          <cell r="A404">
            <v>201005</v>
          </cell>
          <cell r="E404">
            <v>0</v>
          </cell>
        </row>
        <row r="405">
          <cell r="A405">
            <v>201010</v>
          </cell>
          <cell r="E405">
            <v>0</v>
          </cell>
        </row>
        <row r="406">
          <cell r="A406">
            <v>201015</v>
          </cell>
          <cell r="E406">
            <v>0</v>
          </cell>
        </row>
        <row r="407">
          <cell r="A407">
            <v>201017</v>
          </cell>
          <cell r="E407">
            <v>0</v>
          </cell>
        </row>
        <row r="408">
          <cell r="A408">
            <v>201020</v>
          </cell>
          <cell r="E408">
            <v>0</v>
          </cell>
        </row>
        <row r="409">
          <cell r="A409">
            <v>201023</v>
          </cell>
          <cell r="E409">
            <v>0</v>
          </cell>
        </row>
        <row r="410">
          <cell r="A410">
            <v>201035</v>
          </cell>
          <cell r="E410">
            <v>0</v>
          </cell>
        </row>
        <row r="411">
          <cell r="A411">
            <v>201030</v>
          </cell>
          <cell r="E411">
            <v>0</v>
          </cell>
        </row>
        <row r="412">
          <cell r="A412">
            <v>201040</v>
          </cell>
          <cell r="E412">
            <v>0</v>
          </cell>
        </row>
        <row r="413">
          <cell r="A413">
            <v>201045</v>
          </cell>
          <cell r="E413">
            <v>0</v>
          </cell>
        </row>
        <row r="414">
          <cell r="A414">
            <v>201046</v>
          </cell>
          <cell r="E414">
            <v>0</v>
          </cell>
        </row>
        <row r="415">
          <cell r="A415">
            <v>201047</v>
          </cell>
          <cell r="E415">
            <v>0</v>
          </cell>
        </row>
        <row r="416">
          <cell r="A416">
            <v>201050</v>
          </cell>
          <cell r="E416">
            <v>0</v>
          </cell>
        </row>
        <row r="417">
          <cell r="A417">
            <v>201052</v>
          </cell>
          <cell r="E417">
            <v>0</v>
          </cell>
        </row>
        <row r="418">
          <cell r="A418">
            <v>201065</v>
          </cell>
          <cell r="E418">
            <v>0</v>
          </cell>
        </row>
        <row r="419">
          <cell r="A419">
            <v>201066</v>
          </cell>
          <cell r="E419">
            <v>0</v>
          </cell>
        </row>
        <row r="420">
          <cell r="A420">
            <v>201070</v>
          </cell>
          <cell r="E420">
            <v>0</v>
          </cell>
        </row>
        <row r="421">
          <cell r="A421">
            <v>201075</v>
          </cell>
          <cell r="E421">
            <v>0</v>
          </cell>
        </row>
        <row r="422">
          <cell r="A422">
            <v>201076</v>
          </cell>
          <cell r="E422">
            <v>0</v>
          </cell>
        </row>
        <row r="423">
          <cell r="A423">
            <v>201080</v>
          </cell>
          <cell r="E423">
            <v>0</v>
          </cell>
        </row>
        <row r="424">
          <cell r="A424">
            <v>201085</v>
          </cell>
          <cell r="E424">
            <v>0</v>
          </cell>
        </row>
        <row r="425">
          <cell r="A425">
            <v>201101</v>
          </cell>
          <cell r="E425">
            <v>0</v>
          </cell>
        </row>
        <row r="426">
          <cell r="A426">
            <v>201102</v>
          </cell>
          <cell r="E426">
            <v>0</v>
          </cell>
        </row>
        <row r="427">
          <cell r="A427">
            <v>201103</v>
          </cell>
          <cell r="E427">
            <v>0</v>
          </cell>
        </row>
        <row r="428">
          <cell r="A428">
            <v>201104</v>
          </cell>
          <cell r="E428">
            <v>0</v>
          </cell>
        </row>
        <row r="429">
          <cell r="A429">
            <v>201105</v>
          </cell>
          <cell r="E429">
            <v>0</v>
          </cell>
        </row>
        <row r="430">
          <cell r="A430">
            <v>201106</v>
          </cell>
          <cell r="E430">
            <v>0</v>
          </cell>
        </row>
        <row r="431">
          <cell r="A431">
            <v>201107</v>
          </cell>
          <cell r="E431">
            <v>0</v>
          </cell>
        </row>
        <row r="432">
          <cell r="A432">
            <v>201108</v>
          </cell>
          <cell r="E432">
            <v>0</v>
          </cell>
        </row>
        <row r="433">
          <cell r="A433">
            <v>201109</v>
          </cell>
          <cell r="E433">
            <v>0</v>
          </cell>
        </row>
        <row r="434">
          <cell r="A434">
            <v>201114</v>
          </cell>
          <cell r="E434">
            <v>0</v>
          </cell>
        </row>
        <row r="435">
          <cell r="A435">
            <v>201115</v>
          </cell>
          <cell r="E435">
            <v>0</v>
          </cell>
        </row>
        <row r="436">
          <cell r="A436">
            <v>201117</v>
          </cell>
          <cell r="E436">
            <v>0</v>
          </cell>
        </row>
        <row r="437">
          <cell r="A437">
            <v>201201</v>
          </cell>
          <cell r="E437">
            <v>0</v>
          </cell>
        </row>
        <row r="438">
          <cell r="A438">
            <v>201202</v>
          </cell>
          <cell r="E438">
            <v>0</v>
          </cell>
        </row>
        <row r="439">
          <cell r="A439">
            <v>201203</v>
          </cell>
          <cell r="E439">
            <v>0</v>
          </cell>
        </row>
        <row r="440">
          <cell r="A440">
            <v>201211</v>
          </cell>
          <cell r="E440">
            <v>0</v>
          </cell>
        </row>
        <row r="441">
          <cell r="A441">
            <v>201212</v>
          </cell>
          <cell r="E441">
            <v>0</v>
          </cell>
        </row>
        <row r="442">
          <cell r="A442">
            <v>201213</v>
          </cell>
          <cell r="E442">
            <v>0</v>
          </cell>
        </row>
        <row r="443">
          <cell r="A443">
            <v>201214</v>
          </cell>
          <cell r="E443">
            <v>0</v>
          </cell>
        </row>
        <row r="444">
          <cell r="A444">
            <v>201215</v>
          </cell>
          <cell r="E444">
            <v>0</v>
          </cell>
        </row>
        <row r="445">
          <cell r="A445">
            <v>201221</v>
          </cell>
          <cell r="E445">
            <v>0</v>
          </cell>
        </row>
        <row r="446">
          <cell r="A446">
            <v>201222</v>
          </cell>
          <cell r="E446">
            <v>0</v>
          </cell>
        </row>
        <row r="447">
          <cell r="A447">
            <v>201223</v>
          </cell>
          <cell r="E447">
            <v>0</v>
          </cell>
        </row>
        <row r="448">
          <cell r="A448">
            <v>201224</v>
          </cell>
          <cell r="E448">
            <v>0</v>
          </cell>
        </row>
        <row r="449">
          <cell r="A449">
            <v>201225</v>
          </cell>
          <cell r="E449">
            <v>0</v>
          </cell>
        </row>
        <row r="450">
          <cell r="A450">
            <v>201226</v>
          </cell>
          <cell r="E450">
            <v>0</v>
          </cell>
        </row>
        <row r="451">
          <cell r="A451">
            <v>201228</v>
          </cell>
          <cell r="E451">
            <v>0</v>
          </cell>
        </row>
        <row r="452">
          <cell r="A452">
            <v>201230</v>
          </cell>
          <cell r="E452">
            <v>0</v>
          </cell>
        </row>
        <row r="453">
          <cell r="A453">
            <v>201231</v>
          </cell>
          <cell r="E453">
            <v>0</v>
          </cell>
        </row>
        <row r="454">
          <cell r="A454">
            <v>201232</v>
          </cell>
          <cell r="E454">
            <v>0</v>
          </cell>
        </row>
        <row r="455">
          <cell r="A455">
            <v>201233</v>
          </cell>
          <cell r="E455">
            <v>0</v>
          </cell>
        </row>
        <row r="456">
          <cell r="A456">
            <v>201234</v>
          </cell>
          <cell r="E456">
            <v>0</v>
          </cell>
        </row>
        <row r="457">
          <cell r="A457">
            <v>201235</v>
          </cell>
          <cell r="E457">
            <v>0</v>
          </cell>
        </row>
        <row r="458">
          <cell r="A458">
            <v>201236</v>
          </cell>
          <cell r="E458">
            <v>0</v>
          </cell>
        </row>
        <row r="459">
          <cell r="A459">
            <v>201241</v>
          </cell>
          <cell r="E459">
            <v>0</v>
          </cell>
        </row>
        <row r="460">
          <cell r="A460">
            <v>201242</v>
          </cell>
          <cell r="E460">
            <v>0</v>
          </cell>
        </row>
        <row r="461">
          <cell r="A461">
            <v>201243</v>
          </cell>
          <cell r="E461">
            <v>0</v>
          </cell>
        </row>
        <row r="462">
          <cell r="A462">
            <v>201244</v>
          </cell>
          <cell r="E462">
            <v>0</v>
          </cell>
        </row>
        <row r="463">
          <cell r="A463">
            <v>202010</v>
          </cell>
          <cell r="E463">
            <v>0</v>
          </cell>
        </row>
        <row r="464">
          <cell r="A464">
            <v>205010</v>
          </cell>
          <cell r="E464">
            <v>0</v>
          </cell>
        </row>
        <row r="465">
          <cell r="A465">
            <v>205011</v>
          </cell>
          <cell r="E465">
            <v>0</v>
          </cell>
        </row>
        <row r="466">
          <cell r="A466">
            <v>205012</v>
          </cell>
          <cell r="E466">
            <v>0</v>
          </cell>
        </row>
        <row r="467">
          <cell r="A467">
            <v>205014</v>
          </cell>
          <cell r="E467">
            <v>0</v>
          </cell>
        </row>
        <row r="468">
          <cell r="A468">
            <v>205015</v>
          </cell>
          <cell r="E468">
            <v>0</v>
          </cell>
        </row>
        <row r="469">
          <cell r="A469">
            <v>205020</v>
          </cell>
          <cell r="E469">
            <v>0</v>
          </cell>
        </row>
        <row r="470">
          <cell r="A470">
            <v>205030</v>
          </cell>
          <cell r="E470">
            <v>0</v>
          </cell>
        </row>
        <row r="471">
          <cell r="A471">
            <v>205032</v>
          </cell>
          <cell r="E471">
            <v>0</v>
          </cell>
        </row>
        <row r="472">
          <cell r="A472">
            <v>205040</v>
          </cell>
          <cell r="E472">
            <v>0</v>
          </cell>
        </row>
        <row r="473">
          <cell r="A473">
            <v>205041</v>
          </cell>
          <cell r="E473">
            <v>0</v>
          </cell>
        </row>
        <row r="474">
          <cell r="A474">
            <v>205042</v>
          </cell>
          <cell r="E474">
            <v>0</v>
          </cell>
        </row>
        <row r="475">
          <cell r="A475">
            <v>205043</v>
          </cell>
          <cell r="E475">
            <v>0</v>
          </cell>
        </row>
        <row r="476">
          <cell r="A476">
            <v>205046</v>
          </cell>
          <cell r="E476">
            <v>0</v>
          </cell>
        </row>
        <row r="477">
          <cell r="A477">
            <v>205047</v>
          </cell>
          <cell r="E477">
            <v>0</v>
          </cell>
        </row>
        <row r="478">
          <cell r="A478">
            <v>205048</v>
          </cell>
          <cell r="E478">
            <v>0</v>
          </cell>
        </row>
        <row r="479">
          <cell r="A479">
            <v>205056</v>
          </cell>
          <cell r="E479">
            <v>0</v>
          </cell>
        </row>
        <row r="480">
          <cell r="A480">
            <v>205057</v>
          </cell>
          <cell r="E480">
            <v>0</v>
          </cell>
        </row>
        <row r="481">
          <cell r="A481">
            <v>240007</v>
          </cell>
          <cell r="E481">
            <v>0</v>
          </cell>
        </row>
        <row r="482">
          <cell r="A482">
            <v>205080</v>
          </cell>
          <cell r="E482">
            <v>0</v>
          </cell>
        </row>
        <row r="483">
          <cell r="A483">
            <v>205085</v>
          </cell>
          <cell r="E483">
            <v>0</v>
          </cell>
        </row>
        <row r="484">
          <cell r="A484">
            <v>205087</v>
          </cell>
          <cell r="E484">
            <v>0</v>
          </cell>
        </row>
        <row r="485">
          <cell r="A485">
            <v>205090</v>
          </cell>
          <cell r="E485">
            <v>0</v>
          </cell>
        </row>
        <row r="486">
          <cell r="A486">
            <v>205091</v>
          </cell>
          <cell r="E486">
            <v>0</v>
          </cell>
        </row>
        <row r="487">
          <cell r="A487">
            <v>205092</v>
          </cell>
          <cell r="E487">
            <v>0</v>
          </cell>
        </row>
        <row r="488">
          <cell r="A488">
            <v>205095</v>
          </cell>
          <cell r="E488">
            <v>0</v>
          </cell>
        </row>
        <row r="489">
          <cell r="A489">
            <v>205101</v>
          </cell>
          <cell r="E489">
            <v>0</v>
          </cell>
        </row>
        <row r="490">
          <cell r="A490">
            <v>205102</v>
          </cell>
          <cell r="E490">
            <v>0</v>
          </cell>
        </row>
        <row r="491">
          <cell r="A491">
            <v>205103</v>
          </cell>
          <cell r="E491">
            <v>0</v>
          </cell>
        </row>
        <row r="492">
          <cell r="A492">
            <v>205104</v>
          </cell>
          <cell r="E492">
            <v>0</v>
          </cell>
        </row>
        <row r="493">
          <cell r="A493">
            <v>205105</v>
          </cell>
          <cell r="E493">
            <v>0</v>
          </cell>
        </row>
        <row r="494">
          <cell r="A494">
            <v>205106</v>
          </cell>
          <cell r="E494">
            <v>0</v>
          </cell>
        </row>
        <row r="495">
          <cell r="A495">
            <v>205107</v>
          </cell>
          <cell r="E495">
            <v>0</v>
          </cell>
        </row>
        <row r="496">
          <cell r="A496">
            <v>205108</v>
          </cell>
          <cell r="E496">
            <v>0</v>
          </cell>
        </row>
        <row r="497">
          <cell r="A497">
            <v>205109</v>
          </cell>
          <cell r="E497">
            <v>0</v>
          </cell>
        </row>
        <row r="498">
          <cell r="A498">
            <v>205110</v>
          </cell>
          <cell r="E498">
            <v>0</v>
          </cell>
        </row>
        <row r="499">
          <cell r="A499">
            <v>205111</v>
          </cell>
          <cell r="E499">
            <v>0</v>
          </cell>
        </row>
        <row r="500">
          <cell r="A500">
            <v>205112</v>
          </cell>
          <cell r="E500">
            <v>0</v>
          </cell>
        </row>
        <row r="501">
          <cell r="A501">
            <v>205113</v>
          </cell>
          <cell r="E501">
            <v>0</v>
          </cell>
        </row>
        <row r="502">
          <cell r="A502">
            <v>205114</v>
          </cell>
          <cell r="E502">
            <v>0</v>
          </cell>
        </row>
        <row r="503">
          <cell r="A503">
            <v>205115</v>
          </cell>
          <cell r="E503">
            <v>0</v>
          </cell>
        </row>
        <row r="504">
          <cell r="A504">
            <v>205116</v>
          </cell>
          <cell r="E504">
            <v>0</v>
          </cell>
        </row>
        <row r="505">
          <cell r="A505">
            <v>205119</v>
          </cell>
          <cell r="E505">
            <v>0</v>
          </cell>
        </row>
        <row r="506">
          <cell r="A506">
            <v>205120</v>
          </cell>
          <cell r="E506">
            <v>0</v>
          </cell>
        </row>
        <row r="507">
          <cell r="A507">
            <v>205121</v>
          </cell>
          <cell r="E507">
            <v>0</v>
          </cell>
        </row>
        <row r="508">
          <cell r="A508">
            <v>205122</v>
          </cell>
          <cell r="E508">
            <v>0</v>
          </cell>
        </row>
        <row r="509">
          <cell r="A509">
            <v>205123</v>
          </cell>
          <cell r="E509">
            <v>0</v>
          </cell>
        </row>
        <row r="510">
          <cell r="A510">
            <v>205124</v>
          </cell>
          <cell r="E510">
            <v>0</v>
          </cell>
        </row>
        <row r="511">
          <cell r="A511">
            <v>205128</v>
          </cell>
          <cell r="E511">
            <v>0</v>
          </cell>
        </row>
        <row r="512">
          <cell r="A512">
            <v>205130</v>
          </cell>
          <cell r="E512">
            <v>0</v>
          </cell>
        </row>
        <row r="513">
          <cell r="A513">
            <v>205133</v>
          </cell>
          <cell r="E513">
            <v>0</v>
          </cell>
        </row>
        <row r="514">
          <cell r="A514">
            <v>205136</v>
          </cell>
          <cell r="E514">
            <v>0</v>
          </cell>
        </row>
        <row r="515">
          <cell r="A515">
            <v>206010</v>
          </cell>
          <cell r="E515">
            <v>0</v>
          </cell>
        </row>
        <row r="516">
          <cell r="A516">
            <v>206020</v>
          </cell>
          <cell r="E516">
            <v>0</v>
          </cell>
        </row>
        <row r="517">
          <cell r="A517">
            <v>206023</v>
          </cell>
          <cell r="E517">
            <v>0</v>
          </cell>
        </row>
        <row r="518">
          <cell r="A518">
            <v>206026</v>
          </cell>
          <cell r="E518">
            <v>0</v>
          </cell>
        </row>
        <row r="519">
          <cell r="A519">
            <v>206033</v>
          </cell>
          <cell r="E519">
            <v>0</v>
          </cell>
        </row>
        <row r="520">
          <cell r="A520">
            <v>206034</v>
          </cell>
          <cell r="E520">
            <v>0</v>
          </cell>
        </row>
        <row r="521">
          <cell r="A521">
            <v>206030</v>
          </cell>
          <cell r="E521">
            <v>0</v>
          </cell>
        </row>
        <row r="522">
          <cell r="A522">
            <v>206035</v>
          </cell>
          <cell r="E522">
            <v>0</v>
          </cell>
        </row>
        <row r="523">
          <cell r="A523">
            <v>206036</v>
          </cell>
          <cell r="E523">
            <v>0</v>
          </cell>
        </row>
        <row r="524">
          <cell r="A524">
            <v>206037</v>
          </cell>
          <cell r="E524">
            <v>0</v>
          </cell>
        </row>
        <row r="525">
          <cell r="A525">
            <v>206038</v>
          </cell>
          <cell r="E525">
            <v>0</v>
          </cell>
        </row>
        <row r="526">
          <cell r="A526">
            <v>206039</v>
          </cell>
          <cell r="E526">
            <v>0</v>
          </cell>
        </row>
        <row r="527">
          <cell r="A527">
            <v>206040</v>
          </cell>
          <cell r="E527">
            <v>0</v>
          </cell>
        </row>
        <row r="528">
          <cell r="A528">
            <v>206041</v>
          </cell>
          <cell r="E528">
            <v>0</v>
          </cell>
        </row>
        <row r="529">
          <cell r="A529">
            <v>206042</v>
          </cell>
          <cell r="E529">
            <v>0</v>
          </cell>
        </row>
        <row r="530">
          <cell r="A530">
            <v>206043</v>
          </cell>
          <cell r="E530">
            <v>0</v>
          </cell>
        </row>
        <row r="531">
          <cell r="A531">
            <v>206044</v>
          </cell>
          <cell r="E531">
            <v>0</v>
          </cell>
        </row>
        <row r="532">
          <cell r="A532">
            <v>206045</v>
          </cell>
          <cell r="E532">
            <v>0</v>
          </cell>
        </row>
        <row r="533">
          <cell r="A533">
            <v>206046</v>
          </cell>
          <cell r="E533">
            <v>0</v>
          </cell>
        </row>
        <row r="534">
          <cell r="A534">
            <v>206047</v>
          </cell>
          <cell r="E534">
            <v>0</v>
          </cell>
        </row>
        <row r="535">
          <cell r="A535">
            <v>206048</v>
          </cell>
          <cell r="E535">
            <v>0</v>
          </cell>
        </row>
        <row r="536">
          <cell r="A536">
            <v>207010</v>
          </cell>
          <cell r="E536">
            <v>0</v>
          </cell>
        </row>
        <row r="537">
          <cell r="A537">
            <v>210110</v>
          </cell>
          <cell r="E537">
            <v>0</v>
          </cell>
        </row>
        <row r="538">
          <cell r="A538">
            <v>210111</v>
          </cell>
          <cell r="E538">
            <v>0</v>
          </cell>
        </row>
        <row r="539">
          <cell r="A539">
            <v>210112</v>
          </cell>
          <cell r="E539">
            <v>0</v>
          </cell>
        </row>
        <row r="540">
          <cell r="A540">
            <v>210115</v>
          </cell>
          <cell r="E540">
            <v>0</v>
          </cell>
        </row>
        <row r="541">
          <cell r="A541">
            <v>210120</v>
          </cell>
          <cell r="E541">
            <v>0</v>
          </cell>
        </row>
        <row r="542">
          <cell r="A542">
            <v>210125</v>
          </cell>
          <cell r="E542">
            <v>0</v>
          </cell>
        </row>
        <row r="543">
          <cell r="A543">
            <v>210130</v>
          </cell>
          <cell r="E543">
            <v>0</v>
          </cell>
        </row>
        <row r="544">
          <cell r="A544">
            <v>210135</v>
          </cell>
          <cell r="E544">
            <v>0</v>
          </cell>
        </row>
        <row r="545">
          <cell r="A545">
            <v>210140</v>
          </cell>
          <cell r="E545">
            <v>0</v>
          </cell>
        </row>
        <row r="546">
          <cell r="A546">
            <v>210150</v>
          </cell>
          <cell r="E546">
            <v>0</v>
          </cell>
        </row>
        <row r="547">
          <cell r="A547">
            <v>210155</v>
          </cell>
          <cell r="E547">
            <v>0</v>
          </cell>
        </row>
        <row r="548">
          <cell r="A548">
            <v>210160</v>
          </cell>
          <cell r="E548">
            <v>0</v>
          </cell>
        </row>
        <row r="549">
          <cell r="A549">
            <v>210165</v>
          </cell>
          <cell r="E549">
            <v>0</v>
          </cell>
        </row>
        <row r="550">
          <cell r="A550">
            <v>210171</v>
          </cell>
          <cell r="E550">
            <v>0</v>
          </cell>
        </row>
        <row r="551">
          <cell r="A551">
            <v>210172</v>
          </cell>
          <cell r="E551">
            <v>0</v>
          </cell>
        </row>
        <row r="552">
          <cell r="A552">
            <v>210173</v>
          </cell>
          <cell r="E552">
            <v>0</v>
          </cell>
        </row>
        <row r="553">
          <cell r="A553">
            <v>210181</v>
          </cell>
          <cell r="E553">
            <v>0</v>
          </cell>
        </row>
        <row r="554">
          <cell r="A554">
            <v>210182</v>
          </cell>
          <cell r="E554">
            <v>0</v>
          </cell>
        </row>
        <row r="555">
          <cell r="A555">
            <v>210183</v>
          </cell>
          <cell r="E555">
            <v>0</v>
          </cell>
        </row>
        <row r="556">
          <cell r="A556">
            <v>210185</v>
          </cell>
          <cell r="E556">
            <v>0</v>
          </cell>
        </row>
        <row r="557">
          <cell r="A557">
            <v>210168</v>
          </cell>
          <cell r="E557">
            <v>0</v>
          </cell>
        </row>
        <row r="558">
          <cell r="A558">
            <v>220010</v>
          </cell>
          <cell r="E558">
            <v>0</v>
          </cell>
        </row>
        <row r="559">
          <cell r="A559">
            <v>220020</v>
          </cell>
          <cell r="E559">
            <v>0</v>
          </cell>
        </row>
        <row r="560">
          <cell r="A560">
            <v>220021</v>
          </cell>
          <cell r="E560">
            <v>0</v>
          </cell>
        </row>
        <row r="561">
          <cell r="A561">
            <v>220022</v>
          </cell>
          <cell r="E561">
            <v>0</v>
          </cell>
        </row>
        <row r="562">
          <cell r="A562">
            <v>220030</v>
          </cell>
          <cell r="E562">
            <v>0</v>
          </cell>
        </row>
        <row r="563">
          <cell r="A563">
            <v>240001</v>
          </cell>
          <cell r="E563">
            <v>0</v>
          </cell>
        </row>
        <row r="564">
          <cell r="A564">
            <v>240002</v>
          </cell>
          <cell r="E564">
            <v>0</v>
          </cell>
        </row>
        <row r="565">
          <cell r="A565">
            <v>240003</v>
          </cell>
          <cell r="E565">
            <v>0</v>
          </cell>
        </row>
        <row r="566">
          <cell r="A566">
            <v>240004</v>
          </cell>
          <cell r="E566">
            <v>0</v>
          </cell>
        </row>
        <row r="567">
          <cell r="A567">
            <v>240230</v>
          </cell>
          <cell r="E567">
            <v>0</v>
          </cell>
        </row>
        <row r="568">
          <cell r="A568">
            <v>240235</v>
          </cell>
          <cell r="E568">
            <v>0</v>
          </cell>
        </row>
        <row r="569">
          <cell r="A569">
            <v>300010</v>
          </cell>
          <cell r="E569">
            <v>0</v>
          </cell>
        </row>
        <row r="570">
          <cell r="A570">
            <v>300110</v>
          </cell>
          <cell r="E570">
            <v>0</v>
          </cell>
        </row>
        <row r="571">
          <cell r="A571">
            <v>300115</v>
          </cell>
          <cell r="E571">
            <v>0</v>
          </cell>
        </row>
        <row r="572">
          <cell r="A572">
            <v>300120</v>
          </cell>
          <cell r="E572">
            <v>0</v>
          </cell>
        </row>
        <row r="573">
          <cell r="A573">
            <v>301001</v>
          </cell>
          <cell r="E573">
            <v>0</v>
          </cell>
        </row>
        <row r="574">
          <cell r="A574">
            <v>301002</v>
          </cell>
          <cell r="E574">
            <v>0</v>
          </cell>
        </row>
        <row r="575">
          <cell r="A575">
            <v>301009</v>
          </cell>
          <cell r="E575">
            <v>0</v>
          </cell>
        </row>
        <row r="576">
          <cell r="A576">
            <v>300210</v>
          </cell>
          <cell r="E576">
            <v>0</v>
          </cell>
        </row>
        <row r="577">
          <cell r="A577">
            <v>300211</v>
          </cell>
          <cell r="E577">
            <v>0</v>
          </cell>
        </row>
        <row r="578">
          <cell r="A578">
            <v>301003</v>
          </cell>
          <cell r="E578">
            <v>0</v>
          </cell>
        </row>
        <row r="579">
          <cell r="A579">
            <v>301004</v>
          </cell>
          <cell r="E579">
            <v>0</v>
          </cell>
        </row>
        <row r="580">
          <cell r="A580">
            <v>301005</v>
          </cell>
          <cell r="E580">
            <v>0</v>
          </cell>
        </row>
        <row r="581">
          <cell r="A581">
            <v>101005</v>
          </cell>
          <cell r="E581">
            <v>0</v>
          </cell>
        </row>
        <row r="582">
          <cell r="A582">
            <v>101015</v>
          </cell>
          <cell r="E582">
            <v>0</v>
          </cell>
        </row>
        <row r="583">
          <cell r="A583">
            <v>101010</v>
          </cell>
          <cell r="E583">
            <v>0</v>
          </cell>
        </row>
        <row r="584">
          <cell r="A584">
            <v>101070</v>
          </cell>
          <cell r="E584">
            <v>0</v>
          </cell>
        </row>
        <row r="585">
          <cell r="A585">
            <v>101075</v>
          </cell>
          <cell r="E585">
            <v>0</v>
          </cell>
        </row>
        <row r="586">
          <cell r="A586" t="str">
            <v>101300 - P</v>
          </cell>
          <cell r="E586">
            <v>0</v>
          </cell>
        </row>
        <row r="587">
          <cell r="A587">
            <v>101355</v>
          </cell>
          <cell r="E587">
            <v>0</v>
          </cell>
        </row>
        <row r="588">
          <cell r="A588">
            <v>101350</v>
          </cell>
          <cell r="E588">
            <v>0</v>
          </cell>
        </row>
        <row r="589">
          <cell r="A589">
            <v>101362</v>
          </cell>
          <cell r="E589">
            <v>0</v>
          </cell>
        </row>
        <row r="590">
          <cell r="A590">
            <v>101840</v>
          </cell>
          <cell r="E590">
            <v>0</v>
          </cell>
        </row>
        <row r="591">
          <cell r="A591">
            <v>101845</v>
          </cell>
          <cell r="E591">
            <v>0</v>
          </cell>
        </row>
        <row r="592">
          <cell r="A592">
            <v>101847</v>
          </cell>
          <cell r="E592">
            <v>0</v>
          </cell>
        </row>
        <row r="593">
          <cell r="A593">
            <v>101846</v>
          </cell>
          <cell r="E593">
            <v>0</v>
          </cell>
        </row>
        <row r="594">
          <cell r="A594">
            <v>110545</v>
          </cell>
          <cell r="E594">
            <v>0</v>
          </cell>
        </row>
        <row r="595">
          <cell r="A595">
            <v>101781</v>
          </cell>
          <cell r="E595">
            <v>0</v>
          </cell>
        </row>
        <row r="596">
          <cell r="A596">
            <v>200050</v>
          </cell>
          <cell r="E596">
            <v>0</v>
          </cell>
        </row>
        <row r="597">
          <cell r="A597">
            <v>200040</v>
          </cell>
          <cell r="E597">
            <v>0</v>
          </cell>
        </row>
        <row r="598">
          <cell r="A598">
            <v>201095</v>
          </cell>
          <cell r="E598">
            <v>0</v>
          </cell>
        </row>
        <row r="599">
          <cell r="A599">
            <v>205035</v>
          </cell>
          <cell r="E599">
            <v>0</v>
          </cell>
        </row>
        <row r="600">
          <cell r="A600">
            <v>205055</v>
          </cell>
          <cell r="E600">
            <v>0</v>
          </cell>
        </row>
        <row r="601">
          <cell r="A601">
            <v>205065</v>
          </cell>
          <cell r="E601">
            <v>0</v>
          </cell>
        </row>
        <row r="602">
          <cell r="A602">
            <v>205096</v>
          </cell>
          <cell r="E602">
            <v>0</v>
          </cell>
        </row>
        <row r="603">
          <cell r="A603">
            <v>205097</v>
          </cell>
          <cell r="E603">
            <v>0</v>
          </cell>
        </row>
        <row r="604">
          <cell r="A604">
            <v>205098</v>
          </cell>
          <cell r="E604">
            <v>0</v>
          </cell>
        </row>
        <row r="605">
          <cell r="A605">
            <v>301006</v>
          </cell>
          <cell r="E605">
            <v>0</v>
          </cell>
        </row>
        <row r="606">
          <cell r="A606">
            <v>301007</v>
          </cell>
          <cell r="E606">
            <v>0</v>
          </cell>
        </row>
        <row r="607">
          <cell r="A607">
            <v>301008</v>
          </cell>
          <cell r="E607">
            <v>0</v>
          </cell>
        </row>
        <row r="608">
          <cell r="A608">
            <v>888913</v>
          </cell>
          <cell r="E608">
            <v>0</v>
          </cell>
        </row>
        <row r="609">
          <cell r="A609">
            <v>888914</v>
          </cell>
          <cell r="E609">
            <v>0</v>
          </cell>
        </row>
        <row r="610">
          <cell r="A610">
            <v>100512</v>
          </cell>
          <cell r="E610">
            <v>0</v>
          </cell>
        </row>
        <row r="611">
          <cell r="A611">
            <v>100544</v>
          </cell>
          <cell r="E611">
            <v>0</v>
          </cell>
        </row>
        <row r="612">
          <cell r="A612">
            <v>110511</v>
          </cell>
          <cell r="E612">
            <v>0</v>
          </cell>
        </row>
        <row r="613">
          <cell r="A613">
            <v>110596</v>
          </cell>
          <cell r="E613">
            <v>0</v>
          </cell>
        </row>
        <row r="614">
          <cell r="A614">
            <v>101873</v>
          </cell>
          <cell r="E614">
            <v>0</v>
          </cell>
        </row>
        <row r="615">
          <cell r="A615">
            <v>710102</v>
          </cell>
          <cell r="E615">
            <v>0</v>
          </cell>
        </row>
        <row r="616">
          <cell r="A616">
            <v>300018</v>
          </cell>
          <cell r="E616">
            <v>0</v>
          </cell>
        </row>
        <row r="617">
          <cell r="A617">
            <v>300212</v>
          </cell>
          <cell r="E617">
            <v>0</v>
          </cell>
        </row>
        <row r="618">
          <cell r="A618">
            <v>110049</v>
          </cell>
          <cell r="E618">
            <v>0</v>
          </cell>
        </row>
        <row r="619">
          <cell r="A619">
            <v>110156</v>
          </cell>
          <cell r="E619">
            <v>0</v>
          </cell>
        </row>
        <row r="620">
          <cell r="A620">
            <v>240236</v>
          </cell>
          <cell r="E620">
            <v>0</v>
          </cell>
        </row>
        <row r="621">
          <cell r="A621">
            <v>240237</v>
          </cell>
          <cell r="E621">
            <v>0</v>
          </cell>
        </row>
        <row r="622">
          <cell r="A622">
            <v>205094</v>
          </cell>
          <cell r="E622">
            <v>0</v>
          </cell>
        </row>
        <row r="624">
          <cell r="A624" t="str">
            <v>101300 - N</v>
          </cell>
          <cell r="E624">
            <v>0</v>
          </cell>
        </row>
        <row r="625">
          <cell r="A625">
            <v>106810</v>
          </cell>
          <cell r="E625">
            <v>8625780</v>
          </cell>
        </row>
        <row r="626">
          <cell r="A626">
            <v>106960</v>
          </cell>
          <cell r="E626">
            <v>-209764291.00164101</v>
          </cell>
        </row>
        <row r="627">
          <cell r="A627">
            <v>110000</v>
          </cell>
          <cell r="E627">
            <v>201256537.99814799</v>
          </cell>
        </row>
        <row r="628">
          <cell r="A628">
            <v>155000</v>
          </cell>
          <cell r="E628">
            <v>19604020.034879997</v>
          </cell>
        </row>
        <row r="629">
          <cell r="A629">
            <v>159200</v>
          </cell>
          <cell r="E629">
            <v>279570</v>
          </cell>
        </row>
        <row r="630">
          <cell r="A630">
            <v>159300</v>
          </cell>
          <cell r="E630">
            <v>-822779</v>
          </cell>
        </row>
        <row r="631">
          <cell r="A631">
            <v>167211</v>
          </cell>
          <cell r="E631">
            <v>2996435.4764137501</v>
          </cell>
        </row>
        <row r="632">
          <cell r="A632">
            <v>168100</v>
          </cell>
          <cell r="E632">
            <v>0</v>
          </cell>
        </row>
        <row r="633">
          <cell r="A633">
            <v>205000</v>
          </cell>
          <cell r="E633">
            <v>0</v>
          </cell>
        </row>
        <row r="634">
          <cell r="A634">
            <v>215500</v>
          </cell>
          <cell r="E634">
            <v>0</v>
          </cell>
        </row>
        <row r="635">
          <cell r="A635">
            <v>217000</v>
          </cell>
          <cell r="E635">
            <v>35917.534019037099</v>
          </cell>
        </row>
        <row r="636">
          <cell r="A636">
            <v>219000</v>
          </cell>
          <cell r="E636">
            <v>0</v>
          </cell>
        </row>
        <row r="637">
          <cell r="A637">
            <v>275000</v>
          </cell>
          <cell r="E637">
            <v>0</v>
          </cell>
        </row>
        <row r="638">
          <cell r="A638">
            <v>276840</v>
          </cell>
          <cell r="E638">
            <v>0</v>
          </cell>
        </row>
        <row r="639">
          <cell r="A639">
            <v>280500</v>
          </cell>
          <cell r="E639">
            <v>0</v>
          </cell>
        </row>
        <row r="640">
          <cell r="A640">
            <v>281550</v>
          </cell>
          <cell r="E640">
            <v>0</v>
          </cell>
        </row>
        <row r="641">
          <cell r="A641">
            <v>281700</v>
          </cell>
          <cell r="E641">
            <v>-3180953.0113862976</v>
          </cell>
        </row>
        <row r="642">
          <cell r="A642">
            <v>281900</v>
          </cell>
          <cell r="E642">
            <v>0</v>
          </cell>
        </row>
        <row r="643">
          <cell r="A643">
            <v>401100</v>
          </cell>
          <cell r="E643">
            <v>-49094</v>
          </cell>
        </row>
        <row r="644">
          <cell r="A644">
            <v>401450</v>
          </cell>
          <cell r="E644">
            <v>90.200000000069849</v>
          </cell>
        </row>
        <row r="645">
          <cell r="A645">
            <v>401500</v>
          </cell>
          <cell r="E645">
            <v>3360</v>
          </cell>
        </row>
        <row r="646">
          <cell r="A646">
            <v>401998</v>
          </cell>
          <cell r="E646">
            <v>-145958</v>
          </cell>
        </row>
        <row r="647">
          <cell r="A647">
            <v>408120</v>
          </cell>
          <cell r="E647">
            <v>0</v>
          </cell>
        </row>
        <row r="648">
          <cell r="A648">
            <v>408151</v>
          </cell>
          <cell r="E648">
            <v>112306</v>
          </cell>
        </row>
        <row r="649">
          <cell r="A649">
            <v>408500</v>
          </cell>
          <cell r="E649">
            <v>441838</v>
          </cell>
        </row>
        <row r="650">
          <cell r="A650">
            <v>411450</v>
          </cell>
          <cell r="E650">
            <v>0</v>
          </cell>
        </row>
        <row r="651">
          <cell r="A651">
            <v>411500</v>
          </cell>
          <cell r="E651">
            <v>0</v>
          </cell>
        </row>
        <row r="652">
          <cell r="A652">
            <v>411700</v>
          </cell>
          <cell r="E652">
            <v>152405.46084821707</v>
          </cell>
        </row>
        <row r="653">
          <cell r="A653">
            <v>418150</v>
          </cell>
          <cell r="E653">
            <v>-666139.14744236157</v>
          </cell>
        </row>
        <row r="654">
          <cell r="A654">
            <v>425000</v>
          </cell>
          <cell r="E654">
            <v>-151443</v>
          </cell>
        </row>
        <row r="655">
          <cell r="A655">
            <v>425004</v>
          </cell>
          <cell r="E655">
            <v>-83335</v>
          </cell>
        </row>
        <row r="656">
          <cell r="A656">
            <v>427100</v>
          </cell>
          <cell r="E656">
            <v>-152144</v>
          </cell>
        </row>
        <row r="657">
          <cell r="A657">
            <v>427101</v>
          </cell>
          <cell r="E657">
            <v>0</v>
          </cell>
        </row>
        <row r="658">
          <cell r="A658">
            <v>427103</v>
          </cell>
          <cell r="E658">
            <v>0</v>
          </cell>
        </row>
        <row r="659">
          <cell r="A659">
            <v>428200</v>
          </cell>
          <cell r="E659">
            <v>0</v>
          </cell>
        </row>
        <row r="660">
          <cell r="A660">
            <v>428400</v>
          </cell>
          <cell r="E660">
            <v>0</v>
          </cell>
        </row>
        <row r="661">
          <cell r="A661">
            <v>428610</v>
          </cell>
          <cell r="E661">
            <v>24166.29</v>
          </cell>
        </row>
        <row r="662">
          <cell r="A662">
            <v>428611</v>
          </cell>
          <cell r="E662">
            <v>32160</v>
          </cell>
        </row>
        <row r="663">
          <cell r="A663">
            <v>428616</v>
          </cell>
          <cell r="E663">
            <v>0</v>
          </cell>
        </row>
        <row r="664">
          <cell r="A664">
            <v>437000</v>
          </cell>
          <cell r="E664">
            <v>-44455</v>
          </cell>
        </row>
        <row r="665">
          <cell r="A665">
            <v>437200</v>
          </cell>
          <cell r="E665">
            <v>-650</v>
          </cell>
        </row>
        <row r="666">
          <cell r="A666">
            <v>437407</v>
          </cell>
          <cell r="E666">
            <v>-7566.1</v>
          </cell>
        </row>
        <row r="667">
          <cell r="A667">
            <v>437408</v>
          </cell>
          <cell r="E667">
            <v>-52436</v>
          </cell>
        </row>
        <row r="668">
          <cell r="A668">
            <v>437409</v>
          </cell>
          <cell r="E668">
            <v>0</v>
          </cell>
        </row>
        <row r="669">
          <cell r="A669">
            <v>437425</v>
          </cell>
          <cell r="E669">
            <v>434</v>
          </cell>
        </row>
        <row r="670">
          <cell r="A670">
            <v>437427</v>
          </cell>
          <cell r="E670">
            <v>0</v>
          </cell>
        </row>
        <row r="671">
          <cell r="A671">
            <v>437522</v>
          </cell>
          <cell r="E671">
            <v>0</v>
          </cell>
        </row>
        <row r="672">
          <cell r="A672">
            <v>438666</v>
          </cell>
          <cell r="E672">
            <v>9011</v>
          </cell>
        </row>
        <row r="673">
          <cell r="A673">
            <v>444000</v>
          </cell>
          <cell r="E673">
            <v>-3439901.4153661877</v>
          </cell>
        </row>
        <row r="674">
          <cell r="A674">
            <v>444400</v>
          </cell>
          <cell r="E674">
            <v>13209712.465055401</v>
          </cell>
        </row>
        <row r="675">
          <cell r="A675">
            <v>444410</v>
          </cell>
          <cell r="E675">
            <v>-12144880.517731754</v>
          </cell>
        </row>
        <row r="676">
          <cell r="A676">
            <v>444042</v>
          </cell>
          <cell r="E676">
            <v>0</v>
          </cell>
        </row>
        <row r="677">
          <cell r="A677">
            <v>444508</v>
          </cell>
          <cell r="E677">
            <v>0</v>
          </cell>
        </row>
        <row r="678">
          <cell r="A678">
            <v>444550</v>
          </cell>
          <cell r="E678">
            <v>0</v>
          </cell>
        </row>
        <row r="679">
          <cell r="A679">
            <v>444562</v>
          </cell>
          <cell r="E679">
            <v>0</v>
          </cell>
        </row>
        <row r="680">
          <cell r="A680">
            <v>444566</v>
          </cell>
          <cell r="E680">
            <v>0</v>
          </cell>
        </row>
        <row r="681">
          <cell r="A681">
            <v>445614</v>
          </cell>
          <cell r="E681">
            <v>0</v>
          </cell>
        </row>
        <row r="682">
          <cell r="A682">
            <v>445616</v>
          </cell>
          <cell r="E682">
            <v>0</v>
          </cell>
        </row>
        <row r="683">
          <cell r="A683">
            <v>445780</v>
          </cell>
          <cell r="E683">
            <v>0</v>
          </cell>
        </row>
        <row r="684">
          <cell r="A684">
            <v>445882</v>
          </cell>
          <cell r="E684">
            <v>0</v>
          </cell>
        </row>
        <row r="685">
          <cell r="A685">
            <v>445885</v>
          </cell>
          <cell r="E685">
            <v>0</v>
          </cell>
        </row>
        <row r="686">
          <cell r="A686">
            <v>445886</v>
          </cell>
          <cell r="E686">
            <v>0</v>
          </cell>
        </row>
        <row r="687">
          <cell r="A687">
            <v>445888</v>
          </cell>
          <cell r="E687">
            <v>0</v>
          </cell>
        </row>
        <row r="688">
          <cell r="A688">
            <v>445889</v>
          </cell>
          <cell r="E688">
            <v>0</v>
          </cell>
        </row>
        <row r="689">
          <cell r="A689">
            <v>445890</v>
          </cell>
          <cell r="E689">
            <v>0</v>
          </cell>
        </row>
        <row r="690">
          <cell r="A690">
            <v>445891</v>
          </cell>
          <cell r="E690">
            <v>0</v>
          </cell>
        </row>
        <row r="691">
          <cell r="A691">
            <v>445916</v>
          </cell>
          <cell r="E691">
            <v>0</v>
          </cell>
        </row>
        <row r="692">
          <cell r="A692">
            <v>445960</v>
          </cell>
          <cell r="E692">
            <v>0</v>
          </cell>
        </row>
        <row r="693">
          <cell r="A693">
            <v>445970</v>
          </cell>
          <cell r="E693">
            <v>0</v>
          </cell>
        </row>
        <row r="694">
          <cell r="A694">
            <v>445980</v>
          </cell>
          <cell r="E694">
            <v>0</v>
          </cell>
        </row>
        <row r="695">
          <cell r="A695">
            <v>451099</v>
          </cell>
          <cell r="E695">
            <v>58288.119999999879</v>
          </cell>
        </row>
        <row r="696">
          <cell r="A696">
            <v>451115</v>
          </cell>
          <cell r="E696">
            <v>0</v>
          </cell>
        </row>
        <row r="697">
          <cell r="A697">
            <v>451998</v>
          </cell>
          <cell r="E697">
            <v>0</v>
          </cell>
        </row>
        <row r="698">
          <cell r="A698">
            <v>457000</v>
          </cell>
          <cell r="E698">
            <v>0</v>
          </cell>
        </row>
        <row r="699">
          <cell r="A699">
            <v>467010</v>
          </cell>
          <cell r="E699">
            <v>0</v>
          </cell>
        </row>
        <row r="700">
          <cell r="A700">
            <v>467100</v>
          </cell>
          <cell r="E700">
            <v>100000</v>
          </cell>
        </row>
        <row r="701">
          <cell r="A701">
            <v>468701</v>
          </cell>
          <cell r="E701">
            <v>0</v>
          </cell>
        </row>
        <row r="702">
          <cell r="A702">
            <v>481100</v>
          </cell>
          <cell r="E702">
            <v>0</v>
          </cell>
        </row>
        <row r="703">
          <cell r="A703">
            <v>486200</v>
          </cell>
          <cell r="E703">
            <v>0</v>
          </cell>
        </row>
        <row r="704">
          <cell r="A704">
            <v>488000</v>
          </cell>
          <cell r="E704">
            <v>3707684.9999999995</v>
          </cell>
        </row>
        <row r="705">
          <cell r="A705">
            <v>488010</v>
          </cell>
          <cell r="E705">
            <v>0</v>
          </cell>
        </row>
        <row r="706">
          <cell r="A706">
            <v>488120</v>
          </cell>
          <cell r="E706">
            <v>-3251008.4477484501</v>
          </cell>
        </row>
        <row r="707">
          <cell r="A707">
            <v>409100</v>
          </cell>
          <cell r="E707">
            <v>49094</v>
          </cell>
        </row>
        <row r="708">
          <cell r="A708">
            <v>496700</v>
          </cell>
          <cell r="E708">
            <v>0</v>
          </cell>
        </row>
        <row r="709">
          <cell r="A709">
            <v>508200</v>
          </cell>
          <cell r="E709">
            <v>0</v>
          </cell>
        </row>
        <row r="710">
          <cell r="A710">
            <v>508226</v>
          </cell>
          <cell r="E710">
            <v>0</v>
          </cell>
        </row>
        <row r="711">
          <cell r="A711">
            <v>508227</v>
          </cell>
          <cell r="E711">
            <v>0</v>
          </cell>
        </row>
        <row r="712">
          <cell r="A712">
            <v>511998</v>
          </cell>
          <cell r="E712">
            <v>0</v>
          </cell>
        </row>
        <row r="713">
          <cell r="A713">
            <v>5120276</v>
          </cell>
          <cell r="E713">
            <v>0</v>
          </cell>
        </row>
        <row r="714">
          <cell r="A714">
            <v>5890000</v>
          </cell>
          <cell r="E714">
            <v>0</v>
          </cell>
        </row>
        <row r="715">
          <cell r="A715">
            <v>51120215</v>
          </cell>
          <cell r="E715">
            <v>-3000000</v>
          </cell>
        </row>
        <row r="716">
          <cell r="A716">
            <v>51120216</v>
          </cell>
          <cell r="E716">
            <v>0</v>
          </cell>
        </row>
        <row r="717">
          <cell r="A717">
            <v>51120217</v>
          </cell>
          <cell r="E717">
            <v>-20900000</v>
          </cell>
        </row>
        <row r="718">
          <cell r="A718">
            <v>51150215</v>
          </cell>
          <cell r="E718">
            <v>1259372</v>
          </cell>
        </row>
        <row r="719">
          <cell r="A719">
            <v>51150216</v>
          </cell>
          <cell r="E719">
            <v>431085</v>
          </cell>
        </row>
        <row r="720">
          <cell r="A720">
            <v>51150217</v>
          </cell>
          <cell r="E720">
            <v>22000000</v>
          </cell>
        </row>
        <row r="721">
          <cell r="A721">
            <v>51200208</v>
          </cell>
          <cell r="E721">
            <v>0</v>
          </cell>
        </row>
        <row r="722">
          <cell r="A722">
            <v>51200215</v>
          </cell>
          <cell r="E722">
            <v>1752134.4100000001</v>
          </cell>
        </row>
        <row r="723">
          <cell r="A723">
            <v>51200217</v>
          </cell>
          <cell r="E723">
            <v>-1100000</v>
          </cell>
        </row>
        <row r="724">
          <cell r="A724">
            <v>411998</v>
          </cell>
          <cell r="E724">
            <v>0</v>
          </cell>
        </row>
        <row r="725">
          <cell r="A725">
            <v>428650</v>
          </cell>
          <cell r="E725">
            <v>0</v>
          </cell>
        </row>
        <row r="726">
          <cell r="A726">
            <v>1013001</v>
          </cell>
          <cell r="E726">
            <v>54000</v>
          </cell>
        </row>
        <row r="727">
          <cell r="A727">
            <v>4014500</v>
          </cell>
          <cell r="E727">
            <v>-535704.43000000005</v>
          </cell>
        </row>
        <row r="728">
          <cell r="A728">
            <v>4015000</v>
          </cell>
          <cell r="E728">
            <v>-3360</v>
          </cell>
        </row>
        <row r="729">
          <cell r="A729">
            <v>4081510</v>
          </cell>
          <cell r="E729">
            <v>-452660.81000000238</v>
          </cell>
        </row>
        <row r="730">
          <cell r="A730">
            <v>4085000</v>
          </cell>
          <cell r="E730">
            <v>97259</v>
          </cell>
        </row>
        <row r="731">
          <cell r="A731">
            <v>4115000</v>
          </cell>
          <cell r="E731">
            <v>241132.81000000238</v>
          </cell>
        </row>
        <row r="732">
          <cell r="A732">
            <v>4181500</v>
          </cell>
          <cell r="E732">
            <v>626977.14744236157</v>
          </cell>
        </row>
        <row r="733">
          <cell r="A733">
            <v>4210100</v>
          </cell>
          <cell r="E733">
            <v>431377</v>
          </cell>
        </row>
        <row r="734">
          <cell r="A734">
            <v>4286100</v>
          </cell>
          <cell r="E734">
            <v>8793</v>
          </cell>
        </row>
        <row r="735">
          <cell r="A735">
            <v>4372000</v>
          </cell>
          <cell r="E735">
            <v>650</v>
          </cell>
        </row>
        <row r="736">
          <cell r="A736">
            <v>4373000</v>
          </cell>
          <cell r="E736">
            <v>-434</v>
          </cell>
        </row>
        <row r="737">
          <cell r="A737">
            <v>4374070</v>
          </cell>
          <cell r="E737">
            <v>10786.1</v>
          </cell>
        </row>
        <row r="738">
          <cell r="A738">
            <v>4374080</v>
          </cell>
          <cell r="E738">
            <v>-21199</v>
          </cell>
        </row>
        <row r="739">
          <cell r="A739">
            <v>4386660</v>
          </cell>
          <cell r="E739">
            <v>-9011</v>
          </cell>
        </row>
        <row r="740">
          <cell r="A740">
            <v>4510000</v>
          </cell>
          <cell r="E740">
            <v>-442591.41000000015</v>
          </cell>
        </row>
        <row r="741">
          <cell r="A741">
            <v>4550000</v>
          </cell>
          <cell r="E741">
            <v>623284.12000000011</v>
          </cell>
        </row>
        <row r="742">
          <cell r="A742">
            <v>4880000</v>
          </cell>
          <cell r="E742">
            <v>182719.1</v>
          </cell>
        </row>
        <row r="743">
          <cell r="A743">
            <v>4459160</v>
          </cell>
          <cell r="E743">
            <v>0</v>
          </cell>
        </row>
        <row r="744">
          <cell r="A744">
            <v>4458700</v>
          </cell>
          <cell r="E744">
            <v>0</v>
          </cell>
        </row>
        <row r="745">
          <cell r="E745">
            <v>0</v>
          </cell>
        </row>
        <row r="746">
          <cell r="A746">
            <v>400010</v>
          </cell>
          <cell r="E746">
            <v>0</v>
          </cell>
        </row>
        <row r="747">
          <cell r="A747">
            <v>400020</v>
          </cell>
          <cell r="E747">
            <v>0</v>
          </cell>
        </row>
        <row r="748">
          <cell r="A748">
            <v>400021</v>
          </cell>
          <cell r="E748">
            <v>0</v>
          </cell>
        </row>
        <row r="749">
          <cell r="A749">
            <v>400030</v>
          </cell>
          <cell r="E749">
            <v>0</v>
          </cell>
        </row>
        <row r="750">
          <cell r="A750">
            <v>400040</v>
          </cell>
          <cell r="E750">
            <v>0</v>
          </cell>
        </row>
        <row r="751">
          <cell r="A751">
            <v>400050</v>
          </cell>
          <cell r="E751">
            <v>0</v>
          </cell>
        </row>
        <row r="752">
          <cell r="A752">
            <v>400060</v>
          </cell>
          <cell r="E752">
            <v>0</v>
          </cell>
        </row>
        <row r="753">
          <cell r="A753">
            <v>400061</v>
          </cell>
          <cell r="E753">
            <v>0</v>
          </cell>
        </row>
        <row r="754">
          <cell r="A754">
            <v>400070</v>
          </cell>
          <cell r="E754">
            <v>0</v>
          </cell>
        </row>
        <row r="755">
          <cell r="A755">
            <v>400071</v>
          </cell>
          <cell r="E755">
            <v>0</v>
          </cell>
        </row>
        <row r="756">
          <cell r="A756">
            <v>400072</v>
          </cell>
          <cell r="E756">
            <v>0</v>
          </cell>
        </row>
        <row r="757">
          <cell r="A757">
            <v>400073</v>
          </cell>
          <cell r="E757">
            <v>0</v>
          </cell>
        </row>
        <row r="758">
          <cell r="A758">
            <v>400074</v>
          </cell>
          <cell r="E758">
            <v>0</v>
          </cell>
        </row>
        <row r="759">
          <cell r="A759">
            <v>400075</v>
          </cell>
          <cell r="E759">
            <v>0</v>
          </cell>
        </row>
        <row r="760">
          <cell r="A760">
            <v>400110</v>
          </cell>
          <cell r="E760">
            <v>0</v>
          </cell>
        </row>
        <row r="761">
          <cell r="A761">
            <v>400130</v>
          </cell>
          <cell r="E761">
            <v>0</v>
          </cell>
        </row>
        <row r="762">
          <cell r="A762">
            <v>400140</v>
          </cell>
          <cell r="E762">
            <v>0</v>
          </cell>
        </row>
        <row r="763">
          <cell r="A763">
            <v>400141</v>
          </cell>
          <cell r="E763">
            <v>0</v>
          </cell>
        </row>
        <row r="764">
          <cell r="A764">
            <v>500010</v>
          </cell>
          <cell r="E764">
            <v>0</v>
          </cell>
        </row>
        <row r="765">
          <cell r="A765">
            <v>500015</v>
          </cell>
          <cell r="E765">
            <v>0</v>
          </cell>
        </row>
        <row r="766">
          <cell r="A766">
            <v>500020</v>
          </cell>
          <cell r="E766">
            <v>0</v>
          </cell>
        </row>
        <row r="767">
          <cell r="A767">
            <v>500025</v>
          </cell>
          <cell r="E767">
            <v>0</v>
          </cell>
        </row>
        <row r="768">
          <cell r="A768">
            <v>500026</v>
          </cell>
          <cell r="E768">
            <v>0</v>
          </cell>
        </row>
        <row r="769">
          <cell r="A769">
            <v>500030</v>
          </cell>
          <cell r="E769">
            <v>0</v>
          </cell>
        </row>
        <row r="770">
          <cell r="A770">
            <v>500035</v>
          </cell>
          <cell r="E770">
            <v>0</v>
          </cell>
        </row>
        <row r="771">
          <cell r="A771">
            <v>500036</v>
          </cell>
          <cell r="E771">
            <v>0</v>
          </cell>
        </row>
        <row r="772">
          <cell r="A772">
            <v>500040</v>
          </cell>
          <cell r="E772">
            <v>0</v>
          </cell>
        </row>
        <row r="773">
          <cell r="A773">
            <v>500060</v>
          </cell>
          <cell r="E773">
            <v>0</v>
          </cell>
        </row>
        <row r="774">
          <cell r="A774">
            <v>500065</v>
          </cell>
          <cell r="E774">
            <v>0</v>
          </cell>
        </row>
        <row r="775">
          <cell r="A775">
            <v>500071</v>
          </cell>
          <cell r="E775">
            <v>0</v>
          </cell>
        </row>
        <row r="776">
          <cell r="A776">
            <v>500072</v>
          </cell>
          <cell r="E776">
            <v>0</v>
          </cell>
        </row>
        <row r="777">
          <cell r="A777">
            <v>500073</v>
          </cell>
          <cell r="E777">
            <v>0</v>
          </cell>
        </row>
        <row r="778">
          <cell r="A778">
            <v>500074</v>
          </cell>
          <cell r="E778">
            <v>0</v>
          </cell>
        </row>
        <row r="779">
          <cell r="A779">
            <v>500075</v>
          </cell>
          <cell r="E779">
            <v>0</v>
          </cell>
        </row>
        <row r="780">
          <cell r="A780">
            <v>500076</v>
          </cell>
          <cell r="E780">
            <v>0</v>
          </cell>
        </row>
        <row r="781">
          <cell r="A781">
            <v>500077</v>
          </cell>
          <cell r="E781">
            <v>0</v>
          </cell>
        </row>
        <row r="782">
          <cell r="A782">
            <v>500078</v>
          </cell>
          <cell r="E782">
            <v>0</v>
          </cell>
        </row>
        <row r="783">
          <cell r="A783">
            <v>500079</v>
          </cell>
          <cell r="E783">
            <v>0</v>
          </cell>
        </row>
        <row r="784">
          <cell r="A784">
            <v>500080</v>
          </cell>
          <cell r="E784">
            <v>0</v>
          </cell>
        </row>
        <row r="785">
          <cell r="A785">
            <v>500081</v>
          </cell>
          <cell r="E785">
            <v>0</v>
          </cell>
        </row>
        <row r="786">
          <cell r="A786">
            <v>500082</v>
          </cell>
          <cell r="E786">
            <v>0</v>
          </cell>
        </row>
        <row r="787">
          <cell r="A787">
            <v>500083</v>
          </cell>
          <cell r="E787">
            <v>0</v>
          </cell>
        </row>
        <row r="788">
          <cell r="A788">
            <v>500084</v>
          </cell>
          <cell r="E788">
            <v>0</v>
          </cell>
        </row>
        <row r="789">
          <cell r="A789">
            <v>500085</v>
          </cell>
          <cell r="E789">
            <v>0</v>
          </cell>
        </row>
        <row r="790">
          <cell r="A790">
            <v>500086</v>
          </cell>
          <cell r="E790">
            <v>0</v>
          </cell>
        </row>
        <row r="791">
          <cell r="A791">
            <v>500087</v>
          </cell>
          <cell r="E791">
            <v>0</v>
          </cell>
        </row>
        <row r="792">
          <cell r="A792">
            <v>500088</v>
          </cell>
          <cell r="E792">
            <v>0</v>
          </cell>
        </row>
        <row r="793">
          <cell r="A793">
            <v>500089</v>
          </cell>
          <cell r="E793">
            <v>0</v>
          </cell>
        </row>
        <row r="794">
          <cell r="A794">
            <v>500090</v>
          </cell>
          <cell r="E794">
            <v>0</v>
          </cell>
        </row>
        <row r="795">
          <cell r="A795">
            <v>500091</v>
          </cell>
          <cell r="E795">
            <v>0</v>
          </cell>
        </row>
        <row r="796">
          <cell r="A796">
            <v>500092</v>
          </cell>
          <cell r="E796">
            <v>0</v>
          </cell>
        </row>
        <row r="797">
          <cell r="A797">
            <v>500093</v>
          </cell>
          <cell r="E797">
            <v>0</v>
          </cell>
        </row>
        <row r="798">
          <cell r="A798">
            <v>500094</v>
          </cell>
          <cell r="E798">
            <v>0</v>
          </cell>
        </row>
        <row r="799">
          <cell r="A799">
            <v>500100</v>
          </cell>
          <cell r="E799">
            <v>0</v>
          </cell>
        </row>
        <row r="800">
          <cell r="A800">
            <v>500101</v>
          </cell>
          <cell r="E800">
            <v>0</v>
          </cell>
        </row>
        <row r="801">
          <cell r="A801">
            <v>500102</v>
          </cell>
          <cell r="E801">
            <v>0</v>
          </cell>
        </row>
        <row r="802">
          <cell r="A802">
            <v>500103</v>
          </cell>
          <cell r="E802">
            <v>0</v>
          </cell>
        </row>
        <row r="803">
          <cell r="A803">
            <v>500104</v>
          </cell>
          <cell r="E803">
            <v>0</v>
          </cell>
        </row>
        <row r="804">
          <cell r="A804">
            <v>500105</v>
          </cell>
          <cell r="E804">
            <v>0</v>
          </cell>
        </row>
        <row r="805">
          <cell r="A805">
            <v>500106</v>
          </cell>
          <cell r="E805">
            <v>0</v>
          </cell>
        </row>
        <row r="806">
          <cell r="A806">
            <v>500107</v>
          </cell>
          <cell r="E806">
            <v>0</v>
          </cell>
        </row>
        <row r="807">
          <cell r="A807">
            <v>500108</v>
          </cell>
          <cell r="E807">
            <v>0</v>
          </cell>
        </row>
        <row r="808">
          <cell r="A808">
            <v>500109</v>
          </cell>
          <cell r="E808">
            <v>0</v>
          </cell>
        </row>
        <row r="809">
          <cell r="A809">
            <v>500110</v>
          </cell>
          <cell r="E809">
            <v>0</v>
          </cell>
        </row>
        <row r="810">
          <cell r="A810">
            <v>500111</v>
          </cell>
          <cell r="E810">
            <v>0</v>
          </cell>
        </row>
        <row r="811">
          <cell r="A811">
            <v>500114</v>
          </cell>
          <cell r="E811">
            <v>0</v>
          </cell>
        </row>
        <row r="812">
          <cell r="A812">
            <v>500115</v>
          </cell>
          <cell r="E812">
            <v>0</v>
          </cell>
        </row>
        <row r="813">
          <cell r="A813">
            <v>500117</v>
          </cell>
          <cell r="E813">
            <v>0</v>
          </cell>
        </row>
        <row r="814">
          <cell r="A814">
            <v>500123</v>
          </cell>
          <cell r="E814">
            <v>0</v>
          </cell>
        </row>
        <row r="815">
          <cell r="A815">
            <v>501110</v>
          </cell>
          <cell r="E815">
            <v>0</v>
          </cell>
        </row>
        <row r="816">
          <cell r="A816">
            <v>501111</v>
          </cell>
          <cell r="E816">
            <v>0</v>
          </cell>
        </row>
        <row r="817">
          <cell r="A817">
            <v>501115</v>
          </cell>
          <cell r="E817">
            <v>0</v>
          </cell>
        </row>
        <row r="818">
          <cell r="A818">
            <v>501116</v>
          </cell>
          <cell r="E818">
            <v>0</v>
          </cell>
        </row>
        <row r="819">
          <cell r="A819">
            <v>501117</v>
          </cell>
          <cell r="E819">
            <v>0</v>
          </cell>
        </row>
        <row r="820">
          <cell r="A820">
            <v>501120</v>
          </cell>
          <cell r="E820">
            <v>0</v>
          </cell>
        </row>
        <row r="821">
          <cell r="A821">
            <v>501125</v>
          </cell>
          <cell r="E821">
            <v>0</v>
          </cell>
        </row>
        <row r="822">
          <cell r="A822">
            <v>501130</v>
          </cell>
          <cell r="E822">
            <v>0</v>
          </cell>
        </row>
        <row r="823">
          <cell r="A823">
            <v>501132</v>
          </cell>
          <cell r="E823">
            <v>0</v>
          </cell>
        </row>
        <row r="824">
          <cell r="A824">
            <v>501135</v>
          </cell>
          <cell r="E824">
            <v>0</v>
          </cell>
        </row>
        <row r="825">
          <cell r="A825">
            <v>501140</v>
          </cell>
          <cell r="E825">
            <v>0</v>
          </cell>
        </row>
        <row r="826">
          <cell r="A826">
            <v>501141</v>
          </cell>
          <cell r="E826">
            <v>0</v>
          </cell>
        </row>
        <row r="827">
          <cell r="A827">
            <v>501142</v>
          </cell>
          <cell r="E827">
            <v>0</v>
          </cell>
        </row>
        <row r="828">
          <cell r="A828">
            <v>501143</v>
          </cell>
          <cell r="E828">
            <v>0</v>
          </cell>
        </row>
        <row r="829">
          <cell r="A829">
            <v>501144</v>
          </cell>
          <cell r="E829">
            <v>0</v>
          </cell>
        </row>
        <row r="830">
          <cell r="A830">
            <v>501145</v>
          </cell>
          <cell r="E830">
            <v>0</v>
          </cell>
        </row>
        <row r="831">
          <cell r="A831">
            <v>501146</v>
          </cell>
          <cell r="E831">
            <v>0</v>
          </cell>
        </row>
        <row r="832">
          <cell r="A832">
            <v>501153</v>
          </cell>
          <cell r="E832">
            <v>0</v>
          </cell>
        </row>
        <row r="833">
          <cell r="A833">
            <v>501310</v>
          </cell>
          <cell r="E833">
            <v>0</v>
          </cell>
        </row>
        <row r="834">
          <cell r="A834">
            <v>501311</v>
          </cell>
          <cell r="E834">
            <v>0</v>
          </cell>
        </row>
        <row r="835">
          <cell r="A835">
            <v>501315</v>
          </cell>
          <cell r="E835">
            <v>0</v>
          </cell>
        </row>
        <row r="836">
          <cell r="A836">
            <v>501320</v>
          </cell>
          <cell r="E836">
            <v>0</v>
          </cell>
        </row>
        <row r="837">
          <cell r="A837">
            <v>501321</v>
          </cell>
          <cell r="E837">
            <v>0</v>
          </cell>
        </row>
        <row r="838">
          <cell r="A838">
            <v>501322</v>
          </cell>
          <cell r="E838">
            <v>0</v>
          </cell>
        </row>
        <row r="839">
          <cell r="A839">
            <v>501324</v>
          </cell>
          <cell r="E839">
            <v>0</v>
          </cell>
        </row>
        <row r="840">
          <cell r="A840">
            <v>501329</v>
          </cell>
          <cell r="E840">
            <v>0</v>
          </cell>
        </row>
        <row r="841">
          <cell r="A841">
            <v>501330</v>
          </cell>
          <cell r="E841">
            <v>0</v>
          </cell>
        </row>
        <row r="842">
          <cell r="A842">
            <v>501410</v>
          </cell>
          <cell r="E842">
            <v>0</v>
          </cell>
        </row>
        <row r="843">
          <cell r="A843">
            <v>501420</v>
          </cell>
          <cell r="E843">
            <v>0</v>
          </cell>
        </row>
        <row r="844">
          <cell r="A844">
            <v>501510</v>
          </cell>
          <cell r="E844">
            <v>0</v>
          </cell>
        </row>
        <row r="845">
          <cell r="A845">
            <v>501515</v>
          </cell>
          <cell r="E845">
            <v>0</v>
          </cell>
        </row>
        <row r="846">
          <cell r="A846">
            <v>501516</v>
          </cell>
          <cell r="E846">
            <v>0</v>
          </cell>
        </row>
        <row r="847">
          <cell r="A847">
            <v>501520</v>
          </cell>
          <cell r="E847">
            <v>0</v>
          </cell>
        </row>
        <row r="848">
          <cell r="A848">
            <v>501590</v>
          </cell>
          <cell r="E848">
            <v>0</v>
          </cell>
        </row>
        <row r="849">
          <cell r="A849">
            <v>501610</v>
          </cell>
          <cell r="E849">
            <v>0</v>
          </cell>
        </row>
        <row r="850">
          <cell r="A850">
            <v>501655</v>
          </cell>
          <cell r="E850">
            <v>0</v>
          </cell>
        </row>
        <row r="851">
          <cell r="A851">
            <v>501660</v>
          </cell>
          <cell r="E851">
            <v>0</v>
          </cell>
        </row>
        <row r="852">
          <cell r="A852">
            <v>501661</v>
          </cell>
          <cell r="E852">
            <v>0</v>
          </cell>
        </row>
        <row r="853">
          <cell r="A853">
            <v>501710</v>
          </cell>
          <cell r="E853">
            <v>0</v>
          </cell>
        </row>
        <row r="854">
          <cell r="A854">
            <v>501715</v>
          </cell>
          <cell r="E854">
            <v>0</v>
          </cell>
        </row>
        <row r="855">
          <cell r="A855">
            <v>501720</v>
          </cell>
          <cell r="E855">
            <v>0</v>
          </cell>
        </row>
        <row r="856">
          <cell r="A856">
            <v>501725</v>
          </cell>
          <cell r="E856">
            <v>0</v>
          </cell>
        </row>
        <row r="857">
          <cell r="A857">
            <v>501730</v>
          </cell>
          <cell r="E857">
            <v>0</v>
          </cell>
        </row>
        <row r="858">
          <cell r="A858">
            <v>501732</v>
          </cell>
          <cell r="E858">
            <v>0</v>
          </cell>
        </row>
        <row r="859">
          <cell r="A859">
            <v>501735</v>
          </cell>
          <cell r="E859">
            <v>0</v>
          </cell>
        </row>
        <row r="860">
          <cell r="A860">
            <v>501740</v>
          </cell>
          <cell r="E860">
            <v>0</v>
          </cell>
        </row>
        <row r="861">
          <cell r="A861">
            <v>501745</v>
          </cell>
          <cell r="E861">
            <v>0</v>
          </cell>
        </row>
        <row r="862">
          <cell r="A862">
            <v>501801</v>
          </cell>
          <cell r="E862">
            <v>0</v>
          </cell>
        </row>
        <row r="863">
          <cell r="A863">
            <v>501802</v>
          </cell>
          <cell r="E863">
            <v>0</v>
          </cell>
        </row>
        <row r="864">
          <cell r="A864">
            <v>501803</v>
          </cell>
          <cell r="E864">
            <v>0</v>
          </cell>
        </row>
        <row r="865">
          <cell r="A865">
            <v>501901</v>
          </cell>
          <cell r="E865">
            <v>0</v>
          </cell>
        </row>
        <row r="866">
          <cell r="A866">
            <v>501902</v>
          </cell>
          <cell r="E866">
            <v>0</v>
          </cell>
        </row>
        <row r="867">
          <cell r="A867">
            <v>501903</v>
          </cell>
          <cell r="E867">
            <v>0</v>
          </cell>
        </row>
        <row r="868">
          <cell r="A868">
            <v>501904</v>
          </cell>
          <cell r="E868">
            <v>0</v>
          </cell>
        </row>
        <row r="869">
          <cell r="A869">
            <v>501905</v>
          </cell>
          <cell r="E869">
            <v>0</v>
          </cell>
        </row>
        <row r="870">
          <cell r="A870">
            <v>501906</v>
          </cell>
          <cell r="E870">
            <v>0</v>
          </cell>
        </row>
        <row r="871">
          <cell r="A871">
            <v>501907</v>
          </cell>
          <cell r="E871">
            <v>0</v>
          </cell>
        </row>
        <row r="872">
          <cell r="A872">
            <v>501908</v>
          </cell>
          <cell r="E872">
            <v>0</v>
          </cell>
        </row>
        <row r="873">
          <cell r="A873">
            <v>501911</v>
          </cell>
          <cell r="E873">
            <v>0</v>
          </cell>
        </row>
        <row r="874">
          <cell r="A874">
            <v>501912</v>
          </cell>
          <cell r="E874">
            <v>0</v>
          </cell>
        </row>
        <row r="875">
          <cell r="A875">
            <v>501913</v>
          </cell>
          <cell r="E875">
            <v>0</v>
          </cell>
        </row>
        <row r="876">
          <cell r="A876">
            <v>501914</v>
          </cell>
          <cell r="E876">
            <v>0</v>
          </cell>
        </row>
        <row r="877">
          <cell r="A877">
            <v>501915</v>
          </cell>
          <cell r="E877">
            <v>0</v>
          </cell>
        </row>
        <row r="878">
          <cell r="A878">
            <v>501916</v>
          </cell>
          <cell r="E878">
            <v>0</v>
          </cell>
        </row>
        <row r="879">
          <cell r="A879">
            <v>501917</v>
          </cell>
          <cell r="E879">
            <v>0</v>
          </cell>
        </row>
        <row r="880">
          <cell r="A880">
            <v>501921</v>
          </cell>
          <cell r="E880">
            <v>0</v>
          </cell>
        </row>
        <row r="881">
          <cell r="A881">
            <v>501922</v>
          </cell>
          <cell r="E881">
            <v>0</v>
          </cell>
        </row>
        <row r="882">
          <cell r="A882">
            <v>501923</v>
          </cell>
          <cell r="E882">
            <v>0</v>
          </cell>
        </row>
        <row r="883">
          <cell r="A883">
            <v>501924</v>
          </cell>
          <cell r="E883">
            <v>0</v>
          </cell>
        </row>
        <row r="884">
          <cell r="A884">
            <v>501925</v>
          </cell>
          <cell r="E884">
            <v>0</v>
          </cell>
        </row>
        <row r="885">
          <cell r="A885">
            <v>501926</v>
          </cell>
          <cell r="E885">
            <v>0</v>
          </cell>
        </row>
        <row r="886">
          <cell r="A886">
            <v>501927</v>
          </cell>
          <cell r="E886">
            <v>0</v>
          </cell>
        </row>
        <row r="887">
          <cell r="A887">
            <v>501931</v>
          </cell>
          <cell r="E887">
            <v>0</v>
          </cell>
        </row>
        <row r="888">
          <cell r="A888">
            <v>501932</v>
          </cell>
          <cell r="E888">
            <v>0</v>
          </cell>
        </row>
        <row r="889">
          <cell r="A889">
            <v>501933</v>
          </cell>
          <cell r="E889">
            <v>0</v>
          </cell>
        </row>
        <row r="890">
          <cell r="A890">
            <v>501934</v>
          </cell>
          <cell r="E890">
            <v>0</v>
          </cell>
        </row>
        <row r="891">
          <cell r="A891">
            <v>501935</v>
          </cell>
          <cell r="E891">
            <v>0</v>
          </cell>
        </row>
        <row r="892">
          <cell r="A892">
            <v>501937</v>
          </cell>
          <cell r="E892">
            <v>0</v>
          </cell>
        </row>
        <row r="893">
          <cell r="A893">
            <v>501941</v>
          </cell>
          <cell r="E893">
            <v>0</v>
          </cell>
        </row>
        <row r="894">
          <cell r="A894">
            <v>501942</v>
          </cell>
          <cell r="E894">
            <v>0</v>
          </cell>
        </row>
        <row r="895">
          <cell r="A895">
            <v>501943</v>
          </cell>
          <cell r="E895">
            <v>0</v>
          </cell>
        </row>
        <row r="896">
          <cell r="A896">
            <v>501944</v>
          </cell>
          <cell r="E896">
            <v>0</v>
          </cell>
        </row>
        <row r="897">
          <cell r="A897">
            <v>501945</v>
          </cell>
          <cell r="E897">
            <v>0</v>
          </cell>
        </row>
        <row r="898">
          <cell r="A898">
            <v>501946</v>
          </cell>
          <cell r="E898">
            <v>0</v>
          </cell>
        </row>
        <row r="899">
          <cell r="A899">
            <v>501948</v>
          </cell>
          <cell r="E899">
            <v>0</v>
          </cell>
        </row>
        <row r="900">
          <cell r="A900">
            <v>502010</v>
          </cell>
          <cell r="E900">
            <v>0</v>
          </cell>
        </row>
        <row r="901">
          <cell r="A901">
            <v>502020</v>
          </cell>
          <cell r="E901">
            <v>0</v>
          </cell>
        </row>
        <row r="902">
          <cell r="A902">
            <v>502025</v>
          </cell>
          <cell r="E902">
            <v>0</v>
          </cell>
        </row>
        <row r="903">
          <cell r="A903">
            <v>502050</v>
          </cell>
          <cell r="E903">
            <v>0</v>
          </cell>
        </row>
        <row r="904">
          <cell r="A904">
            <v>502051</v>
          </cell>
          <cell r="E904">
            <v>0</v>
          </cell>
        </row>
        <row r="905">
          <cell r="A905">
            <v>502110</v>
          </cell>
          <cell r="E905">
            <v>0</v>
          </cell>
        </row>
        <row r="906">
          <cell r="A906">
            <v>502113</v>
          </cell>
          <cell r="E906">
            <v>0</v>
          </cell>
        </row>
        <row r="907">
          <cell r="A907">
            <v>502115</v>
          </cell>
          <cell r="E907">
            <v>0</v>
          </cell>
        </row>
        <row r="908">
          <cell r="A908">
            <v>502120</v>
          </cell>
          <cell r="E908">
            <v>0</v>
          </cell>
        </row>
        <row r="909">
          <cell r="A909">
            <v>502121</v>
          </cell>
          <cell r="E909">
            <v>0</v>
          </cell>
        </row>
        <row r="910">
          <cell r="A910">
            <v>502129</v>
          </cell>
          <cell r="E910">
            <v>0</v>
          </cell>
        </row>
        <row r="911">
          <cell r="A911">
            <v>502112</v>
          </cell>
          <cell r="E911">
            <v>0</v>
          </cell>
        </row>
        <row r="912">
          <cell r="A912">
            <v>502130</v>
          </cell>
          <cell r="E912">
            <v>0</v>
          </cell>
        </row>
        <row r="913">
          <cell r="A913">
            <v>502146</v>
          </cell>
          <cell r="E913">
            <v>0</v>
          </cell>
        </row>
        <row r="914">
          <cell r="A914">
            <v>502150</v>
          </cell>
          <cell r="E914">
            <v>0</v>
          </cell>
        </row>
        <row r="915">
          <cell r="A915">
            <v>502170</v>
          </cell>
          <cell r="E915">
            <v>0</v>
          </cell>
        </row>
        <row r="916">
          <cell r="A916">
            <v>502171</v>
          </cell>
          <cell r="E916">
            <v>0</v>
          </cell>
        </row>
        <row r="917">
          <cell r="A917">
            <v>502172</v>
          </cell>
          <cell r="E917">
            <v>0</v>
          </cell>
        </row>
        <row r="918">
          <cell r="A918">
            <v>502173</v>
          </cell>
          <cell r="E918">
            <v>0</v>
          </cell>
        </row>
        <row r="919">
          <cell r="A919">
            <v>503015</v>
          </cell>
          <cell r="E919">
            <v>0</v>
          </cell>
        </row>
        <row r="920">
          <cell r="A920">
            <v>503020</v>
          </cell>
          <cell r="E920">
            <v>0</v>
          </cell>
        </row>
        <row r="921">
          <cell r="A921">
            <v>503021</v>
          </cell>
          <cell r="E921">
            <v>0</v>
          </cell>
        </row>
        <row r="922">
          <cell r="A922">
            <v>503022</v>
          </cell>
          <cell r="E922">
            <v>0</v>
          </cell>
        </row>
        <row r="923">
          <cell r="A923">
            <v>503025</v>
          </cell>
          <cell r="E923">
            <v>0</v>
          </cell>
        </row>
        <row r="924">
          <cell r="A924">
            <v>503030</v>
          </cell>
          <cell r="E924">
            <v>0</v>
          </cell>
        </row>
        <row r="925">
          <cell r="A925">
            <v>503040</v>
          </cell>
          <cell r="E925">
            <v>0</v>
          </cell>
        </row>
        <row r="926">
          <cell r="A926">
            <v>503041</v>
          </cell>
          <cell r="E926">
            <v>0</v>
          </cell>
        </row>
        <row r="927">
          <cell r="A927">
            <v>503042</v>
          </cell>
          <cell r="E927">
            <v>0</v>
          </cell>
        </row>
        <row r="928">
          <cell r="A928">
            <v>503045</v>
          </cell>
          <cell r="E928">
            <v>0</v>
          </cell>
        </row>
        <row r="929">
          <cell r="A929">
            <v>503046</v>
          </cell>
          <cell r="E929">
            <v>0</v>
          </cell>
        </row>
        <row r="930">
          <cell r="A930">
            <v>503047</v>
          </cell>
          <cell r="E930">
            <v>0</v>
          </cell>
        </row>
        <row r="931">
          <cell r="A931">
            <v>503048</v>
          </cell>
          <cell r="E931">
            <v>0</v>
          </cell>
        </row>
        <row r="932">
          <cell r="A932">
            <v>503049</v>
          </cell>
          <cell r="E932">
            <v>0</v>
          </cell>
        </row>
        <row r="933">
          <cell r="A933">
            <v>503050</v>
          </cell>
          <cell r="E933">
            <v>0</v>
          </cell>
        </row>
        <row r="934">
          <cell r="A934">
            <v>503055</v>
          </cell>
          <cell r="E934">
            <v>0</v>
          </cell>
        </row>
        <row r="935">
          <cell r="A935">
            <v>503060</v>
          </cell>
          <cell r="E935">
            <v>0</v>
          </cell>
        </row>
        <row r="936">
          <cell r="A936">
            <v>503061</v>
          </cell>
          <cell r="E936">
            <v>0</v>
          </cell>
        </row>
        <row r="937">
          <cell r="A937">
            <v>503062</v>
          </cell>
          <cell r="E937">
            <v>0</v>
          </cell>
        </row>
        <row r="938">
          <cell r="A938">
            <v>503063</v>
          </cell>
          <cell r="E938">
            <v>0</v>
          </cell>
        </row>
        <row r="939">
          <cell r="A939">
            <v>503065</v>
          </cell>
          <cell r="E939">
            <v>0</v>
          </cell>
        </row>
        <row r="940">
          <cell r="A940">
            <v>503070</v>
          </cell>
          <cell r="E940">
            <v>0</v>
          </cell>
        </row>
        <row r="941">
          <cell r="A941">
            <v>503075</v>
          </cell>
          <cell r="E941">
            <v>0</v>
          </cell>
        </row>
        <row r="942">
          <cell r="A942">
            <v>503080</v>
          </cell>
          <cell r="E942">
            <v>0</v>
          </cell>
        </row>
        <row r="943">
          <cell r="A943">
            <v>503081</v>
          </cell>
          <cell r="E943">
            <v>0</v>
          </cell>
        </row>
        <row r="944">
          <cell r="A944">
            <v>503082</v>
          </cell>
          <cell r="E944">
            <v>0</v>
          </cell>
        </row>
        <row r="945">
          <cell r="A945">
            <v>503084</v>
          </cell>
          <cell r="E945">
            <v>0</v>
          </cell>
        </row>
        <row r="946">
          <cell r="A946">
            <v>503085</v>
          </cell>
          <cell r="E946">
            <v>0</v>
          </cell>
        </row>
        <row r="947">
          <cell r="A947">
            <v>503086</v>
          </cell>
          <cell r="E947">
            <v>0</v>
          </cell>
        </row>
        <row r="948">
          <cell r="A948">
            <v>503087</v>
          </cell>
          <cell r="E948">
            <v>0</v>
          </cell>
        </row>
        <row r="949">
          <cell r="A949">
            <v>503088</v>
          </cell>
          <cell r="E949">
            <v>0</v>
          </cell>
        </row>
        <row r="950">
          <cell r="A950">
            <v>503089</v>
          </cell>
          <cell r="E950">
            <v>0</v>
          </cell>
        </row>
        <row r="951">
          <cell r="A951">
            <v>503090</v>
          </cell>
          <cell r="E951">
            <v>0</v>
          </cell>
        </row>
        <row r="952">
          <cell r="A952">
            <v>503095</v>
          </cell>
          <cell r="E952">
            <v>0</v>
          </cell>
        </row>
        <row r="953">
          <cell r="A953">
            <v>503096</v>
          </cell>
          <cell r="E953">
            <v>0</v>
          </cell>
        </row>
        <row r="954">
          <cell r="A954">
            <v>503097</v>
          </cell>
          <cell r="E954">
            <v>0</v>
          </cell>
        </row>
        <row r="955">
          <cell r="A955">
            <v>503098</v>
          </cell>
          <cell r="E955">
            <v>0</v>
          </cell>
        </row>
        <row r="956">
          <cell r="A956">
            <v>503099</v>
          </cell>
          <cell r="E956">
            <v>0</v>
          </cell>
        </row>
        <row r="957">
          <cell r="A957">
            <v>503100</v>
          </cell>
          <cell r="E957">
            <v>0</v>
          </cell>
        </row>
        <row r="958">
          <cell r="A958">
            <v>503101</v>
          </cell>
          <cell r="E958">
            <v>0</v>
          </cell>
        </row>
        <row r="959">
          <cell r="A959">
            <v>503102</v>
          </cell>
          <cell r="E959">
            <v>0</v>
          </cell>
        </row>
        <row r="960">
          <cell r="A960">
            <v>503103</v>
          </cell>
          <cell r="E960">
            <v>0</v>
          </cell>
        </row>
        <row r="961">
          <cell r="A961">
            <v>503104</v>
          </cell>
          <cell r="E961">
            <v>0</v>
          </cell>
        </row>
        <row r="962">
          <cell r="A962">
            <v>504010</v>
          </cell>
          <cell r="E962">
            <v>0</v>
          </cell>
        </row>
        <row r="963">
          <cell r="A963">
            <v>504015</v>
          </cell>
          <cell r="E963">
            <v>0</v>
          </cell>
        </row>
        <row r="964">
          <cell r="A964">
            <v>504016</v>
          </cell>
          <cell r="E964">
            <v>0</v>
          </cell>
        </row>
        <row r="965">
          <cell r="A965">
            <v>504018</v>
          </cell>
          <cell r="E965">
            <v>0</v>
          </cell>
        </row>
        <row r="966">
          <cell r="A966">
            <v>504020</v>
          </cell>
          <cell r="E966">
            <v>0</v>
          </cell>
        </row>
        <row r="967">
          <cell r="A967">
            <v>504025</v>
          </cell>
          <cell r="E967">
            <v>0</v>
          </cell>
        </row>
        <row r="968">
          <cell r="A968">
            <v>504030</v>
          </cell>
          <cell r="E968">
            <v>0</v>
          </cell>
        </row>
        <row r="969">
          <cell r="A969">
            <v>504035</v>
          </cell>
          <cell r="E969">
            <v>0</v>
          </cell>
        </row>
        <row r="970">
          <cell r="A970">
            <v>504040</v>
          </cell>
          <cell r="E970">
            <v>0</v>
          </cell>
        </row>
        <row r="971">
          <cell r="A971">
            <v>504042</v>
          </cell>
          <cell r="E971">
            <v>0</v>
          </cell>
        </row>
        <row r="972">
          <cell r="A972">
            <v>504044</v>
          </cell>
          <cell r="E972">
            <v>0</v>
          </cell>
        </row>
        <row r="973">
          <cell r="A973">
            <v>504045</v>
          </cell>
          <cell r="E973">
            <v>0</v>
          </cell>
        </row>
        <row r="974">
          <cell r="A974">
            <v>504046</v>
          </cell>
          <cell r="E974">
            <v>0</v>
          </cell>
        </row>
        <row r="975">
          <cell r="A975">
            <v>504048</v>
          </cell>
          <cell r="E975">
            <v>0</v>
          </cell>
        </row>
        <row r="976">
          <cell r="A976">
            <v>504052</v>
          </cell>
          <cell r="E976">
            <v>0</v>
          </cell>
        </row>
        <row r="977">
          <cell r="A977">
            <v>504060</v>
          </cell>
          <cell r="E977">
            <v>0</v>
          </cell>
        </row>
        <row r="978">
          <cell r="A978">
            <v>504090</v>
          </cell>
          <cell r="E978">
            <v>0</v>
          </cell>
        </row>
        <row r="979">
          <cell r="A979">
            <v>505010</v>
          </cell>
          <cell r="E979">
            <v>0</v>
          </cell>
        </row>
        <row r="980">
          <cell r="A980">
            <v>505011</v>
          </cell>
          <cell r="E980">
            <v>0</v>
          </cell>
        </row>
        <row r="981">
          <cell r="A981">
            <v>505012</v>
          </cell>
          <cell r="E981">
            <v>0</v>
          </cell>
        </row>
        <row r="982">
          <cell r="A982">
            <v>505013</v>
          </cell>
          <cell r="E982">
            <v>0</v>
          </cell>
        </row>
        <row r="983">
          <cell r="A983">
            <v>505015</v>
          </cell>
          <cell r="E983">
            <v>0</v>
          </cell>
        </row>
        <row r="984">
          <cell r="A984">
            <v>505017</v>
          </cell>
          <cell r="E984">
            <v>0</v>
          </cell>
        </row>
        <row r="985">
          <cell r="A985">
            <v>505019</v>
          </cell>
          <cell r="E985">
            <v>0</v>
          </cell>
        </row>
        <row r="986">
          <cell r="A986">
            <v>505020</v>
          </cell>
          <cell r="E986">
            <v>0</v>
          </cell>
        </row>
        <row r="987">
          <cell r="A987">
            <v>505025</v>
          </cell>
          <cell r="E987">
            <v>0</v>
          </cell>
        </row>
        <row r="988">
          <cell r="A988">
            <v>505026</v>
          </cell>
          <cell r="E988">
            <v>0</v>
          </cell>
        </row>
        <row r="989">
          <cell r="A989">
            <v>505027</v>
          </cell>
          <cell r="E989">
            <v>0</v>
          </cell>
        </row>
        <row r="990">
          <cell r="A990">
            <v>505028</v>
          </cell>
          <cell r="E990">
            <v>0</v>
          </cell>
        </row>
        <row r="991">
          <cell r="A991">
            <v>505029</v>
          </cell>
          <cell r="E991">
            <v>0</v>
          </cell>
        </row>
        <row r="992">
          <cell r="A992">
            <v>505030</v>
          </cell>
          <cell r="E992">
            <v>0</v>
          </cell>
        </row>
        <row r="993">
          <cell r="A993">
            <v>505031</v>
          </cell>
          <cell r="E993">
            <v>0</v>
          </cell>
        </row>
        <row r="994">
          <cell r="A994">
            <v>505032</v>
          </cell>
          <cell r="E994">
            <v>0</v>
          </cell>
        </row>
        <row r="995">
          <cell r="A995">
            <v>505035</v>
          </cell>
          <cell r="E995">
            <v>0</v>
          </cell>
        </row>
        <row r="996">
          <cell r="A996">
            <v>505040</v>
          </cell>
          <cell r="E996">
            <v>0</v>
          </cell>
        </row>
        <row r="997">
          <cell r="A997">
            <v>505043</v>
          </cell>
          <cell r="E997">
            <v>0</v>
          </cell>
        </row>
        <row r="998">
          <cell r="A998">
            <v>505053</v>
          </cell>
          <cell r="E998">
            <v>0</v>
          </cell>
        </row>
        <row r="999">
          <cell r="A999">
            <v>601010</v>
          </cell>
          <cell r="E999">
            <v>0</v>
          </cell>
        </row>
        <row r="1000">
          <cell r="A1000">
            <v>601011</v>
          </cell>
          <cell r="E1000">
            <v>0</v>
          </cell>
        </row>
        <row r="1001">
          <cell r="A1001">
            <v>601012</v>
          </cell>
          <cell r="E1001">
            <v>0</v>
          </cell>
        </row>
        <row r="1002">
          <cell r="A1002">
            <v>601013</v>
          </cell>
          <cell r="E1002">
            <v>0</v>
          </cell>
        </row>
        <row r="1003">
          <cell r="A1003">
            <v>601023</v>
          </cell>
          <cell r="E1003">
            <v>0</v>
          </cell>
        </row>
        <row r="1004">
          <cell r="A1004">
            <v>601032</v>
          </cell>
          <cell r="E1004">
            <v>0</v>
          </cell>
        </row>
        <row r="1005">
          <cell r="A1005">
            <v>601033</v>
          </cell>
          <cell r="E1005">
            <v>0</v>
          </cell>
        </row>
        <row r="1006">
          <cell r="A1006">
            <v>601014</v>
          </cell>
          <cell r="E1006">
            <v>0</v>
          </cell>
        </row>
        <row r="1007">
          <cell r="A1007">
            <v>601015</v>
          </cell>
          <cell r="E1007">
            <v>0</v>
          </cell>
        </row>
        <row r="1008">
          <cell r="A1008">
            <v>601016</v>
          </cell>
          <cell r="E1008">
            <v>0</v>
          </cell>
        </row>
        <row r="1009">
          <cell r="A1009">
            <v>601017</v>
          </cell>
          <cell r="E1009">
            <v>0</v>
          </cell>
        </row>
        <row r="1010">
          <cell r="A1010">
            <v>601018</v>
          </cell>
          <cell r="E1010">
            <v>0</v>
          </cell>
        </row>
        <row r="1011">
          <cell r="A1011">
            <v>601019</v>
          </cell>
          <cell r="E1011">
            <v>0</v>
          </cell>
        </row>
        <row r="1012">
          <cell r="A1012">
            <v>601020</v>
          </cell>
          <cell r="E1012">
            <v>0</v>
          </cell>
        </row>
        <row r="1013">
          <cell r="A1013">
            <v>601090</v>
          </cell>
          <cell r="E1013">
            <v>0</v>
          </cell>
        </row>
        <row r="1014">
          <cell r="A1014">
            <v>800010</v>
          </cell>
          <cell r="E1014">
            <v>0</v>
          </cell>
        </row>
        <row r="1015">
          <cell r="A1015">
            <v>800011</v>
          </cell>
          <cell r="E1015">
            <v>0</v>
          </cell>
        </row>
        <row r="1016">
          <cell r="A1016">
            <v>800015</v>
          </cell>
          <cell r="E1016">
            <v>0</v>
          </cell>
        </row>
        <row r="1017">
          <cell r="A1017">
            <v>800016</v>
          </cell>
          <cell r="E1017">
            <v>0</v>
          </cell>
        </row>
        <row r="1018">
          <cell r="A1018">
            <v>800020</v>
          </cell>
          <cell r="E1018">
            <v>0</v>
          </cell>
        </row>
        <row r="1019">
          <cell r="A1019">
            <v>800021</v>
          </cell>
          <cell r="E1019">
            <v>0</v>
          </cell>
        </row>
        <row r="1020">
          <cell r="A1020">
            <v>800022</v>
          </cell>
          <cell r="E1020">
            <v>0</v>
          </cell>
        </row>
        <row r="1021">
          <cell r="A1021">
            <v>800023</v>
          </cell>
          <cell r="E1021">
            <v>0</v>
          </cell>
        </row>
        <row r="1022">
          <cell r="A1022">
            <v>800024</v>
          </cell>
          <cell r="E1022">
            <v>0</v>
          </cell>
        </row>
        <row r="1023">
          <cell r="A1023">
            <v>800029</v>
          </cell>
          <cell r="E1023">
            <v>0</v>
          </cell>
        </row>
        <row r="1024">
          <cell r="A1024">
            <v>800030</v>
          </cell>
          <cell r="E1024">
            <v>0</v>
          </cell>
        </row>
        <row r="1025">
          <cell r="A1025">
            <v>800033</v>
          </cell>
          <cell r="E1025">
            <v>0</v>
          </cell>
        </row>
        <row r="1027">
          <cell r="A1027">
            <v>604160</v>
          </cell>
          <cell r="E1027">
            <v>-291246</v>
          </cell>
        </row>
        <row r="1028">
          <cell r="A1028">
            <v>602050</v>
          </cell>
          <cell r="E1028">
            <v>0</v>
          </cell>
        </row>
        <row r="1029">
          <cell r="A1029">
            <v>604230</v>
          </cell>
          <cell r="E1029">
            <v>0</v>
          </cell>
        </row>
        <row r="1030">
          <cell r="A1030">
            <v>606130</v>
          </cell>
          <cell r="E1030">
            <v>-62940</v>
          </cell>
        </row>
        <row r="1031">
          <cell r="A1031">
            <v>606300</v>
          </cell>
          <cell r="E1031">
            <v>0</v>
          </cell>
        </row>
        <row r="1032">
          <cell r="A1032">
            <v>613200</v>
          </cell>
          <cell r="E1032">
            <v>26230</v>
          </cell>
        </row>
        <row r="1033">
          <cell r="A1033">
            <v>613207</v>
          </cell>
          <cell r="E1033">
            <v>-3634957.0529999998</v>
          </cell>
        </row>
        <row r="1034">
          <cell r="A1034">
            <v>615260</v>
          </cell>
          <cell r="E1034">
            <v>0</v>
          </cell>
        </row>
        <row r="1035">
          <cell r="A1035">
            <v>615290</v>
          </cell>
          <cell r="E1035">
            <v>5983</v>
          </cell>
        </row>
        <row r="1036">
          <cell r="A1036">
            <v>615605</v>
          </cell>
          <cell r="E1036">
            <v>0</v>
          </cell>
        </row>
        <row r="1037">
          <cell r="A1037">
            <v>616400</v>
          </cell>
          <cell r="E1037">
            <v>0</v>
          </cell>
        </row>
        <row r="1038">
          <cell r="A1038">
            <v>622500</v>
          </cell>
          <cell r="E1038">
            <v>0</v>
          </cell>
        </row>
        <row r="1039">
          <cell r="A1039">
            <v>622600</v>
          </cell>
          <cell r="E1039">
            <v>0</v>
          </cell>
        </row>
        <row r="1040">
          <cell r="A1040">
            <v>622800</v>
          </cell>
          <cell r="E1040">
            <v>-203340</v>
          </cell>
        </row>
        <row r="1041">
          <cell r="A1041">
            <v>625714</v>
          </cell>
          <cell r="E1041">
            <v>0</v>
          </cell>
        </row>
        <row r="1042">
          <cell r="A1042">
            <v>626424</v>
          </cell>
          <cell r="E1042">
            <v>45000</v>
          </cell>
        </row>
        <row r="1043">
          <cell r="A1043">
            <v>627100</v>
          </cell>
          <cell r="E1043">
            <v>-37910</v>
          </cell>
        </row>
        <row r="1044">
          <cell r="A1044">
            <v>627800</v>
          </cell>
          <cell r="E1044">
            <v>0</v>
          </cell>
        </row>
        <row r="1045">
          <cell r="A1045">
            <v>633300</v>
          </cell>
          <cell r="E1045">
            <v>0</v>
          </cell>
        </row>
        <row r="1046">
          <cell r="A1046">
            <v>635130</v>
          </cell>
          <cell r="E1046">
            <v>12140</v>
          </cell>
        </row>
        <row r="1047">
          <cell r="A1047">
            <v>637803</v>
          </cell>
          <cell r="E1047">
            <v>0</v>
          </cell>
        </row>
        <row r="1048">
          <cell r="A1048">
            <v>641100</v>
          </cell>
          <cell r="E1048">
            <v>0</v>
          </cell>
        </row>
        <row r="1049">
          <cell r="A1049">
            <v>641111</v>
          </cell>
          <cell r="E1049">
            <v>0</v>
          </cell>
        </row>
        <row r="1050">
          <cell r="A1050">
            <v>641203</v>
          </cell>
          <cell r="E1050">
            <v>-27930</v>
          </cell>
        </row>
        <row r="1051">
          <cell r="A1051">
            <v>641300</v>
          </cell>
          <cell r="E1051">
            <v>-32959.29</v>
          </cell>
        </row>
        <row r="1052">
          <cell r="A1052">
            <v>641310</v>
          </cell>
          <cell r="E1052">
            <v>0</v>
          </cell>
        </row>
        <row r="1053">
          <cell r="A1053">
            <v>641404</v>
          </cell>
          <cell r="E1053">
            <v>0</v>
          </cell>
        </row>
        <row r="1054">
          <cell r="A1054">
            <v>641702</v>
          </cell>
          <cell r="E1054">
            <v>-32160</v>
          </cell>
        </row>
        <row r="1055">
          <cell r="A1055">
            <v>641704</v>
          </cell>
          <cell r="E1055">
            <v>0</v>
          </cell>
        </row>
        <row r="1056">
          <cell r="A1056">
            <v>641711</v>
          </cell>
          <cell r="E1056">
            <v>80359</v>
          </cell>
        </row>
        <row r="1057">
          <cell r="A1057">
            <v>641713</v>
          </cell>
          <cell r="E1057">
            <v>0</v>
          </cell>
        </row>
        <row r="1058">
          <cell r="A1058">
            <v>641716</v>
          </cell>
          <cell r="E1058">
            <v>0</v>
          </cell>
        </row>
        <row r="1059">
          <cell r="A1059">
            <v>641721</v>
          </cell>
          <cell r="E1059">
            <v>32400</v>
          </cell>
        </row>
        <row r="1060">
          <cell r="A1060">
            <v>641722</v>
          </cell>
          <cell r="E1060">
            <v>16200</v>
          </cell>
        </row>
        <row r="1061">
          <cell r="A1061">
            <v>645004</v>
          </cell>
          <cell r="E1061">
            <v>166824</v>
          </cell>
        </row>
        <row r="1062">
          <cell r="A1062">
            <v>645643</v>
          </cell>
          <cell r="E1062">
            <v>0</v>
          </cell>
        </row>
        <row r="1063">
          <cell r="A1063">
            <v>645700</v>
          </cell>
          <cell r="E1063">
            <v>0</v>
          </cell>
        </row>
        <row r="1064">
          <cell r="A1064">
            <v>647500</v>
          </cell>
          <cell r="E1064">
            <v>0</v>
          </cell>
        </row>
        <row r="1065">
          <cell r="A1065">
            <v>647600</v>
          </cell>
          <cell r="E1065">
            <v>0</v>
          </cell>
        </row>
        <row r="1066">
          <cell r="A1066">
            <v>656000</v>
          </cell>
          <cell r="E1066">
            <v>0</v>
          </cell>
        </row>
        <row r="1067">
          <cell r="A1067">
            <v>656100</v>
          </cell>
          <cell r="E1067">
            <v>0</v>
          </cell>
        </row>
        <row r="1068">
          <cell r="A1068">
            <v>656103</v>
          </cell>
          <cell r="E1068">
            <v>0</v>
          </cell>
        </row>
        <row r="1069">
          <cell r="A1069">
            <v>658000</v>
          </cell>
          <cell r="E1069">
            <v>0</v>
          </cell>
        </row>
        <row r="1070">
          <cell r="A1070">
            <v>658003</v>
          </cell>
          <cell r="E1070">
            <v>-78801</v>
          </cell>
        </row>
        <row r="1071">
          <cell r="A1071">
            <v>658013</v>
          </cell>
          <cell r="E1071">
            <v>0</v>
          </cell>
        </row>
        <row r="1072">
          <cell r="A1072">
            <v>661510</v>
          </cell>
          <cell r="E1072">
            <v>0</v>
          </cell>
        </row>
        <row r="1073">
          <cell r="A1073">
            <v>664011</v>
          </cell>
          <cell r="E1073">
            <v>638521.57658624952</v>
          </cell>
        </row>
        <row r="1074">
          <cell r="A1074">
            <v>666000</v>
          </cell>
          <cell r="E1074">
            <v>0</v>
          </cell>
        </row>
        <row r="1075">
          <cell r="A1075">
            <v>666400</v>
          </cell>
          <cell r="E1075">
            <v>0</v>
          </cell>
        </row>
        <row r="1076">
          <cell r="A1076">
            <v>681210</v>
          </cell>
          <cell r="E1076">
            <v>3180953.0113862976</v>
          </cell>
        </row>
        <row r="1077">
          <cell r="A1077">
            <v>695000</v>
          </cell>
          <cell r="E1077">
            <v>2970469.4680425413</v>
          </cell>
        </row>
        <row r="1078">
          <cell r="A1078">
            <v>695900</v>
          </cell>
          <cell r="E1078">
            <v>-20520062.687131546</v>
          </cell>
        </row>
        <row r="1079">
          <cell r="A1079">
            <v>702310</v>
          </cell>
          <cell r="E1079">
            <v>20393931</v>
          </cell>
        </row>
        <row r="1080">
          <cell r="A1080">
            <v>704040</v>
          </cell>
          <cell r="E1080">
            <v>0</v>
          </cell>
        </row>
        <row r="1081">
          <cell r="A1081">
            <v>704670</v>
          </cell>
          <cell r="E1081">
            <v>-20493931</v>
          </cell>
        </row>
        <row r="1082">
          <cell r="A1082">
            <v>706361</v>
          </cell>
          <cell r="E1082">
            <v>0</v>
          </cell>
        </row>
        <row r="1083">
          <cell r="A1083">
            <v>758000</v>
          </cell>
          <cell r="E1083">
            <v>0</v>
          </cell>
        </row>
        <row r="1084">
          <cell r="A1084">
            <v>762510</v>
          </cell>
          <cell r="E1084">
            <v>0</v>
          </cell>
        </row>
        <row r="1085">
          <cell r="A1085">
            <v>766000</v>
          </cell>
          <cell r="E1085">
            <v>0</v>
          </cell>
        </row>
        <row r="1086">
          <cell r="A1086">
            <v>766200</v>
          </cell>
          <cell r="E1086">
            <v>0</v>
          </cell>
        </row>
        <row r="1087">
          <cell r="A1087">
            <v>766300</v>
          </cell>
          <cell r="E1087">
            <v>0</v>
          </cell>
        </row>
        <row r="1088">
          <cell r="A1088">
            <v>766400</v>
          </cell>
          <cell r="E1088">
            <v>0</v>
          </cell>
        </row>
        <row r="1089">
          <cell r="A1089">
            <v>762511</v>
          </cell>
          <cell r="E1089">
            <v>-188322.99486725422</v>
          </cell>
        </row>
        <row r="1090">
          <cell r="A1090">
            <v>779000</v>
          </cell>
          <cell r="E1090">
            <v>39162</v>
          </cell>
        </row>
        <row r="1094">
          <cell r="E1094">
            <v>6.5069867414422333E-3</v>
          </cell>
        </row>
        <row r="1095">
          <cell r="E1095">
            <v>-17996386.968983714</v>
          </cell>
        </row>
        <row r="1105">
          <cell r="A1105">
            <v>167211</v>
          </cell>
        </row>
        <row r="1106">
          <cell r="A1106">
            <v>167211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persons/person.xml><?xml version="1.0" encoding="utf-8"?>
<personList xmlns="http://schemas.microsoft.com/office/spreadsheetml/2018/threadedcomments" xmlns:x="http://schemas.openxmlformats.org/spreadsheetml/2006/main">
  <person displayName="Rohit Khare" id="{5C44FD7D-2EBA-415E-9D23-6863E1A797DF}" userId="S::rohit.khare@atos.net::7747c8e7-1616-4cb0-80bd-d993e5a029b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71" dT="2023-08-24T10:18:43.98" personId="{5C44FD7D-2EBA-415E-9D23-6863E1A797DF}" id="{FB1B911F-D3D5-48A0-AEB6-34225D930282}">
    <text>Can we can discontinue with this disclosure.</text>
  </threadedComment>
</ThreadedComments>
</file>

<file path=xl/threadedComments/threadedComment2.xml><?xml version="1.0" encoding="utf-8"?>
<ThreadedComments xmlns="http://schemas.microsoft.com/office/spreadsheetml/2018/threadedcomments" xmlns:x="http://schemas.openxmlformats.org/spreadsheetml/2006/main">
  <threadedComment ref="I100" dT="2022-06-09T10:00:49.38" personId="{5C44FD7D-2EBA-415E-9D23-6863E1A797DF}" id="{4F7FDDBC-9ACC-4EE6-836F-CA55FCB063E8}">
    <text>to check</text>
  </threadedComment>
  <threadedComment ref="I162" dT="2022-06-09T09:59:25.15" personId="{5C44FD7D-2EBA-415E-9D23-6863E1A797DF}" id="{110CB632-DF05-4C7E-A4B2-7A868045D57D}">
    <text>to recheck with AP team</text>
  </threadedComment>
  <threadedComment ref="I165" dT="2022-06-09T09:59:25.15" personId="{5C44FD7D-2EBA-415E-9D23-6863E1A797DF}" id="{1566FD4B-7720-48DF-9A60-BFEC7A4716CC}">
    <text>to recheck with AP team</text>
  </threadedComment>
  <threadedComment ref="I168" dT="2022-06-09T09:59:25.15" personId="{5C44FD7D-2EBA-415E-9D23-6863E1A797DF}" id="{4C3B5FB2-DEF0-472D-8851-02AC2188B990}">
    <text>to recheck with AP team</text>
  </threadedComment>
  <threadedComment ref="I171" dT="2022-06-09T09:59:25.15" personId="{5C44FD7D-2EBA-415E-9D23-6863E1A797DF}" id="{DC55DFE8-22BC-4EF5-859F-9519A94ED31C}">
    <text>to recheck with AP team</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3.bin"/><Relationship Id="rId4" Type="http://schemas.microsoft.com/office/2017/10/relationships/threadedComment" Target="../threadedComments/threadedComment1.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3.bin"/><Relationship Id="rId4" Type="http://schemas.microsoft.com/office/2017/10/relationships/threadedComment" Target="../threadedComments/threadedComment2.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showGridLines="0" topLeftCell="A6" workbookViewId="0">
      <selection activeCell="J22" sqref="J22"/>
    </sheetView>
  </sheetViews>
  <sheetFormatPr defaultColWidth="9.21875" defaultRowHeight="13.8"/>
  <cols>
    <col min="1" max="1" width="33" style="1" customWidth="1"/>
    <col min="2" max="2" width="16.77734375" style="2" bestFit="1" customWidth="1"/>
    <col min="3" max="16384" width="9.21875" style="3"/>
  </cols>
  <sheetData>
    <row r="1" spans="1:2" ht="14.4" thickBot="1"/>
    <row r="2" spans="1:2">
      <c r="A2" s="4" t="s">
        <v>0</v>
      </c>
      <c r="B2" s="5" t="s">
        <v>1</v>
      </c>
    </row>
    <row r="3" spans="1:2">
      <c r="A3" s="6" t="s">
        <v>2</v>
      </c>
      <c r="B3" s="7" t="str">
        <f>YEAR(B10)&amp;"-"&amp;YEAR(B4)</f>
        <v>2024-2025</v>
      </c>
    </row>
    <row r="4" spans="1:2">
      <c r="A4" s="6" t="s">
        <v>3</v>
      </c>
      <c r="B4" s="8">
        <v>45747</v>
      </c>
    </row>
    <row r="5" spans="1:2">
      <c r="A5" s="1758" t="s">
        <v>4</v>
      </c>
      <c r="B5" s="9" t="str">
        <f>IF(DAY(B4)=31,DAY(B4)&amp;"st"&amp;" "&amp;TEXT(B4,"mmmm")&amp;" "&amp;YEAR(B4),DAY(B4)&amp;"th"&amp;" "&amp;TEXT(B4,"mmmm")&amp;" "&amp;YEAR(B4))</f>
        <v>31st March 2025</v>
      </c>
    </row>
    <row r="6" spans="1:2">
      <c r="A6" s="1759"/>
      <c r="B6" s="9" t="str">
        <f>TEXT(B4,"mmmm")&amp;" "&amp;DAY(B4)&amp;", "&amp;YEAR(B4)</f>
        <v>March 31, 2025</v>
      </c>
    </row>
    <row r="7" spans="1:2">
      <c r="A7" s="1759"/>
      <c r="B7" s="10">
        <f>YEAR(B4)</f>
        <v>2025</v>
      </c>
    </row>
    <row r="8" spans="1:2">
      <c r="A8" s="1760"/>
      <c r="B8" s="9" t="str">
        <f>TEXT(B4+1,"mmmm")&amp;" "&amp;DAY(B4+1)&amp;", "&amp;YEAR(B4)</f>
        <v>April 1, 2025</v>
      </c>
    </row>
    <row r="9" spans="1:2">
      <c r="A9" s="11" t="s">
        <v>5</v>
      </c>
      <c r="B9" s="12" t="str">
        <f>YEAR(B16)&amp;"-"&amp;YEAR(B10)</f>
        <v>2023-2024</v>
      </c>
    </row>
    <row r="10" spans="1:2">
      <c r="A10" s="11" t="s">
        <v>6</v>
      </c>
      <c r="B10" s="13">
        <f>+B4-366</f>
        <v>45381</v>
      </c>
    </row>
    <row r="11" spans="1:2">
      <c r="A11" s="1761" t="s">
        <v>7</v>
      </c>
      <c r="B11" s="13" t="str">
        <f>IF(DAY(B10)=31,DAY(B10)&amp;"st"&amp;" "&amp;TEXT(B10,"mmmm")&amp;" "&amp;YEAR(B10),DAY(B10)&amp;"th"&amp;" "&amp;TEXT(B10,"mmmm")&amp;" "&amp;YEAR(B10))</f>
        <v>30th March 2024</v>
      </c>
    </row>
    <row r="12" spans="1:2">
      <c r="A12" s="1762"/>
      <c r="B12" s="13" t="str">
        <f>TEXT(B10,"mmmm")&amp;" "&amp;DAY(B10)&amp;", "&amp;YEAR(B10)</f>
        <v>March 30, 2024</v>
      </c>
    </row>
    <row r="13" spans="1:2">
      <c r="A13" s="1762"/>
      <c r="B13" s="14">
        <f>YEAR(B10)</f>
        <v>2024</v>
      </c>
    </row>
    <row r="14" spans="1:2">
      <c r="A14" s="1763"/>
      <c r="B14" s="13" t="str">
        <f>TEXT(B10+1,"mmmm")&amp;" "&amp;DAY(B10+1)&amp;", "&amp;YEAR(B10+1)</f>
        <v>March 31, 2024</v>
      </c>
    </row>
    <row r="15" spans="1:2">
      <c r="A15" s="15" t="s">
        <v>5</v>
      </c>
      <c r="B15" s="16" t="str">
        <f>YEAR(B16-365)&amp;"-"&amp;YEAR(B16)</f>
        <v>2022-2023</v>
      </c>
    </row>
    <row r="16" spans="1:2">
      <c r="A16" s="15" t="s">
        <v>6</v>
      </c>
      <c r="B16" s="17">
        <f>+B10-365</f>
        <v>45016</v>
      </c>
    </row>
    <row r="17" spans="1:2">
      <c r="A17" s="1764" t="s">
        <v>7</v>
      </c>
      <c r="B17" s="17" t="str">
        <f>IF(DAY(B16)=31,DAY(B16)&amp;"st"&amp;" "&amp;TEXT(B16,"mmmm")&amp;" "&amp;YEAR(B16),DAY(B16)&amp;"th"&amp;" "&amp;TEXT(B16,"mmmm")&amp;" "&amp;YEAR(B16))</f>
        <v>31st March 2023</v>
      </c>
    </row>
    <row r="18" spans="1:2">
      <c r="A18" s="1765"/>
      <c r="B18" s="17" t="str">
        <f>TEXT(B16,"mmmm")&amp;" "&amp;DAY(B16)&amp;", "&amp;YEAR(B16)</f>
        <v>March 31, 2023</v>
      </c>
    </row>
    <row r="19" spans="1:2">
      <c r="A19" s="1765"/>
      <c r="B19" s="16">
        <f>YEAR(B16)</f>
        <v>2023</v>
      </c>
    </row>
    <row r="20" spans="1:2">
      <c r="A20" s="1766"/>
      <c r="B20" s="17" t="str">
        <f>TEXT(B16+1,"mmmm")&amp;" "&amp;DAY(B16+1)&amp;", "&amp;YEAR(B16+1)</f>
        <v>April 1, 2023</v>
      </c>
    </row>
    <row r="21" spans="1:2">
      <c r="A21" s="1764" t="s">
        <v>8</v>
      </c>
      <c r="B21" s="17">
        <f ca="1">TODAY()</f>
        <v>46183</v>
      </c>
    </row>
    <row r="22" spans="1:2">
      <c r="A22" s="1766"/>
      <c r="B22" s="17" t="str">
        <f ca="1">TEXT(B21,"mmmm")&amp;" "&amp;DAY(B21)&amp;", "&amp;YEAR(B21)</f>
        <v>June 10, 2026</v>
      </c>
    </row>
    <row r="23" spans="1:2">
      <c r="A23" s="1767" t="s">
        <v>9</v>
      </c>
      <c r="B23" s="18">
        <v>1</v>
      </c>
    </row>
    <row r="24" spans="1:2">
      <c r="A24" s="1768"/>
      <c r="B24" s="19" t="str">
        <f>IF(B23=1,"(Rs.)",IF(B23=100,"(Rs. Hundreds)",IF(B23=1000,"(Rs. Thousands)",IF(B23=100000,"(Rs. Lakhs)",IF(B23=1000000,"(Rs. Millions)",IF(B23=10000000,"(Rs. Crores)"))))))</f>
        <v>(Rs.)</v>
      </c>
    </row>
    <row r="25" spans="1:2">
      <c r="A25" s="20"/>
      <c r="B25" s="21"/>
    </row>
    <row r="26" spans="1:2">
      <c r="A26" s="20"/>
      <c r="B26" s="21"/>
    </row>
    <row r="27" spans="1:2" ht="14.4" thickBot="1">
      <c r="A27" s="22"/>
      <c r="B27" s="23"/>
    </row>
    <row r="29" spans="1:2">
      <c r="A29" s="24" t="s">
        <v>10</v>
      </c>
      <c r="B29" s="25" t="s">
        <v>11</v>
      </c>
    </row>
  </sheetData>
  <mergeCells count="5">
    <mergeCell ref="A5:A8"/>
    <mergeCell ref="A11:A14"/>
    <mergeCell ref="A17:A20"/>
    <mergeCell ref="A21:A22"/>
    <mergeCell ref="A23:A2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B73"/>
  <sheetViews>
    <sheetView showGridLines="0" view="pageBreakPreview" zoomScaleNormal="100" zoomScaleSheetLayoutView="100" workbookViewId="0">
      <selection activeCell="J22" sqref="J22"/>
    </sheetView>
  </sheetViews>
  <sheetFormatPr defaultColWidth="9.21875" defaultRowHeight="20.399999999999999"/>
  <cols>
    <col min="1" max="16384" width="9.21875" style="1198"/>
  </cols>
  <sheetData>
    <row r="6" spans="2:2" ht="21">
      <c r="B6" s="1197" t="s">
        <v>1</v>
      </c>
    </row>
    <row r="9" spans="2:2" ht="21">
      <c r="B9" s="1199" t="s">
        <v>2154</v>
      </c>
    </row>
    <row r="10" spans="2:2" ht="21">
      <c r="B10" s="1199" t="s">
        <v>2999</v>
      </c>
    </row>
    <row r="71" spans="1:1">
      <c r="A71" s="1198" t="s">
        <v>2280</v>
      </c>
    </row>
    <row r="73" spans="1:1">
      <c r="A73" s="1198" t="s">
        <v>2279</v>
      </c>
    </row>
  </sheetData>
  <pageMargins left="0.70866141732283472" right="0.70866141732283472"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J72"/>
  <sheetViews>
    <sheetView showGridLines="0" view="pageBreakPreview" topLeftCell="A8" zoomScaleNormal="100" zoomScaleSheetLayoutView="100" workbookViewId="0">
      <selection activeCell="J22" sqref="J22"/>
    </sheetView>
  </sheetViews>
  <sheetFormatPr defaultColWidth="9.21875" defaultRowHeight="13.2"/>
  <cols>
    <col min="1" max="1" width="4.21875" style="1201" customWidth="1"/>
    <col min="2" max="8" width="9.21875" style="1201"/>
    <col min="9" max="9" width="10.77734375" style="1201" customWidth="1"/>
    <col min="10" max="16384" width="9.21875" style="1201"/>
  </cols>
  <sheetData>
    <row r="4" spans="2:10" ht="17.399999999999999">
      <c r="B4" s="1200" t="s">
        <v>1</v>
      </c>
    </row>
    <row r="7" spans="2:10" ht="15.6">
      <c r="B7" s="1202" t="s">
        <v>2155</v>
      </c>
      <c r="C7" s="1202"/>
      <c r="D7" s="1202"/>
      <c r="E7" s="1202"/>
      <c r="F7" s="1202"/>
      <c r="G7" s="1202"/>
      <c r="H7" s="1202"/>
      <c r="I7" s="1203" t="s">
        <v>2156</v>
      </c>
      <c r="J7" s="1204"/>
    </row>
    <row r="8" spans="2:10" ht="15">
      <c r="B8" s="1204"/>
      <c r="C8" s="1204"/>
      <c r="D8" s="1204"/>
      <c r="E8" s="1204"/>
      <c r="F8" s="1204"/>
      <c r="G8" s="1204"/>
      <c r="H8" s="1204"/>
      <c r="I8" s="1204"/>
      <c r="J8" s="1204"/>
    </row>
    <row r="9" spans="2:10" ht="15">
      <c r="B9" s="1204" t="s">
        <v>2157</v>
      </c>
      <c r="C9" s="1204"/>
      <c r="D9" s="1204"/>
      <c r="E9" s="1204"/>
      <c r="F9" s="1204"/>
      <c r="G9" s="1204"/>
      <c r="H9" s="1204"/>
      <c r="I9" s="1205" t="s">
        <v>2827</v>
      </c>
      <c r="J9" s="1204"/>
    </row>
    <row r="10" spans="2:10" ht="15">
      <c r="B10" s="1204"/>
      <c r="C10" s="1204"/>
      <c r="D10" s="1204"/>
      <c r="E10" s="1204"/>
      <c r="F10" s="1204"/>
      <c r="G10" s="1204"/>
      <c r="H10" s="1204"/>
      <c r="I10" s="1206"/>
      <c r="J10" s="1204"/>
    </row>
    <row r="11" spans="2:10" ht="15">
      <c r="B11" s="1204" t="s">
        <v>2158</v>
      </c>
      <c r="C11" s="1204"/>
      <c r="D11" s="1204"/>
      <c r="E11" s="1204"/>
      <c r="F11" s="1204"/>
      <c r="G11" s="1204"/>
      <c r="H11" s="1204"/>
      <c r="I11" s="1206">
        <v>11</v>
      </c>
      <c r="J11" s="1204"/>
    </row>
    <row r="12" spans="2:10" ht="15">
      <c r="B12" s="1204"/>
      <c r="C12" s="1204"/>
      <c r="D12" s="1204"/>
      <c r="E12" s="1204"/>
      <c r="F12" s="1204"/>
      <c r="G12" s="1204"/>
      <c r="H12" s="1204"/>
      <c r="I12" s="1206"/>
      <c r="J12" s="1204"/>
    </row>
    <row r="13" spans="2:10" ht="15">
      <c r="B13" s="1204" t="s">
        <v>2159</v>
      </c>
      <c r="C13" s="1204"/>
      <c r="D13" s="1204"/>
      <c r="E13" s="1204"/>
      <c r="F13" s="1204"/>
      <c r="G13" s="1204"/>
      <c r="H13" s="1204"/>
      <c r="I13" s="1206">
        <v>12</v>
      </c>
      <c r="J13" s="1204"/>
    </row>
    <row r="14" spans="2:10" ht="15">
      <c r="B14" s="1204"/>
      <c r="C14" s="1204"/>
      <c r="D14" s="1204"/>
      <c r="E14" s="1204"/>
      <c r="F14" s="1204"/>
      <c r="G14" s="1204"/>
      <c r="H14" s="1204"/>
      <c r="I14" s="1206"/>
      <c r="J14" s="1204"/>
    </row>
    <row r="15" spans="2:10" ht="15">
      <c r="B15" s="1204" t="s">
        <v>2281</v>
      </c>
      <c r="C15" s="1204"/>
      <c r="D15" s="1204"/>
      <c r="E15" s="1204"/>
      <c r="F15" s="1204"/>
      <c r="G15" s="1204"/>
      <c r="H15" s="1204"/>
      <c r="I15" s="1206">
        <v>13</v>
      </c>
      <c r="J15" s="1204"/>
    </row>
    <row r="16" spans="2:10" ht="15">
      <c r="B16" s="1204"/>
      <c r="C16" s="1204"/>
      <c r="D16" s="1204"/>
      <c r="E16" s="1204"/>
      <c r="F16" s="1204"/>
      <c r="G16" s="1204"/>
      <c r="H16" s="1204"/>
      <c r="I16" s="1206"/>
      <c r="J16" s="1204"/>
    </row>
    <row r="17" spans="2:10" ht="15">
      <c r="B17" s="1204" t="s">
        <v>2160</v>
      </c>
      <c r="C17" s="1204"/>
      <c r="D17" s="1204"/>
      <c r="E17" s="1204"/>
      <c r="F17" s="1204"/>
      <c r="G17" s="1204"/>
      <c r="H17" s="1204"/>
      <c r="I17" s="1206">
        <v>14</v>
      </c>
      <c r="J17" s="1204"/>
    </row>
    <row r="18" spans="2:10" ht="15">
      <c r="B18" s="1204"/>
      <c r="C18" s="1204"/>
      <c r="D18" s="1204"/>
      <c r="E18" s="1204"/>
      <c r="F18" s="1204"/>
      <c r="G18" s="1204"/>
      <c r="H18" s="1204"/>
      <c r="I18" s="1206"/>
      <c r="J18" s="1204"/>
    </row>
    <row r="19" spans="2:10" ht="37.5" customHeight="1">
      <c r="B19" s="1769" t="s">
        <v>2919</v>
      </c>
      <c r="C19" s="1769"/>
      <c r="D19" s="1769"/>
      <c r="E19" s="1769"/>
      <c r="F19" s="1769"/>
      <c r="G19" s="1769"/>
      <c r="H19" s="1769"/>
      <c r="I19" s="1207" t="s">
        <v>2828</v>
      </c>
      <c r="J19" s="1204"/>
    </row>
    <row r="20" spans="2:10" ht="15">
      <c r="B20" s="1204"/>
      <c r="C20" s="1204"/>
      <c r="D20" s="1204"/>
      <c r="E20" s="1204"/>
      <c r="F20" s="1204"/>
      <c r="G20" s="1204"/>
      <c r="H20" s="1204"/>
      <c r="I20" s="1204"/>
      <c r="J20" s="1204"/>
    </row>
    <row r="21" spans="2:10" ht="15">
      <c r="B21" s="1204"/>
      <c r="C21" s="1204"/>
      <c r="D21" s="1204"/>
      <c r="E21" s="1204"/>
      <c r="F21" s="1204"/>
      <c r="G21" s="1204"/>
      <c r="H21" s="1204"/>
      <c r="I21" s="1204"/>
      <c r="J21" s="1204"/>
    </row>
    <row r="22" spans="2:10" ht="15">
      <c r="B22" s="1204"/>
      <c r="C22" s="1204"/>
      <c r="D22" s="1204"/>
      <c r="E22" s="1204"/>
      <c r="F22" s="1204"/>
      <c r="G22" s="1204"/>
      <c r="H22" s="1204"/>
      <c r="I22" s="1204"/>
      <c r="J22" s="1204"/>
    </row>
    <row r="70" spans="1:1">
      <c r="A70" s="1201" t="s">
        <v>2280</v>
      </c>
    </row>
    <row r="72" spans="1:1">
      <c r="A72" s="1201" t="s">
        <v>2279</v>
      </c>
    </row>
  </sheetData>
  <mergeCells count="1">
    <mergeCell ref="B19:H19"/>
  </mergeCells>
  <pageMargins left="0.70866141732283472" right="0.70866141732283472"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4"/>
  <sheetViews>
    <sheetView view="pageBreakPreview" zoomScale="124" zoomScaleNormal="100" zoomScaleSheetLayoutView="124" workbookViewId="0">
      <selection activeCell="B11" sqref="B11"/>
    </sheetView>
  </sheetViews>
  <sheetFormatPr defaultRowHeight="14.4"/>
  <cols>
    <col min="1" max="1" width="59.77734375" bestFit="1" customWidth="1"/>
    <col min="2" max="2" width="16.21875" customWidth="1"/>
    <col min="3" max="3" width="15.21875" customWidth="1"/>
    <col min="4" max="4" width="14.5546875" customWidth="1"/>
  </cols>
  <sheetData>
    <row r="1" spans="1:4">
      <c r="A1" s="725">
        <f>+BS!A1</f>
        <v>0</v>
      </c>
    </row>
    <row r="2" spans="1:4">
      <c r="A2" s="728"/>
    </row>
    <row r="3" spans="1:4">
      <c r="A3" s="730"/>
    </row>
    <row r="4" spans="1:4">
      <c r="A4" s="1228" t="s">
        <v>2020</v>
      </c>
    </row>
    <row r="5" spans="1:4">
      <c r="A5" s="1228"/>
    </row>
    <row r="6" spans="1:4">
      <c r="A6" s="1229" t="s">
        <v>2204</v>
      </c>
    </row>
    <row r="7" spans="1:4">
      <c r="A7" s="1228"/>
    </row>
    <row r="8" spans="1:4">
      <c r="A8" s="1165"/>
      <c r="B8" s="1770" t="s">
        <v>2205</v>
      </c>
      <c r="C8" s="1770"/>
      <c r="D8" s="1770"/>
    </row>
    <row r="9" spans="1:4" ht="45" customHeight="1">
      <c r="A9" s="756" t="s">
        <v>835</v>
      </c>
      <c r="B9" s="1257" t="s">
        <v>2206</v>
      </c>
      <c r="C9" s="1257" t="s">
        <v>2207</v>
      </c>
      <c r="D9" s="1257" t="s">
        <v>2208</v>
      </c>
    </row>
    <row r="10" spans="1:4">
      <c r="A10" s="689" t="s">
        <v>145</v>
      </c>
    </row>
    <row r="11" spans="1:4">
      <c r="A11" s="689" t="s">
        <v>13</v>
      </c>
    </row>
    <row r="12" spans="1:4">
      <c r="A12" s="1165" t="s">
        <v>1831</v>
      </c>
      <c r="B12" s="1230">
        <f>ROUND(0/Master!$B$23,0)</f>
        <v>0</v>
      </c>
      <c r="C12" s="1230"/>
      <c r="D12" s="1230">
        <f>+B12+C12</f>
        <v>0</v>
      </c>
    </row>
    <row r="13" spans="1:4" hidden="1">
      <c r="A13" s="1165" t="s">
        <v>14</v>
      </c>
      <c r="B13" s="1230">
        <f>ROUND(0/Master!$B$23,0)</f>
        <v>0</v>
      </c>
      <c r="C13" s="1230"/>
      <c r="D13" s="1230">
        <f t="shared" ref="D13:D22" si="0">+B13+C13</f>
        <v>0</v>
      </c>
    </row>
    <row r="14" spans="1:4" hidden="1">
      <c r="A14" s="1165" t="s">
        <v>15</v>
      </c>
      <c r="B14" s="1230">
        <f>ROUND(0/Master!$B$23,0)</f>
        <v>0</v>
      </c>
      <c r="C14" s="1230"/>
      <c r="D14" s="1230">
        <f t="shared" si="0"/>
        <v>0</v>
      </c>
    </row>
    <row r="15" spans="1:4" hidden="1">
      <c r="A15" s="1165" t="s">
        <v>2209</v>
      </c>
      <c r="B15" s="1230">
        <f>ROUND(0/Master!$B$23,0)</f>
        <v>0</v>
      </c>
      <c r="C15" s="1230"/>
      <c r="D15" s="1230">
        <f t="shared" si="0"/>
        <v>0</v>
      </c>
    </row>
    <row r="16" spans="1:4">
      <c r="A16" s="1165" t="s">
        <v>16</v>
      </c>
      <c r="B16" s="1230"/>
      <c r="C16" s="1230"/>
      <c r="D16" s="1230"/>
    </row>
    <row r="17" spans="1:4" hidden="1">
      <c r="A17" s="1231" t="s">
        <v>17</v>
      </c>
      <c r="B17" s="1230">
        <f>ROUND(0/Master!$B$23,0)</f>
        <v>0</v>
      </c>
      <c r="C17" s="1230"/>
      <c r="D17" s="1230">
        <f t="shared" si="0"/>
        <v>0</v>
      </c>
    </row>
    <row r="18" spans="1:4" hidden="1">
      <c r="A18" s="1231" t="s">
        <v>18</v>
      </c>
      <c r="B18" s="1230">
        <f>ROUND(0/Master!$B$23,0)</f>
        <v>0</v>
      </c>
      <c r="C18" s="1230"/>
      <c r="D18" s="1230">
        <f t="shared" si="0"/>
        <v>0</v>
      </c>
    </row>
    <row r="19" spans="1:4">
      <c r="A19" s="1231" t="s">
        <v>19</v>
      </c>
      <c r="B19" s="1230">
        <f>ROUND(1774555/Master!$B$23,0)</f>
        <v>1774555</v>
      </c>
      <c r="C19" s="1230"/>
      <c r="D19" s="1230">
        <f t="shared" si="0"/>
        <v>1774555</v>
      </c>
    </row>
    <row r="20" spans="1:4">
      <c r="A20" s="1165" t="s">
        <v>20</v>
      </c>
      <c r="B20" s="1230">
        <f>ROUND(16141408/Master!$B$23,0)</f>
        <v>16141408</v>
      </c>
      <c r="C20" s="1230">
        <f>-C100</f>
        <v>0</v>
      </c>
      <c r="D20" s="1230">
        <f t="shared" si="0"/>
        <v>16141408</v>
      </c>
    </row>
    <row r="21" spans="1:4">
      <c r="A21" s="1165" t="s">
        <v>21</v>
      </c>
      <c r="B21" s="1230">
        <f>ROUND(11468027/Master!$B$23,0)</f>
        <v>11468027</v>
      </c>
      <c r="C21" s="1230"/>
      <c r="D21" s="1230">
        <f t="shared" si="0"/>
        <v>11468027</v>
      </c>
    </row>
    <row r="22" spans="1:4">
      <c r="A22" s="1165" t="s">
        <v>22</v>
      </c>
      <c r="B22" s="1230">
        <f>ROUND(41974602/Master!$B$23,0)</f>
        <v>41974602</v>
      </c>
      <c r="C22" s="1230"/>
      <c r="D22" s="1230">
        <f t="shared" si="0"/>
        <v>41974602</v>
      </c>
    </row>
    <row r="23" spans="1:4">
      <c r="A23" s="689" t="s">
        <v>23</v>
      </c>
      <c r="B23" s="1232">
        <f>SUM(B12:B22)</f>
        <v>71358592</v>
      </c>
      <c r="C23" s="1232">
        <f>SUM(C12:C22)</f>
        <v>0</v>
      </c>
      <c r="D23" s="1232">
        <f>SUM(D12:D22)</f>
        <v>71358592</v>
      </c>
    </row>
    <row r="24" spans="1:4">
      <c r="A24" s="689"/>
      <c r="B24" s="1230"/>
      <c r="C24" s="1230"/>
      <c r="D24" s="1230"/>
    </row>
    <row r="25" spans="1:4">
      <c r="A25" s="689" t="s">
        <v>24</v>
      </c>
      <c r="B25" s="1230"/>
      <c r="C25" s="1230"/>
      <c r="D25" s="1230"/>
    </row>
    <row r="26" spans="1:4">
      <c r="A26" s="689" t="s">
        <v>16</v>
      </c>
      <c r="B26" s="1230"/>
      <c r="C26" s="1230"/>
      <c r="D26" s="1230"/>
    </row>
    <row r="27" spans="1:4">
      <c r="A27" s="1231" t="s">
        <v>17</v>
      </c>
      <c r="B27" s="1230">
        <f>ROUND(58216239/Master!$B$23,0)</f>
        <v>58216239</v>
      </c>
      <c r="C27" s="1230"/>
      <c r="D27" s="1230">
        <f t="shared" ref="D27:D33" si="1">+B27+C27</f>
        <v>58216239</v>
      </c>
    </row>
    <row r="28" spans="1:4">
      <c r="A28" s="1231" t="s">
        <v>25</v>
      </c>
      <c r="B28" s="1230">
        <f>ROUND(16242010/Master!$B$23,0)</f>
        <v>16242010</v>
      </c>
      <c r="C28" s="1230"/>
      <c r="D28" s="1230">
        <f t="shared" si="1"/>
        <v>16242010</v>
      </c>
    </row>
    <row r="29" spans="1:4">
      <c r="A29" s="1231" t="s">
        <v>26</v>
      </c>
      <c r="B29" s="1230">
        <f>ROUND(133191580/Master!$B$23,0)</f>
        <v>133191580</v>
      </c>
      <c r="C29" s="1230"/>
      <c r="D29" s="1230">
        <f t="shared" si="1"/>
        <v>133191580</v>
      </c>
    </row>
    <row r="30" spans="1:4" hidden="1">
      <c r="A30" s="1231" t="s">
        <v>2210</v>
      </c>
      <c r="B30" s="1230">
        <f>ROUND(0/Master!$B$23,0)</f>
        <v>0</v>
      </c>
      <c r="C30" s="1230"/>
      <c r="D30" s="1230">
        <f t="shared" si="1"/>
        <v>0</v>
      </c>
    </row>
    <row r="31" spans="1:4" hidden="1">
      <c r="A31" s="1231" t="s">
        <v>18</v>
      </c>
      <c r="B31" s="1230">
        <f>ROUND(0/Master!$B$23,0)</f>
        <v>0</v>
      </c>
      <c r="C31" s="1230"/>
      <c r="D31" s="1230">
        <f t="shared" si="1"/>
        <v>0</v>
      </c>
    </row>
    <row r="32" spans="1:4">
      <c r="A32" s="1231" t="s">
        <v>19</v>
      </c>
      <c r="B32" s="1230">
        <f>ROUND(1523636/Master!$B$23,0)</f>
        <v>1523636</v>
      </c>
      <c r="C32" s="1230"/>
      <c r="D32" s="1230">
        <f t="shared" si="1"/>
        <v>1523636</v>
      </c>
    </row>
    <row r="33" spans="1:4">
      <c r="A33" s="1165" t="s">
        <v>28</v>
      </c>
      <c r="B33" s="1230">
        <f>ROUND(311366/Master!$B$23,0)</f>
        <v>311366</v>
      </c>
      <c r="C33" s="1230"/>
      <c r="D33" s="1230">
        <f t="shared" si="1"/>
        <v>311366</v>
      </c>
    </row>
    <row r="34" spans="1:4">
      <c r="A34" s="689" t="s">
        <v>29</v>
      </c>
      <c r="B34" s="1233">
        <f>SUM(B27:B33)</f>
        <v>209484831</v>
      </c>
      <c r="C34" s="1233">
        <f>SUM(C27:C33)</f>
        <v>0</v>
      </c>
      <c r="D34" s="1233">
        <f>SUM(D27:D33)</f>
        <v>209484831</v>
      </c>
    </row>
    <row r="35" spans="1:4">
      <c r="A35" s="689"/>
      <c r="B35" s="1230"/>
      <c r="C35" s="1230"/>
      <c r="D35" s="1230"/>
    </row>
    <row r="36" spans="1:4" ht="15" thickBot="1">
      <c r="A36" s="689" t="s">
        <v>407</v>
      </c>
      <c r="B36" s="1234">
        <f>B23+B34</f>
        <v>280843423</v>
      </c>
      <c r="C36" s="1234">
        <f>C23+C34</f>
        <v>0</v>
      </c>
      <c r="D36" s="1234">
        <f>D23+D34</f>
        <v>280843423</v>
      </c>
    </row>
    <row r="37" spans="1:4" ht="15" thickTop="1">
      <c r="A37" s="689"/>
      <c r="B37" s="1230"/>
      <c r="C37" s="1230"/>
      <c r="D37" s="1230"/>
    </row>
    <row r="38" spans="1:4">
      <c r="A38" s="689" t="s">
        <v>1935</v>
      </c>
      <c r="B38" s="1235"/>
      <c r="C38" s="1235"/>
      <c r="D38" s="1235"/>
    </row>
    <row r="39" spans="1:4">
      <c r="A39" s="689" t="s">
        <v>32</v>
      </c>
      <c r="B39" s="1235"/>
      <c r="C39" s="1235"/>
      <c r="D39" s="1235"/>
    </row>
    <row r="40" spans="1:4">
      <c r="A40" s="1236" t="s">
        <v>33</v>
      </c>
      <c r="B40" s="1230">
        <f>ROUND(100000/Master!$B$23,0)</f>
        <v>100000</v>
      </c>
      <c r="C40" s="1230"/>
      <c r="D40" s="1230">
        <f>+B40+C40</f>
        <v>100000</v>
      </c>
    </row>
    <row r="41" spans="1:4">
      <c r="A41" s="1236" t="s">
        <v>34</v>
      </c>
      <c r="B41" s="1230">
        <f>ROUND(81440201/Master!$B$23,0)</f>
        <v>81440201</v>
      </c>
      <c r="C41" s="1230">
        <f>-C100</f>
        <v>0</v>
      </c>
      <c r="D41" s="1230">
        <f>+B41+C41</f>
        <v>81440201</v>
      </c>
    </row>
    <row r="42" spans="1:4">
      <c r="A42" s="725" t="s">
        <v>35</v>
      </c>
      <c r="B42" s="1232">
        <f>SUM(B40:B41)</f>
        <v>81540201</v>
      </c>
      <c r="C42" s="1232">
        <f>SUM(C40:C41)</f>
        <v>0</v>
      </c>
      <c r="D42" s="1232">
        <f>SUM(D40:D41)</f>
        <v>81540201</v>
      </c>
    </row>
    <row r="43" spans="1:4">
      <c r="A43" s="725"/>
      <c r="B43" s="1230"/>
      <c r="C43" s="1230"/>
      <c r="D43" s="1230"/>
    </row>
    <row r="44" spans="1:4">
      <c r="A44" s="725" t="s">
        <v>36</v>
      </c>
      <c r="B44" s="1230"/>
      <c r="C44" s="1230"/>
      <c r="D44" s="1230"/>
    </row>
    <row r="45" spans="1:4">
      <c r="A45" s="689" t="s">
        <v>37</v>
      </c>
      <c r="B45" s="1230"/>
      <c r="C45" s="1230"/>
      <c r="D45" s="1230"/>
    </row>
    <row r="46" spans="1:4">
      <c r="A46" s="1165" t="s">
        <v>38</v>
      </c>
      <c r="B46" s="1230"/>
      <c r="C46" s="1230"/>
      <c r="D46" s="1230"/>
    </row>
    <row r="47" spans="1:4">
      <c r="A47" s="1236" t="s">
        <v>39</v>
      </c>
      <c r="B47" s="1230">
        <f>ROUND(187488357/Master!$B$23,0)</f>
        <v>187488357</v>
      </c>
      <c r="C47" s="1230"/>
      <c r="D47" s="1230">
        <f t="shared" ref="D47:D52" si="2">+B47+C47</f>
        <v>187488357</v>
      </c>
    </row>
    <row r="48" spans="1:4" hidden="1">
      <c r="A48" s="1236" t="s">
        <v>46</v>
      </c>
      <c r="B48" s="1230">
        <f>ROUND(0/Master!$B$23,0)</f>
        <v>0</v>
      </c>
      <c r="C48" s="1230"/>
      <c r="D48" s="1230">
        <f t="shared" si="2"/>
        <v>0</v>
      </c>
    </row>
    <row r="49" spans="1:4" hidden="1">
      <c r="A49" s="1236" t="s">
        <v>40</v>
      </c>
      <c r="B49" s="1230">
        <f>ROUND(0/Master!$B$23,0)</f>
        <v>0</v>
      </c>
      <c r="C49" s="1230"/>
      <c r="D49" s="1230">
        <f t="shared" si="2"/>
        <v>0</v>
      </c>
    </row>
    <row r="50" spans="1:4">
      <c r="A50" s="1165" t="s">
        <v>41</v>
      </c>
      <c r="B50" s="1230">
        <f>ROUND(3202278/Master!$B$23,0)</f>
        <v>3202278</v>
      </c>
      <c r="C50" s="1230"/>
      <c r="D50" s="1230">
        <f t="shared" si="2"/>
        <v>3202278</v>
      </c>
    </row>
    <row r="51" spans="1:4" hidden="1">
      <c r="A51" s="1165" t="s">
        <v>2217</v>
      </c>
      <c r="B51" s="1230">
        <f>ROUND(0/Master!$B$23,0)</f>
        <v>0</v>
      </c>
      <c r="C51" s="1237"/>
      <c r="D51" s="1230">
        <f t="shared" si="2"/>
        <v>0</v>
      </c>
    </row>
    <row r="52" spans="1:4">
      <c r="A52" s="1165" t="s">
        <v>43</v>
      </c>
      <c r="B52" s="1230">
        <f>ROUND(285151/Master!$B$23,0)</f>
        <v>285151</v>
      </c>
      <c r="C52" s="1230">
        <f>+C100*0</f>
        <v>0</v>
      </c>
      <c r="D52" s="1230">
        <f t="shared" si="2"/>
        <v>285151</v>
      </c>
    </row>
    <row r="53" spans="1:4">
      <c r="A53" s="689" t="s">
        <v>44</v>
      </c>
      <c r="B53" s="1232">
        <f>SUM(B47:B52)</f>
        <v>190975786</v>
      </c>
      <c r="C53" s="1232">
        <f>SUM(C47:C52)</f>
        <v>0</v>
      </c>
      <c r="D53" s="1232">
        <f>SUM(D47:D52)</f>
        <v>190975786</v>
      </c>
    </row>
    <row r="54" spans="1:4">
      <c r="A54" s="689"/>
      <c r="B54" s="1230"/>
      <c r="C54" s="1230"/>
      <c r="D54" s="1230"/>
    </row>
    <row r="55" spans="1:4">
      <c r="A55" s="689" t="s">
        <v>45</v>
      </c>
      <c r="B55" s="1230"/>
      <c r="C55" s="1230"/>
      <c r="D55" s="1230"/>
    </row>
    <row r="56" spans="1:4">
      <c r="A56" s="1165" t="s">
        <v>38</v>
      </c>
      <c r="B56" s="1230"/>
      <c r="C56" s="1230"/>
      <c r="D56" s="1230"/>
    </row>
    <row r="57" spans="1:4">
      <c r="A57" s="1236" t="s">
        <v>46</v>
      </c>
      <c r="B57" s="1230">
        <f>ROUND(5578902/Master!$B$23,0)+1</f>
        <v>5578903</v>
      </c>
      <c r="C57" s="1230"/>
      <c r="D57" s="1230">
        <f t="shared" ref="D57:D63" si="3">+B57+C57</f>
        <v>5578903</v>
      </c>
    </row>
    <row r="58" spans="1:4" hidden="1">
      <c r="A58" s="1236" t="s">
        <v>39</v>
      </c>
      <c r="B58" s="1230">
        <f>ROUND(0/Master!$B$23,0)</f>
        <v>0</v>
      </c>
      <c r="C58" s="1230"/>
      <c r="D58" s="1230">
        <f t="shared" si="3"/>
        <v>0</v>
      </c>
    </row>
    <row r="59" spans="1:4">
      <c r="A59" s="1236" t="s">
        <v>40</v>
      </c>
      <c r="B59" s="1230">
        <f>ROUND(543852/Master!$B$23,0)</f>
        <v>543852</v>
      </c>
      <c r="C59" s="1230"/>
      <c r="D59" s="1230">
        <f t="shared" si="3"/>
        <v>543852</v>
      </c>
    </row>
    <row r="60" spans="1:4">
      <c r="A60" s="1165" t="s">
        <v>47</v>
      </c>
      <c r="B60" s="1230">
        <f>ROUND(617247/Master!$B$23,0)-1</f>
        <v>617246</v>
      </c>
      <c r="C60" s="1230"/>
      <c r="D60" s="1230">
        <f t="shared" si="3"/>
        <v>617246</v>
      </c>
    </row>
    <row r="61" spans="1:4" hidden="1">
      <c r="A61" s="1165" t="s">
        <v>48</v>
      </c>
      <c r="B61" s="1230">
        <f>ROUND(0/Master!$B$23,0)</f>
        <v>0</v>
      </c>
      <c r="C61" s="1230"/>
      <c r="D61" s="1230">
        <f t="shared" si="3"/>
        <v>0</v>
      </c>
    </row>
    <row r="62" spans="1:4">
      <c r="A62" s="1165" t="s">
        <v>41</v>
      </c>
      <c r="B62" s="1230">
        <f>ROUND(1586819/Master!$B$23,0)</f>
        <v>1586819</v>
      </c>
      <c r="C62" s="1230"/>
      <c r="D62" s="1230">
        <f t="shared" si="3"/>
        <v>1586819</v>
      </c>
    </row>
    <row r="63" spans="1:4">
      <c r="A63" s="1165" t="s">
        <v>49</v>
      </c>
      <c r="B63" s="1246">
        <f>ROUND(618/Master!$B$23,0)</f>
        <v>618</v>
      </c>
      <c r="C63" s="1238"/>
      <c r="D63" s="1246">
        <f t="shared" si="3"/>
        <v>618</v>
      </c>
    </row>
    <row r="64" spans="1:4">
      <c r="A64" s="689" t="s">
        <v>50</v>
      </c>
      <c r="B64" s="1233">
        <f>SUM(B57:B63)</f>
        <v>8327438</v>
      </c>
      <c r="C64" s="1233">
        <f>SUM(C57:C63)</f>
        <v>0</v>
      </c>
      <c r="D64" s="1233">
        <f>SUM(D57:D63)</f>
        <v>8327438</v>
      </c>
    </row>
    <row r="65" spans="1:4">
      <c r="A65" s="689"/>
      <c r="B65" s="1230"/>
      <c r="C65" s="1230"/>
      <c r="D65" s="1230"/>
    </row>
    <row r="66" spans="1:4" ht="15" thickBot="1">
      <c r="A66" s="689" t="s">
        <v>1860</v>
      </c>
      <c r="B66" s="1234">
        <f>B42+B53+B64</f>
        <v>280843425</v>
      </c>
      <c r="C66" s="1234">
        <f>C42+C53+C64</f>
        <v>0</v>
      </c>
      <c r="D66" s="1234">
        <f>D42+D53+D64</f>
        <v>280843425</v>
      </c>
    </row>
    <row r="67" spans="1:4" ht="15" thickTop="1"/>
    <row r="71" spans="1:4">
      <c r="A71" s="1229" t="s">
        <v>2211</v>
      </c>
    </row>
    <row r="73" spans="1:4">
      <c r="A73" s="782" t="s">
        <v>835</v>
      </c>
    </row>
    <row r="74" spans="1:4">
      <c r="A74" s="1239"/>
    </row>
    <row r="75" spans="1:4">
      <c r="A75" s="1165" t="s">
        <v>57</v>
      </c>
      <c r="B75" s="1230"/>
      <c r="C75" s="1240"/>
      <c r="D75" s="1240"/>
    </row>
    <row r="76" spans="1:4" hidden="1">
      <c r="A76" s="1165" t="s">
        <v>2212</v>
      </c>
      <c r="B76" s="1230">
        <f>ROUND(0/Master!$B$23,0)</f>
        <v>0</v>
      </c>
      <c r="C76" s="1240"/>
      <c r="D76" s="1240">
        <f>+B76+C76</f>
        <v>0</v>
      </c>
    </row>
    <row r="77" spans="1:4">
      <c r="A77" s="1165" t="s">
        <v>1914</v>
      </c>
      <c r="B77" s="1230">
        <f>ROUND(17881802/Master!$B$23,0)</f>
        <v>17881802</v>
      </c>
      <c r="C77" s="1240"/>
      <c r="D77" s="1240">
        <f>+B77+C77</f>
        <v>17881802</v>
      </c>
    </row>
    <row r="78" spans="1:4">
      <c r="A78" s="1166" t="s">
        <v>58</v>
      </c>
      <c r="B78" s="1230">
        <f>ROUND(13982830/Master!$B$23,0)+1</f>
        <v>13982831</v>
      </c>
      <c r="C78" s="1240"/>
      <c r="D78" s="1240">
        <f>+B78+C78</f>
        <v>13982831</v>
      </c>
    </row>
    <row r="79" spans="1:4">
      <c r="A79" s="725" t="s">
        <v>59</v>
      </c>
      <c r="B79" s="1241">
        <f>SUM(B75:B78)</f>
        <v>31864633</v>
      </c>
      <c r="C79" s="1241">
        <f>SUM(C75:C78)</f>
        <v>0</v>
      </c>
      <c r="D79" s="1241">
        <f>SUM(D75:D78)</f>
        <v>31864633</v>
      </c>
    </row>
    <row r="80" spans="1:4">
      <c r="A80" s="689"/>
      <c r="B80" s="1240"/>
      <c r="C80" s="1240"/>
      <c r="D80" s="1240"/>
    </row>
    <row r="81" spans="1:4">
      <c r="A81" s="689" t="s">
        <v>60</v>
      </c>
      <c r="B81" s="1240"/>
      <c r="C81" s="1240"/>
      <c r="D81" s="1240"/>
    </row>
    <row r="82" spans="1:4">
      <c r="A82" s="1165" t="s">
        <v>2040</v>
      </c>
      <c r="B82" s="1230">
        <f>ROUND(9100894/Master!$B$23,0)</f>
        <v>9100894</v>
      </c>
      <c r="C82" s="1240"/>
      <c r="D82" s="1240">
        <f t="shared" ref="D82:D87" si="4">+B82+C82</f>
        <v>9100894</v>
      </c>
    </row>
    <row r="83" spans="1:4">
      <c r="A83" s="1165" t="s">
        <v>2119</v>
      </c>
      <c r="B83" s="1246">
        <f>ROUND(2960/Master!$B$23,0)</f>
        <v>2960</v>
      </c>
      <c r="C83" s="1240"/>
      <c r="D83" s="1240">
        <f t="shared" si="4"/>
        <v>2960</v>
      </c>
    </row>
    <row r="84" spans="1:4">
      <c r="A84" s="1165" t="s">
        <v>190</v>
      </c>
      <c r="B84" s="1230">
        <f>ROUND(10553508/Master!$B$23,0)-1</f>
        <v>10553507</v>
      </c>
      <c r="C84" s="1240"/>
      <c r="D84" s="1240">
        <f t="shared" si="4"/>
        <v>10553507</v>
      </c>
    </row>
    <row r="85" spans="1:4" hidden="1">
      <c r="A85" s="1165" t="s">
        <v>63</v>
      </c>
      <c r="B85" s="1230">
        <f>ROUND(0/Master!$B$23,0)</f>
        <v>0</v>
      </c>
      <c r="C85" s="1240"/>
      <c r="D85" s="1240">
        <f t="shared" si="4"/>
        <v>0</v>
      </c>
    </row>
    <row r="86" spans="1:4">
      <c r="A86" s="1165" t="s">
        <v>2041</v>
      </c>
      <c r="B86" s="1230">
        <f>ROUND(10269953/Master!$B$23,0)</f>
        <v>10269953</v>
      </c>
      <c r="C86" s="1240"/>
      <c r="D86" s="1240">
        <f t="shared" si="4"/>
        <v>10269953</v>
      </c>
    </row>
    <row r="87" spans="1:4" hidden="1">
      <c r="A87" s="1165" t="s">
        <v>190</v>
      </c>
      <c r="B87" s="1230">
        <f>ROUND(0/Master!$B$23,0)</f>
        <v>0</v>
      </c>
      <c r="C87" s="1240"/>
      <c r="D87" s="1240">
        <f t="shared" si="4"/>
        <v>0</v>
      </c>
    </row>
    <row r="88" spans="1:4">
      <c r="A88" s="689" t="s">
        <v>66</v>
      </c>
      <c r="B88" s="1241">
        <f>SUM(B82:B87)</f>
        <v>29927314</v>
      </c>
      <c r="C88" s="1241">
        <f>SUM(C82:C87)</f>
        <v>0</v>
      </c>
      <c r="D88" s="1241">
        <f>SUM(D82:D87)</f>
        <v>29927314</v>
      </c>
    </row>
    <row r="89" spans="1:4">
      <c r="A89" s="689"/>
      <c r="B89" s="1242"/>
      <c r="C89" s="1242"/>
      <c r="D89" s="1242"/>
    </row>
    <row r="90" spans="1:4">
      <c r="A90" s="689" t="s">
        <v>69</v>
      </c>
      <c r="B90" s="1242">
        <f>+B79-B88</f>
        <v>1937319</v>
      </c>
      <c r="C90" s="1242">
        <f>+C79-C88</f>
        <v>0</v>
      </c>
      <c r="D90" s="1242">
        <f>+D79-D88</f>
        <v>1937319</v>
      </c>
    </row>
    <row r="91" spans="1:4" hidden="1">
      <c r="A91" s="1165"/>
      <c r="B91" s="1240"/>
      <c r="C91" s="1240"/>
      <c r="D91" s="1240"/>
    </row>
    <row r="92" spans="1:4" hidden="1">
      <c r="A92" s="1165" t="s">
        <v>68</v>
      </c>
      <c r="B92" s="1240"/>
      <c r="C92" s="1240"/>
      <c r="D92" s="1240"/>
    </row>
    <row r="93" spans="1:4" hidden="1">
      <c r="A93" s="689" t="s">
        <v>69</v>
      </c>
      <c r="B93" s="1240">
        <f>B90-SUM(B91:B92)</f>
        <v>1937319</v>
      </c>
      <c r="C93" s="1240">
        <f>C90-SUM(C91:C92)</f>
        <v>0</v>
      </c>
      <c r="D93" s="1240">
        <f>D90-SUM(D91:D92)</f>
        <v>1937319</v>
      </c>
    </row>
    <row r="94" spans="1:4">
      <c r="A94" s="689"/>
      <c r="B94" s="1240"/>
      <c r="C94" s="1240"/>
      <c r="D94" s="1240"/>
    </row>
    <row r="95" spans="1:4">
      <c r="A95" s="689" t="s">
        <v>70</v>
      </c>
      <c r="B95" s="1240"/>
      <c r="C95" s="1240"/>
      <c r="D95" s="1240"/>
    </row>
    <row r="96" spans="1:4">
      <c r="A96" s="1165" t="s">
        <v>71</v>
      </c>
      <c r="B96" s="1246">
        <f>ROUND(0/Master!$B$23,0)</f>
        <v>0</v>
      </c>
      <c r="C96" s="1240"/>
      <c r="D96" s="1240">
        <f>+B96+C96</f>
        <v>0</v>
      </c>
    </row>
    <row r="97" spans="1:4" hidden="1">
      <c r="A97" s="1165" t="s">
        <v>2213</v>
      </c>
      <c r="B97" s="1230">
        <f>ROUND(0/Master!$B$23,0)</f>
        <v>0</v>
      </c>
      <c r="C97" s="1240"/>
      <c r="D97" s="1240">
        <f>+B97+C97</f>
        <v>0</v>
      </c>
    </row>
    <row r="98" spans="1:4" hidden="1">
      <c r="A98" s="1165" t="s">
        <v>73</v>
      </c>
      <c r="B98" s="1230">
        <f>ROUND(0/Master!$B$23,0)</f>
        <v>0</v>
      </c>
      <c r="C98" s="1240"/>
      <c r="D98" s="1240">
        <f>+B98+C98</f>
        <v>0</v>
      </c>
    </row>
    <row r="99" spans="1:4">
      <c r="A99" s="1165" t="s">
        <v>2215</v>
      </c>
      <c r="B99" s="1230">
        <f>ROUND(3493007/Master!$B$23,0)</f>
        <v>3493007</v>
      </c>
      <c r="C99" s="1240"/>
      <c r="D99" s="1240">
        <f>+B99+C99</f>
        <v>3493007</v>
      </c>
    </row>
    <row r="100" spans="1:4">
      <c r="A100" s="1165" t="s">
        <v>695</v>
      </c>
      <c r="B100" s="1230">
        <f>ROUND(0/Master!$B$23,0)</f>
        <v>0</v>
      </c>
      <c r="C100" s="1240">
        <f>ROUND(+'PL Gr'!G453/Master!$B$23,0)</f>
        <v>0</v>
      </c>
      <c r="D100" s="1240">
        <f>+B100+C100</f>
        <v>0</v>
      </c>
    </row>
    <row r="101" spans="1:4">
      <c r="A101" s="689" t="s">
        <v>74</v>
      </c>
      <c r="B101" s="1241">
        <f>SUM(B96:B100)</f>
        <v>3493007</v>
      </c>
      <c r="C101" s="1241">
        <f>SUM(C96:C100)</f>
        <v>0</v>
      </c>
      <c r="D101" s="1241">
        <f>SUM(D96:D100)</f>
        <v>3493007</v>
      </c>
    </row>
    <row r="102" spans="1:4">
      <c r="A102" s="689"/>
      <c r="B102" s="1240"/>
      <c r="C102" s="1240"/>
      <c r="D102" s="1240"/>
    </row>
    <row r="103" spans="1:4" ht="15" thickBot="1">
      <c r="A103" s="689" t="s">
        <v>1915</v>
      </c>
      <c r="B103" s="1243">
        <f>+B93-B101</f>
        <v>-1555688</v>
      </c>
      <c r="C103" s="1243">
        <f>+C93-C101</f>
        <v>0</v>
      </c>
      <c r="D103" s="1243">
        <f>+D93-D101</f>
        <v>-1555688</v>
      </c>
    </row>
    <row r="104" spans="1:4" ht="15" thickTop="1">
      <c r="A104" s="689"/>
      <c r="B104" s="1240"/>
      <c r="C104" s="1240"/>
      <c r="D104" s="1240"/>
    </row>
    <row r="105" spans="1:4">
      <c r="A105" s="689" t="s">
        <v>75</v>
      </c>
      <c r="B105" s="1240"/>
      <c r="C105" s="1240"/>
      <c r="D105" s="1240"/>
    </row>
    <row r="106" spans="1:4">
      <c r="A106" s="1165" t="s">
        <v>76</v>
      </c>
      <c r="B106" s="1240"/>
      <c r="C106" s="1240"/>
      <c r="D106" s="1240">
        <f>+B106+C106</f>
        <v>0</v>
      </c>
    </row>
    <row r="107" spans="1:4" ht="27">
      <c r="A107" s="1244" t="s">
        <v>2218</v>
      </c>
      <c r="B107" s="1230">
        <f>ROUND(-170898/Master!$B$23,0)</f>
        <v>-170898</v>
      </c>
      <c r="C107" s="1240"/>
      <c r="D107" s="1240">
        <f>+B107+C107</f>
        <v>-170898</v>
      </c>
    </row>
    <row r="108" spans="1:4">
      <c r="A108" s="1244" t="s">
        <v>2214</v>
      </c>
      <c r="B108" s="1246">
        <f>ROUND(44433/Master!$B$23,0)</f>
        <v>44433</v>
      </c>
      <c r="C108" s="1240"/>
      <c r="D108" s="1247">
        <f>+B108+C108</f>
        <v>44433</v>
      </c>
    </row>
    <row r="109" spans="1:4" hidden="1">
      <c r="A109" s="754" t="s">
        <v>77</v>
      </c>
      <c r="B109" s="1230">
        <f>ROUND(0/Master!$B$23,0)</f>
        <v>0</v>
      </c>
      <c r="C109" s="1240"/>
      <c r="D109" s="1240">
        <f>+B109+C109</f>
        <v>0</v>
      </c>
    </row>
    <row r="110" spans="1:4">
      <c r="A110" s="1165"/>
      <c r="B110" s="1245"/>
      <c r="C110" s="1245"/>
      <c r="D110" s="1245"/>
    </row>
    <row r="111" spans="1:4" ht="15" thickBot="1">
      <c r="A111" s="689" t="s">
        <v>1916</v>
      </c>
      <c r="B111" s="1243">
        <f>SUM(B107:B109)</f>
        <v>-126465</v>
      </c>
      <c r="C111" s="1243">
        <f>SUM(C107:C109)</f>
        <v>0</v>
      </c>
      <c r="D111" s="1243">
        <f>SUM(D107:D109)</f>
        <v>-126465</v>
      </c>
    </row>
    <row r="112" spans="1:4" ht="15" thickTop="1">
      <c r="A112" s="689"/>
      <c r="B112" s="1240"/>
      <c r="C112" s="1240"/>
      <c r="D112" s="1240"/>
    </row>
    <row r="113" spans="1:4" ht="15" thickBot="1">
      <c r="A113" s="689" t="s">
        <v>1917</v>
      </c>
      <c r="B113" s="1243">
        <f>B103+B111</f>
        <v>-1682153</v>
      </c>
      <c r="C113" s="1243">
        <f>C103+C111</f>
        <v>0</v>
      </c>
      <c r="D113" s="1243">
        <f>D103+D111</f>
        <v>-1682153</v>
      </c>
    </row>
    <row r="114" spans="1:4" ht="15" thickTop="1"/>
  </sheetData>
  <mergeCells count="1">
    <mergeCell ref="B8:D8"/>
  </mergeCells>
  <pageMargins left="0.7" right="0.7" top="0.75" bottom="0.75" header="0.3" footer="0.3"/>
  <pageSetup paperSize="9" scale="70" orientation="portrait" r:id="rId1"/>
  <rowBreaks count="1" manualBreakCount="1">
    <brk id="70"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84"/>
  <sheetViews>
    <sheetView showGridLines="0" zoomScaleNormal="100" zoomScaleSheetLayoutView="90" workbookViewId="0">
      <selection activeCell="A85" sqref="A85:XFD103"/>
    </sheetView>
  </sheetViews>
  <sheetFormatPr defaultColWidth="9.21875" defaultRowHeight="13.2"/>
  <cols>
    <col min="1" max="1" width="49.88671875" style="993" customWidth="1"/>
    <col min="2" max="2" width="3.6640625" style="993" customWidth="1"/>
    <col min="3" max="3" width="9.21875" style="993" customWidth="1"/>
    <col min="4" max="4" width="0.77734375" style="993" customWidth="1"/>
    <col min="5" max="5" width="9.21875" style="993" hidden="1" customWidth="1"/>
    <col min="6" max="6" width="9.21875" style="993" customWidth="1"/>
    <col min="7" max="7" width="18.77734375" style="993" customWidth="1"/>
    <col min="8" max="8" width="0.77734375" style="993" customWidth="1"/>
    <col min="9" max="9" width="18.77734375" style="993" customWidth="1"/>
    <col min="10" max="10" width="15" style="993" hidden="1" customWidth="1"/>
    <col min="11" max="11" width="11.77734375" style="993" hidden="1" customWidth="1"/>
    <col min="12" max="12" width="14.77734375" style="993" hidden="1" customWidth="1"/>
    <col min="13" max="16" width="9.21875" style="993" hidden="1" customWidth="1"/>
    <col min="17" max="19" width="9.21875" style="993" customWidth="1"/>
    <col min="20" max="20" width="10.21875" style="993" bestFit="1" customWidth="1"/>
    <col min="21" max="22" width="9.21875" style="993" customWidth="1"/>
    <col min="23" max="23" width="12.77734375" style="993" bestFit="1" customWidth="1"/>
    <col min="24" max="24" width="12.21875" style="993" bestFit="1" customWidth="1"/>
    <col min="25" max="26" width="9.21875" style="993"/>
    <col min="27" max="28" width="11.21875" style="993" bestFit="1" customWidth="1"/>
    <col min="29" max="16384" width="9.21875" style="993"/>
  </cols>
  <sheetData>
    <row r="1" spans="1:27">
      <c r="A1" s="725"/>
      <c r="B1" s="725"/>
      <c r="C1" s="991"/>
      <c r="D1" s="991"/>
      <c r="E1" s="992"/>
      <c r="F1" s="992"/>
      <c r="G1" s="992"/>
      <c r="H1" s="992"/>
      <c r="I1" s="992"/>
      <c r="J1" s="991"/>
      <c r="K1" s="991"/>
      <c r="L1" s="991"/>
    </row>
    <row r="2" spans="1:27">
      <c r="A2" s="728"/>
      <c r="B2" s="729"/>
      <c r="C2" s="994"/>
      <c r="D2" s="991"/>
      <c r="E2" s="992"/>
      <c r="F2" s="992"/>
      <c r="G2" s="992"/>
      <c r="H2" s="992"/>
      <c r="I2" s="992"/>
      <c r="J2" s="991"/>
      <c r="K2" s="991"/>
      <c r="L2" s="991"/>
    </row>
    <row r="3" spans="1:27">
      <c r="A3" s="730" t="s">
        <v>3031</v>
      </c>
      <c r="B3" s="729"/>
      <c r="C3" s="991"/>
      <c r="D3" s="991"/>
      <c r="E3" s="992"/>
      <c r="F3" s="992"/>
      <c r="G3" s="992"/>
      <c r="H3" s="992"/>
      <c r="I3" s="992"/>
      <c r="J3" s="991"/>
      <c r="K3" s="991"/>
      <c r="L3" s="991"/>
    </row>
    <row r="4" spans="1:27">
      <c r="A4" s="1041" t="s">
        <v>2020</v>
      </c>
      <c r="B4" s="729"/>
      <c r="C4" s="991"/>
      <c r="D4" s="991"/>
      <c r="E4" s="992"/>
      <c r="F4" s="992"/>
      <c r="G4" s="992"/>
      <c r="H4" s="992"/>
      <c r="I4" s="992"/>
      <c r="J4" s="991"/>
      <c r="K4" s="991"/>
      <c r="L4" s="991"/>
    </row>
    <row r="5" spans="1:27" ht="6.75" customHeight="1">
      <c r="A5" s="731"/>
      <c r="B5" s="729"/>
      <c r="C5" s="991"/>
      <c r="D5" s="991"/>
      <c r="E5" s="992"/>
      <c r="F5" s="992"/>
      <c r="G5" s="992"/>
      <c r="H5" s="992"/>
      <c r="I5" s="732"/>
      <c r="J5" s="991"/>
      <c r="K5" s="991"/>
      <c r="L5" s="991"/>
    </row>
    <row r="6" spans="1:27">
      <c r="A6" s="728"/>
      <c r="B6" s="728"/>
      <c r="C6" s="991"/>
      <c r="D6" s="991"/>
      <c r="E6" s="992"/>
      <c r="F6" s="992"/>
      <c r="G6" s="734" t="s">
        <v>490</v>
      </c>
      <c r="H6" s="734"/>
      <c r="I6" s="734" t="s">
        <v>490</v>
      </c>
      <c r="J6" s="991"/>
      <c r="K6" s="991"/>
      <c r="L6" s="991"/>
    </row>
    <row r="7" spans="1:27">
      <c r="A7" s="756" t="s">
        <v>835</v>
      </c>
      <c r="B7" s="995"/>
      <c r="C7" s="757" t="s">
        <v>1979</v>
      </c>
      <c r="D7" s="757"/>
      <c r="E7" s="758"/>
      <c r="F7" s="759"/>
      <c r="G7" s="760">
        <v>45747</v>
      </c>
      <c r="H7" s="761"/>
      <c r="I7" s="760">
        <v>45382</v>
      </c>
      <c r="J7" s="996"/>
      <c r="K7" s="996"/>
      <c r="L7" s="996"/>
    </row>
    <row r="8" spans="1:27" ht="3" customHeight="1">
      <c r="A8" s="817"/>
      <c r="B8" s="1266"/>
      <c r="C8" s="1267"/>
      <c r="D8" s="1267"/>
      <c r="E8" s="865"/>
      <c r="F8" s="1268"/>
      <c r="G8" s="1265"/>
      <c r="H8" s="1269"/>
      <c r="I8" s="1265"/>
      <c r="J8" s="996"/>
      <c r="K8" s="996"/>
      <c r="L8" s="996"/>
    </row>
    <row r="9" spans="1:27">
      <c r="A9" s="689" t="s">
        <v>145</v>
      </c>
      <c r="B9" s="689"/>
      <c r="C9" s="737"/>
      <c r="D9" s="996"/>
      <c r="E9" s="738"/>
      <c r="F9" s="998"/>
      <c r="G9" s="999"/>
      <c r="H9" s="999"/>
      <c r="I9" s="999"/>
      <c r="J9" s="991"/>
      <c r="K9" s="991"/>
      <c r="L9" s="991"/>
    </row>
    <row r="10" spans="1:27">
      <c r="A10" s="689" t="s">
        <v>13</v>
      </c>
      <c r="B10" s="689"/>
      <c r="C10" s="737"/>
      <c r="D10" s="996"/>
      <c r="E10" s="738"/>
      <c r="F10" s="998"/>
      <c r="G10" s="999"/>
      <c r="H10" s="999"/>
      <c r="I10" s="999"/>
      <c r="J10" s="991"/>
      <c r="K10" s="991"/>
      <c r="L10" s="991"/>
      <c r="Y10" s="1169" t="s">
        <v>2324</v>
      </c>
      <c r="Z10" s="1169" t="s">
        <v>523</v>
      </c>
    </row>
    <row r="11" spans="1:27">
      <c r="A11" s="1148" t="s">
        <v>1831</v>
      </c>
      <c r="B11" s="987"/>
      <c r="C11" s="1112">
        <f>'3-4'!A7</f>
        <v>3</v>
      </c>
      <c r="D11" s="996"/>
      <c r="E11" s="1726">
        <f>ROUND(G11/10^5,0)</f>
        <v>0</v>
      </c>
      <c r="F11" s="998"/>
      <c r="G11" s="1143">
        <f>'Sch - BS'!G9</f>
        <v>-1</v>
      </c>
      <c r="H11" s="998"/>
      <c r="I11" s="1000">
        <f>'Sch - BS'!I9</f>
        <v>-1</v>
      </c>
      <c r="J11" s="1002">
        <f>+G11-I11</f>
        <v>0</v>
      </c>
      <c r="K11" s="991"/>
      <c r="L11" s="1004">
        <f>+J11+K11</f>
        <v>0</v>
      </c>
      <c r="Q11" s="1003">
        <f>ROUND(G11,0)</f>
        <v>-1</v>
      </c>
      <c r="W11" s="1003">
        <f>+G11-I11</f>
        <v>0</v>
      </c>
      <c r="X11" s="1003">
        <f>+G11-W11</f>
        <v>-1</v>
      </c>
      <c r="Y11" s="993">
        <v>0</v>
      </c>
      <c r="Z11" s="1003">
        <f>+G11-Y11</f>
        <v>-1</v>
      </c>
    </row>
    <row r="12" spans="1:27" ht="15" hidden="1" customHeight="1">
      <c r="A12" s="987" t="s">
        <v>14</v>
      </c>
      <c r="B12" s="987"/>
      <c r="C12" s="1112">
        <f>'3-4'!A7</f>
        <v>3</v>
      </c>
      <c r="D12" s="996"/>
      <c r="E12" s="1726">
        <f t="shared" ref="E12:E21" si="0">ROUND(G12/10^5,0)</f>
        <v>0</v>
      </c>
      <c r="F12" s="998"/>
      <c r="G12" s="738">
        <f>'Sch - BS'!G11</f>
        <v>0</v>
      </c>
      <c r="H12" s="998"/>
      <c r="I12" s="1000">
        <f>'Sch - BS'!I11</f>
        <v>0</v>
      </c>
      <c r="J12" s="1002">
        <f>+G12-I12</f>
        <v>0</v>
      </c>
      <c r="K12" s="991"/>
      <c r="L12" s="1004">
        <f t="shared" ref="L12:L19" si="1">+J12-K12</f>
        <v>0</v>
      </c>
      <c r="Q12" s="1003">
        <f t="shared" ref="Q12:Q21" si="2">ROUND(G12,0)</f>
        <v>0</v>
      </c>
      <c r="W12" s="993">
        <v>0</v>
      </c>
      <c r="X12" s="1003">
        <f t="shared" ref="X12:X57" si="3">+G12-W12</f>
        <v>0</v>
      </c>
      <c r="Y12" s="993">
        <v>0</v>
      </c>
      <c r="Z12" s="1003">
        <f t="shared" ref="Z12:Z68" si="4">+G12-Y12</f>
        <v>0</v>
      </c>
    </row>
    <row r="13" spans="1:27" ht="15" hidden="1" customHeight="1">
      <c r="A13" s="987" t="s">
        <v>15</v>
      </c>
      <c r="B13" s="987"/>
      <c r="C13" s="1112">
        <f>'3-4'!A7</f>
        <v>3</v>
      </c>
      <c r="D13" s="996"/>
      <c r="E13" s="1726">
        <f t="shared" si="0"/>
        <v>0</v>
      </c>
      <c r="F13" s="998"/>
      <c r="G13" s="738">
        <f>'Sch - BS'!G10</f>
        <v>0</v>
      </c>
      <c r="H13" s="998"/>
      <c r="I13" s="1000">
        <f>'Sch - BS'!I10</f>
        <v>0</v>
      </c>
      <c r="J13" s="1002">
        <f>+G13-I13</f>
        <v>0</v>
      </c>
      <c r="K13" s="991"/>
      <c r="L13" s="1004">
        <f t="shared" si="1"/>
        <v>0</v>
      </c>
      <c r="Q13" s="1003">
        <f t="shared" si="2"/>
        <v>0</v>
      </c>
      <c r="W13" s="993">
        <v>0</v>
      </c>
      <c r="X13" s="1003">
        <f t="shared" si="3"/>
        <v>0</v>
      </c>
      <c r="Y13" s="993">
        <v>0</v>
      </c>
      <c r="Z13" s="1003">
        <f t="shared" si="4"/>
        <v>0</v>
      </c>
    </row>
    <row r="14" spans="1:27">
      <c r="A14" s="1165" t="s">
        <v>2305</v>
      </c>
      <c r="B14" s="987"/>
      <c r="C14" s="1112" t="str">
        <f>+'3-4'!A47</f>
        <v>3A</v>
      </c>
      <c r="D14" s="996"/>
      <c r="E14" s="1726">
        <f t="shared" si="0"/>
        <v>32</v>
      </c>
      <c r="F14" s="998"/>
      <c r="G14" s="1250">
        <f>'3-4'!J69</f>
        <v>3218600.4</v>
      </c>
      <c r="H14" s="998"/>
      <c r="I14" s="1250">
        <f>'3-4'!J70</f>
        <v>6258296</v>
      </c>
      <c r="J14" s="1002">
        <f>+G14-I14</f>
        <v>-3039695.6</v>
      </c>
      <c r="K14" s="991">
        <f>+CF!F13</f>
        <v>3206674</v>
      </c>
      <c r="L14" s="1004">
        <f>+J14+K14</f>
        <v>166978.39999999991</v>
      </c>
      <c r="Q14" s="1003">
        <f t="shared" si="2"/>
        <v>3218600</v>
      </c>
      <c r="S14" s="993">
        <v>3218601</v>
      </c>
      <c r="T14" s="1003">
        <f>G14-S14</f>
        <v>-0.60000000009313226</v>
      </c>
      <c r="W14" s="1003">
        <f>+G14-I14</f>
        <v>-3039695.6</v>
      </c>
      <c r="X14" s="1003">
        <f t="shared" si="3"/>
        <v>6258296</v>
      </c>
      <c r="Y14" s="993">
        <v>158</v>
      </c>
      <c r="Z14" s="1003">
        <f t="shared" si="4"/>
        <v>3218442.4</v>
      </c>
      <c r="AA14" s="1003">
        <f>+G14+PL!F17-827641</f>
        <v>5597633.4000000004</v>
      </c>
    </row>
    <row r="15" spans="1:27">
      <c r="A15" s="987" t="s">
        <v>16</v>
      </c>
      <c r="B15" s="987"/>
      <c r="C15" s="1112"/>
      <c r="D15" s="996"/>
      <c r="E15" s="1726">
        <f t="shared" si="0"/>
        <v>0</v>
      </c>
      <c r="F15" s="998"/>
      <c r="G15" s="741"/>
      <c r="H15" s="998"/>
      <c r="I15" s="992"/>
      <c r="J15" s="991"/>
      <c r="K15" s="991"/>
      <c r="L15" s="1004">
        <f>+J15+K15</f>
        <v>0</v>
      </c>
      <c r="Q15" s="1003">
        <f t="shared" si="2"/>
        <v>0</v>
      </c>
      <c r="X15" s="1003">
        <f t="shared" si="3"/>
        <v>0</v>
      </c>
      <c r="Z15" s="1003">
        <f t="shared" si="4"/>
        <v>0</v>
      </c>
      <c r="AA15" s="1003">
        <f>+W48+W60</f>
        <v>-3415049</v>
      </c>
    </row>
    <row r="16" spans="1:27" ht="15" hidden="1" customHeight="1">
      <c r="A16" s="1001" t="s">
        <v>17</v>
      </c>
      <c r="B16" s="987"/>
      <c r="C16" s="1112"/>
      <c r="D16" s="996"/>
      <c r="E16" s="1726">
        <f t="shared" si="0"/>
        <v>0</v>
      </c>
      <c r="F16" s="998"/>
      <c r="G16" s="738">
        <f>'Sch - BS'!G31</f>
        <v>0</v>
      </c>
      <c r="H16" s="998"/>
      <c r="I16" s="1000">
        <f>'Sch - BS'!I31</f>
        <v>0</v>
      </c>
      <c r="J16" s="991"/>
      <c r="K16" s="991"/>
      <c r="L16" s="1004">
        <f t="shared" si="1"/>
        <v>0</v>
      </c>
      <c r="Q16" s="1003">
        <f t="shared" si="2"/>
        <v>0</v>
      </c>
      <c r="W16" s="993">
        <v>0</v>
      </c>
      <c r="X16" s="1003">
        <f t="shared" si="3"/>
        <v>0</v>
      </c>
      <c r="Y16" s="993">
        <v>0</v>
      </c>
      <c r="Z16" s="1003">
        <f t="shared" si="4"/>
        <v>0</v>
      </c>
    </row>
    <row r="17" spans="1:27" ht="15" hidden="1" customHeight="1">
      <c r="A17" s="1001" t="s">
        <v>18</v>
      </c>
      <c r="B17" s="987"/>
      <c r="C17" s="1112"/>
      <c r="D17" s="996"/>
      <c r="E17" s="1726">
        <f t="shared" si="0"/>
        <v>0</v>
      </c>
      <c r="F17" s="998"/>
      <c r="G17" s="738">
        <f>'Sch - BS'!G35</f>
        <v>0</v>
      </c>
      <c r="H17" s="998"/>
      <c r="I17" s="1000">
        <f>'Sch - BS'!I35</f>
        <v>0</v>
      </c>
      <c r="J17" s="991"/>
      <c r="K17" s="991"/>
      <c r="L17" s="1004">
        <f t="shared" si="1"/>
        <v>0</v>
      </c>
      <c r="Q17" s="1003">
        <f t="shared" si="2"/>
        <v>0</v>
      </c>
      <c r="W17" s="993">
        <v>0</v>
      </c>
      <c r="X17" s="1003">
        <f t="shared" si="3"/>
        <v>0</v>
      </c>
      <c r="Y17" s="993">
        <v>0</v>
      </c>
      <c r="Z17" s="1003">
        <f t="shared" si="4"/>
        <v>0</v>
      </c>
    </row>
    <row r="18" spans="1:27">
      <c r="A18" s="1001" t="s">
        <v>19</v>
      </c>
      <c r="B18" s="987"/>
      <c r="C18" s="1112">
        <f>'3-4'!A74</f>
        <v>4</v>
      </c>
      <c r="D18" s="996"/>
      <c r="E18" s="1726">
        <f t="shared" si="0"/>
        <v>0</v>
      </c>
      <c r="F18" s="998"/>
      <c r="G18" s="1000">
        <f>'Sch - BS'!G47</f>
        <v>0</v>
      </c>
      <c r="H18" s="998"/>
      <c r="I18" s="1000">
        <f>'Sch - BS'!I47</f>
        <v>2602786</v>
      </c>
      <c r="J18" s="1002">
        <f>+G18-I18</f>
        <v>-2602786</v>
      </c>
      <c r="K18" s="991"/>
      <c r="L18" s="1004">
        <f>+J18+K18</f>
        <v>-2602786</v>
      </c>
      <c r="Q18" s="1003">
        <f t="shared" si="2"/>
        <v>0</v>
      </c>
      <c r="W18" s="1003">
        <f>+G18-I18</f>
        <v>-2602786</v>
      </c>
      <c r="X18" s="1003">
        <f t="shared" si="3"/>
        <v>2602786</v>
      </c>
      <c r="Y18" s="993">
        <v>0</v>
      </c>
      <c r="Z18" s="1003">
        <f t="shared" si="4"/>
        <v>0</v>
      </c>
      <c r="AA18" s="1003">
        <f>+AA14-AA15</f>
        <v>9012682.4000000004</v>
      </c>
    </row>
    <row r="19" spans="1:27">
      <c r="A19" s="987" t="s">
        <v>20</v>
      </c>
      <c r="B19" s="987"/>
      <c r="C19" s="1112">
        <f>+'5-9'!A7*0+'10-17'!A232</f>
        <v>14</v>
      </c>
      <c r="D19" s="996"/>
      <c r="E19" s="1726">
        <f t="shared" si="0"/>
        <v>33</v>
      </c>
      <c r="F19" s="998"/>
      <c r="G19" s="1000">
        <f>-'Sch - BS'!G53</f>
        <v>3328863</v>
      </c>
      <c r="H19" s="998"/>
      <c r="I19" s="1000">
        <f>-'Sch - BS'!I53</f>
        <v>6767874</v>
      </c>
      <c r="J19" s="1002"/>
      <c r="K19" s="991"/>
      <c r="L19" s="1004">
        <f t="shared" si="1"/>
        <v>0</v>
      </c>
      <c r="Q19" s="1003">
        <f t="shared" si="2"/>
        <v>3328863</v>
      </c>
      <c r="W19" s="993">
        <v>0</v>
      </c>
      <c r="X19" s="1003">
        <f t="shared" si="3"/>
        <v>3328863</v>
      </c>
      <c r="Y19" s="993">
        <v>0</v>
      </c>
      <c r="Z19" s="1003">
        <f t="shared" si="4"/>
        <v>3328863</v>
      </c>
    </row>
    <row r="20" spans="1:27">
      <c r="A20" s="987" t="s">
        <v>21</v>
      </c>
      <c r="B20" s="987"/>
      <c r="C20" s="1112">
        <f>'5-9'!A40</f>
        <v>5</v>
      </c>
      <c r="D20" s="996"/>
      <c r="E20" s="1726">
        <f t="shared" si="0"/>
        <v>113</v>
      </c>
      <c r="F20" s="998"/>
      <c r="G20" s="1000">
        <f>'Sch - BS'!G76</f>
        <v>11303080</v>
      </c>
      <c r="H20" s="998"/>
      <c r="I20" s="1000">
        <f>'Sch - BS'!I76</f>
        <v>11303080</v>
      </c>
      <c r="J20" s="1002">
        <f>+G20-I20</f>
        <v>0</v>
      </c>
      <c r="K20" s="991"/>
      <c r="L20" s="1004">
        <f>+J20+K20</f>
        <v>0</v>
      </c>
      <c r="Q20" s="1003">
        <f t="shared" si="2"/>
        <v>11303080</v>
      </c>
      <c r="W20" s="1003">
        <f>+G20-I20</f>
        <v>0</v>
      </c>
      <c r="X20" s="1003">
        <f t="shared" si="3"/>
        <v>11303080</v>
      </c>
      <c r="Y20" s="993">
        <v>113</v>
      </c>
      <c r="Z20" s="1003">
        <f t="shared" si="4"/>
        <v>11302967</v>
      </c>
    </row>
    <row r="21" spans="1:27">
      <c r="A21" s="987" t="s">
        <v>22</v>
      </c>
      <c r="B21" s="987"/>
      <c r="C21" s="1112">
        <f>+'18-26'!A189</f>
        <v>25</v>
      </c>
      <c r="D21" s="996"/>
      <c r="E21" s="1726">
        <f t="shared" si="0"/>
        <v>-8</v>
      </c>
      <c r="F21" s="998"/>
      <c r="G21" s="1000">
        <f>'Sch - BS'!G82</f>
        <v>-839640</v>
      </c>
      <c r="H21" s="998"/>
      <c r="I21" s="1000">
        <f>'Sch - BS'!I82</f>
        <v>40668266</v>
      </c>
      <c r="J21" s="1002">
        <f>+G21-I21</f>
        <v>-41507906</v>
      </c>
      <c r="K21" s="991">
        <f>+CF!F45</f>
        <v>-1105803</v>
      </c>
      <c r="L21" s="1004">
        <f>+J21+K21</f>
        <v>-42613709</v>
      </c>
      <c r="O21" s="993">
        <v>42020656</v>
      </c>
      <c r="P21" s="1003">
        <f>O21-I21</f>
        <v>1352390</v>
      </c>
      <c r="Q21" s="1003">
        <f t="shared" si="2"/>
        <v>-839640</v>
      </c>
      <c r="W21" s="1003">
        <f>+G21-I21</f>
        <v>-41507906</v>
      </c>
      <c r="X21" s="1003">
        <f t="shared" si="3"/>
        <v>40668266</v>
      </c>
      <c r="Y21" s="1003">
        <v>418</v>
      </c>
      <c r="Z21" s="1003">
        <f t="shared" si="4"/>
        <v>-840058</v>
      </c>
    </row>
    <row r="22" spans="1:27">
      <c r="A22" s="689" t="s">
        <v>23</v>
      </c>
      <c r="B22" s="689"/>
      <c r="C22" s="1112"/>
      <c r="D22" s="996"/>
      <c r="E22" s="738">
        <f>SUM(E11:E21)</f>
        <v>170</v>
      </c>
      <c r="F22" s="998"/>
      <c r="G22" s="743">
        <f>SUM(G11:G21)</f>
        <v>17010902.399999999</v>
      </c>
      <c r="H22" s="998"/>
      <c r="I22" s="743">
        <f>SUM(I11:I21)</f>
        <v>67600301</v>
      </c>
      <c r="J22" s="991"/>
      <c r="K22" s="991"/>
      <c r="L22" s="991"/>
      <c r="Q22" s="743">
        <f>SUM(Q11:Q21)</f>
        <v>17010902</v>
      </c>
      <c r="W22" s="1003">
        <f>+G22-I22</f>
        <v>-50589398.600000001</v>
      </c>
      <c r="X22" s="1003">
        <f t="shared" si="3"/>
        <v>67600301</v>
      </c>
      <c r="Y22" s="993">
        <v>689</v>
      </c>
      <c r="Z22" s="1003">
        <f t="shared" si="4"/>
        <v>17010213.399999999</v>
      </c>
    </row>
    <row r="23" spans="1:27">
      <c r="A23" s="689"/>
      <c r="B23" s="689"/>
      <c r="C23" s="1112"/>
      <c r="D23" s="996"/>
      <c r="E23" s="738"/>
      <c r="F23" s="741"/>
      <c r="G23" s="738"/>
      <c r="H23" s="998"/>
      <c r="I23" s="1000"/>
      <c r="J23" s="991"/>
      <c r="K23" s="991"/>
      <c r="L23" s="991"/>
      <c r="Q23" s="1003"/>
      <c r="X23" s="1003">
        <f t="shared" si="3"/>
        <v>0</v>
      </c>
      <c r="Z23" s="1003">
        <f t="shared" si="4"/>
        <v>0</v>
      </c>
    </row>
    <row r="24" spans="1:27">
      <c r="A24" s="689" t="s">
        <v>24</v>
      </c>
      <c r="B24" s="689"/>
      <c r="C24" s="1112"/>
      <c r="D24" s="996"/>
      <c r="E24" s="738"/>
      <c r="F24" s="998"/>
      <c r="G24" s="999"/>
      <c r="H24" s="999"/>
      <c r="I24" s="999"/>
      <c r="J24" s="1002"/>
      <c r="K24" s="991"/>
      <c r="L24" s="991"/>
      <c r="Q24" s="1003"/>
      <c r="X24" s="1003">
        <f t="shared" si="3"/>
        <v>0</v>
      </c>
      <c r="Z24" s="1003">
        <f t="shared" si="4"/>
        <v>0</v>
      </c>
    </row>
    <row r="25" spans="1:27">
      <c r="A25" s="987" t="s">
        <v>16</v>
      </c>
      <c r="B25" s="689"/>
      <c r="C25" s="1112"/>
      <c r="D25" s="996"/>
      <c r="E25" s="738"/>
      <c r="F25" s="998"/>
      <c r="G25" s="999"/>
      <c r="H25" s="999"/>
      <c r="I25" s="999"/>
      <c r="J25" s="991"/>
      <c r="K25" s="991"/>
      <c r="L25" s="991"/>
      <c r="Q25" s="1003"/>
      <c r="X25" s="1003">
        <f t="shared" si="3"/>
        <v>0</v>
      </c>
      <c r="Z25" s="1003">
        <f t="shared" si="4"/>
        <v>0</v>
      </c>
    </row>
    <row r="26" spans="1:27" ht="15" hidden="1" customHeight="1">
      <c r="A26" s="1231" t="s">
        <v>17</v>
      </c>
      <c r="B26" s="987"/>
      <c r="C26" s="1112">
        <f>'5-9'!A62</f>
        <v>6</v>
      </c>
      <c r="D26" s="996"/>
      <c r="E26" s="738">
        <f>G26/10^5</f>
        <v>-1E-4</v>
      </c>
      <c r="F26" s="998"/>
      <c r="G26" s="1000">
        <f>'Sch - BS'!G96</f>
        <v>-10</v>
      </c>
      <c r="H26" s="998"/>
      <c r="I26" s="1000">
        <f>'Sch - BS'!I96</f>
        <v>-10</v>
      </c>
      <c r="J26" s="1002"/>
      <c r="K26" s="1002"/>
      <c r="L26" s="1002"/>
      <c r="Q26" s="1003">
        <v>0</v>
      </c>
      <c r="W26" s="993">
        <v>0</v>
      </c>
      <c r="X26" s="1003">
        <f t="shared" si="3"/>
        <v>-10</v>
      </c>
      <c r="Y26" s="993">
        <v>0</v>
      </c>
      <c r="Z26" s="1003">
        <f t="shared" si="4"/>
        <v>-10</v>
      </c>
    </row>
    <row r="27" spans="1:27">
      <c r="A27" s="1001" t="s">
        <v>25</v>
      </c>
      <c r="B27" s="987"/>
      <c r="C27" s="1112">
        <f>'5-9'!A84</f>
        <v>6</v>
      </c>
      <c r="D27" s="996"/>
      <c r="E27" s="1726">
        <f t="shared" ref="E27:E32" si="5">ROUND(G27/10^5,0)</f>
        <v>86</v>
      </c>
      <c r="F27" s="998"/>
      <c r="G27" s="1000">
        <f>'Sch - BS'!G114+0.12</f>
        <v>8607499.1199999992</v>
      </c>
      <c r="H27" s="998"/>
      <c r="I27" s="1000">
        <f>'Sch - BS'!I114</f>
        <v>2012487</v>
      </c>
      <c r="J27" s="1002">
        <f t="shared" ref="J27:J32" si="6">+G27-I27</f>
        <v>6595012.1199999992</v>
      </c>
      <c r="K27" s="1002">
        <f>CF!F36</f>
        <v>-6693443.1199999992</v>
      </c>
      <c r="L27" s="1004">
        <f>+J27+K27</f>
        <v>-98431</v>
      </c>
      <c r="M27" s="993">
        <v>75</v>
      </c>
      <c r="N27" s="1003">
        <f>I27-M27</f>
        <v>2012412</v>
      </c>
      <c r="Q27" s="1003">
        <f t="shared" ref="Q27:Q33" si="7">ROUND(G27,0)</f>
        <v>8607499</v>
      </c>
      <c r="T27" s="1003">
        <f>G27-I27</f>
        <v>6595012.1199999992</v>
      </c>
      <c r="W27" s="1485">
        <f t="shared" ref="W27:W36" si="8">+G27-I27</f>
        <v>6595012.1199999992</v>
      </c>
      <c r="X27" s="1003">
        <f t="shared" si="3"/>
        <v>2012487</v>
      </c>
      <c r="Y27" s="993">
        <v>25</v>
      </c>
      <c r="Z27" s="1003">
        <f t="shared" si="4"/>
        <v>8607474.1199999992</v>
      </c>
    </row>
    <row r="28" spans="1:27">
      <c r="A28" s="1001" t="s">
        <v>26</v>
      </c>
      <c r="B28" s="987"/>
      <c r="C28" s="1112">
        <f>+'5-9'!A127</f>
        <v>7</v>
      </c>
      <c r="D28" s="996"/>
      <c r="E28" s="1726">
        <f t="shared" si="5"/>
        <v>2437</v>
      </c>
      <c r="F28" s="998"/>
      <c r="G28" s="1000">
        <f>'Sch - BS'!G122</f>
        <v>243659518</v>
      </c>
      <c r="H28" s="998"/>
      <c r="I28" s="1000">
        <f>'Sch - BS'!I122</f>
        <v>243805184</v>
      </c>
      <c r="J28" s="1002">
        <f t="shared" si="6"/>
        <v>-145666</v>
      </c>
      <c r="K28" s="1002"/>
      <c r="L28" s="1004">
        <f>+J28+K28</f>
        <v>-145666</v>
      </c>
      <c r="M28" s="993">
        <v>2218</v>
      </c>
      <c r="N28" s="1003">
        <f>I28-M28</f>
        <v>243802966</v>
      </c>
      <c r="Q28" s="1003">
        <f t="shared" si="7"/>
        <v>243659518</v>
      </c>
      <c r="W28" s="1485">
        <f t="shared" si="8"/>
        <v>-145666</v>
      </c>
      <c r="X28" s="1003">
        <f t="shared" si="3"/>
        <v>243805184</v>
      </c>
      <c r="Y28" s="993">
        <v>2193</v>
      </c>
      <c r="Z28" s="1003">
        <f t="shared" si="4"/>
        <v>243657325</v>
      </c>
    </row>
    <row r="29" spans="1:27" ht="16.5" hidden="1" customHeight="1">
      <c r="A29" s="1001" t="s">
        <v>27</v>
      </c>
      <c r="B29" s="987"/>
      <c r="C29" s="1112"/>
      <c r="D29" s="996"/>
      <c r="E29" s="1250">
        <f t="shared" si="5"/>
        <v>0</v>
      </c>
      <c r="F29" s="998"/>
      <c r="G29" s="1000">
        <f>'Sch - BS'!G128*0</f>
        <v>0</v>
      </c>
      <c r="H29" s="998"/>
      <c r="I29" s="1000">
        <f>'Sch - BS'!I128*0</f>
        <v>0</v>
      </c>
      <c r="J29" s="1002">
        <f t="shared" si="6"/>
        <v>0</v>
      </c>
      <c r="K29" s="1004"/>
      <c r="L29" s="1004">
        <f>+J29-K29</f>
        <v>0</v>
      </c>
      <c r="Q29" s="1003">
        <f t="shared" si="7"/>
        <v>0</v>
      </c>
      <c r="W29" s="1003">
        <f t="shared" si="8"/>
        <v>0</v>
      </c>
      <c r="X29" s="1003">
        <f t="shared" si="3"/>
        <v>0</v>
      </c>
      <c r="Y29" s="993">
        <v>0</v>
      </c>
      <c r="Z29" s="1003">
        <f t="shared" si="4"/>
        <v>0</v>
      </c>
    </row>
    <row r="30" spans="1:27" ht="15" hidden="1" customHeight="1">
      <c r="A30" s="1001" t="s">
        <v>18</v>
      </c>
      <c r="B30" s="987"/>
      <c r="C30" s="1112"/>
      <c r="D30" s="996"/>
      <c r="E30" s="1250">
        <f t="shared" si="5"/>
        <v>0</v>
      </c>
      <c r="F30" s="998"/>
      <c r="G30" s="1000">
        <f>'Sch - BS'!G132</f>
        <v>0</v>
      </c>
      <c r="H30" s="998"/>
      <c r="I30" s="1000">
        <f>'Sch - BS'!I132</f>
        <v>0</v>
      </c>
      <c r="J30" s="1002">
        <f t="shared" si="6"/>
        <v>0</v>
      </c>
      <c r="K30" s="991"/>
      <c r="L30" s="1004">
        <f>+J30-K30</f>
        <v>0</v>
      </c>
      <c r="Q30" s="1003">
        <f t="shared" si="7"/>
        <v>0</v>
      </c>
      <c r="W30" s="1003">
        <f t="shared" si="8"/>
        <v>0</v>
      </c>
      <c r="X30" s="1003">
        <f t="shared" si="3"/>
        <v>0</v>
      </c>
      <c r="Y30" s="993">
        <v>0</v>
      </c>
      <c r="Z30" s="1003">
        <f t="shared" si="4"/>
        <v>0</v>
      </c>
    </row>
    <row r="31" spans="1:27">
      <c r="A31" s="1001" t="s">
        <v>19</v>
      </c>
      <c r="B31" s="987"/>
      <c r="C31" s="1112">
        <f>'5-9'!A162</f>
        <v>8</v>
      </c>
      <c r="D31" s="996"/>
      <c r="E31" s="1294">
        <f t="shared" si="5"/>
        <v>55</v>
      </c>
      <c r="F31" s="998"/>
      <c r="G31" s="1000">
        <f>'Sch - BS'!G148</f>
        <v>5526491</v>
      </c>
      <c r="H31" s="998"/>
      <c r="I31" s="1000">
        <f>'Sch - BS'!I148</f>
        <v>2678928</v>
      </c>
      <c r="J31" s="1002">
        <f t="shared" si="6"/>
        <v>2847563</v>
      </c>
      <c r="K31" s="1005">
        <f>+CF!F37</f>
        <v>182600</v>
      </c>
      <c r="L31" s="1004">
        <f>+J31+K31</f>
        <v>3030163</v>
      </c>
      <c r="M31" s="993">
        <v>20</v>
      </c>
      <c r="N31" s="1003">
        <f>I31-M31</f>
        <v>2678908</v>
      </c>
      <c r="Q31" s="1003">
        <f t="shared" si="7"/>
        <v>5526491</v>
      </c>
      <c r="W31" s="1003">
        <f t="shared" si="8"/>
        <v>2847563</v>
      </c>
      <c r="X31" s="1003">
        <f t="shared" si="3"/>
        <v>2678928</v>
      </c>
      <c r="Y31" s="993">
        <v>32</v>
      </c>
      <c r="Z31" s="1003">
        <f t="shared" si="4"/>
        <v>5526459</v>
      </c>
    </row>
    <row r="32" spans="1:27">
      <c r="A32" s="987" t="s">
        <v>28</v>
      </c>
      <c r="B32" s="987"/>
      <c r="C32" s="1112">
        <f>+'5-9'!A196</f>
        <v>9</v>
      </c>
      <c r="D32" s="996"/>
      <c r="E32" s="1726">
        <f t="shared" si="5"/>
        <v>5</v>
      </c>
      <c r="F32" s="998"/>
      <c r="G32" s="1000">
        <f>'Sch - BS'!G169</f>
        <v>506907</v>
      </c>
      <c r="H32" s="998"/>
      <c r="I32" s="1000">
        <f>'Sch - BS'!I169</f>
        <v>345410</v>
      </c>
      <c r="J32" s="1002">
        <f t="shared" si="6"/>
        <v>161497</v>
      </c>
      <c r="K32" s="991">
        <f>+CF!F38</f>
        <v>-161497</v>
      </c>
      <c r="L32" s="1004">
        <f>+J32+K32</f>
        <v>0</v>
      </c>
      <c r="M32" s="993">
        <v>1</v>
      </c>
      <c r="N32" s="1003">
        <f>I32-M32</f>
        <v>345409</v>
      </c>
      <c r="Q32" s="1003">
        <f t="shared" si="7"/>
        <v>506907</v>
      </c>
      <c r="W32" s="1003">
        <f t="shared" si="8"/>
        <v>161497</v>
      </c>
      <c r="X32" s="1003">
        <f t="shared" si="3"/>
        <v>345410</v>
      </c>
      <c r="Y32" s="993">
        <v>1</v>
      </c>
      <c r="Z32" s="1003">
        <f t="shared" si="4"/>
        <v>506906</v>
      </c>
    </row>
    <row r="33" spans="1:28" hidden="1">
      <c r="A33" s="987" t="s">
        <v>22</v>
      </c>
      <c r="B33" s="987"/>
      <c r="C33" s="1112">
        <f>+'18-26'!A189</f>
        <v>25</v>
      </c>
      <c r="D33" s="996"/>
      <c r="E33" s="738">
        <f>G33/10^5</f>
        <v>0</v>
      </c>
      <c r="F33" s="998"/>
      <c r="G33" s="1000">
        <f>ROUND('BS Gr'!H522/Master!$B$23,0)</f>
        <v>0</v>
      </c>
      <c r="H33" s="998"/>
      <c r="I33" s="1000">
        <f>ROUND('BS Gr'!L522/Master!$B$23,0)</f>
        <v>0</v>
      </c>
      <c r="J33" s="991"/>
      <c r="K33" s="991"/>
      <c r="L33" s="991"/>
      <c r="Q33" s="1003">
        <f t="shared" si="7"/>
        <v>0</v>
      </c>
      <c r="W33" s="1003">
        <f t="shared" si="8"/>
        <v>0</v>
      </c>
      <c r="X33" s="1003">
        <f t="shared" si="3"/>
        <v>0</v>
      </c>
      <c r="Y33" s="993">
        <v>0</v>
      </c>
      <c r="Z33" s="1003">
        <f t="shared" si="4"/>
        <v>0</v>
      </c>
    </row>
    <row r="34" spans="1:28">
      <c r="A34" s="689" t="s">
        <v>29</v>
      </c>
      <c r="B34" s="987"/>
      <c r="C34" s="1112"/>
      <c r="D34" s="996"/>
      <c r="E34" s="738">
        <f>SUM(E26:E33)</f>
        <v>2582.9998999999998</v>
      </c>
      <c r="F34" s="998"/>
      <c r="G34" s="744">
        <f>SUM(G26:G33)</f>
        <v>258300405.12</v>
      </c>
      <c r="H34" s="998"/>
      <c r="I34" s="744">
        <f>SUM(I26:I33)</f>
        <v>248841999</v>
      </c>
      <c r="J34" s="991"/>
      <c r="K34" s="991"/>
      <c r="L34" s="991"/>
      <c r="Q34" s="744">
        <f>SUM(Q26:Q33)</f>
        <v>258300415</v>
      </c>
      <c r="W34" s="1003">
        <f t="shared" si="8"/>
        <v>9458406.1200000048</v>
      </c>
      <c r="X34" s="1003">
        <f t="shared" si="3"/>
        <v>248841999</v>
      </c>
      <c r="Y34" s="993">
        <v>2251</v>
      </c>
      <c r="Z34" s="1003">
        <f t="shared" si="4"/>
        <v>258298154.12</v>
      </c>
    </row>
    <row r="35" spans="1:28">
      <c r="A35" s="689"/>
      <c r="B35" s="689"/>
      <c r="C35" s="1112"/>
      <c r="D35" s="996"/>
      <c r="E35" s="738"/>
      <c r="F35" s="998"/>
      <c r="G35" s="741"/>
      <c r="H35" s="998"/>
      <c r="I35" s="998"/>
      <c r="J35" s="991"/>
      <c r="K35" s="991"/>
      <c r="L35" s="991"/>
      <c r="Q35" s="1003"/>
      <c r="X35" s="1003">
        <f t="shared" si="3"/>
        <v>0</v>
      </c>
      <c r="Z35" s="1003">
        <f t="shared" si="4"/>
        <v>0</v>
      </c>
    </row>
    <row r="36" spans="1:28" ht="13.8" thickBot="1">
      <c r="A36" s="689" t="s">
        <v>407</v>
      </c>
      <c r="B36" s="689"/>
      <c r="C36" s="1112"/>
      <c r="D36" s="996"/>
      <c r="E36" s="738">
        <f>E22+E34</f>
        <v>2752.9998999999998</v>
      </c>
      <c r="F36" s="998"/>
      <c r="G36" s="746">
        <f>G22+G34</f>
        <v>275311307.51999998</v>
      </c>
      <c r="H36" s="999"/>
      <c r="I36" s="746">
        <f>I22+I34</f>
        <v>316442300</v>
      </c>
      <c r="J36" s="991"/>
      <c r="K36" s="991"/>
      <c r="L36" s="991"/>
      <c r="Q36" s="746">
        <f>Q22+Q34</f>
        <v>275311317</v>
      </c>
      <c r="W36" s="1003">
        <f t="shared" si="8"/>
        <v>-41130992.480000019</v>
      </c>
      <c r="X36" s="1003">
        <f t="shared" si="3"/>
        <v>316442300</v>
      </c>
      <c r="Y36" s="993">
        <v>2940</v>
      </c>
      <c r="Z36" s="1003">
        <f t="shared" si="4"/>
        <v>275308367.51999998</v>
      </c>
    </row>
    <row r="37" spans="1:28" ht="13.8" thickTop="1">
      <c r="A37" s="689"/>
      <c r="B37" s="689"/>
      <c r="C37" s="1112"/>
      <c r="D37" s="996"/>
      <c r="E37" s="738"/>
      <c r="F37" s="998"/>
      <c r="G37" s="747"/>
      <c r="H37" s="999"/>
      <c r="I37" s="999"/>
      <c r="J37" s="1002">
        <f>G31-G20</f>
        <v>-5776589</v>
      </c>
      <c r="K37" s="991"/>
      <c r="L37" s="991"/>
      <c r="Q37" s="1003"/>
      <c r="X37" s="1003">
        <f t="shared" si="3"/>
        <v>0</v>
      </c>
      <c r="Z37" s="1003">
        <f t="shared" si="4"/>
        <v>0</v>
      </c>
    </row>
    <row r="38" spans="1:28">
      <c r="A38" s="689" t="s">
        <v>1935</v>
      </c>
      <c r="B38" s="689"/>
      <c r="C38" s="1112"/>
      <c r="D38" s="996"/>
      <c r="E38" s="738"/>
      <c r="F38" s="998"/>
      <c r="G38" s="741"/>
      <c r="H38" s="998"/>
      <c r="I38" s="998"/>
      <c r="J38" s="991"/>
      <c r="K38" s="991"/>
      <c r="L38" s="991"/>
      <c r="Q38" s="1003"/>
      <c r="X38" s="1003">
        <f t="shared" si="3"/>
        <v>0</v>
      </c>
      <c r="Z38" s="1003">
        <f t="shared" si="4"/>
        <v>0</v>
      </c>
    </row>
    <row r="39" spans="1:28">
      <c r="A39" s="689" t="s">
        <v>32</v>
      </c>
      <c r="B39" s="689"/>
      <c r="C39" s="1112"/>
      <c r="D39" s="996"/>
      <c r="E39" s="738"/>
      <c r="F39" s="998"/>
      <c r="G39" s="741"/>
      <c r="H39" s="998"/>
      <c r="I39" s="998"/>
      <c r="J39" s="1002"/>
      <c r="K39" s="1002"/>
      <c r="L39" s="991"/>
      <c r="Q39" s="1003"/>
      <c r="X39" s="1003">
        <f t="shared" si="3"/>
        <v>0</v>
      </c>
      <c r="Z39" s="1003">
        <f t="shared" si="4"/>
        <v>0</v>
      </c>
    </row>
    <row r="40" spans="1:28">
      <c r="A40" s="1236" t="s">
        <v>623</v>
      </c>
      <c r="B40" s="1007"/>
      <c r="C40" s="1112">
        <f>'10-17'!A8</f>
        <v>10</v>
      </c>
      <c r="D40" s="996"/>
      <c r="E40" s="1726">
        <f>ROUND(G40/10^5,0)</f>
        <v>1</v>
      </c>
      <c r="F40" s="998"/>
      <c r="G40" s="1000">
        <f>'Sch - BS'!G181</f>
        <v>100000</v>
      </c>
      <c r="H40" s="998"/>
      <c r="I40" s="1000">
        <f>'Sch - BS'!I181</f>
        <v>100000</v>
      </c>
      <c r="J40" s="1002">
        <f>+G40-I40</f>
        <v>0</v>
      </c>
      <c r="K40" s="991"/>
      <c r="L40" s="1004">
        <f>+J40-K40</f>
        <v>0</v>
      </c>
      <c r="Q40" s="1003">
        <f>ROUND(G40,0)</f>
        <v>100000</v>
      </c>
      <c r="W40" s="1003">
        <f>+G40-I40</f>
        <v>0</v>
      </c>
      <c r="X40" s="1003">
        <f t="shared" si="3"/>
        <v>100000</v>
      </c>
      <c r="Y40" s="993">
        <v>1</v>
      </c>
      <c r="Z40" s="1003">
        <f t="shared" si="4"/>
        <v>99999</v>
      </c>
    </row>
    <row r="41" spans="1:28">
      <c r="A41" s="1006" t="s">
        <v>34</v>
      </c>
      <c r="B41" s="1007"/>
      <c r="C41" s="1112"/>
      <c r="D41" s="996"/>
      <c r="E41" s="1294">
        <f>ROUND(G41/10^5,0)</f>
        <v>170</v>
      </c>
      <c r="F41" s="998"/>
      <c r="G41" s="1000">
        <f>'Sch - BS'!G226</f>
        <v>17022765</v>
      </c>
      <c r="H41" s="998"/>
      <c r="I41" s="1000">
        <f>'Sch - BS'!I226-75824</f>
        <v>66078334</v>
      </c>
      <c r="J41" s="1002">
        <f>+G41-I41</f>
        <v>-49055569</v>
      </c>
      <c r="K41" s="1005"/>
      <c r="L41" s="1004">
        <f>+J41-K41</f>
        <v>-49055569</v>
      </c>
      <c r="Q41" s="1003">
        <f>ROUND(G41,0)</f>
        <v>17022765</v>
      </c>
      <c r="W41" s="1003">
        <f>+G41-I41</f>
        <v>-49055569</v>
      </c>
      <c r="X41" s="1003">
        <f t="shared" si="3"/>
        <v>66078334</v>
      </c>
      <c r="Y41" s="993">
        <v>482</v>
      </c>
      <c r="Z41" s="1003">
        <f t="shared" si="4"/>
        <v>17022283</v>
      </c>
    </row>
    <row r="42" spans="1:28">
      <c r="A42" s="725" t="s">
        <v>35</v>
      </c>
      <c r="B42" s="991"/>
      <c r="C42" s="1112"/>
      <c r="D42" s="996"/>
      <c r="E42" s="738">
        <f>SUM(E40:E41)</f>
        <v>171</v>
      </c>
      <c r="F42" s="998"/>
      <c r="G42" s="970">
        <f>SUM(G40:G41)</f>
        <v>17122765</v>
      </c>
      <c r="H42" s="998"/>
      <c r="I42" s="970">
        <f>SUM(I40:I41)</f>
        <v>66178334</v>
      </c>
      <c r="J42" s="991"/>
      <c r="K42" s="991"/>
      <c r="L42" s="991"/>
      <c r="Q42" s="970">
        <f>SUM(Q40:Q41)</f>
        <v>17122765</v>
      </c>
      <c r="W42" s="1003">
        <f>+G42-I42</f>
        <v>-49055569</v>
      </c>
      <c r="X42" s="1003">
        <f t="shared" si="3"/>
        <v>66178334</v>
      </c>
      <c r="Y42" s="993">
        <v>483</v>
      </c>
      <c r="Z42" s="1003">
        <f t="shared" si="4"/>
        <v>17122282</v>
      </c>
    </row>
    <row r="43" spans="1:28">
      <c r="A43" s="725"/>
      <c r="B43" s="991"/>
      <c r="C43" s="1112"/>
      <c r="D43" s="996"/>
      <c r="E43" s="738"/>
      <c r="F43" s="998"/>
      <c r="G43" s="741"/>
      <c r="H43" s="998"/>
      <c r="I43" s="998"/>
      <c r="J43" s="991"/>
      <c r="K43" s="1005"/>
      <c r="L43" s="991"/>
      <c r="Q43" s="1003"/>
      <c r="W43" s="993">
        <f>+PL!F48</f>
        <v>-49055769</v>
      </c>
      <c r="X43" s="1003">
        <f t="shared" si="3"/>
        <v>49055769</v>
      </c>
      <c r="Z43" s="1003">
        <f t="shared" si="4"/>
        <v>0</v>
      </c>
    </row>
    <row r="44" spans="1:28">
      <c r="A44" s="725" t="s">
        <v>36</v>
      </c>
      <c r="B44" s="991"/>
      <c r="C44" s="1112"/>
      <c r="D44" s="996"/>
      <c r="E44" s="738"/>
      <c r="F44" s="998"/>
      <c r="G44" s="741"/>
      <c r="H44" s="998"/>
      <c r="I44" s="998"/>
      <c r="J44" s="991"/>
      <c r="K44" s="991"/>
      <c r="L44" s="991"/>
      <c r="Q44" s="1003"/>
      <c r="W44" s="1003">
        <f>+W42-W43</f>
        <v>200</v>
      </c>
      <c r="X44" s="1003">
        <f t="shared" si="3"/>
        <v>-200</v>
      </c>
      <c r="Z44" s="1003">
        <f t="shared" si="4"/>
        <v>0</v>
      </c>
    </row>
    <row r="45" spans="1:28">
      <c r="A45" s="689" t="s">
        <v>37</v>
      </c>
      <c r="B45" s="689"/>
      <c r="C45" s="1112"/>
      <c r="D45" s="996"/>
      <c r="E45" s="738"/>
      <c r="F45" s="998"/>
      <c r="G45" s="741"/>
      <c r="H45" s="998"/>
      <c r="I45" s="998"/>
      <c r="J45" s="991"/>
      <c r="K45" s="991"/>
      <c r="L45" s="991"/>
      <c r="Q45" s="1003"/>
      <c r="X45" s="1003">
        <f t="shared" si="3"/>
        <v>0</v>
      </c>
      <c r="Z45" s="1003">
        <f t="shared" si="4"/>
        <v>0</v>
      </c>
    </row>
    <row r="46" spans="1:28">
      <c r="A46" s="987" t="s">
        <v>38</v>
      </c>
      <c r="B46" s="689"/>
      <c r="C46" s="1112"/>
      <c r="D46" s="996"/>
      <c r="E46" s="738"/>
      <c r="F46" s="998"/>
      <c r="G46" s="741"/>
      <c r="H46" s="998"/>
      <c r="I46" s="998"/>
      <c r="J46" s="991"/>
      <c r="K46" s="991"/>
      <c r="L46" s="991"/>
      <c r="Q46" s="1003">
        <v>0</v>
      </c>
      <c r="X46" s="1003">
        <f t="shared" si="3"/>
        <v>0</v>
      </c>
      <c r="Z46" s="1003">
        <f t="shared" si="4"/>
        <v>0</v>
      </c>
    </row>
    <row r="47" spans="1:28">
      <c r="A47" s="1006" t="s">
        <v>39</v>
      </c>
      <c r="B47" s="987"/>
      <c r="C47" s="1112">
        <f>+'10-17'!A76</f>
        <v>11</v>
      </c>
      <c r="D47" s="996"/>
      <c r="E47" s="1726">
        <f>ROUND(G47/10^5,0)</f>
        <v>0</v>
      </c>
      <c r="F47" s="998"/>
      <c r="G47" s="1000">
        <f>'BS Gr'!I891</f>
        <v>0</v>
      </c>
      <c r="H47" s="998"/>
      <c r="I47" s="1000">
        <f>'10-17'!K112</f>
        <v>235325157.6183489</v>
      </c>
      <c r="J47" s="1002">
        <f>+G47-I47</f>
        <v>-235325157.6183489</v>
      </c>
      <c r="K47" s="991">
        <f>+CF!F27</f>
        <v>11355848</v>
      </c>
      <c r="L47" s="1004">
        <f>+J47-K47</f>
        <v>-246681005.6183489</v>
      </c>
      <c r="Q47" s="1003">
        <f>ROUND(G47,0)</f>
        <v>0</v>
      </c>
      <c r="W47" s="1003">
        <f t="shared" ref="W47:W52" si="9">+G47-I47</f>
        <v>-235325157.6183489</v>
      </c>
      <c r="X47" s="1003">
        <f t="shared" si="3"/>
        <v>235325157.6183489</v>
      </c>
      <c r="Y47" s="993">
        <v>2132</v>
      </c>
      <c r="Z47" s="1003">
        <f t="shared" si="4"/>
        <v>-2132</v>
      </c>
    </row>
    <row r="48" spans="1:28">
      <c r="A48" s="1236" t="s">
        <v>2325</v>
      </c>
      <c r="B48" s="987"/>
      <c r="C48" s="1112">
        <f>'10-17'!A153</f>
        <v>12</v>
      </c>
      <c r="D48" s="996"/>
      <c r="E48" s="1726">
        <f>ROUND(G48/10^5,0)</f>
        <v>0</v>
      </c>
      <c r="F48" s="998"/>
      <c r="G48" s="1000">
        <f>'Sch - BS'!G241</f>
        <v>0</v>
      </c>
      <c r="H48" s="998"/>
      <c r="I48" s="1000">
        <f>'Sch - BS'!I241</f>
        <v>3875173</v>
      </c>
      <c r="J48" s="1002">
        <f>+G48-I48</f>
        <v>-3875173</v>
      </c>
      <c r="K48" s="991"/>
      <c r="L48" s="1004">
        <f>+J48-K48</f>
        <v>-3875173</v>
      </c>
      <c r="Q48" s="1003">
        <f>ROUND(G48,0)</f>
        <v>0</v>
      </c>
      <c r="W48" s="1003">
        <f t="shared" si="9"/>
        <v>-3875173</v>
      </c>
      <c r="X48" s="1003">
        <f t="shared" si="3"/>
        <v>3875173</v>
      </c>
      <c r="Y48" s="993">
        <v>129</v>
      </c>
      <c r="Z48" s="1003">
        <f t="shared" si="4"/>
        <v>-129</v>
      </c>
      <c r="AB48" s="1003">
        <f>+G48+G60</f>
        <v>3875013</v>
      </c>
    </row>
    <row r="49" spans="1:28">
      <c r="A49" s="987" t="s">
        <v>41</v>
      </c>
      <c r="B49" s="987"/>
      <c r="C49" s="1112">
        <f>'10-17'!A210</f>
        <v>13</v>
      </c>
      <c r="D49" s="996"/>
      <c r="E49" s="1726">
        <f>ROUND(G49/10^5,0)</f>
        <v>12</v>
      </c>
      <c r="F49" s="998"/>
      <c r="G49" s="1000">
        <f>'Sch - BS'!G249</f>
        <v>1222499</v>
      </c>
      <c r="H49" s="998"/>
      <c r="I49" s="1000">
        <f>'Sch - BS'!I249</f>
        <v>1484197</v>
      </c>
      <c r="J49" s="1002">
        <f>+G49-I49</f>
        <v>-261698</v>
      </c>
      <c r="K49" s="991"/>
      <c r="L49" s="1004">
        <f>+J49-K49</f>
        <v>-261698</v>
      </c>
      <c r="Q49" s="1003">
        <f>ROUND(G49,0)</f>
        <v>1222499</v>
      </c>
      <c r="W49" s="1003">
        <f t="shared" si="9"/>
        <v>-261698</v>
      </c>
      <c r="X49" s="1003">
        <f t="shared" si="3"/>
        <v>1484197</v>
      </c>
      <c r="Y49" s="993">
        <v>28</v>
      </c>
      <c r="Z49" s="1003">
        <f t="shared" si="4"/>
        <v>1222471</v>
      </c>
      <c r="AB49" s="1003">
        <f>+G14</f>
        <v>3218600.4</v>
      </c>
    </row>
    <row r="50" spans="1:28">
      <c r="A50" s="987" t="s">
        <v>42</v>
      </c>
      <c r="B50" s="987"/>
      <c r="C50" s="1112">
        <f>'10-17'!A232</f>
        <v>14</v>
      </c>
      <c r="D50" s="996"/>
      <c r="E50" s="1726">
        <f>ROUND(G50/10^5,0)</f>
        <v>0</v>
      </c>
      <c r="F50" s="998"/>
      <c r="G50" s="1000">
        <f>ROUND('BS Gr'!M871/Master!$B$23,0)*0+'Sch - BS'!G53*0</f>
        <v>0</v>
      </c>
      <c r="H50" s="998"/>
      <c r="I50" s="1000">
        <f>(ROUND('BS Gr'!R871/Master!$B$23,0)*0+'Sch - BS'!I53)*0</f>
        <v>0</v>
      </c>
      <c r="J50" s="1002">
        <f>+G50-I50</f>
        <v>0</v>
      </c>
      <c r="K50" s="991"/>
      <c r="L50" s="1004">
        <f>+J50-K50</f>
        <v>0</v>
      </c>
      <c r="Q50" s="1003">
        <f>ROUND(G50,0)</f>
        <v>0</v>
      </c>
      <c r="W50" s="1003">
        <f t="shared" si="9"/>
        <v>0</v>
      </c>
      <c r="X50" s="1003">
        <f t="shared" si="3"/>
        <v>0</v>
      </c>
      <c r="Y50" s="993">
        <v>83</v>
      </c>
      <c r="Z50" s="1003">
        <f t="shared" si="4"/>
        <v>-83</v>
      </c>
      <c r="AB50" s="1003">
        <f>+AB49-AB48</f>
        <v>-656412.60000000009</v>
      </c>
    </row>
    <row r="51" spans="1:28" ht="15" hidden="1" customHeight="1">
      <c r="A51" s="987" t="s">
        <v>43</v>
      </c>
      <c r="B51" s="987"/>
      <c r="C51" s="1112">
        <f>'10-17'!A260</f>
        <v>15</v>
      </c>
      <c r="D51" s="996"/>
      <c r="E51" s="738">
        <f>G51/10^5</f>
        <v>0</v>
      </c>
      <c r="F51" s="998"/>
      <c r="G51" s="1000">
        <f>'Sch - BS'!G262</f>
        <v>0</v>
      </c>
      <c r="H51" s="998"/>
      <c r="I51" s="1000">
        <f>'Sch - BS'!I262</f>
        <v>0</v>
      </c>
      <c r="J51" s="1002">
        <f>+G51-I51</f>
        <v>0</v>
      </c>
      <c r="K51" s="991"/>
      <c r="L51" s="991"/>
      <c r="Q51" s="1003">
        <v>0</v>
      </c>
      <c r="W51" s="1003">
        <f t="shared" si="9"/>
        <v>0</v>
      </c>
      <c r="X51" s="1003">
        <f t="shared" si="3"/>
        <v>0</v>
      </c>
      <c r="Y51" s="993">
        <v>0</v>
      </c>
      <c r="Z51" s="1003">
        <f t="shared" si="4"/>
        <v>0</v>
      </c>
    </row>
    <row r="52" spans="1:28">
      <c r="A52" s="689" t="s">
        <v>44</v>
      </c>
      <c r="B52" s="987"/>
      <c r="C52" s="1112"/>
      <c r="D52" s="996"/>
      <c r="E52" s="738">
        <f>SUM(E47:E51)</f>
        <v>12</v>
      </c>
      <c r="F52" s="998"/>
      <c r="G52" s="743">
        <f>SUM(G47:G51)</f>
        <v>1222499</v>
      </c>
      <c r="H52" s="998"/>
      <c r="I52" s="743">
        <f>SUM(I47:I51)</f>
        <v>240684527.6183489</v>
      </c>
      <c r="J52" s="991"/>
      <c r="K52" s="991"/>
      <c r="L52" s="991"/>
      <c r="Q52" s="743">
        <f>SUM(Q47:Q51)</f>
        <v>1222499</v>
      </c>
      <c r="W52" s="1003">
        <f t="shared" si="9"/>
        <v>-239462028.6183489</v>
      </c>
      <c r="X52" s="1003">
        <f t="shared" si="3"/>
        <v>240684527.6183489</v>
      </c>
      <c r="Y52" s="993">
        <v>2372</v>
      </c>
      <c r="Z52" s="1003">
        <f t="shared" si="4"/>
        <v>1220127</v>
      </c>
    </row>
    <row r="53" spans="1:28">
      <c r="A53" s="689"/>
      <c r="B53" s="987"/>
      <c r="C53" s="1112"/>
      <c r="D53" s="996"/>
      <c r="E53" s="738"/>
      <c r="F53" s="998"/>
      <c r="G53" s="738"/>
      <c r="H53" s="998"/>
      <c r="I53" s="1000"/>
      <c r="J53" s="991"/>
      <c r="K53" s="991"/>
      <c r="L53" s="991"/>
      <c r="Q53" s="1003"/>
      <c r="X53" s="1003">
        <f t="shared" si="3"/>
        <v>0</v>
      </c>
      <c r="Z53" s="1003">
        <f t="shared" si="4"/>
        <v>0</v>
      </c>
    </row>
    <row r="54" spans="1:28">
      <c r="A54" s="689" t="s">
        <v>45</v>
      </c>
      <c r="B54" s="689"/>
      <c r="C54" s="1112"/>
      <c r="D54" s="996"/>
      <c r="E54" s="738"/>
      <c r="F54" s="741"/>
      <c r="G54" s="741"/>
      <c r="H54" s="998"/>
      <c r="I54" s="998"/>
      <c r="J54" s="991"/>
      <c r="K54" s="991"/>
      <c r="L54" s="991"/>
      <c r="Q54" s="1003"/>
      <c r="X54" s="1003">
        <f t="shared" si="3"/>
        <v>0</v>
      </c>
      <c r="Z54" s="1003">
        <f t="shared" si="4"/>
        <v>0</v>
      </c>
    </row>
    <row r="55" spans="1:28">
      <c r="A55" s="987" t="s">
        <v>38</v>
      </c>
      <c r="B55" s="689"/>
      <c r="C55" s="1112"/>
      <c r="D55" s="996"/>
      <c r="E55" s="738"/>
      <c r="F55" s="741"/>
      <c r="G55" s="741"/>
      <c r="H55" s="998"/>
      <c r="I55" s="998"/>
      <c r="J55" s="991"/>
      <c r="K55" s="991"/>
      <c r="L55" s="991"/>
      <c r="Q55" s="1003"/>
      <c r="X55" s="1003">
        <f t="shared" si="3"/>
        <v>0</v>
      </c>
      <c r="Z55" s="1003">
        <f t="shared" si="4"/>
        <v>0</v>
      </c>
    </row>
    <row r="56" spans="1:28">
      <c r="A56" s="987" t="s">
        <v>39</v>
      </c>
      <c r="B56" s="689"/>
      <c r="C56" s="1112">
        <f>C47</f>
        <v>11</v>
      </c>
      <c r="D56" s="996"/>
      <c r="E56" s="1726">
        <f t="shared" ref="E56:E65" si="10">ROUND(G56/10^5,0)</f>
        <v>2467</v>
      </c>
      <c r="F56" s="741"/>
      <c r="G56" s="1681">
        <f>'BS Gr'!H891</f>
        <v>246681006.39768004</v>
      </c>
      <c r="H56" s="998"/>
      <c r="I56" s="998">
        <v>0</v>
      </c>
      <c r="J56" s="991"/>
      <c r="K56" s="991"/>
      <c r="L56" s="991"/>
      <c r="Q56" s="1003"/>
      <c r="X56" s="1003"/>
      <c r="Z56" s="1003"/>
    </row>
    <row r="57" spans="1:28">
      <c r="A57" s="1006" t="s">
        <v>46</v>
      </c>
      <c r="B57" s="689"/>
      <c r="C57" s="1112">
        <f>'10-17'!A273</f>
        <v>15</v>
      </c>
      <c r="D57" s="996"/>
      <c r="E57" s="1726">
        <f t="shared" si="10"/>
        <v>0</v>
      </c>
      <c r="F57" s="741"/>
      <c r="G57" s="741"/>
      <c r="H57" s="998"/>
      <c r="I57" s="998"/>
      <c r="J57" s="991"/>
      <c r="K57" s="991"/>
      <c r="L57" s="991"/>
      <c r="Q57" s="1003"/>
      <c r="X57" s="1003">
        <f t="shared" si="3"/>
        <v>0</v>
      </c>
      <c r="Z57" s="1003"/>
    </row>
    <row r="58" spans="1:28">
      <c r="A58" s="1348" t="s">
        <v>1943</v>
      </c>
      <c r="B58" s="689"/>
      <c r="C58" s="1112"/>
      <c r="D58" s="996"/>
      <c r="E58" s="1726">
        <f t="shared" si="10"/>
        <v>0</v>
      </c>
      <c r="F58" s="741"/>
      <c r="G58" s="741">
        <v>0</v>
      </c>
      <c r="H58" s="998"/>
      <c r="I58" s="998">
        <v>0</v>
      </c>
      <c r="J58" s="1002">
        <f t="shared" ref="J58:J65" si="11">+G58-I58</f>
        <v>0</v>
      </c>
      <c r="K58" s="991"/>
      <c r="L58" s="991"/>
      <c r="Q58" s="1003">
        <f t="shared" ref="Q58:Q65" si="12">ROUND(G58,0)</f>
        <v>0</v>
      </c>
      <c r="W58" s="1003">
        <f t="shared" ref="W58:W68" si="13">+G58-I58</f>
        <v>0</v>
      </c>
      <c r="X58" s="1003">
        <f>+I58-W58</f>
        <v>0</v>
      </c>
      <c r="Z58" s="1003"/>
      <c r="AA58" s="993" t="s">
        <v>1943</v>
      </c>
    </row>
    <row r="59" spans="1:28">
      <c r="A59" s="1349" t="s">
        <v>1944</v>
      </c>
      <c r="B59" s="987"/>
      <c r="D59" s="996"/>
      <c r="E59" s="1294">
        <f t="shared" si="10"/>
        <v>41</v>
      </c>
      <c r="F59" s="998"/>
      <c r="G59" s="1000">
        <f>'Sch - BS'!G271</f>
        <v>4084430</v>
      </c>
      <c r="H59" s="998"/>
      <c r="I59" s="1000">
        <f>'Sch - BS'!I271</f>
        <v>3086080</v>
      </c>
      <c r="J59" s="1002">
        <f t="shared" si="11"/>
        <v>998350</v>
      </c>
      <c r="K59" s="991">
        <f>+CF!F39</f>
        <v>865724</v>
      </c>
      <c r="L59" s="1004">
        <f t="shared" ref="L59:L65" si="14">+J59-K59</f>
        <v>132626</v>
      </c>
      <c r="Q59" s="1003">
        <f t="shared" si="12"/>
        <v>4084430</v>
      </c>
      <c r="W59" s="1003">
        <f t="shared" si="13"/>
        <v>998350</v>
      </c>
      <c r="X59" s="1003">
        <f t="shared" ref="X59:X68" si="15">+I59-W59</f>
        <v>2087730</v>
      </c>
      <c r="Y59" s="993">
        <v>37</v>
      </c>
      <c r="Z59" s="1003">
        <f t="shared" si="4"/>
        <v>4084393</v>
      </c>
      <c r="AA59" s="993" t="s">
        <v>1944</v>
      </c>
    </row>
    <row r="60" spans="1:28">
      <c r="A60" s="1236" t="s">
        <v>2325</v>
      </c>
      <c r="B60" s="987"/>
      <c r="C60" s="1112">
        <f>'10-17'!A153</f>
        <v>12</v>
      </c>
      <c r="D60" s="996"/>
      <c r="E60" s="1726">
        <f t="shared" si="10"/>
        <v>39</v>
      </c>
      <c r="F60" s="998"/>
      <c r="G60" s="1000">
        <f>'Sch - BS'!G282</f>
        <v>3875013</v>
      </c>
      <c r="H60" s="998"/>
      <c r="I60" s="1000">
        <f>'Sch - BS'!I282</f>
        <v>3414889</v>
      </c>
      <c r="J60" s="1002">
        <f t="shared" si="11"/>
        <v>460124</v>
      </c>
      <c r="K60" s="991"/>
      <c r="L60" s="1004">
        <f t="shared" si="14"/>
        <v>460124</v>
      </c>
      <c r="Q60" s="1003">
        <f t="shared" si="12"/>
        <v>3875013</v>
      </c>
      <c r="W60" s="1003">
        <f t="shared" si="13"/>
        <v>460124</v>
      </c>
      <c r="X60" s="1003">
        <f t="shared" si="15"/>
        <v>2954765</v>
      </c>
      <c r="Y60" s="993">
        <v>23</v>
      </c>
      <c r="Z60" s="1003">
        <f t="shared" si="4"/>
        <v>3874990</v>
      </c>
    </row>
    <row r="61" spans="1:28">
      <c r="A61" s="1006" t="s">
        <v>40</v>
      </c>
      <c r="B61" s="987"/>
      <c r="C61" s="1112">
        <f>'10-17'!A336</f>
        <v>16</v>
      </c>
      <c r="D61" s="996"/>
      <c r="E61" s="1726">
        <f t="shared" si="10"/>
        <v>6</v>
      </c>
      <c r="F61" s="998"/>
      <c r="G61" s="1000">
        <f>'Sch - BS'!G284-G60-G56</f>
        <v>574907.60231995583</v>
      </c>
      <c r="H61" s="998"/>
      <c r="I61" s="1000">
        <f>'Sch - BS'!I284-I60</f>
        <v>830147</v>
      </c>
      <c r="J61" s="1471">
        <f t="shared" si="11"/>
        <v>-255239.39768004417</v>
      </c>
      <c r="K61" s="991">
        <f>+CF!F40</f>
        <v>-255239.39768004417</v>
      </c>
      <c r="L61" s="1004">
        <f t="shared" si="14"/>
        <v>0</v>
      </c>
      <c r="Q61" s="1003">
        <f t="shared" si="12"/>
        <v>574908</v>
      </c>
      <c r="W61" s="1485">
        <f t="shared" si="13"/>
        <v>-255239.39768004417</v>
      </c>
      <c r="X61" s="1003">
        <f t="shared" si="15"/>
        <v>1085386.3976800442</v>
      </c>
      <c r="Y61" s="993">
        <v>8</v>
      </c>
      <c r="Z61" s="1003">
        <f t="shared" si="4"/>
        <v>574899.60231995583</v>
      </c>
    </row>
    <row r="62" spans="1:28">
      <c r="A62" s="987" t="s">
        <v>47</v>
      </c>
      <c r="B62" s="987"/>
      <c r="C62" s="1112">
        <f>'10-17'!A354</f>
        <v>17</v>
      </c>
      <c r="D62" s="996"/>
      <c r="E62" s="1726">
        <f t="shared" si="10"/>
        <v>13</v>
      </c>
      <c r="F62" s="998"/>
      <c r="G62" s="1000">
        <f>'Sch - BS'!G297</f>
        <v>1280596</v>
      </c>
      <c r="H62" s="998"/>
      <c r="I62" s="1000">
        <f>'Sch - BS'!I297</f>
        <v>1316327</v>
      </c>
      <c r="J62" s="1002">
        <f t="shared" si="11"/>
        <v>-35731</v>
      </c>
      <c r="K62" s="1486">
        <f>+CF!F41</f>
        <v>-35731</v>
      </c>
      <c r="L62" s="1004">
        <f t="shared" si="14"/>
        <v>0</v>
      </c>
      <c r="Q62" s="1003">
        <f t="shared" si="12"/>
        <v>1280596</v>
      </c>
      <c r="W62" s="1003">
        <f t="shared" si="13"/>
        <v>-35731</v>
      </c>
      <c r="X62" s="1003">
        <f t="shared" si="15"/>
        <v>1352058</v>
      </c>
      <c r="Y62" s="993">
        <v>1</v>
      </c>
      <c r="Z62" s="1003">
        <f t="shared" si="4"/>
        <v>1280595</v>
      </c>
    </row>
    <row r="63" spans="1:28" ht="15" hidden="1" customHeight="1">
      <c r="A63" s="987" t="s">
        <v>48</v>
      </c>
      <c r="B63" s="987"/>
      <c r="C63" s="1112"/>
      <c r="D63" s="996"/>
      <c r="E63" s="1726">
        <f t="shared" si="10"/>
        <v>0</v>
      </c>
      <c r="F63" s="998"/>
      <c r="G63" s="1000">
        <f>'Sch - BS'!G302</f>
        <v>0</v>
      </c>
      <c r="H63" s="998"/>
      <c r="I63" s="1000">
        <f>'Sch - BS'!I302</f>
        <v>0</v>
      </c>
      <c r="J63" s="1002">
        <f t="shared" si="11"/>
        <v>0</v>
      </c>
      <c r="K63" s="991"/>
      <c r="L63" s="1004">
        <f t="shared" si="14"/>
        <v>0</v>
      </c>
      <c r="Q63" s="1003">
        <f t="shared" si="12"/>
        <v>0</v>
      </c>
      <c r="W63" s="1003">
        <f t="shared" si="13"/>
        <v>0</v>
      </c>
      <c r="X63" s="1003">
        <f t="shared" si="15"/>
        <v>0</v>
      </c>
      <c r="Y63" s="993">
        <v>0</v>
      </c>
      <c r="Z63" s="1003">
        <f t="shared" si="4"/>
        <v>0</v>
      </c>
    </row>
    <row r="64" spans="1:28">
      <c r="A64" s="987" t="s">
        <v>41</v>
      </c>
      <c r="B64" s="987"/>
      <c r="C64" s="1112">
        <f>'10-17'!A210</f>
        <v>13</v>
      </c>
      <c r="D64" s="996"/>
      <c r="E64" s="1726">
        <f t="shared" si="10"/>
        <v>5</v>
      </c>
      <c r="F64" s="998"/>
      <c r="G64" s="1000">
        <f>'Sch - BS'!G309</f>
        <v>470091</v>
      </c>
      <c r="H64" s="998"/>
      <c r="I64" s="1000">
        <f>'Sch - BS'!I309</f>
        <v>931995</v>
      </c>
      <c r="J64" s="1002">
        <f t="shared" si="11"/>
        <v>-461904</v>
      </c>
      <c r="K64" s="991">
        <f>+CF!F42</f>
        <v>-770367</v>
      </c>
      <c r="L64" s="1004">
        <f t="shared" si="14"/>
        <v>308463</v>
      </c>
      <c r="Q64" s="1003">
        <f t="shared" si="12"/>
        <v>470091</v>
      </c>
      <c r="W64" s="1003">
        <f t="shared" si="13"/>
        <v>-461904</v>
      </c>
      <c r="X64" s="1003">
        <f t="shared" si="15"/>
        <v>1393899</v>
      </c>
      <c r="Y64" s="993">
        <v>16</v>
      </c>
      <c r="Z64" s="1003">
        <f t="shared" si="4"/>
        <v>470075</v>
      </c>
    </row>
    <row r="65" spans="1:26">
      <c r="A65" s="1165" t="s">
        <v>2241</v>
      </c>
      <c r="B65" s="987"/>
      <c r="C65" s="1112">
        <f>+'18-26'!A189</f>
        <v>25</v>
      </c>
      <c r="D65" s="996"/>
      <c r="E65" s="1726">
        <f t="shared" si="10"/>
        <v>0</v>
      </c>
      <c r="F65" s="998"/>
      <c r="G65" s="1606">
        <f>'Sch - BS'!G316</f>
        <v>0</v>
      </c>
      <c r="H65" s="998"/>
      <c r="I65" s="1621">
        <f>'Sch - BS'!I316</f>
        <v>0</v>
      </c>
      <c r="J65" s="1002">
        <f t="shared" si="11"/>
        <v>0</v>
      </c>
      <c r="K65" s="991"/>
      <c r="L65" s="1004">
        <f t="shared" si="14"/>
        <v>0</v>
      </c>
      <c r="Q65" s="1607">
        <f t="shared" si="12"/>
        <v>0</v>
      </c>
      <c r="W65" s="1003">
        <f t="shared" si="13"/>
        <v>0</v>
      </c>
      <c r="X65" s="1003">
        <f t="shared" si="15"/>
        <v>0</v>
      </c>
      <c r="Y65" s="993">
        <v>0</v>
      </c>
      <c r="Z65" s="1003">
        <f t="shared" si="4"/>
        <v>0</v>
      </c>
    </row>
    <row r="66" spans="1:26">
      <c r="A66" s="689" t="s">
        <v>50</v>
      </c>
      <c r="B66" s="987"/>
      <c r="C66" s="1112"/>
      <c r="D66" s="996"/>
      <c r="E66" s="738">
        <f>SUM(E56:E65)</f>
        <v>2571</v>
      </c>
      <c r="F66" s="998"/>
      <c r="G66" s="738">
        <f>SUM(G56:G65)</f>
        <v>256966044</v>
      </c>
      <c r="H66" s="998"/>
      <c r="I66" s="738">
        <f>SUM(I56:I65)</f>
        <v>9579438</v>
      </c>
      <c r="J66" s="991"/>
      <c r="K66" s="991"/>
      <c r="L66" s="991"/>
      <c r="Q66" s="738">
        <f>SUM(Q59:Q65)</f>
        <v>10285038</v>
      </c>
      <c r="W66" s="1003">
        <f t="shared" si="13"/>
        <v>247386606</v>
      </c>
      <c r="X66" s="1003">
        <f t="shared" si="15"/>
        <v>-237807168</v>
      </c>
      <c r="Y66" s="993">
        <v>85</v>
      </c>
      <c r="Z66" s="1003">
        <f t="shared" si="4"/>
        <v>256965959</v>
      </c>
    </row>
    <row r="67" spans="1:26">
      <c r="A67" s="689"/>
      <c r="B67" s="689"/>
      <c r="C67" s="1112"/>
      <c r="D67" s="996"/>
      <c r="E67" s="738"/>
      <c r="F67" s="741"/>
      <c r="G67" s="741"/>
      <c r="H67" s="998"/>
      <c r="I67" s="741"/>
      <c r="J67" s="991"/>
      <c r="K67" s="991"/>
      <c r="L67" s="991"/>
      <c r="Q67" s="1003"/>
      <c r="X67" s="1003">
        <f t="shared" si="15"/>
        <v>0</v>
      </c>
      <c r="Z67" s="1003">
        <f t="shared" si="4"/>
        <v>0</v>
      </c>
    </row>
    <row r="68" spans="1:26" ht="13.8" thickBot="1">
      <c r="A68" s="689" t="s">
        <v>1860</v>
      </c>
      <c r="B68" s="689"/>
      <c r="C68" s="734"/>
      <c r="D68" s="734"/>
      <c r="E68" s="738">
        <f>E42+E52+E66</f>
        <v>2754</v>
      </c>
      <c r="F68" s="741"/>
      <c r="G68" s="746">
        <f>G42+G52+G66</f>
        <v>275311308</v>
      </c>
      <c r="H68" s="999"/>
      <c r="I68" s="746">
        <f>I42+I52+I66</f>
        <v>316442299.6183489</v>
      </c>
      <c r="J68" s="725"/>
      <c r="K68" s="725"/>
      <c r="L68" s="725"/>
      <c r="Q68" s="746">
        <f>Q42+Q52+Q66</f>
        <v>28630302</v>
      </c>
      <c r="W68" s="1003">
        <f t="shared" si="13"/>
        <v>-41130991.618348897</v>
      </c>
      <c r="X68" s="1003">
        <f t="shared" si="15"/>
        <v>357573291.23669779</v>
      </c>
      <c r="Y68" s="993">
        <v>2940</v>
      </c>
      <c r="Z68" s="1003">
        <f t="shared" si="4"/>
        <v>275308368</v>
      </c>
    </row>
    <row r="69" spans="1:26" ht="10.050000000000001" hidden="1" customHeight="1" thickTop="1">
      <c r="A69" s="733"/>
      <c r="B69" s="689"/>
      <c r="C69" s="734"/>
      <c r="D69" s="734"/>
      <c r="E69" s="745"/>
      <c r="F69" s="741"/>
      <c r="G69" s="999">
        <f>G68-G36</f>
        <v>0.48000001907348633</v>
      </c>
      <c r="H69" s="1008"/>
      <c r="I69" s="1008">
        <f>I68-I36</f>
        <v>-0.38165110349655151</v>
      </c>
      <c r="J69" s="725"/>
      <c r="K69" s="725"/>
      <c r="L69" s="725"/>
    </row>
    <row r="70" spans="1:26" hidden="1">
      <c r="A70" s="992"/>
      <c r="B70" s="987"/>
      <c r="C70" s="1112"/>
      <c r="D70" s="996"/>
      <c r="E70" s="999"/>
      <c r="F70" s="999"/>
      <c r="G70" s="749">
        <f>IF(G68-G36=0,"",G68-G36)</f>
        <v>0.48000001907348633</v>
      </c>
      <c r="H70" s="749"/>
      <c r="I70" s="749">
        <f>IF(I68-I36=0,"",I68-I36)</f>
        <v>-0.38165110349655151</v>
      </c>
      <c r="J70" s="1004">
        <f>+G70-I70</f>
        <v>0.86165112257003784</v>
      </c>
      <c r="K70" s="991">
        <f>+J70/2</f>
        <v>0.43082556128501892</v>
      </c>
      <c r="L70" s="991"/>
    </row>
    <row r="71" spans="1:26" ht="13.8" thickTop="1">
      <c r="A71" s="992"/>
      <c r="B71" s="987"/>
      <c r="C71" s="1112"/>
      <c r="D71" s="996"/>
      <c r="E71" s="999"/>
      <c r="F71" s="999"/>
      <c r="G71" s="1620">
        <f>IF(G68=G36," ",G68-G36)</f>
        <v>0.48000001907348633</v>
      </c>
      <c r="H71" s="749"/>
      <c r="I71" s="1620">
        <f>IF(I68=I36," ",I68-I36)</f>
        <v>-0.38165110349655151</v>
      </c>
      <c r="J71" s="1004"/>
      <c r="K71" s="991"/>
      <c r="L71" s="991"/>
      <c r="Q71" s="1003"/>
      <c r="W71" s="1003">
        <f>+G71-I71</f>
        <v>0.86165112257003784</v>
      </c>
    </row>
    <row r="72" spans="1:26">
      <c r="A72" s="992"/>
      <c r="B72" s="987"/>
      <c r="C72" s="1112"/>
      <c r="D72" s="996"/>
      <c r="E72" s="999"/>
      <c r="F72" s="999"/>
      <c r="G72" s="1525"/>
      <c r="H72" s="749"/>
      <c r="I72" s="1525"/>
      <c r="J72" s="1004"/>
      <c r="K72" s="991"/>
      <c r="L72" s="991"/>
    </row>
    <row r="73" spans="1:26">
      <c r="A73" s="1502" t="s">
        <v>2752</v>
      </c>
      <c r="B73" s="987"/>
      <c r="C73" s="1112"/>
      <c r="D73" s="996"/>
      <c r="E73" s="999"/>
      <c r="F73" s="999"/>
      <c r="G73" s="750"/>
      <c r="H73" s="749"/>
      <c r="I73" s="750"/>
      <c r="J73" s="1004"/>
      <c r="K73" s="991"/>
      <c r="L73" s="991"/>
    </row>
    <row r="74" spans="1:26">
      <c r="A74" s="1771" t="s">
        <v>2919</v>
      </c>
      <c r="B74" s="1771"/>
      <c r="C74" s="1112">
        <v>2</v>
      </c>
      <c r="D74" s="996"/>
      <c r="E74" s="1009"/>
      <c r="F74" s="1010"/>
      <c r="G74" s="1011"/>
      <c r="H74" s="1011"/>
      <c r="I74" s="1011"/>
      <c r="J74" s="991"/>
      <c r="K74" s="991"/>
      <c r="L74" s="991"/>
    </row>
    <row r="75" spans="1:26">
      <c r="A75" s="1772" t="s">
        <v>1919</v>
      </c>
      <c r="B75" s="1772"/>
      <c r="C75" s="990"/>
      <c r="D75" s="995"/>
      <c r="E75" s="1012"/>
      <c r="F75" s="1012"/>
      <c r="G75" s="1012"/>
      <c r="H75" s="1012"/>
      <c r="I75" s="1012"/>
      <c r="J75" s="991"/>
      <c r="K75" s="991"/>
      <c r="L75" s="991"/>
    </row>
    <row r="76" spans="1:26">
      <c r="A76" s="1014" t="s">
        <v>1920</v>
      </c>
      <c r="B76" s="987"/>
      <c r="C76" s="725"/>
      <c r="D76" s="991"/>
      <c r="E76" s="1009"/>
      <c r="F76" s="992"/>
      <c r="G76" s="992"/>
      <c r="H76" s="992"/>
      <c r="I76" s="992"/>
      <c r="J76" s="991"/>
      <c r="K76" s="991"/>
      <c r="L76" s="991"/>
    </row>
    <row r="77" spans="1:26">
      <c r="A77" s="987"/>
      <c r="B77" s="987"/>
      <c r="C77" s="991"/>
      <c r="D77" s="991"/>
      <c r="E77" s="992"/>
      <c r="F77" s="992"/>
      <c r="G77" s="992"/>
      <c r="H77" s="992"/>
      <c r="I77" s="992"/>
      <c r="J77" s="991"/>
      <c r="K77" s="991"/>
      <c r="L77" s="991"/>
    </row>
    <row r="78" spans="1:26">
      <c r="A78" s="1013" t="s">
        <v>1814</v>
      </c>
      <c r="B78" s="689"/>
      <c r="C78" s="991"/>
      <c r="D78" s="991"/>
      <c r="E78" s="991"/>
      <c r="F78" s="991"/>
      <c r="G78" s="991"/>
      <c r="H78" s="753"/>
      <c r="I78" s="753" t="s">
        <v>53</v>
      </c>
      <c r="J78" s="991"/>
      <c r="K78" s="991"/>
      <c r="L78" s="991"/>
    </row>
    <row r="79" spans="1:26">
      <c r="A79" s="1013" t="s">
        <v>54</v>
      </c>
      <c r="B79" s="689"/>
      <c r="C79" s="991"/>
      <c r="D79" s="991"/>
      <c r="E79" s="991"/>
      <c r="F79" s="991"/>
      <c r="G79" s="991"/>
      <c r="H79" s="733"/>
      <c r="I79" s="733"/>
      <c r="J79" s="991"/>
      <c r="K79" s="991"/>
      <c r="L79" s="991"/>
    </row>
    <row r="80" spans="1:26">
      <c r="A80" s="1013" t="s">
        <v>1815</v>
      </c>
      <c r="B80" s="689"/>
      <c r="C80" s="991"/>
      <c r="D80" s="991"/>
      <c r="E80" s="991"/>
      <c r="F80" s="991"/>
      <c r="G80" s="991"/>
      <c r="H80" s="992"/>
      <c r="I80" s="1464" t="s">
        <v>55</v>
      </c>
      <c r="J80" s="991"/>
      <c r="K80" s="991"/>
      <c r="L80" s="991"/>
    </row>
    <row r="81" spans="1:12">
      <c r="A81" s="987"/>
      <c r="B81" s="689"/>
      <c r="C81" s="991"/>
      <c r="D81" s="991"/>
      <c r="E81" s="991"/>
      <c r="F81" s="991"/>
      <c r="G81" s="991"/>
      <c r="H81" s="992"/>
      <c r="I81" s="991"/>
      <c r="J81" s="991"/>
      <c r="K81" s="991"/>
      <c r="L81" s="991"/>
    </row>
    <row r="82" spans="1:12">
      <c r="A82" s="991"/>
      <c r="B82" s="689"/>
      <c r="C82" s="991"/>
      <c r="D82" s="991"/>
      <c r="E82" s="991"/>
      <c r="F82" s="991"/>
      <c r="G82" s="991"/>
      <c r="H82" s="733"/>
      <c r="I82" s="991"/>
      <c r="J82" s="991"/>
      <c r="K82" s="991"/>
      <c r="L82" s="991"/>
    </row>
    <row r="83" spans="1:12">
      <c r="A83" s="991"/>
      <c r="B83" s="689"/>
      <c r="C83" s="991"/>
      <c r="D83" s="991"/>
      <c r="E83" s="991"/>
      <c r="F83" s="991"/>
      <c r="G83" s="991"/>
      <c r="H83" s="733"/>
      <c r="I83" s="991"/>
      <c r="J83" s="991"/>
      <c r="K83" s="991"/>
      <c r="L83" s="991"/>
    </row>
    <row r="84" spans="1:12">
      <c r="A84" s="991"/>
      <c r="B84" s="689"/>
      <c r="C84" s="991"/>
      <c r="D84" s="991"/>
      <c r="E84" s="991"/>
      <c r="F84" s="991"/>
      <c r="G84" s="991"/>
      <c r="H84" s="733"/>
      <c r="I84" s="991"/>
      <c r="J84" s="991"/>
      <c r="K84" s="991"/>
      <c r="L84" s="991"/>
    </row>
  </sheetData>
  <mergeCells count="2">
    <mergeCell ref="A74:B74"/>
    <mergeCell ref="A75:B75"/>
  </mergeCells>
  <pageMargins left="0.74803149606299213" right="3.937007874015748E-2" top="0.74803149606299213" bottom="0.23622047244094491" header="0.31496062992125984" footer="0.31496062992125984"/>
  <pageSetup paperSize="9" scale="70" firstPageNumber="11" orientation="portrait" useFirstPageNumber="1" r:id="rId1"/>
  <headerFooter>
    <oddFooter>&amp;C&amp;P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F760A-A7EB-411E-B629-8B916084F8B3}">
  <dimension ref="A1"/>
  <sheetViews>
    <sheetView workbookViewId="0">
      <selection activeCell="B23" sqref="B23:K23"/>
    </sheetView>
  </sheetViews>
  <sheetFormatPr defaultRowHeight="14.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6666"/>
  </sheetPr>
  <dimension ref="A1:AR1001"/>
  <sheetViews>
    <sheetView showGridLines="0" zoomScale="110" zoomScaleNormal="110" workbookViewId="0">
      <pane xSplit="2" ySplit="5" topLeftCell="C762" activePane="bottomRight" state="frozen"/>
      <selection activeCell="B12" sqref="B12"/>
      <selection pane="topRight" activeCell="B12" sqref="B12"/>
      <selection pane="bottomLeft" activeCell="B12" sqref="B12"/>
      <selection pane="bottomRight" activeCell="B12" sqref="B12"/>
    </sheetView>
  </sheetViews>
  <sheetFormatPr defaultColWidth="9.21875" defaultRowHeight="12"/>
  <cols>
    <col min="1" max="1" width="10" style="52" customWidth="1"/>
    <col min="2" max="2" width="25.33203125" style="53" customWidth="1"/>
    <col min="3" max="3" width="0.77734375" style="54" customWidth="1"/>
    <col min="4" max="4" width="15.21875" style="55" customWidth="1"/>
    <col min="5" max="5" width="0.77734375" style="55" customWidth="1"/>
    <col min="6" max="6" width="14.44140625" style="55" customWidth="1"/>
    <col min="7" max="7" width="5.21875" style="54" customWidth="1"/>
    <col min="8" max="8" width="14.44140625" style="55" customWidth="1"/>
    <col min="9" max="9" width="11.77734375" style="55" customWidth="1"/>
    <col min="10" max="10" width="12.77734375" style="55" customWidth="1"/>
    <col min="11" max="11" width="1.21875" style="54" customWidth="1"/>
    <col min="12" max="12" width="14.44140625" style="55" customWidth="1"/>
    <col min="13" max="13" width="13.5546875" style="55" customWidth="1"/>
    <col min="14" max="14" width="12.5546875" style="55" customWidth="1"/>
    <col min="15" max="15" width="1" style="55" customWidth="1"/>
    <col min="16" max="16" width="15.5546875" style="55" customWidth="1"/>
    <col min="17" max="17" width="14.44140625" style="55" customWidth="1"/>
    <col min="18" max="19" width="13.5546875" style="55" customWidth="1"/>
    <col min="20" max="20" width="1" style="54" customWidth="1"/>
    <col min="21" max="21" width="11.21875" style="56" customWidth="1"/>
    <col min="22" max="22" width="1.21875" style="54" customWidth="1"/>
    <col min="23" max="23" width="26.77734375" style="55" customWidth="1"/>
    <col min="24" max="24" width="26.21875" style="55" customWidth="1"/>
    <col min="25" max="25" width="23.44140625" style="54" customWidth="1"/>
    <col min="26" max="26" width="18.77734375" style="54" customWidth="1"/>
    <col min="27" max="27" width="25.77734375" style="54" customWidth="1"/>
    <col min="28" max="28" width="24.77734375" style="54" customWidth="1"/>
    <col min="29" max="29" width="15.77734375" style="54" customWidth="1"/>
    <col min="30" max="30" width="13" style="54" customWidth="1"/>
    <col min="31" max="31" width="12" style="54" customWidth="1"/>
    <col min="32" max="41" width="9.21875" style="54" customWidth="1"/>
    <col min="42" max="42" width="9.21875" style="54"/>
    <col min="43" max="43" width="13.6640625" style="54" bestFit="1" customWidth="1"/>
    <col min="44" max="44" width="15.77734375" style="54" bestFit="1" customWidth="1"/>
    <col min="45" max="16384" width="9.21875" style="54"/>
  </cols>
  <sheetData>
    <row r="1" spans="1:44" s="47" customFormat="1" ht="14.4">
      <c r="A1" s="45" t="str">
        <f>+Master!B2</f>
        <v>Syntel Solutions (India) Private Limited</v>
      </c>
      <c r="B1" s="46"/>
      <c r="D1" s="48" t="s">
        <v>518</v>
      </c>
      <c r="E1" s="49"/>
      <c r="H1" s="50"/>
      <c r="I1" s="50"/>
      <c r="J1" s="50"/>
      <c r="L1" s="50"/>
      <c r="M1" s="50"/>
      <c r="N1" s="50"/>
      <c r="O1" s="50"/>
      <c r="P1"/>
      <c r="Q1"/>
      <c r="R1"/>
      <c r="S1"/>
      <c r="U1" s="51"/>
      <c r="W1" s="50"/>
      <c r="X1" s="50"/>
    </row>
    <row r="2" spans="1:44" s="47" customFormat="1" ht="14.4">
      <c r="A2" s="45" t="str">
        <f>"Balance sheet Grouping as at " &amp;Master!$B$5</f>
        <v>Balance sheet Grouping as at 31st March 2025</v>
      </c>
      <c r="B2" s="46"/>
      <c r="D2" s="49"/>
      <c r="E2" s="49"/>
      <c r="H2" s="50" t="str">
        <f>"Current and Non Current as at " &amp;Master!$B$5</f>
        <v>Current and Non Current as at 31st March 2025</v>
      </c>
      <c r="I2" s="50"/>
      <c r="J2" s="50"/>
      <c r="L2" s="50" t="str">
        <f>"Current and Non Current as at " &amp;Master!$B$11</f>
        <v>Current and Non Current as at 30th March 2024</v>
      </c>
      <c r="N2" s="50"/>
      <c r="O2" s="50"/>
      <c r="P2"/>
      <c r="Q2"/>
      <c r="R2"/>
      <c r="S2"/>
      <c r="U2" s="51"/>
      <c r="W2" s="50"/>
      <c r="X2" s="50"/>
    </row>
    <row r="3" spans="1:44" ht="5.0999999999999996" customHeight="1">
      <c r="P3"/>
      <c r="Q3"/>
      <c r="R3"/>
      <c r="S3"/>
    </row>
    <row r="4" spans="1:44" s="47" customFormat="1" ht="14.4">
      <c r="A4" s="57" t="s">
        <v>519</v>
      </c>
      <c r="B4" s="58" t="s">
        <v>520</v>
      </c>
      <c r="D4" s="59" t="s">
        <v>490</v>
      </c>
      <c r="E4" s="51"/>
      <c r="F4" s="59" t="s">
        <v>490</v>
      </c>
      <c r="H4" s="60" t="s">
        <v>521</v>
      </c>
      <c r="I4" s="60" t="s">
        <v>522</v>
      </c>
      <c r="J4" s="60" t="s">
        <v>523</v>
      </c>
      <c r="L4" s="61" t="s">
        <v>521</v>
      </c>
      <c r="M4" s="61" t="s">
        <v>522</v>
      </c>
      <c r="N4" s="61" t="s">
        <v>523</v>
      </c>
      <c r="O4" s="62"/>
      <c r="P4"/>
      <c r="Q4"/>
      <c r="R4"/>
      <c r="S4"/>
      <c r="U4" s="60" t="s">
        <v>524</v>
      </c>
      <c r="W4" s="61"/>
      <c r="X4" s="61"/>
      <c r="AC4" s="47" t="s">
        <v>2701</v>
      </c>
      <c r="AE4" s="47" t="s">
        <v>525</v>
      </c>
    </row>
    <row r="5" spans="1:44" ht="15" thickBot="1">
      <c r="A5" s="63"/>
      <c r="B5" s="64"/>
      <c r="C5" s="47"/>
      <c r="D5" s="65">
        <f>Master!B4</f>
        <v>45747</v>
      </c>
      <c r="E5" s="66"/>
      <c r="F5" s="65">
        <f>Master!B10</f>
        <v>45381</v>
      </c>
      <c r="H5" s="67"/>
      <c r="I5" s="67"/>
      <c r="J5" s="67"/>
      <c r="L5" s="68"/>
      <c r="M5" s="68"/>
      <c r="N5" s="68"/>
      <c r="O5" s="69"/>
      <c r="P5"/>
      <c r="Q5"/>
      <c r="R5"/>
      <c r="S5"/>
      <c r="U5" s="67" t="s">
        <v>526</v>
      </c>
      <c r="W5" s="68" t="s">
        <v>527</v>
      </c>
      <c r="X5" s="68" t="s">
        <v>528</v>
      </c>
      <c r="Z5" s="47" t="s">
        <v>529</v>
      </c>
      <c r="AA5" s="68" t="s">
        <v>527</v>
      </c>
      <c r="AB5" s="68" t="s">
        <v>528</v>
      </c>
      <c r="AD5" s="54" t="s">
        <v>523</v>
      </c>
      <c r="AE5" s="54" t="s">
        <v>525</v>
      </c>
      <c r="AQ5" s="54" t="s">
        <v>145</v>
      </c>
      <c r="AR5" s="54" t="s">
        <v>2531</v>
      </c>
    </row>
    <row r="6" spans="1:44" ht="5.0999999999999996" customHeight="1" thickTop="1">
      <c r="A6" s="70"/>
      <c r="B6" s="71"/>
      <c r="C6" s="47"/>
      <c r="D6" s="72"/>
      <c r="F6" s="72"/>
      <c r="H6" s="73"/>
      <c r="I6" s="73"/>
      <c r="J6" s="73"/>
      <c r="L6" s="74"/>
      <c r="M6" s="74"/>
      <c r="N6" s="74"/>
      <c r="O6" s="75"/>
      <c r="P6"/>
      <c r="Q6"/>
      <c r="R6"/>
      <c r="S6"/>
      <c r="U6" s="76"/>
      <c r="W6" s="74"/>
      <c r="X6" s="74"/>
      <c r="Z6" s="47"/>
      <c r="AA6" s="47"/>
      <c r="AB6" s="77"/>
      <c r="AQ6" s="80"/>
      <c r="AR6" s="80"/>
    </row>
    <row r="7" spans="1:44" ht="14.4">
      <c r="A7" s="70">
        <v>100000</v>
      </c>
      <c r="B7" s="78" t="str">
        <f>VLOOKUP(A7,'TB for financial'!A:B,2,0)</f>
        <v>TDR reclassed &gt; 3 months</v>
      </c>
      <c r="D7" s="79">
        <f>VLOOKUP(A7,'TB for financial'!A:F,6,0)</f>
        <v>0</v>
      </c>
      <c r="E7" s="80"/>
      <c r="F7" s="79">
        <f>VLOOKUP(A7,'TB for financial'!A:K,10,0)</f>
        <v>0</v>
      </c>
      <c r="G7" s="80"/>
      <c r="H7" s="81">
        <f>D7-I7</f>
        <v>0</v>
      </c>
      <c r="I7" s="81">
        <v>0</v>
      </c>
      <c r="J7" s="81">
        <f t="shared" ref="J7:J70" si="0">+D7-H7-I7</f>
        <v>0</v>
      </c>
      <c r="K7" s="80"/>
      <c r="L7" s="82">
        <f>F7-M7</f>
        <v>0</v>
      </c>
      <c r="M7" s="82">
        <v>0</v>
      </c>
      <c r="N7" s="82">
        <f t="shared" ref="N7:N70" si="1">+F7-L7-M7</f>
        <v>0</v>
      </c>
      <c r="O7" s="83"/>
      <c r="P7"/>
      <c r="Q7"/>
      <c r="R7"/>
      <c r="S7"/>
      <c r="U7" s="84" t="s">
        <v>530</v>
      </c>
      <c r="V7" s="80"/>
      <c r="W7" s="82" t="s">
        <v>210</v>
      </c>
      <c r="X7" s="82"/>
      <c r="Y7" s="85" t="s">
        <v>531</v>
      </c>
      <c r="Z7" s="86" t="s">
        <v>532</v>
      </c>
      <c r="AA7" s="86" t="s">
        <v>17</v>
      </c>
      <c r="AB7" s="86"/>
      <c r="AC7" s="87">
        <v>0</v>
      </c>
      <c r="AD7" s="88">
        <f>+D7-AC7</f>
        <v>0</v>
      </c>
      <c r="AF7" s="54">
        <v>100000</v>
      </c>
      <c r="AQ7" s="80"/>
      <c r="AR7" s="80"/>
    </row>
    <row r="8" spans="1:44" ht="14.4">
      <c r="A8" s="89">
        <v>100518</v>
      </c>
      <c r="B8" s="78" t="str">
        <f>VLOOKUP(A8,'TB for financial'!A:B,2,0)</f>
        <v>Taurus Mutual Fund</v>
      </c>
      <c r="D8" s="79">
        <f>VLOOKUP(A8,'TB for financial'!A:F,6,0)</f>
        <v>0</v>
      </c>
      <c r="E8" s="80"/>
      <c r="F8" s="79">
        <f>VLOOKUP(A8,'TB for financial'!A:K,11,0)</f>
        <v>0</v>
      </c>
      <c r="G8" s="80"/>
      <c r="H8" s="81">
        <f t="shared" ref="H8:H71" si="2">D8-I8</f>
        <v>0</v>
      </c>
      <c r="I8" s="81">
        <v>0</v>
      </c>
      <c r="J8" s="81">
        <f t="shared" si="0"/>
        <v>0</v>
      </c>
      <c r="K8" s="80"/>
      <c r="L8" s="82">
        <f t="shared" ref="L8:L71" si="3">F8-M8</f>
        <v>0</v>
      </c>
      <c r="M8" s="82">
        <v>0</v>
      </c>
      <c r="N8" s="82">
        <f t="shared" si="1"/>
        <v>0</v>
      </c>
      <c r="O8" s="83"/>
      <c r="P8"/>
      <c r="Q8"/>
      <c r="R8"/>
      <c r="S8"/>
      <c r="U8" s="84" t="s">
        <v>530</v>
      </c>
      <c r="V8" s="80"/>
      <c r="W8" s="82" t="s">
        <v>210</v>
      </c>
      <c r="X8" s="82"/>
      <c r="Y8" s="85" t="s">
        <v>531</v>
      </c>
      <c r="Z8" s="86" t="s">
        <v>532</v>
      </c>
      <c r="AA8" s="86" t="s">
        <v>17</v>
      </c>
      <c r="AB8" s="86"/>
      <c r="AC8" s="87">
        <v>0</v>
      </c>
      <c r="AD8" s="88">
        <f t="shared" ref="AD8:AD71" si="4">+D8-AC8</f>
        <v>0</v>
      </c>
      <c r="AF8" s="54">
        <v>100518</v>
      </c>
      <c r="AQ8" s="80"/>
      <c r="AR8" s="80"/>
    </row>
    <row r="9" spans="1:44" ht="14.4">
      <c r="A9" s="70">
        <v>100529</v>
      </c>
      <c r="B9" s="78" t="str">
        <f>VLOOKUP(A9,'TB for financial'!A:B,2,0)</f>
        <v>Reliance Floating Rate Fund</v>
      </c>
      <c r="D9" s="79">
        <f>VLOOKUP(A9,'TB for financial'!A:F,6,0)</f>
        <v>0</v>
      </c>
      <c r="E9" s="80"/>
      <c r="F9" s="79">
        <f>VLOOKUP(A9,'TB for financial'!A:K,11,0)</f>
        <v>0</v>
      </c>
      <c r="G9" s="80"/>
      <c r="H9" s="81">
        <f t="shared" si="2"/>
        <v>0</v>
      </c>
      <c r="I9" s="81">
        <v>0</v>
      </c>
      <c r="J9" s="81">
        <f t="shared" si="0"/>
        <v>0</v>
      </c>
      <c r="K9" s="80"/>
      <c r="L9" s="82">
        <f t="shared" si="3"/>
        <v>0</v>
      </c>
      <c r="M9" s="82">
        <v>0</v>
      </c>
      <c r="N9" s="82">
        <f t="shared" si="1"/>
        <v>0</v>
      </c>
      <c r="O9" s="83"/>
      <c r="P9"/>
      <c r="Q9"/>
      <c r="R9"/>
      <c r="S9"/>
      <c r="U9" s="84" t="s">
        <v>530</v>
      </c>
      <c r="V9" s="80"/>
      <c r="W9" s="82" t="s">
        <v>210</v>
      </c>
      <c r="X9" s="82"/>
      <c r="Y9" s="85" t="s">
        <v>531</v>
      </c>
      <c r="Z9" s="86" t="s">
        <v>532</v>
      </c>
      <c r="AA9" s="86" t="s">
        <v>17</v>
      </c>
      <c r="AB9" s="86"/>
      <c r="AC9" s="87">
        <v>0</v>
      </c>
      <c r="AD9" s="88">
        <f t="shared" si="4"/>
        <v>0</v>
      </c>
      <c r="AF9" s="54">
        <v>100529</v>
      </c>
      <c r="AQ9" s="80"/>
      <c r="AR9" s="80"/>
    </row>
    <row r="10" spans="1:44" ht="14.4">
      <c r="A10" s="90">
        <v>100543</v>
      </c>
      <c r="B10" s="78" t="str">
        <f>VLOOKUP(A10,'TB for financial'!A:B,2,0)</f>
        <v>Axis Mutual Fund</v>
      </c>
      <c r="D10" s="79">
        <f>VLOOKUP(A10,'TB for financial'!A:F,6,0)</f>
        <v>0</v>
      </c>
      <c r="E10" s="80"/>
      <c r="F10" s="79">
        <f>VLOOKUP(A10,'TB for financial'!A:K,11,0)</f>
        <v>0</v>
      </c>
      <c r="G10" s="80"/>
      <c r="H10" s="81">
        <f t="shared" si="2"/>
        <v>0</v>
      </c>
      <c r="I10" s="81">
        <v>0</v>
      </c>
      <c r="J10" s="81">
        <f t="shared" si="0"/>
        <v>0</v>
      </c>
      <c r="K10" s="80"/>
      <c r="L10" s="82">
        <f t="shared" si="3"/>
        <v>0</v>
      </c>
      <c r="M10" s="82">
        <v>0</v>
      </c>
      <c r="N10" s="82">
        <f t="shared" si="1"/>
        <v>0</v>
      </c>
      <c r="O10" s="83"/>
      <c r="P10"/>
      <c r="Q10"/>
      <c r="R10"/>
      <c r="S10"/>
      <c r="U10" s="84" t="s">
        <v>530</v>
      </c>
      <c r="V10" s="80"/>
      <c r="W10" s="82" t="s">
        <v>210</v>
      </c>
      <c r="X10" s="82"/>
      <c r="Y10" s="85" t="s">
        <v>531</v>
      </c>
      <c r="Z10" s="86" t="s">
        <v>532</v>
      </c>
      <c r="AA10" s="86" t="s">
        <v>17</v>
      </c>
      <c r="AB10" s="86"/>
      <c r="AC10" s="87">
        <v>0</v>
      </c>
      <c r="AD10" s="88">
        <f t="shared" si="4"/>
        <v>0</v>
      </c>
      <c r="AF10" s="54">
        <v>100543</v>
      </c>
      <c r="AQ10" s="80"/>
      <c r="AR10" s="80"/>
    </row>
    <row r="11" spans="1:44" ht="14.4">
      <c r="A11" s="90">
        <v>100544</v>
      </c>
      <c r="B11" s="78" t="str">
        <f>VLOOKUP(A11,'TB for financial'!A:B,2,0)</f>
        <v>IDBI Mutual Fund</v>
      </c>
      <c r="D11" s="79">
        <f>VLOOKUP(A11,'TB for financial'!A:F,6,0)</f>
        <v>0</v>
      </c>
      <c r="E11" s="80"/>
      <c r="F11" s="79">
        <f>VLOOKUP(A11,'TB for financial'!A:K,11,0)</f>
        <v>0</v>
      </c>
      <c r="G11" s="80"/>
      <c r="H11" s="81">
        <f t="shared" si="2"/>
        <v>0</v>
      </c>
      <c r="I11" s="81">
        <v>0</v>
      </c>
      <c r="J11" s="81">
        <f t="shared" si="0"/>
        <v>0</v>
      </c>
      <c r="K11" s="80"/>
      <c r="L11" s="82">
        <f t="shared" si="3"/>
        <v>0</v>
      </c>
      <c r="M11" s="82">
        <v>0</v>
      </c>
      <c r="N11" s="82">
        <f t="shared" si="1"/>
        <v>0</v>
      </c>
      <c r="O11" s="83"/>
      <c r="P11"/>
      <c r="Q11"/>
      <c r="R11"/>
      <c r="S11"/>
      <c r="U11" s="84" t="s">
        <v>530</v>
      </c>
      <c r="V11" s="80"/>
      <c r="W11" s="82" t="s">
        <v>210</v>
      </c>
      <c r="X11" s="82"/>
      <c r="Y11" s="85" t="s">
        <v>531</v>
      </c>
      <c r="Z11" s="86" t="s">
        <v>532</v>
      </c>
      <c r="AA11" s="86" t="s">
        <v>17</v>
      </c>
      <c r="AB11" s="86"/>
      <c r="AC11" s="87">
        <v>0</v>
      </c>
      <c r="AD11" s="88">
        <f t="shared" si="4"/>
        <v>0</v>
      </c>
      <c r="AF11" s="54">
        <v>100544</v>
      </c>
      <c r="AQ11" s="80"/>
      <c r="AR11" s="80"/>
    </row>
    <row r="12" spans="1:44" ht="14.4">
      <c r="A12" s="90">
        <v>100547</v>
      </c>
      <c r="B12" s="78" t="str">
        <f>VLOOKUP(A12,'TB for financial'!A:B,2,0)</f>
        <v>Peerlees Mutual Fund</v>
      </c>
      <c r="D12" s="79">
        <f>VLOOKUP(A12,'TB for financial'!A:F,6,0)</f>
        <v>9.9999997764825821E-3</v>
      </c>
      <c r="E12" s="80"/>
      <c r="F12" s="79">
        <f>VLOOKUP(A12,'TB for financial'!A:K,11,0)</f>
        <v>9.9999997764825821E-3</v>
      </c>
      <c r="G12" s="80"/>
      <c r="H12" s="81">
        <f t="shared" si="2"/>
        <v>9.9999997764825821E-3</v>
      </c>
      <c r="I12" s="81">
        <v>0</v>
      </c>
      <c r="J12" s="81">
        <f t="shared" si="0"/>
        <v>0</v>
      </c>
      <c r="K12" s="80"/>
      <c r="L12" s="82">
        <f t="shared" si="3"/>
        <v>9.9999997764825821E-3</v>
      </c>
      <c r="M12" s="82">
        <v>0</v>
      </c>
      <c r="N12" s="82">
        <f t="shared" si="1"/>
        <v>0</v>
      </c>
      <c r="O12" s="83"/>
      <c r="P12"/>
      <c r="Q12"/>
      <c r="R12"/>
      <c r="S12"/>
      <c r="U12" s="84" t="s">
        <v>530</v>
      </c>
      <c r="V12" s="80"/>
      <c r="W12" s="82" t="s">
        <v>210</v>
      </c>
      <c r="X12" s="82"/>
      <c r="Y12" s="85" t="s">
        <v>531</v>
      </c>
      <c r="Z12" s="86" t="s">
        <v>532</v>
      </c>
      <c r="AA12" s="86" t="s">
        <v>17</v>
      </c>
      <c r="AB12" s="86"/>
      <c r="AC12" s="87">
        <v>0</v>
      </c>
      <c r="AD12" s="88">
        <f t="shared" si="4"/>
        <v>9.9999997764825821E-3</v>
      </c>
      <c r="AF12" s="54">
        <v>100547</v>
      </c>
      <c r="AQ12" s="80">
        <f>D12</f>
        <v>9.9999997764825821E-3</v>
      </c>
      <c r="AR12" s="80"/>
    </row>
    <row r="13" spans="1:44" ht="14.4">
      <c r="A13" s="91">
        <v>100548</v>
      </c>
      <c r="B13" s="78" t="str">
        <f>VLOOKUP(A13,'TB for financial'!A:B,2,0)</f>
        <v>L &amp; T Mutual Fund</v>
      </c>
      <c r="D13" s="79">
        <f>VLOOKUP(A13,'TB for financial'!A:F,6,0)</f>
        <v>0</v>
      </c>
      <c r="E13" s="80"/>
      <c r="F13" s="79">
        <f>VLOOKUP(A13,'TB for financial'!A:K,11,0)</f>
        <v>0</v>
      </c>
      <c r="G13" s="80"/>
      <c r="H13" s="81">
        <f t="shared" si="2"/>
        <v>0</v>
      </c>
      <c r="I13" s="81">
        <v>0</v>
      </c>
      <c r="J13" s="81">
        <f t="shared" si="0"/>
        <v>0</v>
      </c>
      <c r="K13" s="80"/>
      <c r="L13" s="82">
        <f t="shared" si="3"/>
        <v>0</v>
      </c>
      <c r="M13" s="82">
        <v>0</v>
      </c>
      <c r="N13" s="82">
        <f t="shared" si="1"/>
        <v>0</v>
      </c>
      <c r="O13" s="83"/>
      <c r="P13"/>
      <c r="Q13"/>
      <c r="R13"/>
      <c r="S13"/>
      <c r="U13" s="84" t="s">
        <v>530</v>
      </c>
      <c r="V13" s="80"/>
      <c r="W13" s="82" t="s">
        <v>210</v>
      </c>
      <c r="X13" s="82"/>
      <c r="Y13" s="85" t="s">
        <v>531</v>
      </c>
      <c r="Z13" s="86" t="s">
        <v>532</v>
      </c>
      <c r="AA13" s="86" t="s">
        <v>17</v>
      </c>
      <c r="AB13" s="86"/>
      <c r="AC13" s="87">
        <v>0</v>
      </c>
      <c r="AD13" s="88">
        <f t="shared" si="4"/>
        <v>0</v>
      </c>
      <c r="AF13" s="54">
        <v>100548</v>
      </c>
      <c r="AQ13" s="80"/>
      <c r="AR13" s="80"/>
    </row>
    <row r="14" spans="1:44" ht="14.4">
      <c r="A14" s="91">
        <v>100549</v>
      </c>
      <c r="B14" s="78" t="str">
        <f>VLOOKUP(A14,'TB for financial'!A:B,2,0)</f>
        <v>Canara Robeco Mutual Fund</v>
      </c>
      <c r="D14" s="79">
        <f>VLOOKUP(A14,'TB for financial'!A:F,6,0)</f>
        <v>0</v>
      </c>
      <c r="E14" s="80"/>
      <c r="F14" s="79">
        <f>VLOOKUP(A14,'TB for financial'!A:K,11,0)</f>
        <v>0</v>
      </c>
      <c r="G14" s="80"/>
      <c r="H14" s="81">
        <f t="shared" si="2"/>
        <v>0</v>
      </c>
      <c r="I14" s="81">
        <v>0</v>
      </c>
      <c r="J14" s="81">
        <f t="shared" si="0"/>
        <v>0</v>
      </c>
      <c r="K14" s="80"/>
      <c r="L14" s="82">
        <f t="shared" si="3"/>
        <v>0</v>
      </c>
      <c r="M14" s="82">
        <v>0</v>
      </c>
      <c r="N14" s="82">
        <f t="shared" si="1"/>
        <v>0</v>
      </c>
      <c r="O14" s="83"/>
      <c r="P14"/>
      <c r="Q14"/>
      <c r="R14"/>
      <c r="S14"/>
      <c r="U14" s="84" t="s">
        <v>530</v>
      </c>
      <c r="V14" s="80"/>
      <c r="W14" s="82" t="s">
        <v>210</v>
      </c>
      <c r="X14" s="82"/>
      <c r="Y14" s="85" t="s">
        <v>531</v>
      </c>
      <c r="Z14" s="86" t="s">
        <v>532</v>
      </c>
      <c r="AA14" s="86" t="s">
        <v>17</v>
      </c>
      <c r="AB14" s="86"/>
      <c r="AC14" s="87">
        <v>0</v>
      </c>
      <c r="AD14" s="88">
        <f t="shared" si="4"/>
        <v>0</v>
      </c>
      <c r="AF14" s="54">
        <v>100549</v>
      </c>
      <c r="AQ14" s="80"/>
      <c r="AR14" s="80"/>
    </row>
    <row r="15" spans="1:44" ht="14.4">
      <c r="A15" s="89">
        <v>100550</v>
      </c>
      <c r="B15" s="78" t="str">
        <f>VLOOKUP(A15,'TB for financial'!A:B,2,0)</f>
        <v>Baroda Pioneer Mutual Fund</v>
      </c>
      <c r="D15" s="79">
        <f>VLOOKUP(A15,'TB for financial'!A:F,6,0)</f>
        <v>-1.1800000006519258</v>
      </c>
      <c r="E15" s="80"/>
      <c r="F15" s="79">
        <f>VLOOKUP(A15,'TB for financial'!A:K,11,0)</f>
        <v>-1.1800000006519258</v>
      </c>
      <c r="G15" s="80"/>
      <c r="H15" s="81">
        <f t="shared" si="2"/>
        <v>-1.1800000006519258</v>
      </c>
      <c r="I15" s="81">
        <v>0</v>
      </c>
      <c r="J15" s="81">
        <f t="shared" si="0"/>
        <v>0</v>
      </c>
      <c r="K15" s="80"/>
      <c r="L15" s="82">
        <f t="shared" si="3"/>
        <v>-1.1800000006519258</v>
      </c>
      <c r="M15" s="82">
        <v>0</v>
      </c>
      <c r="N15" s="82">
        <f t="shared" si="1"/>
        <v>0</v>
      </c>
      <c r="O15" s="83"/>
      <c r="P15"/>
      <c r="Q15"/>
      <c r="R15"/>
      <c r="S15"/>
      <c r="U15" s="84" t="s">
        <v>530</v>
      </c>
      <c r="V15" s="80"/>
      <c r="W15" s="82" t="s">
        <v>210</v>
      </c>
      <c r="X15" s="82"/>
      <c r="Y15" s="85" t="s">
        <v>531</v>
      </c>
      <c r="Z15" s="86" t="s">
        <v>532</v>
      </c>
      <c r="AA15" s="86" t="s">
        <v>17</v>
      </c>
      <c r="AB15" s="86"/>
      <c r="AC15" s="87">
        <v>0</v>
      </c>
      <c r="AD15" s="88">
        <f t="shared" si="4"/>
        <v>-1.1800000006519258</v>
      </c>
      <c r="AF15" s="54">
        <v>100550</v>
      </c>
      <c r="AQ15" s="80">
        <f>D15</f>
        <v>-1.1800000006519258</v>
      </c>
      <c r="AR15" s="80"/>
    </row>
    <row r="16" spans="1:44" ht="14.4">
      <c r="A16" s="70">
        <v>100551</v>
      </c>
      <c r="B16" s="78" t="str">
        <f>VLOOKUP(A16,'TB for financial'!A:B,2,0)</f>
        <v>HDFC High Int. Fund - Reg. Gr</v>
      </c>
      <c r="D16" s="79">
        <f>VLOOKUP(A16,'TB for financial'!A:F,6,0)</f>
        <v>0</v>
      </c>
      <c r="E16" s="80"/>
      <c r="F16" s="79">
        <f>VLOOKUP(A16,'TB for financial'!A:K,11,0)</f>
        <v>0</v>
      </c>
      <c r="G16" s="80"/>
      <c r="H16" s="81">
        <f t="shared" si="2"/>
        <v>0</v>
      </c>
      <c r="I16" s="81">
        <v>0</v>
      </c>
      <c r="J16" s="81">
        <f t="shared" si="0"/>
        <v>0</v>
      </c>
      <c r="K16" s="80"/>
      <c r="L16" s="82">
        <f t="shared" si="3"/>
        <v>0</v>
      </c>
      <c r="M16" s="82">
        <v>0</v>
      </c>
      <c r="N16" s="82">
        <f t="shared" si="1"/>
        <v>0</v>
      </c>
      <c r="O16" s="83"/>
      <c r="P16"/>
      <c r="Q16"/>
      <c r="R16"/>
      <c r="S16"/>
      <c r="U16" s="84" t="s">
        <v>530</v>
      </c>
      <c r="V16" s="80"/>
      <c r="W16" s="82" t="s">
        <v>210</v>
      </c>
      <c r="X16" s="82"/>
      <c r="Y16" s="85" t="s">
        <v>531</v>
      </c>
      <c r="Z16" s="86" t="s">
        <v>532</v>
      </c>
      <c r="AA16" s="86" t="s">
        <v>17</v>
      </c>
      <c r="AB16" s="86"/>
      <c r="AC16" s="87">
        <v>0</v>
      </c>
      <c r="AD16" s="88">
        <f t="shared" si="4"/>
        <v>0</v>
      </c>
      <c r="AF16" s="54">
        <v>100551</v>
      </c>
      <c r="AQ16" s="80"/>
      <c r="AR16" s="80"/>
    </row>
    <row r="17" spans="1:44" ht="14.4">
      <c r="A17" s="70">
        <v>100552</v>
      </c>
      <c r="B17" s="78" t="str">
        <f>VLOOKUP(A17,'TB for financial'!A:B,2,0)</f>
        <v>Templeton India Inc. Fund - Gr</v>
      </c>
      <c r="D17" s="79">
        <f>VLOOKUP(A17,'TB for financial'!A:F,6,0)</f>
        <v>0</v>
      </c>
      <c r="E17" s="80"/>
      <c r="F17" s="79">
        <f>VLOOKUP(A17,'TB for financial'!A:K,11,0)</f>
        <v>0</v>
      </c>
      <c r="G17" s="80"/>
      <c r="H17" s="81">
        <f t="shared" si="2"/>
        <v>0</v>
      </c>
      <c r="I17" s="81">
        <v>0</v>
      </c>
      <c r="J17" s="81">
        <f t="shared" si="0"/>
        <v>0</v>
      </c>
      <c r="K17" s="80"/>
      <c r="L17" s="82">
        <f t="shared" si="3"/>
        <v>0</v>
      </c>
      <c r="M17" s="82">
        <v>0</v>
      </c>
      <c r="N17" s="82">
        <f t="shared" si="1"/>
        <v>0</v>
      </c>
      <c r="O17" s="83"/>
      <c r="P17"/>
      <c r="Q17"/>
      <c r="R17"/>
      <c r="S17"/>
      <c r="U17" s="84" t="s">
        <v>530</v>
      </c>
      <c r="V17" s="80"/>
      <c r="W17" s="82" t="s">
        <v>210</v>
      </c>
      <c r="X17" s="82"/>
      <c r="Y17" s="85" t="s">
        <v>531</v>
      </c>
      <c r="Z17" s="86" t="s">
        <v>532</v>
      </c>
      <c r="AA17" s="86" t="s">
        <v>17</v>
      </c>
      <c r="AB17" s="86"/>
      <c r="AC17" s="87">
        <v>0</v>
      </c>
      <c r="AD17" s="88">
        <f t="shared" si="4"/>
        <v>0</v>
      </c>
      <c r="AF17" s="54">
        <v>100552</v>
      </c>
      <c r="AQ17" s="80"/>
      <c r="AR17" s="80"/>
    </row>
    <row r="18" spans="1:44" ht="14.4">
      <c r="A18" s="70">
        <v>100553</v>
      </c>
      <c r="B18" s="78" t="str">
        <f>VLOOKUP(A18,'TB for financial'!A:B,2,0)</f>
        <v>Templeton Floating Fund - ST</v>
      </c>
      <c r="D18" s="79">
        <f>VLOOKUP(A18,'TB for financial'!A:F,6,0)</f>
        <v>0</v>
      </c>
      <c r="E18" s="80"/>
      <c r="F18" s="79">
        <f>VLOOKUP(A18,'TB for financial'!A:K,11,0)</f>
        <v>0</v>
      </c>
      <c r="G18" s="80"/>
      <c r="H18" s="81">
        <f t="shared" si="2"/>
        <v>0</v>
      </c>
      <c r="I18" s="81">
        <v>0</v>
      </c>
      <c r="J18" s="81">
        <f t="shared" si="0"/>
        <v>0</v>
      </c>
      <c r="K18" s="80"/>
      <c r="L18" s="82">
        <f t="shared" si="3"/>
        <v>0</v>
      </c>
      <c r="M18" s="82">
        <v>0</v>
      </c>
      <c r="N18" s="82">
        <f t="shared" si="1"/>
        <v>0</v>
      </c>
      <c r="O18" s="83"/>
      <c r="P18"/>
      <c r="Q18"/>
      <c r="R18"/>
      <c r="S18"/>
      <c r="U18" s="84" t="s">
        <v>530</v>
      </c>
      <c r="V18" s="80"/>
      <c r="W18" s="82" t="s">
        <v>210</v>
      </c>
      <c r="X18" s="82"/>
      <c r="Y18" s="85" t="s">
        <v>531</v>
      </c>
      <c r="Z18" s="86" t="s">
        <v>532</v>
      </c>
      <c r="AA18" s="86" t="s">
        <v>17</v>
      </c>
      <c r="AB18" s="86"/>
      <c r="AC18" s="87">
        <v>0</v>
      </c>
      <c r="AD18" s="88">
        <f t="shared" si="4"/>
        <v>0</v>
      </c>
      <c r="AF18" s="54">
        <v>100553</v>
      </c>
      <c r="AQ18" s="80"/>
      <c r="AR18" s="80"/>
    </row>
    <row r="19" spans="1:44" ht="14.4">
      <c r="A19" s="70">
        <v>100554</v>
      </c>
      <c r="B19" s="78" t="str">
        <f>VLOOKUP(A19,'TB for financial'!A:B,2,0)</f>
        <v>DSP ML - Bond Fund - Gr.</v>
      </c>
      <c r="D19" s="79">
        <f>VLOOKUP(A19,'TB for financial'!A:F,6,0)</f>
        <v>0</v>
      </c>
      <c r="E19" s="80"/>
      <c r="F19" s="79">
        <f>VLOOKUP(A19,'TB for financial'!A:K,11,0)</f>
        <v>0</v>
      </c>
      <c r="G19" s="80"/>
      <c r="H19" s="81">
        <f t="shared" si="2"/>
        <v>0</v>
      </c>
      <c r="I19" s="81">
        <v>0</v>
      </c>
      <c r="J19" s="81">
        <f t="shared" si="0"/>
        <v>0</v>
      </c>
      <c r="K19" s="80"/>
      <c r="L19" s="82">
        <f t="shared" si="3"/>
        <v>0</v>
      </c>
      <c r="M19" s="82">
        <v>0</v>
      </c>
      <c r="N19" s="82">
        <f t="shared" si="1"/>
        <v>0</v>
      </c>
      <c r="O19" s="83"/>
      <c r="P19"/>
      <c r="Q19"/>
      <c r="R19"/>
      <c r="S19"/>
      <c r="U19" s="84" t="s">
        <v>530</v>
      </c>
      <c r="V19" s="80"/>
      <c r="W19" s="82" t="s">
        <v>210</v>
      </c>
      <c r="X19" s="82"/>
      <c r="Y19" s="85" t="s">
        <v>531</v>
      </c>
      <c r="Z19" s="86" t="s">
        <v>532</v>
      </c>
      <c r="AA19" s="86" t="s">
        <v>17</v>
      </c>
      <c r="AB19" s="86"/>
      <c r="AC19" s="87">
        <v>0</v>
      </c>
      <c r="AD19" s="88">
        <f t="shared" si="4"/>
        <v>0</v>
      </c>
      <c r="AF19" s="54">
        <v>100554</v>
      </c>
      <c r="AQ19" s="80"/>
      <c r="AR19" s="80"/>
    </row>
    <row r="20" spans="1:44" ht="14.4">
      <c r="A20" s="70">
        <v>100555</v>
      </c>
      <c r="B20" s="78" t="str">
        <f>VLOOKUP(A20,'TB for financial'!A:B,2,0)</f>
        <v>DSP ML Liquidity Fund - Gr</v>
      </c>
      <c r="D20" s="79">
        <f>VLOOKUP(A20,'TB for financial'!A:F,6,0)</f>
        <v>0</v>
      </c>
      <c r="E20" s="80"/>
      <c r="F20" s="79">
        <f>VLOOKUP(A20,'TB for financial'!A:K,11,0)</f>
        <v>0</v>
      </c>
      <c r="G20" s="80"/>
      <c r="H20" s="81">
        <f t="shared" si="2"/>
        <v>0</v>
      </c>
      <c r="I20" s="81">
        <v>0</v>
      </c>
      <c r="J20" s="81">
        <f t="shared" si="0"/>
        <v>0</v>
      </c>
      <c r="K20" s="80"/>
      <c r="L20" s="82">
        <f t="shared" si="3"/>
        <v>0</v>
      </c>
      <c r="M20" s="82">
        <v>0</v>
      </c>
      <c r="N20" s="82">
        <f t="shared" si="1"/>
        <v>0</v>
      </c>
      <c r="O20" s="83"/>
      <c r="P20"/>
      <c r="Q20"/>
      <c r="R20"/>
      <c r="S20"/>
      <c r="U20" s="84" t="s">
        <v>530</v>
      </c>
      <c r="V20" s="80"/>
      <c r="W20" s="82" t="s">
        <v>210</v>
      </c>
      <c r="X20" s="82"/>
      <c r="Y20" s="85" t="s">
        <v>531</v>
      </c>
      <c r="Z20" s="86" t="s">
        <v>532</v>
      </c>
      <c r="AA20" s="86" t="s">
        <v>17</v>
      </c>
      <c r="AB20" s="86"/>
      <c r="AC20" s="87">
        <v>0</v>
      </c>
      <c r="AD20" s="88">
        <f t="shared" si="4"/>
        <v>0</v>
      </c>
      <c r="AF20" s="54">
        <v>100555</v>
      </c>
      <c r="AQ20" s="80"/>
      <c r="AR20" s="80"/>
    </row>
    <row r="21" spans="1:44" ht="14.4">
      <c r="A21" s="70">
        <v>100556</v>
      </c>
      <c r="B21" s="78" t="str">
        <f>VLOOKUP(A21,'TB for financial'!A:B,2,0)</f>
        <v>DSP ML Floating Fund - Gr</v>
      </c>
      <c r="D21" s="79">
        <f>VLOOKUP(A21,'TB for financial'!A:F,6,0)</f>
        <v>1.2499999981373549</v>
      </c>
      <c r="E21" s="80"/>
      <c r="F21" s="79">
        <f>VLOOKUP(A21,'TB for financial'!A:K,11,0)</f>
        <v>1.2499999981373549</v>
      </c>
      <c r="G21" s="80"/>
      <c r="H21" s="81">
        <f t="shared" si="2"/>
        <v>1.2499999981373549</v>
      </c>
      <c r="I21" s="81">
        <v>0</v>
      </c>
      <c r="J21" s="81">
        <f t="shared" si="0"/>
        <v>0</v>
      </c>
      <c r="K21" s="80"/>
      <c r="L21" s="82">
        <f t="shared" si="3"/>
        <v>1.2499999981373549</v>
      </c>
      <c r="M21" s="82">
        <v>0</v>
      </c>
      <c r="N21" s="82">
        <f t="shared" si="1"/>
        <v>0</v>
      </c>
      <c r="O21" s="83"/>
      <c r="P21"/>
      <c r="Q21"/>
      <c r="R21"/>
      <c r="S21"/>
      <c r="U21" s="84" t="s">
        <v>530</v>
      </c>
      <c r="V21" s="80"/>
      <c r="W21" s="82" t="s">
        <v>210</v>
      </c>
      <c r="X21" s="82"/>
      <c r="Y21" s="85" t="s">
        <v>531</v>
      </c>
      <c r="Z21" s="86" t="s">
        <v>532</v>
      </c>
      <c r="AA21" s="86" t="s">
        <v>17</v>
      </c>
      <c r="AB21" s="86"/>
      <c r="AC21" s="87">
        <v>0</v>
      </c>
      <c r="AD21" s="88">
        <f t="shared" si="4"/>
        <v>1.2499999981373549</v>
      </c>
      <c r="AF21" s="54">
        <v>100556</v>
      </c>
      <c r="AQ21" s="80">
        <f>D21</f>
        <v>1.2499999981373549</v>
      </c>
      <c r="AR21" s="80"/>
    </row>
    <row r="22" spans="1:44" ht="14.4">
      <c r="A22" s="70">
        <v>100557</v>
      </c>
      <c r="B22" s="78" t="str">
        <f>VLOOKUP(A22,'TB for financial'!A:B,2,0)</f>
        <v>Prudential ICICI Floating - Gr</v>
      </c>
      <c r="D22" s="79">
        <f>VLOOKUP(A22,'TB for financial'!A:F,6,0)</f>
        <v>0</v>
      </c>
      <c r="E22" s="80"/>
      <c r="F22" s="79">
        <f>VLOOKUP(A22,'TB for financial'!A:K,11,0)</f>
        <v>0</v>
      </c>
      <c r="G22" s="80"/>
      <c r="H22" s="81">
        <f t="shared" si="2"/>
        <v>0</v>
      </c>
      <c r="I22" s="81">
        <v>0</v>
      </c>
      <c r="J22" s="81">
        <f t="shared" si="0"/>
        <v>0</v>
      </c>
      <c r="K22" s="80"/>
      <c r="L22" s="82">
        <f t="shared" si="3"/>
        <v>0</v>
      </c>
      <c r="M22" s="82">
        <v>0</v>
      </c>
      <c r="N22" s="82">
        <f t="shared" si="1"/>
        <v>0</v>
      </c>
      <c r="O22" s="83"/>
      <c r="P22"/>
      <c r="Q22"/>
      <c r="R22"/>
      <c r="S22"/>
      <c r="U22" s="84" t="s">
        <v>530</v>
      </c>
      <c r="V22" s="80"/>
      <c r="W22" s="82" t="s">
        <v>210</v>
      </c>
      <c r="X22" s="82"/>
      <c r="Y22" s="85" t="s">
        <v>531</v>
      </c>
      <c r="Z22" s="86" t="s">
        <v>532</v>
      </c>
      <c r="AA22" s="86" t="s">
        <v>17</v>
      </c>
      <c r="AB22" s="86"/>
      <c r="AC22" s="87">
        <v>0</v>
      </c>
      <c r="AD22" s="88">
        <f t="shared" si="4"/>
        <v>0</v>
      </c>
      <c r="AF22" s="54">
        <v>100557</v>
      </c>
      <c r="AQ22" s="80"/>
      <c r="AR22" s="80"/>
    </row>
    <row r="23" spans="1:44" ht="14.4">
      <c r="A23" s="70">
        <v>100558</v>
      </c>
      <c r="B23" s="78" t="str">
        <f>VLOOKUP(A23,'TB for financial'!A:B,2,0)</f>
        <v>Grindlays Cash Fund - IP - Gr</v>
      </c>
      <c r="D23" s="79">
        <f>VLOOKUP(A23,'TB for financial'!A:F,6,0)</f>
        <v>0</v>
      </c>
      <c r="E23" s="80"/>
      <c r="F23" s="79">
        <f>VLOOKUP(A23,'TB for financial'!A:K,11,0)</f>
        <v>0</v>
      </c>
      <c r="G23" s="80"/>
      <c r="H23" s="81">
        <f t="shared" si="2"/>
        <v>0</v>
      </c>
      <c r="I23" s="81">
        <v>0</v>
      </c>
      <c r="J23" s="81">
        <f t="shared" si="0"/>
        <v>0</v>
      </c>
      <c r="K23" s="80"/>
      <c r="L23" s="82">
        <f t="shared" si="3"/>
        <v>0</v>
      </c>
      <c r="M23" s="82">
        <v>0</v>
      </c>
      <c r="N23" s="82">
        <f t="shared" si="1"/>
        <v>0</v>
      </c>
      <c r="O23" s="83"/>
      <c r="P23"/>
      <c r="Q23"/>
      <c r="R23"/>
      <c r="S23"/>
      <c r="U23" s="84" t="s">
        <v>530</v>
      </c>
      <c r="V23" s="80"/>
      <c r="W23" s="82" t="s">
        <v>210</v>
      </c>
      <c r="X23" s="82"/>
      <c r="Y23" s="85" t="s">
        <v>531</v>
      </c>
      <c r="Z23" s="86" t="s">
        <v>532</v>
      </c>
      <c r="AA23" s="86" t="s">
        <v>17</v>
      </c>
      <c r="AB23" s="86"/>
      <c r="AC23" s="87">
        <v>0</v>
      </c>
      <c r="AD23" s="88">
        <f t="shared" si="4"/>
        <v>0</v>
      </c>
      <c r="AF23" s="54">
        <v>100558</v>
      </c>
      <c r="AQ23" s="80"/>
      <c r="AR23" s="80"/>
    </row>
    <row r="24" spans="1:44" ht="14.4">
      <c r="A24" s="70">
        <v>100559</v>
      </c>
      <c r="B24" s="78" t="str">
        <f>VLOOKUP(A24,'TB for financial'!A:B,2,0)</f>
        <v>HSBC Cash Fund - Growth</v>
      </c>
      <c r="D24" s="79">
        <f>VLOOKUP(A24,'TB for financial'!A:F,6,0)</f>
        <v>0</v>
      </c>
      <c r="E24" s="80"/>
      <c r="F24" s="79">
        <f>VLOOKUP(A24,'TB for financial'!A:K,11,0)</f>
        <v>0</v>
      </c>
      <c r="G24" s="80"/>
      <c r="H24" s="81">
        <f t="shared" si="2"/>
        <v>0</v>
      </c>
      <c r="I24" s="81">
        <v>0</v>
      </c>
      <c r="J24" s="81">
        <f t="shared" si="0"/>
        <v>0</v>
      </c>
      <c r="K24" s="80"/>
      <c r="L24" s="82">
        <f t="shared" si="3"/>
        <v>0</v>
      </c>
      <c r="M24" s="82">
        <v>0</v>
      </c>
      <c r="N24" s="82">
        <f t="shared" si="1"/>
        <v>0</v>
      </c>
      <c r="O24" s="83"/>
      <c r="P24"/>
      <c r="Q24"/>
      <c r="R24"/>
      <c r="S24"/>
      <c r="U24" s="84" t="s">
        <v>530</v>
      </c>
      <c r="V24" s="80"/>
      <c r="W24" s="82" t="s">
        <v>210</v>
      </c>
      <c r="X24" s="82"/>
      <c r="Y24" s="85" t="s">
        <v>531</v>
      </c>
      <c r="Z24" s="86" t="s">
        <v>532</v>
      </c>
      <c r="AA24" s="86" t="s">
        <v>17</v>
      </c>
      <c r="AB24" s="86"/>
      <c r="AC24" s="87">
        <v>0</v>
      </c>
      <c r="AD24" s="88">
        <f t="shared" si="4"/>
        <v>0</v>
      </c>
      <c r="AF24" s="54">
        <v>100559</v>
      </c>
      <c r="AQ24" s="80"/>
      <c r="AR24" s="80"/>
    </row>
    <row r="25" spans="1:44" ht="14.4">
      <c r="A25" s="70">
        <v>100560</v>
      </c>
      <c r="B25" s="78" t="str">
        <f>VLOOKUP(A25,'TB for financial'!A:B,2,0)</f>
        <v>Reliance Treasury - IP - Gr</v>
      </c>
      <c r="D25" s="79">
        <f>VLOOKUP(A25,'TB for financial'!A:F,6,0)</f>
        <v>0</v>
      </c>
      <c r="E25" s="80"/>
      <c r="F25" s="79">
        <f>VLOOKUP(A25,'TB for financial'!A:K,11,0)</f>
        <v>0</v>
      </c>
      <c r="G25" s="80"/>
      <c r="H25" s="81">
        <f t="shared" si="2"/>
        <v>0</v>
      </c>
      <c r="I25" s="81">
        <v>0</v>
      </c>
      <c r="J25" s="81">
        <f t="shared" si="0"/>
        <v>0</v>
      </c>
      <c r="K25" s="80"/>
      <c r="L25" s="82">
        <f t="shared" si="3"/>
        <v>0</v>
      </c>
      <c r="M25" s="82">
        <v>0</v>
      </c>
      <c r="N25" s="82">
        <f t="shared" si="1"/>
        <v>0</v>
      </c>
      <c r="O25" s="83"/>
      <c r="P25"/>
      <c r="Q25"/>
      <c r="R25"/>
      <c r="S25"/>
      <c r="U25" s="84" t="s">
        <v>530</v>
      </c>
      <c r="V25" s="80"/>
      <c r="W25" s="82" t="s">
        <v>210</v>
      </c>
      <c r="X25" s="82"/>
      <c r="Y25" s="85" t="s">
        <v>531</v>
      </c>
      <c r="Z25" s="86" t="s">
        <v>532</v>
      </c>
      <c r="AA25" s="86" t="s">
        <v>17</v>
      </c>
      <c r="AB25" s="86"/>
      <c r="AC25" s="87">
        <v>0</v>
      </c>
      <c r="AD25" s="88">
        <f t="shared" si="4"/>
        <v>0</v>
      </c>
      <c r="AF25" s="54">
        <v>100560</v>
      </c>
      <c r="AQ25" s="80"/>
      <c r="AR25" s="80"/>
    </row>
    <row r="26" spans="1:44" ht="14.4">
      <c r="A26" s="70">
        <v>100561</v>
      </c>
      <c r="B26" s="78" t="str">
        <f>VLOOKUP(A26,'TB for financial'!A:B,2,0)</f>
        <v>Reliance STerm Fund - Gr</v>
      </c>
      <c r="D26" s="79">
        <f>VLOOKUP(A26,'TB for financial'!A:F,6,0)</f>
        <v>0</v>
      </c>
      <c r="E26" s="80"/>
      <c r="F26" s="79">
        <f>VLOOKUP(A26,'TB for financial'!A:K,11,0)</f>
        <v>0</v>
      </c>
      <c r="G26" s="80"/>
      <c r="H26" s="81">
        <f t="shared" si="2"/>
        <v>0</v>
      </c>
      <c r="I26" s="81">
        <v>0</v>
      </c>
      <c r="J26" s="81">
        <f t="shared" si="0"/>
        <v>0</v>
      </c>
      <c r="K26" s="80"/>
      <c r="L26" s="82">
        <f t="shared" si="3"/>
        <v>0</v>
      </c>
      <c r="M26" s="82">
        <v>0</v>
      </c>
      <c r="N26" s="82">
        <f t="shared" si="1"/>
        <v>0</v>
      </c>
      <c r="O26" s="83"/>
      <c r="P26"/>
      <c r="Q26"/>
      <c r="R26"/>
      <c r="S26"/>
      <c r="U26" s="84" t="s">
        <v>530</v>
      </c>
      <c r="V26" s="80"/>
      <c r="W26" s="82" t="s">
        <v>210</v>
      </c>
      <c r="X26" s="82"/>
      <c r="Y26" s="85" t="s">
        <v>531</v>
      </c>
      <c r="Z26" s="86" t="s">
        <v>532</v>
      </c>
      <c r="AA26" s="86" t="s">
        <v>17</v>
      </c>
      <c r="AB26" s="86"/>
      <c r="AC26" s="87">
        <v>0</v>
      </c>
      <c r="AD26" s="88">
        <f t="shared" si="4"/>
        <v>0</v>
      </c>
      <c r="AF26" s="54">
        <v>100561</v>
      </c>
      <c r="AQ26" s="80"/>
      <c r="AR26" s="80"/>
    </row>
    <row r="27" spans="1:44" ht="14.4">
      <c r="A27" s="70">
        <v>100562</v>
      </c>
      <c r="B27" s="78" t="str">
        <f>VLOOKUP(A27,'TB for financial'!A:B,2,0)</f>
        <v>TLHG TATA Liquid HIF - Gr</v>
      </c>
      <c r="D27" s="79">
        <f>VLOOKUP(A27,'TB for financial'!A:F,6,0)</f>
        <v>-1.2000000029802322</v>
      </c>
      <c r="E27" s="80"/>
      <c r="F27" s="79">
        <f>VLOOKUP(A27,'TB for financial'!A:K,11,0)</f>
        <v>-1.2000000029802322</v>
      </c>
      <c r="G27" s="80"/>
      <c r="H27" s="81">
        <f t="shared" si="2"/>
        <v>-1.2000000029802322</v>
      </c>
      <c r="I27" s="81">
        <v>0</v>
      </c>
      <c r="J27" s="81">
        <f t="shared" si="0"/>
        <v>0</v>
      </c>
      <c r="K27" s="80"/>
      <c r="L27" s="82">
        <f t="shared" si="3"/>
        <v>-1.2000000029802322</v>
      </c>
      <c r="M27" s="82">
        <v>0</v>
      </c>
      <c r="N27" s="82">
        <f t="shared" si="1"/>
        <v>0</v>
      </c>
      <c r="O27" s="83"/>
      <c r="P27"/>
      <c r="Q27"/>
      <c r="R27"/>
      <c r="S27"/>
      <c r="U27" s="84" t="s">
        <v>530</v>
      </c>
      <c r="V27" s="80"/>
      <c r="W27" s="82" t="s">
        <v>210</v>
      </c>
      <c r="X27" s="82"/>
      <c r="Y27" s="85" t="s">
        <v>531</v>
      </c>
      <c r="Z27" s="86" t="s">
        <v>532</v>
      </c>
      <c r="AA27" s="86" t="s">
        <v>17</v>
      </c>
      <c r="AB27" s="86"/>
      <c r="AC27" s="87">
        <v>0</v>
      </c>
      <c r="AD27" s="88">
        <f t="shared" si="4"/>
        <v>-1.2000000029802322</v>
      </c>
      <c r="AF27" s="54">
        <v>100562</v>
      </c>
      <c r="AQ27" s="80">
        <f>D27</f>
        <v>-1.2000000029802322</v>
      </c>
      <c r="AR27" s="80"/>
    </row>
    <row r="28" spans="1:44" ht="14.4">
      <c r="A28" s="70">
        <v>100563</v>
      </c>
      <c r="B28" s="78" t="str">
        <f>VLOOKUP(A28,'TB for financial'!A:B,2,0)</f>
        <v>Kotak Liquid IP - Growth</v>
      </c>
      <c r="D28" s="79">
        <f>VLOOKUP(A28,'TB for financial'!A:F,6,0)</f>
        <v>-8.0000014510005713E-2</v>
      </c>
      <c r="E28" s="80"/>
      <c r="F28" s="79">
        <f>VLOOKUP(A28,'TB for financial'!A:K,11,0)</f>
        <v>-8.0000014510005713E-2</v>
      </c>
      <c r="G28" s="80"/>
      <c r="H28" s="81">
        <f t="shared" si="2"/>
        <v>-8.0000014510005713E-2</v>
      </c>
      <c r="I28" s="81">
        <v>0</v>
      </c>
      <c r="J28" s="81">
        <f t="shared" si="0"/>
        <v>0</v>
      </c>
      <c r="K28" s="80"/>
      <c r="L28" s="82">
        <f t="shared" si="3"/>
        <v>-8.0000014510005713E-2</v>
      </c>
      <c r="M28" s="82">
        <v>0</v>
      </c>
      <c r="N28" s="82">
        <f t="shared" si="1"/>
        <v>0</v>
      </c>
      <c r="O28" s="83"/>
      <c r="P28"/>
      <c r="Q28"/>
      <c r="R28"/>
      <c r="S28"/>
      <c r="U28" s="84" t="s">
        <v>530</v>
      </c>
      <c r="V28" s="80"/>
      <c r="W28" s="82" t="s">
        <v>210</v>
      </c>
      <c r="X28" s="82"/>
      <c r="Y28" s="85" t="s">
        <v>531</v>
      </c>
      <c r="Z28" s="86" t="s">
        <v>532</v>
      </c>
      <c r="AA28" s="86" t="s">
        <v>17</v>
      </c>
      <c r="AB28" s="86"/>
      <c r="AC28" s="87">
        <v>0</v>
      </c>
      <c r="AD28" s="88">
        <f t="shared" si="4"/>
        <v>-8.0000014510005713E-2</v>
      </c>
      <c r="AF28" s="54">
        <v>100563</v>
      </c>
      <c r="AQ28" s="80">
        <f>D28</f>
        <v>-8.0000014510005713E-2</v>
      </c>
      <c r="AR28" s="80"/>
    </row>
    <row r="29" spans="1:44" ht="14.4">
      <c r="A29" s="70">
        <v>100564</v>
      </c>
      <c r="B29" s="78" t="str">
        <f>VLOOKUP(A29,'TB for financial'!A:B,2,0)</f>
        <v>Principal Cash Mgmt Fund</v>
      </c>
      <c r="D29" s="79">
        <f>VLOOKUP(A29,'TB for financial'!A:F,6,0)</f>
        <v>0</v>
      </c>
      <c r="E29" s="80"/>
      <c r="F29" s="79">
        <f>VLOOKUP(A29,'TB for financial'!A:K,11,0)</f>
        <v>0</v>
      </c>
      <c r="G29" s="80"/>
      <c r="H29" s="81">
        <f t="shared" si="2"/>
        <v>0</v>
      </c>
      <c r="I29" s="81">
        <v>0</v>
      </c>
      <c r="J29" s="81">
        <f t="shared" si="0"/>
        <v>0</v>
      </c>
      <c r="K29" s="80"/>
      <c r="L29" s="82">
        <f t="shared" si="3"/>
        <v>0</v>
      </c>
      <c r="M29" s="82">
        <v>0</v>
      </c>
      <c r="N29" s="82">
        <f t="shared" si="1"/>
        <v>0</v>
      </c>
      <c r="O29" s="83"/>
      <c r="P29"/>
      <c r="Q29"/>
      <c r="R29"/>
      <c r="S29"/>
      <c r="U29" s="84" t="s">
        <v>530</v>
      </c>
      <c r="V29" s="80"/>
      <c r="W29" s="82" t="s">
        <v>210</v>
      </c>
      <c r="X29" s="82"/>
      <c r="Y29" s="85" t="s">
        <v>531</v>
      </c>
      <c r="Z29" s="86" t="s">
        <v>532</v>
      </c>
      <c r="AA29" s="86" t="s">
        <v>17</v>
      </c>
      <c r="AB29" s="86"/>
      <c r="AC29" s="87">
        <v>0</v>
      </c>
      <c r="AD29" s="88">
        <f t="shared" si="4"/>
        <v>0</v>
      </c>
      <c r="AF29" s="54">
        <v>100564</v>
      </c>
      <c r="AQ29" s="80"/>
      <c r="AR29" s="80"/>
    </row>
    <row r="30" spans="1:44" ht="14.4">
      <c r="A30" s="70">
        <v>100565</v>
      </c>
      <c r="B30" s="78" t="str">
        <f>VLOOKUP(A30,'TB for financial'!A:B,2,0)</f>
        <v>JM Short Term Fund - IP</v>
      </c>
      <c r="D30" s="79">
        <f>VLOOKUP(A30,'TB for financial'!A:F,6,0)</f>
        <v>0</v>
      </c>
      <c r="E30" s="80"/>
      <c r="F30" s="79">
        <f>VLOOKUP(A30,'TB for financial'!A:K,11,0)</f>
        <v>0</v>
      </c>
      <c r="G30" s="80"/>
      <c r="H30" s="81">
        <f t="shared" si="2"/>
        <v>0</v>
      </c>
      <c r="I30" s="81">
        <v>0</v>
      </c>
      <c r="J30" s="81">
        <f t="shared" si="0"/>
        <v>0</v>
      </c>
      <c r="K30" s="80"/>
      <c r="L30" s="82">
        <f t="shared" si="3"/>
        <v>0</v>
      </c>
      <c r="M30" s="82">
        <v>0</v>
      </c>
      <c r="N30" s="82">
        <f t="shared" si="1"/>
        <v>0</v>
      </c>
      <c r="O30" s="83"/>
      <c r="P30"/>
      <c r="Q30"/>
      <c r="R30"/>
      <c r="S30"/>
      <c r="U30" s="84" t="s">
        <v>530</v>
      </c>
      <c r="V30" s="80"/>
      <c r="W30" s="82" t="s">
        <v>210</v>
      </c>
      <c r="X30" s="82"/>
      <c r="Y30" s="85" t="s">
        <v>531</v>
      </c>
      <c r="Z30" s="86" t="s">
        <v>532</v>
      </c>
      <c r="AA30" s="86" t="s">
        <v>17</v>
      </c>
      <c r="AB30" s="86"/>
      <c r="AC30" s="87">
        <v>0</v>
      </c>
      <c r="AD30" s="88">
        <f t="shared" si="4"/>
        <v>0</v>
      </c>
      <c r="AF30" s="54">
        <v>100565</v>
      </c>
      <c r="AQ30" s="80"/>
      <c r="AR30" s="80"/>
    </row>
    <row r="31" spans="1:44" ht="14.4">
      <c r="A31" s="70">
        <v>100566</v>
      </c>
      <c r="B31" s="78" t="str">
        <f>VLOOKUP(A31,'TB for financial'!A:B,2,0)</f>
        <v>Birla Bond Plus IP - Gr</v>
      </c>
      <c r="D31" s="79">
        <f>VLOOKUP(A31,'TB for financial'!A:F,6,0)</f>
        <v>0</v>
      </c>
      <c r="E31" s="80"/>
      <c r="F31" s="79">
        <f>VLOOKUP(A31,'TB for financial'!A:K,11,0)</f>
        <v>0</v>
      </c>
      <c r="G31" s="80"/>
      <c r="H31" s="81">
        <f t="shared" si="2"/>
        <v>0</v>
      </c>
      <c r="I31" s="81">
        <v>0</v>
      </c>
      <c r="J31" s="81">
        <f t="shared" si="0"/>
        <v>0</v>
      </c>
      <c r="K31" s="80"/>
      <c r="L31" s="82">
        <f t="shared" si="3"/>
        <v>0</v>
      </c>
      <c r="M31" s="82">
        <v>0</v>
      </c>
      <c r="N31" s="82">
        <f t="shared" si="1"/>
        <v>0</v>
      </c>
      <c r="O31" s="83"/>
      <c r="P31"/>
      <c r="Q31"/>
      <c r="R31"/>
      <c r="S31"/>
      <c r="U31" s="84" t="s">
        <v>530</v>
      </c>
      <c r="V31" s="80"/>
      <c r="W31" s="82" t="s">
        <v>210</v>
      </c>
      <c r="X31" s="82"/>
      <c r="Y31" s="85" t="s">
        <v>531</v>
      </c>
      <c r="Z31" s="86" t="s">
        <v>532</v>
      </c>
      <c r="AA31" s="86" t="s">
        <v>17</v>
      </c>
      <c r="AB31" s="86"/>
      <c r="AC31" s="87">
        <v>0</v>
      </c>
      <c r="AD31" s="88">
        <f t="shared" si="4"/>
        <v>0</v>
      </c>
      <c r="AF31" s="54">
        <v>100566</v>
      </c>
      <c r="AQ31" s="80"/>
      <c r="AR31" s="80"/>
    </row>
    <row r="32" spans="1:44" ht="14.4">
      <c r="A32" s="70">
        <v>100567</v>
      </c>
      <c r="B32" s="78" t="str">
        <f>VLOOKUP(A32,'TB for financial'!A:B,2,0)</f>
        <v>Birla Cash Plus - IP - Gr</v>
      </c>
      <c r="D32" s="79">
        <f>VLOOKUP(A32,'TB for financial'!A:F,6,0)</f>
        <v>0.13000000022351743</v>
      </c>
      <c r="E32" s="80"/>
      <c r="F32" s="79">
        <f>VLOOKUP(A32,'TB for financial'!A:K,11,0)</f>
        <v>0.13000000022351743</v>
      </c>
      <c r="G32" s="80"/>
      <c r="H32" s="81">
        <f t="shared" si="2"/>
        <v>0.13000000022351743</v>
      </c>
      <c r="I32" s="81">
        <v>0</v>
      </c>
      <c r="J32" s="81">
        <f t="shared" si="0"/>
        <v>0</v>
      </c>
      <c r="K32" s="80"/>
      <c r="L32" s="82">
        <f t="shared" si="3"/>
        <v>0.13000000022351743</v>
      </c>
      <c r="M32" s="82">
        <v>0</v>
      </c>
      <c r="N32" s="82">
        <f t="shared" si="1"/>
        <v>0</v>
      </c>
      <c r="O32" s="83"/>
      <c r="P32"/>
      <c r="Q32"/>
      <c r="R32"/>
      <c r="S32"/>
      <c r="U32" s="84" t="s">
        <v>530</v>
      </c>
      <c r="V32" s="80"/>
      <c r="W32" s="82" t="s">
        <v>210</v>
      </c>
      <c r="X32" s="82"/>
      <c r="Y32" s="85" t="s">
        <v>531</v>
      </c>
      <c r="Z32" s="86" t="s">
        <v>532</v>
      </c>
      <c r="AA32" s="86" t="s">
        <v>17</v>
      </c>
      <c r="AB32" s="86"/>
      <c r="AC32" s="87">
        <v>0</v>
      </c>
      <c r="AD32" s="88">
        <f t="shared" si="4"/>
        <v>0.13000000022351743</v>
      </c>
      <c r="AF32" s="54">
        <v>100567</v>
      </c>
      <c r="AQ32" s="80">
        <f>D32</f>
        <v>0.13000000022351743</v>
      </c>
      <c r="AR32" s="80"/>
    </row>
    <row r="33" spans="1:44" ht="14.4">
      <c r="A33" s="70">
        <v>100568</v>
      </c>
      <c r="B33" s="78" t="str">
        <f>VLOOKUP(A33,'TB for financial'!A:B,2,0)</f>
        <v>DSP ML ST Fund - Gr</v>
      </c>
      <c r="D33" s="79">
        <f>VLOOKUP(A33,'TB for financial'!A:F,6,0)</f>
        <v>0</v>
      </c>
      <c r="E33" s="80"/>
      <c r="F33" s="79">
        <f>VLOOKUP(A33,'TB for financial'!A:K,11,0)</f>
        <v>0</v>
      </c>
      <c r="G33" s="80"/>
      <c r="H33" s="81">
        <f t="shared" si="2"/>
        <v>0</v>
      </c>
      <c r="I33" s="81">
        <v>0</v>
      </c>
      <c r="J33" s="81">
        <f t="shared" si="0"/>
        <v>0</v>
      </c>
      <c r="K33" s="80"/>
      <c r="L33" s="82">
        <f t="shared" si="3"/>
        <v>0</v>
      </c>
      <c r="M33" s="82">
        <v>0</v>
      </c>
      <c r="N33" s="82">
        <f t="shared" si="1"/>
        <v>0</v>
      </c>
      <c r="O33" s="83"/>
      <c r="P33"/>
      <c r="Q33"/>
      <c r="R33"/>
      <c r="S33"/>
      <c r="U33" s="84" t="s">
        <v>530</v>
      </c>
      <c r="V33" s="80"/>
      <c r="W33" s="82" t="s">
        <v>210</v>
      </c>
      <c r="X33" s="82"/>
      <c r="Y33" s="85" t="s">
        <v>531</v>
      </c>
      <c r="Z33" s="86" t="s">
        <v>532</v>
      </c>
      <c r="AA33" s="86" t="s">
        <v>17</v>
      </c>
      <c r="AB33" s="86"/>
      <c r="AC33" s="87">
        <v>0</v>
      </c>
      <c r="AD33" s="88">
        <f t="shared" si="4"/>
        <v>0</v>
      </c>
      <c r="AF33" s="54">
        <v>100568</v>
      </c>
      <c r="AQ33" s="80"/>
      <c r="AR33" s="80"/>
    </row>
    <row r="34" spans="1:44" ht="14.4">
      <c r="A34" s="70">
        <v>100569</v>
      </c>
      <c r="B34" s="78" t="str">
        <f>VLOOKUP(A34,'TB for financial'!A:B,2,0)</f>
        <v>Kotak KMMF - K Floater</v>
      </c>
      <c r="D34" s="79">
        <f>VLOOKUP(A34,'TB for financial'!A:F,6,0)</f>
        <v>0</v>
      </c>
      <c r="E34" s="80"/>
      <c r="F34" s="79">
        <f>VLOOKUP(A34,'TB for financial'!A:K,11,0)</f>
        <v>0</v>
      </c>
      <c r="G34" s="80"/>
      <c r="H34" s="81">
        <f t="shared" si="2"/>
        <v>0</v>
      </c>
      <c r="I34" s="81">
        <v>0</v>
      </c>
      <c r="J34" s="81">
        <f t="shared" si="0"/>
        <v>0</v>
      </c>
      <c r="K34" s="80"/>
      <c r="L34" s="82">
        <f t="shared" si="3"/>
        <v>0</v>
      </c>
      <c r="M34" s="82">
        <v>0</v>
      </c>
      <c r="N34" s="82">
        <f t="shared" si="1"/>
        <v>0</v>
      </c>
      <c r="O34" s="83"/>
      <c r="P34"/>
      <c r="Q34"/>
      <c r="R34"/>
      <c r="S34"/>
      <c r="U34" s="84" t="s">
        <v>530</v>
      </c>
      <c r="V34" s="80"/>
      <c r="W34" s="82" t="s">
        <v>210</v>
      </c>
      <c r="X34" s="82"/>
      <c r="Y34" s="85" t="s">
        <v>531</v>
      </c>
      <c r="Z34" s="86" t="s">
        <v>532</v>
      </c>
      <c r="AA34" s="86" t="s">
        <v>17</v>
      </c>
      <c r="AB34" s="86"/>
      <c r="AC34" s="87">
        <v>0</v>
      </c>
      <c r="AD34" s="88">
        <f t="shared" si="4"/>
        <v>0</v>
      </c>
      <c r="AF34" s="54">
        <v>100569</v>
      </c>
      <c r="AQ34" s="80"/>
      <c r="AR34" s="80"/>
    </row>
    <row r="35" spans="1:44" ht="24">
      <c r="A35" s="70">
        <v>100570</v>
      </c>
      <c r="B35" s="78" t="str">
        <f>VLOOKUP(A35,'TB for financial'!A:B,2,0)</f>
        <v>Grindlays Floating Rate Fund - IP - Gr</v>
      </c>
      <c r="D35" s="79">
        <f>VLOOKUP(A35,'TB for financial'!A:F,6,0)</f>
        <v>0</v>
      </c>
      <c r="E35" s="80"/>
      <c r="F35" s="79">
        <f>VLOOKUP(A35,'TB for financial'!A:K,11,0)</f>
        <v>0</v>
      </c>
      <c r="G35" s="80"/>
      <c r="H35" s="81">
        <f t="shared" si="2"/>
        <v>0</v>
      </c>
      <c r="I35" s="81">
        <v>0</v>
      </c>
      <c r="J35" s="81">
        <f t="shared" si="0"/>
        <v>0</v>
      </c>
      <c r="K35" s="80"/>
      <c r="L35" s="82">
        <f t="shared" si="3"/>
        <v>0</v>
      </c>
      <c r="M35" s="82">
        <v>0</v>
      </c>
      <c r="N35" s="82">
        <f t="shared" si="1"/>
        <v>0</v>
      </c>
      <c r="O35" s="83"/>
      <c r="P35"/>
      <c r="Q35"/>
      <c r="R35"/>
      <c r="S35"/>
      <c r="U35" s="84" t="s">
        <v>530</v>
      </c>
      <c r="V35" s="80"/>
      <c r="W35" s="82" t="s">
        <v>210</v>
      </c>
      <c r="X35" s="82"/>
      <c r="Y35" s="85" t="s">
        <v>531</v>
      </c>
      <c r="Z35" s="86" t="s">
        <v>532</v>
      </c>
      <c r="AA35" s="86" t="s">
        <v>17</v>
      </c>
      <c r="AB35" s="86"/>
      <c r="AC35" s="87">
        <v>0</v>
      </c>
      <c r="AD35" s="88">
        <f t="shared" si="4"/>
        <v>0</v>
      </c>
      <c r="AF35" s="54">
        <v>100570</v>
      </c>
      <c r="AQ35" s="80"/>
      <c r="AR35" s="80"/>
    </row>
    <row r="36" spans="1:44" ht="14.4">
      <c r="A36" s="70">
        <v>100571</v>
      </c>
      <c r="B36" s="78" t="str">
        <f>VLOOKUP(A36,'TB for financial'!A:B,2,0)</f>
        <v>Prudential ICICI Liquid - Gr</v>
      </c>
      <c r="D36" s="79">
        <f>VLOOKUP(A36,'TB for financial'!A:F,6,0)</f>
        <v>-0.35000000175088641</v>
      </c>
      <c r="E36" s="80"/>
      <c r="F36" s="79">
        <f>VLOOKUP(A36,'TB for financial'!A:K,11,0)</f>
        <v>-0.35000000175088641</v>
      </c>
      <c r="G36" s="80"/>
      <c r="H36" s="81">
        <f t="shared" si="2"/>
        <v>-0.35000000175088641</v>
      </c>
      <c r="I36" s="81">
        <v>0</v>
      </c>
      <c r="J36" s="81">
        <f t="shared" si="0"/>
        <v>0</v>
      </c>
      <c r="K36" s="80"/>
      <c r="L36" s="82">
        <f t="shared" si="3"/>
        <v>-0.35000000175088641</v>
      </c>
      <c r="M36" s="82">
        <v>0</v>
      </c>
      <c r="N36" s="82">
        <f t="shared" si="1"/>
        <v>0</v>
      </c>
      <c r="O36" s="83"/>
      <c r="P36"/>
      <c r="Q36"/>
      <c r="R36"/>
      <c r="S36"/>
      <c r="U36" s="84" t="s">
        <v>530</v>
      </c>
      <c r="V36" s="80"/>
      <c r="W36" s="82" t="s">
        <v>210</v>
      </c>
      <c r="X36" s="82"/>
      <c r="Y36" s="85" t="s">
        <v>531</v>
      </c>
      <c r="Z36" s="86" t="s">
        <v>532</v>
      </c>
      <c r="AA36" s="86" t="s">
        <v>17</v>
      </c>
      <c r="AB36" s="86"/>
      <c r="AC36" s="87">
        <v>0</v>
      </c>
      <c r="AD36" s="88">
        <f t="shared" si="4"/>
        <v>-0.35000000175088641</v>
      </c>
      <c r="AF36" s="54">
        <v>100571</v>
      </c>
      <c r="AQ36" s="80">
        <f>D36</f>
        <v>-0.35000000175088641</v>
      </c>
      <c r="AR36" s="80"/>
    </row>
    <row r="37" spans="1:44" ht="24">
      <c r="A37" s="70">
        <v>100572</v>
      </c>
      <c r="B37" s="78" t="str">
        <f>VLOOKUP(A37,'TB for financial'!A:B,2,0)</f>
        <v>Templeton India Tresury Management</v>
      </c>
      <c r="D37" s="79">
        <f>VLOOKUP(A37,'TB for financial'!A:F,6,0)</f>
        <v>0</v>
      </c>
      <c r="E37" s="80"/>
      <c r="F37" s="79">
        <f>VLOOKUP(A37,'TB for financial'!A:K,11,0)</f>
        <v>0</v>
      </c>
      <c r="G37" s="80"/>
      <c r="H37" s="81">
        <f t="shared" si="2"/>
        <v>0</v>
      </c>
      <c r="I37" s="81">
        <v>0</v>
      </c>
      <c r="J37" s="81">
        <f t="shared" si="0"/>
        <v>0</v>
      </c>
      <c r="K37" s="80"/>
      <c r="L37" s="82">
        <f t="shared" si="3"/>
        <v>0</v>
      </c>
      <c r="M37" s="82">
        <v>0</v>
      </c>
      <c r="N37" s="82">
        <f t="shared" si="1"/>
        <v>0</v>
      </c>
      <c r="O37" s="83"/>
      <c r="P37"/>
      <c r="Q37"/>
      <c r="R37"/>
      <c r="S37"/>
      <c r="U37" s="84" t="s">
        <v>530</v>
      </c>
      <c r="V37" s="80"/>
      <c r="W37" s="82" t="s">
        <v>210</v>
      </c>
      <c r="X37" s="82"/>
      <c r="Y37" s="85" t="s">
        <v>531</v>
      </c>
      <c r="Z37" s="86" t="s">
        <v>532</v>
      </c>
      <c r="AA37" s="86" t="s">
        <v>17</v>
      </c>
      <c r="AB37" s="86"/>
      <c r="AC37" s="87">
        <v>0</v>
      </c>
      <c r="AD37" s="88">
        <f t="shared" si="4"/>
        <v>0</v>
      </c>
      <c r="AF37" s="54">
        <v>100572</v>
      </c>
      <c r="AQ37" s="80"/>
      <c r="AR37" s="80"/>
    </row>
    <row r="38" spans="1:44" ht="14.4">
      <c r="A38" s="70">
        <v>100573</v>
      </c>
      <c r="B38" s="78" t="str">
        <f>VLOOKUP(A38,'TB for financial'!A:B,2,0)</f>
        <v>HDFC Floating Rate Income Fund</v>
      </c>
      <c r="D38" s="79">
        <f>VLOOKUP(A38,'TB for financial'!A:F,6,0)</f>
        <v>0</v>
      </c>
      <c r="E38" s="80"/>
      <c r="F38" s="79">
        <f>VLOOKUP(A38,'TB for financial'!A:K,11,0)</f>
        <v>0</v>
      </c>
      <c r="G38" s="80"/>
      <c r="H38" s="81">
        <f t="shared" si="2"/>
        <v>0</v>
      </c>
      <c r="I38" s="81">
        <v>0</v>
      </c>
      <c r="J38" s="81">
        <f t="shared" si="0"/>
        <v>0</v>
      </c>
      <c r="K38" s="80"/>
      <c r="L38" s="82">
        <f t="shared" si="3"/>
        <v>0</v>
      </c>
      <c r="M38" s="82">
        <v>0</v>
      </c>
      <c r="N38" s="82">
        <f t="shared" si="1"/>
        <v>0</v>
      </c>
      <c r="O38" s="83"/>
      <c r="P38"/>
      <c r="Q38"/>
      <c r="R38"/>
      <c r="S38"/>
      <c r="U38" s="84" t="s">
        <v>530</v>
      </c>
      <c r="V38" s="80"/>
      <c r="W38" s="82" t="s">
        <v>210</v>
      </c>
      <c r="X38" s="82"/>
      <c r="Y38" s="85" t="s">
        <v>531</v>
      </c>
      <c r="Z38" s="86" t="s">
        <v>532</v>
      </c>
      <c r="AA38" s="86" t="s">
        <v>17</v>
      </c>
      <c r="AB38" s="86"/>
      <c r="AC38" s="87">
        <v>0</v>
      </c>
      <c r="AD38" s="88">
        <f t="shared" si="4"/>
        <v>0</v>
      </c>
      <c r="AF38" s="54">
        <v>100573</v>
      </c>
      <c r="AQ38" s="80"/>
      <c r="AR38" s="80"/>
    </row>
    <row r="39" spans="1:44" ht="14.4">
      <c r="A39" s="70">
        <v>100574</v>
      </c>
      <c r="B39" s="78" t="str">
        <f>VLOOKUP(A39,'TB for financial'!A:B,2,0)</f>
        <v>Birla Floating Rate Fund</v>
      </c>
      <c r="D39" s="79">
        <f>VLOOKUP(A39,'TB for financial'!A:F,6,0)</f>
        <v>0</v>
      </c>
      <c r="E39" s="80"/>
      <c r="F39" s="79">
        <f>VLOOKUP(A39,'TB for financial'!A:K,11,0)</f>
        <v>0</v>
      </c>
      <c r="G39" s="80"/>
      <c r="H39" s="81">
        <f t="shared" si="2"/>
        <v>0</v>
      </c>
      <c r="I39" s="81">
        <v>0</v>
      </c>
      <c r="J39" s="81">
        <f t="shared" si="0"/>
        <v>0</v>
      </c>
      <c r="K39" s="80"/>
      <c r="L39" s="82">
        <f t="shared" si="3"/>
        <v>0</v>
      </c>
      <c r="M39" s="82">
        <v>0</v>
      </c>
      <c r="N39" s="82">
        <f t="shared" si="1"/>
        <v>0</v>
      </c>
      <c r="O39" s="83"/>
      <c r="P39"/>
      <c r="Q39"/>
      <c r="R39"/>
      <c r="S39"/>
      <c r="U39" s="84" t="s">
        <v>530</v>
      </c>
      <c r="V39" s="80"/>
      <c r="W39" s="82" t="s">
        <v>210</v>
      </c>
      <c r="X39" s="82"/>
      <c r="Y39" s="85" t="s">
        <v>531</v>
      </c>
      <c r="Z39" s="86" t="s">
        <v>532</v>
      </c>
      <c r="AA39" s="86" t="s">
        <v>17</v>
      </c>
      <c r="AB39" s="86"/>
      <c r="AC39" s="87">
        <v>0</v>
      </c>
      <c r="AD39" s="88">
        <f t="shared" si="4"/>
        <v>0</v>
      </c>
      <c r="AF39" s="54">
        <v>100574</v>
      </c>
      <c r="AQ39" s="80"/>
      <c r="AR39" s="80"/>
    </row>
    <row r="40" spans="1:44" ht="14.4">
      <c r="A40" s="70">
        <v>100575</v>
      </c>
      <c r="B40" s="78" t="str">
        <f>VLOOKUP(A40,'TB for financial'!A:B,2,0)</f>
        <v>Deutsche Insta Cash Plus Fund</v>
      </c>
      <c r="D40" s="79">
        <f>VLOOKUP(A40,'TB for financial'!A:F,6,0)</f>
        <v>0</v>
      </c>
      <c r="E40" s="80"/>
      <c r="F40" s="79">
        <f>VLOOKUP(A40,'TB for financial'!A:K,11,0)</f>
        <v>0</v>
      </c>
      <c r="G40" s="80"/>
      <c r="H40" s="81">
        <f t="shared" si="2"/>
        <v>0</v>
      </c>
      <c r="I40" s="81">
        <v>0</v>
      </c>
      <c r="J40" s="81">
        <f t="shared" si="0"/>
        <v>0</v>
      </c>
      <c r="K40" s="80"/>
      <c r="L40" s="82">
        <f t="shared" si="3"/>
        <v>0</v>
      </c>
      <c r="M40" s="82">
        <v>0</v>
      </c>
      <c r="N40" s="82">
        <f t="shared" si="1"/>
        <v>0</v>
      </c>
      <c r="O40" s="83"/>
      <c r="P40"/>
      <c r="Q40"/>
      <c r="R40"/>
      <c r="S40"/>
      <c r="U40" s="84" t="s">
        <v>530</v>
      </c>
      <c r="V40" s="80"/>
      <c r="W40" s="82" t="s">
        <v>210</v>
      </c>
      <c r="X40" s="82"/>
      <c r="Y40" s="85" t="s">
        <v>531</v>
      </c>
      <c r="Z40" s="86" t="s">
        <v>532</v>
      </c>
      <c r="AA40" s="86" t="s">
        <v>17</v>
      </c>
      <c r="AB40" s="86"/>
      <c r="AC40" s="87">
        <v>0</v>
      </c>
      <c r="AD40" s="88">
        <f t="shared" si="4"/>
        <v>0</v>
      </c>
      <c r="AF40" s="54">
        <v>100575</v>
      </c>
      <c r="AQ40" s="80"/>
      <c r="AR40" s="80"/>
    </row>
    <row r="41" spans="1:44" ht="14.4">
      <c r="A41" s="70">
        <v>100576</v>
      </c>
      <c r="B41" s="78" t="str">
        <f>VLOOKUP(A41,'TB for financial'!A:B,2,0)</f>
        <v>Templeton Floating Rate Income</v>
      </c>
      <c r="D41" s="79">
        <f>VLOOKUP(A41,'TB for financial'!A:F,6,0)</f>
        <v>0</v>
      </c>
      <c r="E41" s="80"/>
      <c r="F41" s="79">
        <f>VLOOKUP(A41,'TB for financial'!A:K,11,0)</f>
        <v>0</v>
      </c>
      <c r="G41" s="80"/>
      <c r="H41" s="81">
        <f t="shared" si="2"/>
        <v>0</v>
      </c>
      <c r="I41" s="81">
        <v>0</v>
      </c>
      <c r="J41" s="81">
        <f t="shared" si="0"/>
        <v>0</v>
      </c>
      <c r="K41" s="80"/>
      <c r="L41" s="82">
        <f t="shared" si="3"/>
        <v>0</v>
      </c>
      <c r="M41" s="82">
        <v>0</v>
      </c>
      <c r="N41" s="82">
        <f t="shared" si="1"/>
        <v>0</v>
      </c>
      <c r="O41" s="83"/>
      <c r="P41"/>
      <c r="Q41"/>
      <c r="R41"/>
      <c r="S41"/>
      <c r="U41" s="84" t="s">
        <v>530</v>
      </c>
      <c r="V41" s="80"/>
      <c r="W41" s="82" t="s">
        <v>210</v>
      </c>
      <c r="X41" s="82"/>
      <c r="Y41" s="85" t="s">
        <v>531</v>
      </c>
      <c r="Z41" s="86" t="s">
        <v>532</v>
      </c>
      <c r="AA41" s="86" t="s">
        <v>17</v>
      </c>
      <c r="AB41" s="86"/>
      <c r="AC41" s="87">
        <v>0</v>
      </c>
      <c r="AD41" s="88">
        <f t="shared" si="4"/>
        <v>0</v>
      </c>
      <c r="AF41" s="54">
        <v>100576</v>
      </c>
      <c r="AQ41" s="80"/>
      <c r="AR41" s="80"/>
    </row>
    <row r="42" spans="1:44" ht="14.4">
      <c r="A42" s="70">
        <v>100577</v>
      </c>
      <c r="B42" s="78" t="str">
        <f>VLOOKUP(A42,'TB for financial'!A:B,2,0)</f>
        <v>Kotak Long Term Floater</v>
      </c>
      <c r="D42" s="79">
        <f>VLOOKUP(A42,'TB for financial'!A:F,6,0)</f>
        <v>0</v>
      </c>
      <c r="E42" s="80"/>
      <c r="F42" s="79">
        <f>VLOOKUP(A42,'TB for financial'!A:K,11,0)</f>
        <v>0</v>
      </c>
      <c r="G42" s="80"/>
      <c r="H42" s="81">
        <f t="shared" si="2"/>
        <v>0</v>
      </c>
      <c r="I42" s="81">
        <v>0</v>
      </c>
      <c r="J42" s="81">
        <f t="shared" si="0"/>
        <v>0</v>
      </c>
      <c r="K42" s="80"/>
      <c r="L42" s="82">
        <f t="shared" si="3"/>
        <v>0</v>
      </c>
      <c r="M42" s="82">
        <v>0</v>
      </c>
      <c r="N42" s="82">
        <f t="shared" si="1"/>
        <v>0</v>
      </c>
      <c r="O42" s="83"/>
      <c r="P42"/>
      <c r="Q42"/>
      <c r="R42"/>
      <c r="S42"/>
      <c r="U42" s="84" t="s">
        <v>530</v>
      </c>
      <c r="V42" s="80"/>
      <c r="W42" s="82" t="s">
        <v>210</v>
      </c>
      <c r="X42" s="82"/>
      <c r="Y42" s="85" t="s">
        <v>531</v>
      </c>
      <c r="Z42" s="86" t="s">
        <v>532</v>
      </c>
      <c r="AA42" s="86" t="s">
        <v>17</v>
      </c>
      <c r="AB42" s="86"/>
      <c r="AC42" s="87">
        <v>0</v>
      </c>
      <c r="AD42" s="88">
        <f t="shared" si="4"/>
        <v>0</v>
      </c>
      <c r="AF42" s="54">
        <v>100577</v>
      </c>
      <c r="AQ42" s="80"/>
      <c r="AR42" s="80"/>
    </row>
    <row r="43" spans="1:44" ht="14.4">
      <c r="A43" s="70">
        <v>100578</v>
      </c>
      <c r="B43" s="78" t="str">
        <f>VLOOKUP(A43,'TB for financial'!A:B,2,0)</f>
        <v>Deutsche InstaCash Instit Plan</v>
      </c>
      <c r="D43" s="79">
        <f>VLOOKUP(A43,'TB for financial'!A:F,6,0)</f>
        <v>0</v>
      </c>
      <c r="E43" s="80"/>
      <c r="F43" s="79">
        <f>VLOOKUP(A43,'TB for financial'!A:K,11,0)</f>
        <v>0</v>
      </c>
      <c r="G43" s="80"/>
      <c r="H43" s="81">
        <f t="shared" si="2"/>
        <v>0</v>
      </c>
      <c r="I43" s="81">
        <v>0</v>
      </c>
      <c r="J43" s="81">
        <f t="shared" si="0"/>
        <v>0</v>
      </c>
      <c r="K43" s="80"/>
      <c r="L43" s="82">
        <f t="shared" si="3"/>
        <v>0</v>
      </c>
      <c r="M43" s="82">
        <v>0</v>
      </c>
      <c r="N43" s="82">
        <f t="shared" si="1"/>
        <v>0</v>
      </c>
      <c r="O43" s="83"/>
      <c r="P43"/>
      <c r="Q43"/>
      <c r="R43"/>
      <c r="S43"/>
      <c r="U43" s="84" t="s">
        <v>530</v>
      </c>
      <c r="V43" s="80"/>
      <c r="W43" s="82" t="s">
        <v>210</v>
      </c>
      <c r="X43" s="82"/>
      <c r="Y43" s="85" t="s">
        <v>531</v>
      </c>
      <c r="Z43" s="86" t="s">
        <v>532</v>
      </c>
      <c r="AA43" s="86" t="s">
        <v>17</v>
      </c>
      <c r="AB43" s="86"/>
      <c r="AC43" s="87">
        <v>0</v>
      </c>
      <c r="AD43" s="88">
        <f t="shared" si="4"/>
        <v>0</v>
      </c>
      <c r="AF43" s="54">
        <v>100578</v>
      </c>
      <c r="AQ43" s="80"/>
      <c r="AR43" s="80"/>
    </row>
    <row r="44" spans="1:44" ht="14.4">
      <c r="A44" s="70">
        <v>100579</v>
      </c>
      <c r="B44" s="78" t="str">
        <f>VLOOKUP(A44,'TB for financial'!A:B,2,0)</f>
        <v>Birla Floating Rate Fund Long</v>
      </c>
      <c r="D44" s="79">
        <f>VLOOKUP(A44,'TB for financial'!A:F,6,0)</f>
        <v>0</v>
      </c>
      <c r="E44" s="80"/>
      <c r="F44" s="79">
        <f>VLOOKUP(A44,'TB for financial'!A:K,11,0)</f>
        <v>0</v>
      </c>
      <c r="G44" s="80"/>
      <c r="H44" s="81">
        <f t="shared" si="2"/>
        <v>0</v>
      </c>
      <c r="I44" s="81">
        <v>0</v>
      </c>
      <c r="J44" s="81">
        <f t="shared" si="0"/>
        <v>0</v>
      </c>
      <c r="K44" s="80"/>
      <c r="L44" s="82">
        <f t="shared" si="3"/>
        <v>0</v>
      </c>
      <c r="M44" s="82">
        <v>0</v>
      </c>
      <c r="N44" s="82">
        <f t="shared" si="1"/>
        <v>0</v>
      </c>
      <c r="O44" s="83"/>
      <c r="P44"/>
      <c r="Q44"/>
      <c r="R44"/>
      <c r="S44"/>
      <c r="U44" s="84" t="s">
        <v>530</v>
      </c>
      <c r="V44" s="80"/>
      <c r="W44" s="82" t="s">
        <v>210</v>
      </c>
      <c r="X44" s="82"/>
      <c r="Y44" s="85" t="s">
        <v>531</v>
      </c>
      <c r="Z44" s="86" t="s">
        <v>532</v>
      </c>
      <c r="AA44" s="86" t="s">
        <v>17</v>
      </c>
      <c r="AB44" s="86"/>
      <c r="AC44" s="87">
        <v>0</v>
      </c>
      <c r="AD44" s="88">
        <f t="shared" si="4"/>
        <v>0</v>
      </c>
      <c r="AF44" s="54">
        <v>100579</v>
      </c>
      <c r="AQ44" s="80"/>
      <c r="AR44" s="80"/>
    </row>
    <row r="45" spans="1:44" ht="14.4">
      <c r="A45" s="70">
        <v>100580</v>
      </c>
      <c r="B45" s="78" t="str">
        <f>VLOOKUP(A45,'TB for financial'!A:B,2,0)</f>
        <v>Grindlays Floating Rate Fund L</v>
      </c>
      <c r="D45" s="79">
        <f>VLOOKUP(A45,'TB for financial'!A:F,6,0)</f>
        <v>0</v>
      </c>
      <c r="E45" s="80"/>
      <c r="F45" s="79">
        <f>VLOOKUP(A45,'TB for financial'!A:K,11,0)</f>
        <v>0</v>
      </c>
      <c r="G45" s="80"/>
      <c r="H45" s="81">
        <f t="shared" si="2"/>
        <v>0</v>
      </c>
      <c r="I45" s="81">
        <v>0</v>
      </c>
      <c r="J45" s="81">
        <f t="shared" si="0"/>
        <v>0</v>
      </c>
      <c r="K45" s="80"/>
      <c r="L45" s="82">
        <f t="shared" si="3"/>
        <v>0</v>
      </c>
      <c r="M45" s="82">
        <v>0</v>
      </c>
      <c r="N45" s="82">
        <f t="shared" si="1"/>
        <v>0</v>
      </c>
      <c r="O45" s="83"/>
      <c r="P45"/>
      <c r="Q45"/>
      <c r="R45"/>
      <c r="S45"/>
      <c r="U45" s="84" t="s">
        <v>530</v>
      </c>
      <c r="V45" s="80"/>
      <c r="W45" s="82" t="s">
        <v>210</v>
      </c>
      <c r="X45" s="82"/>
      <c r="Y45" s="85" t="s">
        <v>531</v>
      </c>
      <c r="Z45" s="86" t="s">
        <v>532</v>
      </c>
      <c r="AA45" s="86" t="s">
        <v>17</v>
      </c>
      <c r="AB45" s="86"/>
      <c r="AC45" s="87">
        <v>0</v>
      </c>
      <c r="AD45" s="88">
        <f t="shared" si="4"/>
        <v>0</v>
      </c>
      <c r="AF45" s="54">
        <v>100580</v>
      </c>
      <c r="AQ45" s="80"/>
      <c r="AR45" s="80"/>
    </row>
    <row r="46" spans="1:44" ht="14.4">
      <c r="A46" s="70">
        <v>100581</v>
      </c>
      <c r="B46" s="78" t="str">
        <f>VLOOKUP(A46,'TB for financial'!A:B,2,0)</f>
        <v>HDFC High Int. Fund - Reg. Gr</v>
      </c>
      <c r="D46" s="79">
        <f>VLOOKUP(A46,'TB for financial'!A:F,6,0)</f>
        <v>0</v>
      </c>
      <c r="E46" s="80"/>
      <c r="F46" s="79">
        <f>VLOOKUP(A46,'TB for financial'!A:K,11,0)</f>
        <v>0</v>
      </c>
      <c r="G46" s="80"/>
      <c r="H46" s="81">
        <f t="shared" si="2"/>
        <v>0</v>
      </c>
      <c r="I46" s="81">
        <v>0</v>
      </c>
      <c r="J46" s="81">
        <f t="shared" si="0"/>
        <v>0</v>
      </c>
      <c r="K46" s="80"/>
      <c r="L46" s="82">
        <f t="shared" si="3"/>
        <v>0</v>
      </c>
      <c r="M46" s="82">
        <v>0</v>
      </c>
      <c r="N46" s="82">
        <f t="shared" si="1"/>
        <v>0</v>
      </c>
      <c r="O46" s="83"/>
      <c r="P46"/>
      <c r="Q46"/>
      <c r="R46"/>
      <c r="S46"/>
      <c r="U46" s="84" t="s">
        <v>530</v>
      </c>
      <c r="V46" s="80"/>
      <c r="W46" s="82" t="s">
        <v>210</v>
      </c>
      <c r="X46" s="82"/>
      <c r="Y46" s="85" t="s">
        <v>531</v>
      </c>
      <c r="Z46" s="86" t="s">
        <v>532</v>
      </c>
      <c r="AA46" s="86" t="s">
        <v>17</v>
      </c>
      <c r="AB46" s="86"/>
      <c r="AC46" s="87">
        <v>0</v>
      </c>
      <c r="AD46" s="88">
        <f t="shared" si="4"/>
        <v>0</v>
      </c>
      <c r="AF46" s="54">
        <v>100581</v>
      </c>
      <c r="AQ46" s="80"/>
      <c r="AR46" s="80"/>
    </row>
    <row r="47" spans="1:44" ht="14.4">
      <c r="A47" s="70">
        <v>100582</v>
      </c>
      <c r="B47" s="78" t="str">
        <f>VLOOKUP(A47,'TB for financial'!A:B,2,0)</f>
        <v>Principal Floating Rate Fund</v>
      </c>
      <c r="D47" s="79">
        <f>VLOOKUP(A47,'TB for financial'!A:F,6,0)</f>
        <v>0</v>
      </c>
      <c r="E47" s="80"/>
      <c r="F47" s="79">
        <f>VLOOKUP(A47,'TB for financial'!A:K,11,0)</f>
        <v>0</v>
      </c>
      <c r="G47" s="80"/>
      <c r="H47" s="81">
        <f t="shared" si="2"/>
        <v>0</v>
      </c>
      <c r="I47" s="81">
        <v>0</v>
      </c>
      <c r="J47" s="81">
        <f t="shared" si="0"/>
        <v>0</v>
      </c>
      <c r="K47" s="80"/>
      <c r="L47" s="82">
        <f t="shared" si="3"/>
        <v>0</v>
      </c>
      <c r="M47" s="82">
        <v>0</v>
      </c>
      <c r="N47" s="82">
        <f t="shared" si="1"/>
        <v>0</v>
      </c>
      <c r="O47" s="83"/>
      <c r="P47"/>
      <c r="Q47"/>
      <c r="R47"/>
      <c r="S47"/>
      <c r="U47" s="84" t="s">
        <v>530</v>
      </c>
      <c r="V47" s="80"/>
      <c r="W47" s="82" t="s">
        <v>210</v>
      </c>
      <c r="X47" s="82"/>
      <c r="Y47" s="85" t="s">
        <v>531</v>
      </c>
      <c r="Z47" s="86" t="s">
        <v>532</v>
      </c>
      <c r="AA47" s="86" t="s">
        <v>17</v>
      </c>
      <c r="AB47" s="86"/>
      <c r="AC47" s="87">
        <v>0</v>
      </c>
      <c r="AD47" s="88">
        <f t="shared" si="4"/>
        <v>0</v>
      </c>
      <c r="AF47" s="54">
        <v>100582</v>
      </c>
      <c r="AQ47" s="80"/>
      <c r="AR47" s="80"/>
    </row>
    <row r="48" spans="1:44" ht="14.4">
      <c r="A48" s="70">
        <v>100583</v>
      </c>
      <c r="B48" s="78" t="str">
        <f>VLOOKUP(A48,'TB for financial'!A:B,2,0)</f>
        <v>UTI Liquid Cash Plan Fund</v>
      </c>
      <c r="D48" s="79">
        <f>VLOOKUP(A48,'TB for financial'!A:F,6,0)</f>
        <v>0</v>
      </c>
      <c r="E48" s="80"/>
      <c r="F48" s="79">
        <f>VLOOKUP(A48,'TB for financial'!A:K,11,0)</f>
        <v>0</v>
      </c>
      <c r="G48" s="80"/>
      <c r="H48" s="81">
        <f t="shared" si="2"/>
        <v>0</v>
      </c>
      <c r="I48" s="81">
        <v>0</v>
      </c>
      <c r="J48" s="81">
        <f t="shared" si="0"/>
        <v>0</v>
      </c>
      <c r="K48" s="80"/>
      <c r="L48" s="82">
        <f t="shared" si="3"/>
        <v>0</v>
      </c>
      <c r="M48" s="82">
        <v>0</v>
      </c>
      <c r="N48" s="82">
        <f t="shared" si="1"/>
        <v>0</v>
      </c>
      <c r="O48" s="83"/>
      <c r="P48"/>
      <c r="Q48"/>
      <c r="R48"/>
      <c r="S48"/>
      <c r="U48" s="84" t="s">
        <v>530</v>
      </c>
      <c r="V48" s="80"/>
      <c r="W48" s="82" t="s">
        <v>210</v>
      </c>
      <c r="X48" s="82"/>
      <c r="Y48" s="85" t="s">
        <v>531</v>
      </c>
      <c r="Z48" s="86" t="s">
        <v>532</v>
      </c>
      <c r="AA48" s="86" t="s">
        <v>17</v>
      </c>
      <c r="AB48" s="86"/>
      <c r="AC48" s="87">
        <v>0</v>
      </c>
      <c r="AD48" s="88">
        <f t="shared" si="4"/>
        <v>0</v>
      </c>
      <c r="AF48" s="54">
        <v>100583</v>
      </c>
      <c r="AQ48" s="80"/>
      <c r="AR48" s="80"/>
    </row>
    <row r="49" spans="1:44" ht="14.4">
      <c r="A49" s="70">
        <v>100584</v>
      </c>
      <c r="B49" s="78" t="str">
        <f>VLOOKUP(A49,'TB for financial'!A:B,2,0)</f>
        <v>SBI Magnum Ins Inc-Sa</v>
      </c>
      <c r="D49" s="79">
        <f>VLOOKUP(A49,'TB for financial'!A:F,6,0)</f>
        <v>-9.2400000005960461</v>
      </c>
      <c r="E49" s="80"/>
      <c r="F49" s="79">
        <f>VLOOKUP(A49,'TB for financial'!A:K,11,0)</f>
        <v>-9.2400000005960461</v>
      </c>
      <c r="G49" s="80"/>
      <c r="H49" s="81">
        <f t="shared" si="2"/>
        <v>-9.2400000005960461</v>
      </c>
      <c r="I49" s="81">
        <v>0</v>
      </c>
      <c r="J49" s="81">
        <f t="shared" si="0"/>
        <v>0</v>
      </c>
      <c r="K49" s="80"/>
      <c r="L49" s="82">
        <f t="shared" si="3"/>
        <v>-9.2400000005960461</v>
      </c>
      <c r="M49" s="82">
        <v>0</v>
      </c>
      <c r="N49" s="82">
        <f t="shared" si="1"/>
        <v>0</v>
      </c>
      <c r="O49" s="83"/>
      <c r="P49"/>
      <c r="Q49"/>
      <c r="R49"/>
      <c r="S49"/>
      <c r="U49" s="84" t="s">
        <v>530</v>
      </c>
      <c r="V49" s="80"/>
      <c r="W49" s="82" t="s">
        <v>210</v>
      </c>
      <c r="X49" s="82"/>
      <c r="Y49" s="85" t="s">
        <v>531</v>
      </c>
      <c r="Z49" s="86" t="s">
        <v>532</v>
      </c>
      <c r="AA49" s="86" t="s">
        <v>17</v>
      </c>
      <c r="AB49" s="86"/>
      <c r="AC49" s="87">
        <v>0</v>
      </c>
      <c r="AD49" s="88">
        <f t="shared" si="4"/>
        <v>-9.2400000005960461</v>
      </c>
      <c r="AF49" s="54">
        <v>100584</v>
      </c>
      <c r="AQ49" s="80">
        <f>D49</f>
        <v>-9.2400000005960461</v>
      </c>
      <c r="AR49" s="80"/>
    </row>
    <row r="50" spans="1:44" ht="14.4">
      <c r="A50" s="70">
        <v>100586</v>
      </c>
      <c r="B50" s="78" t="str">
        <f>VLOOKUP(A50,'TB for financial'!A:B,2,0)</f>
        <v>JM Floater Fund LTP P</v>
      </c>
      <c r="D50" s="79">
        <f>VLOOKUP(A50,'TB for financial'!A:F,6,0)</f>
        <v>0</v>
      </c>
      <c r="E50" s="80"/>
      <c r="F50" s="79">
        <f>VLOOKUP(A50,'TB for financial'!A:K,11,0)</f>
        <v>0</v>
      </c>
      <c r="G50" s="80"/>
      <c r="H50" s="81">
        <f t="shared" si="2"/>
        <v>0</v>
      </c>
      <c r="I50" s="81">
        <v>0</v>
      </c>
      <c r="J50" s="81">
        <f t="shared" si="0"/>
        <v>0</v>
      </c>
      <c r="K50" s="80"/>
      <c r="L50" s="82">
        <f t="shared" si="3"/>
        <v>0</v>
      </c>
      <c r="M50" s="82">
        <v>0</v>
      </c>
      <c r="N50" s="82">
        <f t="shared" si="1"/>
        <v>0</v>
      </c>
      <c r="O50" s="83"/>
      <c r="P50"/>
      <c r="Q50"/>
      <c r="R50"/>
      <c r="S50"/>
      <c r="U50" s="84" t="s">
        <v>530</v>
      </c>
      <c r="V50" s="80"/>
      <c r="W50" s="82" t="s">
        <v>210</v>
      </c>
      <c r="X50" s="82"/>
      <c r="Y50" s="85" t="s">
        <v>531</v>
      </c>
      <c r="Z50" s="86" t="s">
        <v>532</v>
      </c>
      <c r="AA50" s="86" t="s">
        <v>17</v>
      </c>
      <c r="AB50" s="86"/>
      <c r="AC50" s="87">
        <v>0</v>
      </c>
      <c r="AD50" s="88">
        <f t="shared" si="4"/>
        <v>0</v>
      </c>
      <c r="AF50" s="54">
        <v>100586</v>
      </c>
      <c r="AQ50" s="80"/>
      <c r="AR50" s="80"/>
    </row>
    <row r="51" spans="1:44" ht="14.4">
      <c r="A51" s="70">
        <v>100587</v>
      </c>
      <c r="B51" s="78" t="str">
        <f>VLOOKUP(A51,'TB for financial'!A:B,2,0)</f>
        <v>Prudential ICICI STIP</v>
      </c>
      <c r="D51" s="79">
        <f>VLOOKUP(A51,'TB for financial'!A:F,6,0)</f>
        <v>0</v>
      </c>
      <c r="E51" s="80"/>
      <c r="F51" s="79">
        <f>VLOOKUP(A51,'TB for financial'!A:K,11,0)</f>
        <v>0</v>
      </c>
      <c r="G51" s="80"/>
      <c r="H51" s="81">
        <f t="shared" si="2"/>
        <v>0</v>
      </c>
      <c r="I51" s="81">
        <v>0</v>
      </c>
      <c r="J51" s="81">
        <f t="shared" si="0"/>
        <v>0</v>
      </c>
      <c r="K51" s="80"/>
      <c r="L51" s="82">
        <f t="shared" si="3"/>
        <v>0</v>
      </c>
      <c r="M51" s="82">
        <v>0</v>
      </c>
      <c r="N51" s="82">
        <f t="shared" si="1"/>
        <v>0</v>
      </c>
      <c r="O51" s="83"/>
      <c r="P51"/>
      <c r="Q51"/>
      <c r="R51"/>
      <c r="S51"/>
      <c r="U51" s="84" t="s">
        <v>530</v>
      </c>
      <c r="V51" s="80"/>
      <c r="W51" s="82" t="s">
        <v>210</v>
      </c>
      <c r="X51" s="82"/>
      <c r="Y51" s="85" t="s">
        <v>531</v>
      </c>
      <c r="Z51" s="86" t="s">
        <v>532</v>
      </c>
      <c r="AA51" s="86" t="s">
        <v>17</v>
      </c>
      <c r="AB51" s="86"/>
      <c r="AC51" s="87">
        <v>0</v>
      </c>
      <c r="AD51" s="88">
        <f t="shared" si="4"/>
        <v>0</v>
      </c>
      <c r="AF51" s="54">
        <v>100587</v>
      </c>
      <c r="AQ51" s="80"/>
      <c r="AR51" s="80"/>
    </row>
    <row r="52" spans="1:44" ht="14.4">
      <c r="A52" s="92">
        <v>100588</v>
      </c>
      <c r="B52" s="78" t="str">
        <f>VLOOKUP(A52,'TB for financial'!A:B,2,0)</f>
        <v>Princ Float Rate Fund-FMP-IP-G</v>
      </c>
      <c r="D52" s="79">
        <f>VLOOKUP(A52,'TB for financial'!A:F,6,0)</f>
        <v>0</v>
      </c>
      <c r="E52" s="80"/>
      <c r="F52" s="79">
        <f>VLOOKUP(A52,'TB for financial'!A:K,11,0)</f>
        <v>0</v>
      </c>
      <c r="G52" s="80"/>
      <c r="H52" s="81">
        <f t="shared" si="2"/>
        <v>0</v>
      </c>
      <c r="I52" s="81">
        <v>0</v>
      </c>
      <c r="J52" s="81">
        <f t="shared" si="0"/>
        <v>0</v>
      </c>
      <c r="K52" s="80"/>
      <c r="L52" s="82">
        <f t="shared" si="3"/>
        <v>0</v>
      </c>
      <c r="M52" s="82">
        <v>0</v>
      </c>
      <c r="N52" s="82">
        <f t="shared" si="1"/>
        <v>0</v>
      </c>
      <c r="O52" s="83"/>
      <c r="P52"/>
      <c r="Q52"/>
      <c r="R52"/>
      <c r="S52"/>
      <c r="U52" s="84" t="s">
        <v>530</v>
      </c>
      <c r="V52" s="80"/>
      <c r="W52" s="82" t="s">
        <v>210</v>
      </c>
      <c r="X52" s="82"/>
      <c r="Y52" s="85" t="s">
        <v>531</v>
      </c>
      <c r="Z52" s="86" t="s">
        <v>532</v>
      </c>
      <c r="AA52" s="86" t="s">
        <v>17</v>
      </c>
      <c r="AB52" s="86"/>
      <c r="AC52" s="87">
        <v>0</v>
      </c>
      <c r="AD52" s="88">
        <f t="shared" si="4"/>
        <v>0</v>
      </c>
      <c r="AF52" s="54">
        <v>100588</v>
      </c>
      <c r="AQ52" s="80"/>
      <c r="AR52" s="80"/>
    </row>
    <row r="53" spans="1:44" ht="14.4">
      <c r="A53" s="92">
        <v>100589</v>
      </c>
      <c r="B53" s="78" t="str">
        <f>VLOOKUP(A53,'TB for financial'!A:B,2,0)</f>
        <v>Prudential ICICI LT F</v>
      </c>
      <c r="D53" s="79">
        <f>VLOOKUP(A53,'TB for financial'!A:F,6,0)</f>
        <v>0</v>
      </c>
      <c r="E53" s="80"/>
      <c r="F53" s="79">
        <f>VLOOKUP(A53,'TB for financial'!A:K,11,0)</f>
        <v>0</v>
      </c>
      <c r="G53" s="80"/>
      <c r="H53" s="81">
        <f t="shared" si="2"/>
        <v>0</v>
      </c>
      <c r="I53" s="81">
        <v>0</v>
      </c>
      <c r="J53" s="81">
        <f t="shared" si="0"/>
        <v>0</v>
      </c>
      <c r="K53" s="80"/>
      <c r="L53" s="82">
        <f t="shared" si="3"/>
        <v>0</v>
      </c>
      <c r="M53" s="82">
        <v>0</v>
      </c>
      <c r="N53" s="82">
        <f t="shared" si="1"/>
        <v>0</v>
      </c>
      <c r="O53" s="83"/>
      <c r="P53"/>
      <c r="Q53"/>
      <c r="R53"/>
      <c r="S53"/>
      <c r="U53" s="84" t="s">
        <v>530</v>
      </c>
      <c r="V53" s="80"/>
      <c r="W53" s="82" t="s">
        <v>210</v>
      </c>
      <c r="X53" s="82"/>
      <c r="Y53" s="85" t="s">
        <v>531</v>
      </c>
      <c r="Z53" s="86" t="s">
        <v>532</v>
      </c>
      <c r="AA53" s="86" t="s">
        <v>17</v>
      </c>
      <c r="AB53" s="86"/>
      <c r="AC53" s="87">
        <v>0</v>
      </c>
      <c r="AD53" s="88">
        <f t="shared" si="4"/>
        <v>0</v>
      </c>
      <c r="AF53" s="54">
        <v>100589</v>
      </c>
      <c r="AQ53" s="80"/>
      <c r="AR53" s="80"/>
    </row>
    <row r="54" spans="1:44" ht="14.4">
      <c r="A54" s="70">
        <v>100590</v>
      </c>
      <c r="B54" s="78" t="str">
        <f>VLOOKUP(A54,'TB for financial'!A:B,2,0)</f>
        <v>Prudential ICICI FMP</v>
      </c>
      <c r="D54" s="79">
        <f>VLOOKUP(A54,'TB for financial'!A:F,6,0)</f>
        <v>0</v>
      </c>
      <c r="E54" s="80"/>
      <c r="F54" s="79">
        <f>VLOOKUP(A54,'TB for financial'!A:K,11,0)</f>
        <v>0</v>
      </c>
      <c r="G54" s="80"/>
      <c r="H54" s="81">
        <f t="shared" si="2"/>
        <v>0</v>
      </c>
      <c r="I54" s="81">
        <v>0</v>
      </c>
      <c r="J54" s="81">
        <f t="shared" si="0"/>
        <v>0</v>
      </c>
      <c r="K54" s="80"/>
      <c r="L54" s="82">
        <f t="shared" si="3"/>
        <v>0</v>
      </c>
      <c r="M54" s="82">
        <v>0</v>
      </c>
      <c r="N54" s="82">
        <f t="shared" si="1"/>
        <v>0</v>
      </c>
      <c r="O54" s="83"/>
      <c r="P54"/>
      <c r="Q54"/>
      <c r="R54"/>
      <c r="S54"/>
      <c r="U54" s="84" t="s">
        <v>530</v>
      </c>
      <c r="V54" s="80"/>
      <c r="W54" s="82" t="s">
        <v>210</v>
      </c>
      <c r="X54" s="82"/>
      <c r="Y54" s="85" t="s">
        <v>531</v>
      </c>
      <c r="Z54" s="86" t="s">
        <v>532</v>
      </c>
      <c r="AA54" s="86" t="s">
        <v>17</v>
      </c>
      <c r="AB54" s="86"/>
      <c r="AC54" s="87">
        <v>0</v>
      </c>
      <c r="AD54" s="88">
        <f t="shared" si="4"/>
        <v>0</v>
      </c>
      <c r="AF54" s="54">
        <v>100590</v>
      </c>
      <c r="AQ54" s="80"/>
      <c r="AR54" s="80"/>
    </row>
    <row r="55" spans="1:44" ht="14.4">
      <c r="A55" s="70">
        <v>100594</v>
      </c>
      <c r="B55" s="78" t="str">
        <f>VLOOKUP(A55,'TB for financial'!A:B,2,0)</f>
        <v>LICMF Liquid Fund</v>
      </c>
      <c r="D55" s="79">
        <f>VLOOKUP(A55,'TB for financial'!A:F,6,0)</f>
        <v>0</v>
      </c>
      <c r="E55" s="80"/>
      <c r="F55" s="79">
        <f>VLOOKUP(A55,'TB for financial'!A:K,11,0)</f>
        <v>0</v>
      </c>
      <c r="G55" s="80"/>
      <c r="H55" s="81">
        <f t="shared" si="2"/>
        <v>0</v>
      </c>
      <c r="I55" s="81">
        <v>0</v>
      </c>
      <c r="J55" s="81">
        <f t="shared" si="0"/>
        <v>0</v>
      </c>
      <c r="K55" s="80"/>
      <c r="L55" s="82">
        <f t="shared" si="3"/>
        <v>0</v>
      </c>
      <c r="M55" s="82">
        <v>0</v>
      </c>
      <c r="N55" s="82">
        <f t="shared" si="1"/>
        <v>0</v>
      </c>
      <c r="O55" s="83"/>
      <c r="P55"/>
      <c r="Q55"/>
      <c r="R55"/>
      <c r="S55"/>
      <c r="U55" s="84" t="s">
        <v>530</v>
      </c>
      <c r="V55" s="80"/>
      <c r="W55" s="82" t="s">
        <v>210</v>
      </c>
      <c r="X55" s="82"/>
      <c r="Y55" s="85" t="s">
        <v>531</v>
      </c>
      <c r="Z55" s="86" t="s">
        <v>532</v>
      </c>
      <c r="AA55" s="86" t="s">
        <v>17</v>
      </c>
      <c r="AB55" s="86"/>
      <c r="AC55" s="87">
        <v>0</v>
      </c>
      <c r="AD55" s="88">
        <f t="shared" si="4"/>
        <v>0</v>
      </c>
      <c r="AF55" s="54">
        <v>100594</v>
      </c>
      <c r="AQ55" s="80"/>
      <c r="AR55" s="80"/>
    </row>
    <row r="56" spans="1:44" ht="14.4">
      <c r="A56" s="92">
        <v>100595</v>
      </c>
      <c r="B56" s="78" t="str">
        <f>VLOOKUP(A56,'TB for financial'!A:B,2,0)</f>
        <v>SCB Liquidity Manager Plus</v>
      </c>
      <c r="D56" s="79">
        <f>VLOOKUP(A56,'TB for financial'!A:F,6,0)</f>
        <v>0</v>
      </c>
      <c r="E56" s="80"/>
      <c r="F56" s="79">
        <f>VLOOKUP(A56,'TB for financial'!A:K,11,0)</f>
        <v>0</v>
      </c>
      <c r="G56" s="80"/>
      <c r="H56" s="81">
        <f t="shared" si="2"/>
        <v>0</v>
      </c>
      <c r="I56" s="81">
        <v>0</v>
      </c>
      <c r="J56" s="81">
        <f t="shared" si="0"/>
        <v>0</v>
      </c>
      <c r="K56" s="80"/>
      <c r="L56" s="82">
        <f t="shared" si="3"/>
        <v>0</v>
      </c>
      <c r="M56" s="82">
        <v>0</v>
      </c>
      <c r="N56" s="82">
        <f t="shared" si="1"/>
        <v>0</v>
      </c>
      <c r="O56" s="83"/>
      <c r="P56"/>
      <c r="Q56"/>
      <c r="R56"/>
      <c r="S56"/>
      <c r="U56" s="84" t="s">
        <v>530</v>
      </c>
      <c r="V56" s="80"/>
      <c r="W56" s="82" t="s">
        <v>210</v>
      </c>
      <c r="X56" s="82"/>
      <c r="Y56" s="85" t="s">
        <v>531</v>
      </c>
      <c r="Z56" s="86" t="s">
        <v>532</v>
      </c>
      <c r="AA56" s="86" t="s">
        <v>17</v>
      </c>
      <c r="AB56" s="86"/>
      <c r="AC56" s="87">
        <v>0</v>
      </c>
      <c r="AD56" s="88">
        <f t="shared" si="4"/>
        <v>0</v>
      </c>
      <c r="AF56" s="54">
        <v>100595</v>
      </c>
      <c r="AQ56" s="80"/>
      <c r="AR56" s="80"/>
    </row>
    <row r="57" spans="1:44" ht="14.4">
      <c r="A57" s="70">
        <v>100597</v>
      </c>
      <c r="B57" s="78" t="str">
        <f>VLOOKUP(A57,'TB for financial'!A:B,2,0)</f>
        <v>Sundaram BNP Paribas MF</v>
      </c>
      <c r="D57" s="79">
        <f>VLOOKUP(A57,'TB for financial'!A:F,6,0)</f>
        <v>0.12000000476837158</v>
      </c>
      <c r="E57" s="80"/>
      <c r="F57" s="79">
        <f>VLOOKUP(A57,'TB for financial'!A:K,11,0)</f>
        <v>0.12000000476837158</v>
      </c>
      <c r="G57" s="80"/>
      <c r="H57" s="81">
        <f t="shared" si="2"/>
        <v>0.12000000476837158</v>
      </c>
      <c r="I57" s="81">
        <v>0</v>
      </c>
      <c r="J57" s="81">
        <f t="shared" si="0"/>
        <v>0</v>
      </c>
      <c r="K57" s="80"/>
      <c r="L57" s="82">
        <f t="shared" si="3"/>
        <v>0.12000000476837158</v>
      </c>
      <c r="M57" s="82">
        <v>0</v>
      </c>
      <c r="N57" s="82">
        <f t="shared" si="1"/>
        <v>0</v>
      </c>
      <c r="O57" s="83"/>
      <c r="P57"/>
      <c r="Q57"/>
      <c r="R57"/>
      <c r="S57"/>
      <c r="U57" s="84" t="s">
        <v>530</v>
      </c>
      <c r="V57" s="80"/>
      <c r="W57" s="82" t="s">
        <v>210</v>
      </c>
      <c r="X57" s="82"/>
      <c r="Y57" s="85" t="s">
        <v>531</v>
      </c>
      <c r="Z57" s="86" t="s">
        <v>532</v>
      </c>
      <c r="AA57" s="86" t="s">
        <v>17</v>
      </c>
      <c r="AB57" s="86"/>
      <c r="AC57" s="87">
        <v>0</v>
      </c>
      <c r="AD57" s="88">
        <f t="shared" si="4"/>
        <v>0.12000000476837158</v>
      </c>
      <c r="AF57" s="54">
        <v>100597</v>
      </c>
      <c r="AQ57" s="80">
        <f>D57</f>
        <v>0.12000000476837158</v>
      </c>
      <c r="AR57" s="80"/>
    </row>
    <row r="58" spans="1:44" ht="14.4">
      <c r="A58" s="92">
        <v>100598</v>
      </c>
      <c r="B58" s="78" t="str">
        <f>VLOOKUP(A58,'TB for financial'!A:B,2,0)</f>
        <v>ABN AMRO Mutual Func</v>
      </c>
      <c r="D58" s="79">
        <f>VLOOKUP(A58,'TB for financial'!A:F,6,0)</f>
        <v>-0.01</v>
      </c>
      <c r="E58" s="80"/>
      <c r="F58" s="79">
        <f>VLOOKUP(A58,'TB for financial'!A:K,11,0)</f>
        <v>-0.01</v>
      </c>
      <c r="G58" s="80"/>
      <c r="H58" s="81">
        <f t="shared" si="2"/>
        <v>-0.01</v>
      </c>
      <c r="I58" s="81">
        <v>0</v>
      </c>
      <c r="J58" s="81">
        <f t="shared" si="0"/>
        <v>0</v>
      </c>
      <c r="K58" s="80"/>
      <c r="L58" s="82">
        <f t="shared" si="3"/>
        <v>-0.01</v>
      </c>
      <c r="M58" s="82">
        <v>0</v>
      </c>
      <c r="N58" s="82">
        <f t="shared" si="1"/>
        <v>0</v>
      </c>
      <c r="O58" s="83"/>
      <c r="P58"/>
      <c r="Q58"/>
      <c r="R58"/>
      <c r="S58"/>
      <c r="U58" s="84" t="s">
        <v>530</v>
      </c>
      <c r="V58" s="80"/>
      <c r="W58" s="82" t="s">
        <v>210</v>
      </c>
      <c r="X58" s="82"/>
      <c r="Y58" s="85" t="s">
        <v>531</v>
      </c>
      <c r="Z58" s="86" t="s">
        <v>532</v>
      </c>
      <c r="AA58" s="86" t="s">
        <v>17</v>
      </c>
      <c r="AB58" s="86"/>
      <c r="AC58" s="87">
        <v>0</v>
      </c>
      <c r="AD58" s="88">
        <f t="shared" si="4"/>
        <v>-0.01</v>
      </c>
      <c r="AF58" s="54">
        <v>100598</v>
      </c>
      <c r="AQ58" s="80">
        <f>D58</f>
        <v>-0.01</v>
      </c>
      <c r="AR58" s="80"/>
    </row>
    <row r="59" spans="1:44" ht="14.4">
      <c r="A59" s="89">
        <v>100599</v>
      </c>
      <c r="B59" s="78" t="str">
        <f>VLOOKUP(A59,'TB for financial'!A:B,2,0)</f>
        <v>Religare MF</v>
      </c>
      <c r="D59" s="79">
        <f>VLOOKUP(A59,'TB for financial'!A:F,6,0)</f>
        <v>0.33999999985098839</v>
      </c>
      <c r="E59" s="80"/>
      <c r="F59" s="79">
        <f>VLOOKUP(A59,'TB for financial'!A:K,11,0)</f>
        <v>0.33999999985098839</v>
      </c>
      <c r="G59" s="80"/>
      <c r="H59" s="81">
        <f t="shared" si="2"/>
        <v>0.33999999985098839</v>
      </c>
      <c r="I59" s="81">
        <v>0</v>
      </c>
      <c r="J59" s="81">
        <f t="shared" si="0"/>
        <v>0</v>
      </c>
      <c r="K59" s="80"/>
      <c r="L59" s="82">
        <f t="shared" si="3"/>
        <v>0.33999999985098839</v>
      </c>
      <c r="M59" s="82">
        <v>0</v>
      </c>
      <c r="N59" s="82">
        <f t="shared" si="1"/>
        <v>0</v>
      </c>
      <c r="O59" s="83"/>
      <c r="P59"/>
      <c r="Q59"/>
      <c r="R59"/>
      <c r="S59"/>
      <c r="U59" s="84" t="s">
        <v>530</v>
      </c>
      <c r="V59" s="80"/>
      <c r="W59" s="82" t="s">
        <v>210</v>
      </c>
      <c r="X59" s="82"/>
      <c r="Y59" s="85" t="s">
        <v>531</v>
      </c>
      <c r="Z59" s="86" t="s">
        <v>532</v>
      </c>
      <c r="AA59" s="86" t="s">
        <v>17</v>
      </c>
      <c r="AB59" s="86"/>
      <c r="AC59" s="87">
        <v>0</v>
      </c>
      <c r="AD59" s="88">
        <f t="shared" si="4"/>
        <v>0.33999999985098839</v>
      </c>
      <c r="AF59" s="54">
        <v>100599</v>
      </c>
      <c r="AQ59" s="80">
        <f>D59</f>
        <v>0.33999999985098839</v>
      </c>
      <c r="AR59" s="80"/>
    </row>
    <row r="60" spans="1:44" ht="14.4">
      <c r="A60" s="89">
        <v>100601</v>
      </c>
      <c r="B60" s="78" t="str">
        <f>VLOOKUP(A60,'TB for financial'!A:B,2,0)</f>
        <v>JP Morgan MF</v>
      </c>
      <c r="D60" s="79">
        <f>VLOOKUP(A60,'TB for financial'!A:F,6,0)</f>
        <v>0</v>
      </c>
      <c r="E60" s="80"/>
      <c r="F60" s="79">
        <f>VLOOKUP(A60,'TB for financial'!A:K,11,0)</f>
        <v>0</v>
      </c>
      <c r="G60" s="80"/>
      <c r="H60" s="81">
        <f t="shared" si="2"/>
        <v>0</v>
      </c>
      <c r="I60" s="81">
        <v>0</v>
      </c>
      <c r="J60" s="81">
        <f t="shared" si="0"/>
        <v>0</v>
      </c>
      <c r="K60" s="80"/>
      <c r="L60" s="82">
        <f t="shared" si="3"/>
        <v>0</v>
      </c>
      <c r="M60" s="82">
        <v>0</v>
      </c>
      <c r="N60" s="82">
        <f t="shared" si="1"/>
        <v>0</v>
      </c>
      <c r="O60" s="83"/>
      <c r="P60"/>
      <c r="Q60"/>
      <c r="R60"/>
      <c r="S60"/>
      <c r="U60" s="84" t="s">
        <v>530</v>
      </c>
      <c r="V60" s="80"/>
      <c r="W60" s="82" t="s">
        <v>210</v>
      </c>
      <c r="X60" s="82"/>
      <c r="Y60" s="85" t="s">
        <v>531</v>
      </c>
      <c r="Z60" s="86" t="s">
        <v>532</v>
      </c>
      <c r="AA60" s="86" t="s">
        <v>17</v>
      </c>
      <c r="AB60" s="86"/>
      <c r="AC60" s="87">
        <v>0</v>
      </c>
      <c r="AD60" s="88">
        <f t="shared" si="4"/>
        <v>0</v>
      </c>
      <c r="AF60" s="54">
        <v>100601</v>
      </c>
      <c r="AQ60" s="80"/>
      <c r="AR60" s="80"/>
    </row>
    <row r="61" spans="1:44" ht="14.4">
      <c r="A61" s="70">
        <v>100602</v>
      </c>
      <c r="B61" s="78" t="s">
        <v>533</v>
      </c>
      <c r="D61" s="79">
        <f>VLOOKUP(A61,'TB for financial'!A:F,6,0)</f>
        <v>0</v>
      </c>
      <c r="E61" s="80"/>
      <c r="F61" s="79">
        <f>VLOOKUP(A61,'TB for financial'!A:K,11,0)</f>
        <v>0</v>
      </c>
      <c r="G61" s="80"/>
      <c r="H61" s="81">
        <f t="shared" si="2"/>
        <v>0</v>
      </c>
      <c r="I61" s="81">
        <v>0</v>
      </c>
      <c r="J61" s="81">
        <f t="shared" si="0"/>
        <v>0</v>
      </c>
      <c r="K61" s="80"/>
      <c r="L61" s="82">
        <f t="shared" si="3"/>
        <v>0</v>
      </c>
      <c r="M61" s="82">
        <v>0</v>
      </c>
      <c r="N61" s="82">
        <f>+F61-L61-M61</f>
        <v>0</v>
      </c>
      <c r="O61" s="83"/>
      <c r="P61"/>
      <c r="Q61"/>
      <c r="R61"/>
      <c r="S61"/>
      <c r="U61" s="84" t="s">
        <v>530</v>
      </c>
      <c r="V61" s="80"/>
      <c r="W61" s="82" t="s">
        <v>210</v>
      </c>
      <c r="X61" s="82"/>
      <c r="Y61" s="85" t="s">
        <v>531</v>
      </c>
      <c r="Z61" s="86" t="s">
        <v>532</v>
      </c>
      <c r="AA61" s="86" t="s">
        <v>17</v>
      </c>
      <c r="AB61" s="86"/>
      <c r="AC61" s="87">
        <v>0</v>
      </c>
      <c r="AD61" s="88">
        <f t="shared" si="4"/>
        <v>0</v>
      </c>
      <c r="AF61" s="54">
        <v>100602</v>
      </c>
      <c r="AQ61" s="80"/>
      <c r="AR61" s="80"/>
    </row>
    <row r="62" spans="1:44" ht="14.4">
      <c r="A62" s="70">
        <v>100605</v>
      </c>
      <c r="B62" s="78" t="str">
        <f>VLOOKUP(A62,'TB for financial'!A:B,2,0)</f>
        <v>JP Morgan Treasury Stock</v>
      </c>
      <c r="D62" s="79">
        <f>VLOOKUP(A62,'TB for financial'!A:F,6,0)</f>
        <v>0</v>
      </c>
      <c r="E62" s="80"/>
      <c r="F62" s="79">
        <f>VLOOKUP(A62,'TB for financial'!A:K,11,0)</f>
        <v>0</v>
      </c>
      <c r="G62" s="80"/>
      <c r="H62" s="81">
        <f t="shared" si="2"/>
        <v>0</v>
      </c>
      <c r="I62" s="81">
        <v>0</v>
      </c>
      <c r="J62" s="81">
        <f t="shared" si="0"/>
        <v>0</v>
      </c>
      <c r="K62" s="80"/>
      <c r="L62" s="82">
        <f t="shared" si="3"/>
        <v>0</v>
      </c>
      <c r="M62" s="82">
        <v>0</v>
      </c>
      <c r="N62" s="82">
        <f t="shared" si="1"/>
        <v>0</v>
      </c>
      <c r="O62" s="83"/>
      <c r="P62"/>
      <c r="Q62"/>
      <c r="R62"/>
      <c r="S62"/>
      <c r="U62" s="84" t="s">
        <v>530</v>
      </c>
      <c r="V62" s="80"/>
      <c r="W62" s="82" t="s">
        <v>210</v>
      </c>
      <c r="X62" s="82"/>
      <c r="Y62" s="85" t="s">
        <v>531</v>
      </c>
      <c r="Z62" s="86" t="s">
        <v>532</v>
      </c>
      <c r="AA62" s="86" t="s">
        <v>17</v>
      </c>
      <c r="AB62" s="86"/>
      <c r="AC62" s="87">
        <v>0</v>
      </c>
      <c r="AD62" s="88">
        <f t="shared" si="4"/>
        <v>0</v>
      </c>
      <c r="AF62" s="54">
        <v>100605</v>
      </c>
      <c r="AQ62" s="80"/>
      <c r="AR62" s="80"/>
    </row>
    <row r="63" spans="1:44" ht="14.4">
      <c r="A63" s="70">
        <v>100700</v>
      </c>
      <c r="B63" s="78" t="str">
        <f>VLOOKUP(A63,'TB for financial'!A:B,2,0)</f>
        <v>Mutual Fund - Investments</v>
      </c>
      <c r="D63" s="79">
        <f>VLOOKUP(A63,'TB for financial'!A:F,6,0)</f>
        <v>0</v>
      </c>
      <c r="E63" s="80"/>
      <c r="F63" s="79">
        <f>VLOOKUP(A63,'TB for financial'!A:K,11,0)</f>
        <v>0</v>
      </c>
      <c r="G63" s="80"/>
      <c r="H63" s="81">
        <f t="shared" si="2"/>
        <v>0</v>
      </c>
      <c r="I63" s="81">
        <v>0</v>
      </c>
      <c r="J63" s="81">
        <f t="shared" si="0"/>
        <v>0</v>
      </c>
      <c r="K63" s="80"/>
      <c r="L63" s="82">
        <f t="shared" si="3"/>
        <v>0</v>
      </c>
      <c r="M63" s="82">
        <v>0</v>
      </c>
      <c r="N63" s="82">
        <f t="shared" si="1"/>
        <v>0</v>
      </c>
      <c r="O63" s="83"/>
      <c r="P63"/>
      <c r="Q63"/>
      <c r="R63"/>
      <c r="S63"/>
      <c r="U63" s="84" t="s">
        <v>530</v>
      </c>
      <c r="V63" s="80"/>
      <c r="W63" s="82" t="s">
        <v>210</v>
      </c>
      <c r="X63" s="82"/>
      <c r="Y63" s="85" t="s">
        <v>531</v>
      </c>
      <c r="Z63" s="86" t="s">
        <v>532</v>
      </c>
      <c r="AA63" s="86" t="s">
        <v>17</v>
      </c>
      <c r="AB63" s="86"/>
      <c r="AC63" s="87">
        <v>0</v>
      </c>
      <c r="AD63" s="88">
        <f t="shared" si="4"/>
        <v>0</v>
      </c>
      <c r="AF63" s="54">
        <v>100700</v>
      </c>
      <c r="AQ63" s="80"/>
      <c r="AR63" s="80"/>
    </row>
    <row r="64" spans="1:44" ht="14.4">
      <c r="A64" s="70">
        <v>100750</v>
      </c>
      <c r="B64" s="78" t="str">
        <f>VLOOKUP(A64,'TB for financial'!A:B,2,0)</f>
        <v>Mutual Fund - One Group</v>
      </c>
      <c r="D64" s="79">
        <f>VLOOKUP(A64,'TB for financial'!A:F,6,0)</f>
        <v>0</v>
      </c>
      <c r="E64" s="80"/>
      <c r="F64" s="79">
        <f>VLOOKUP(A64,'TB for financial'!A:K,11,0)</f>
        <v>0</v>
      </c>
      <c r="G64" s="80"/>
      <c r="H64" s="81">
        <f t="shared" si="2"/>
        <v>0</v>
      </c>
      <c r="I64" s="81">
        <v>0</v>
      </c>
      <c r="J64" s="81">
        <f t="shared" si="0"/>
        <v>0</v>
      </c>
      <c r="K64" s="80"/>
      <c r="L64" s="82">
        <f t="shared" si="3"/>
        <v>0</v>
      </c>
      <c r="M64" s="82">
        <v>0</v>
      </c>
      <c r="N64" s="82">
        <f t="shared" si="1"/>
        <v>0</v>
      </c>
      <c r="O64" s="83"/>
      <c r="P64"/>
      <c r="Q64"/>
      <c r="R64"/>
      <c r="S64"/>
      <c r="U64" s="84" t="s">
        <v>530</v>
      </c>
      <c r="V64" s="80"/>
      <c r="W64" s="82" t="s">
        <v>210</v>
      </c>
      <c r="X64" s="82"/>
      <c r="Y64" s="85" t="s">
        <v>531</v>
      </c>
      <c r="Z64" s="86" t="s">
        <v>532</v>
      </c>
      <c r="AA64" s="86" t="s">
        <v>17</v>
      </c>
      <c r="AB64" s="86"/>
      <c r="AC64" s="87">
        <v>0</v>
      </c>
      <c r="AD64" s="88">
        <f t="shared" si="4"/>
        <v>0</v>
      </c>
      <c r="AF64" s="54">
        <v>100750</v>
      </c>
      <c r="AQ64" s="80"/>
      <c r="AR64" s="80"/>
    </row>
    <row r="65" spans="1:44" ht="14.4">
      <c r="A65" s="70">
        <v>100760</v>
      </c>
      <c r="B65" s="78" t="str">
        <f>VLOOKUP(A65,'TB for financial'!A:B,2,0)</f>
        <v>Mutual Fund-First Union Securi</v>
      </c>
      <c r="D65" s="79">
        <f>VLOOKUP(A65,'TB for financial'!A:F,6,0)</f>
        <v>0</v>
      </c>
      <c r="E65" s="80"/>
      <c r="F65" s="79">
        <f>VLOOKUP(A65,'TB for financial'!A:K,11,0)</f>
        <v>0</v>
      </c>
      <c r="G65" s="80"/>
      <c r="H65" s="81">
        <f t="shared" si="2"/>
        <v>0</v>
      </c>
      <c r="I65" s="81">
        <v>0</v>
      </c>
      <c r="J65" s="81">
        <f t="shared" si="0"/>
        <v>0</v>
      </c>
      <c r="K65" s="80"/>
      <c r="L65" s="82">
        <f t="shared" si="3"/>
        <v>0</v>
      </c>
      <c r="M65" s="82">
        <v>0</v>
      </c>
      <c r="N65" s="82">
        <f t="shared" si="1"/>
        <v>0</v>
      </c>
      <c r="O65" s="83"/>
      <c r="P65"/>
      <c r="Q65"/>
      <c r="R65"/>
      <c r="S65"/>
      <c r="U65" s="84" t="s">
        <v>530</v>
      </c>
      <c r="V65" s="80"/>
      <c r="W65" s="82" t="s">
        <v>210</v>
      </c>
      <c r="X65" s="82"/>
      <c r="Y65" s="85" t="s">
        <v>531</v>
      </c>
      <c r="Z65" s="86" t="s">
        <v>532</v>
      </c>
      <c r="AA65" s="86" t="s">
        <v>17</v>
      </c>
      <c r="AB65" s="86"/>
      <c r="AC65" s="87">
        <v>0</v>
      </c>
      <c r="AD65" s="88">
        <f t="shared" si="4"/>
        <v>0</v>
      </c>
      <c r="AF65" s="54">
        <v>100760</v>
      </c>
      <c r="AQ65" s="80"/>
      <c r="AR65" s="80"/>
    </row>
    <row r="66" spans="1:44" ht="14.4">
      <c r="A66" s="70">
        <v>100761</v>
      </c>
      <c r="B66" s="78" t="str">
        <f>VLOOKUP(A66,'TB for financial'!A:B,2,0)</f>
        <v>Mutual Fund - Wells Fargo Bank</v>
      </c>
      <c r="D66" s="79">
        <f>VLOOKUP(A66,'TB for financial'!A:F,6,0)</f>
        <v>0</v>
      </c>
      <c r="E66" s="80"/>
      <c r="F66" s="79">
        <f>VLOOKUP(A66,'TB for financial'!A:K,11,0)</f>
        <v>0</v>
      </c>
      <c r="G66" s="80"/>
      <c r="H66" s="81">
        <f t="shared" si="2"/>
        <v>0</v>
      </c>
      <c r="I66" s="81">
        <v>0</v>
      </c>
      <c r="J66" s="81">
        <f t="shared" si="0"/>
        <v>0</v>
      </c>
      <c r="K66" s="80"/>
      <c r="L66" s="82">
        <f t="shared" si="3"/>
        <v>0</v>
      </c>
      <c r="M66" s="82">
        <v>0</v>
      </c>
      <c r="N66" s="82">
        <f t="shared" si="1"/>
        <v>0</v>
      </c>
      <c r="O66" s="83"/>
      <c r="P66"/>
      <c r="Q66"/>
      <c r="R66"/>
      <c r="S66"/>
      <c r="U66" s="84" t="s">
        <v>530</v>
      </c>
      <c r="V66" s="80"/>
      <c r="W66" s="82" t="s">
        <v>210</v>
      </c>
      <c r="X66" s="82"/>
      <c r="Y66" s="85" t="s">
        <v>531</v>
      </c>
      <c r="Z66" s="86" t="s">
        <v>532</v>
      </c>
      <c r="AA66" s="86" t="s">
        <v>17</v>
      </c>
      <c r="AB66" s="86"/>
      <c r="AC66" s="87">
        <v>0</v>
      </c>
      <c r="AD66" s="88">
        <f t="shared" si="4"/>
        <v>0</v>
      </c>
      <c r="AF66" s="54">
        <v>100761</v>
      </c>
      <c r="AQ66" s="80"/>
      <c r="AR66" s="80"/>
    </row>
    <row r="67" spans="1:44" ht="14.4">
      <c r="A67" s="70">
        <v>100762</v>
      </c>
      <c r="B67" s="78" t="str">
        <f>VLOOKUP(A67,'TB for financial'!A:B,2,0)</f>
        <v>CSFB - Mutual Fund</v>
      </c>
      <c r="D67" s="79">
        <f>VLOOKUP(A67,'TB for financial'!A:F,6,0)</f>
        <v>0</v>
      </c>
      <c r="E67" s="80"/>
      <c r="F67" s="79">
        <f>VLOOKUP(A67,'TB for financial'!A:K,11,0)</f>
        <v>0</v>
      </c>
      <c r="G67" s="80"/>
      <c r="H67" s="81">
        <f t="shared" si="2"/>
        <v>0</v>
      </c>
      <c r="I67" s="81">
        <v>0</v>
      </c>
      <c r="J67" s="81">
        <f t="shared" si="0"/>
        <v>0</v>
      </c>
      <c r="K67" s="80"/>
      <c r="L67" s="82">
        <f t="shared" si="3"/>
        <v>0</v>
      </c>
      <c r="M67" s="82">
        <v>0</v>
      </c>
      <c r="N67" s="82">
        <f t="shared" si="1"/>
        <v>0</v>
      </c>
      <c r="O67" s="83"/>
      <c r="P67"/>
      <c r="Q67"/>
      <c r="R67"/>
      <c r="S67"/>
      <c r="U67" s="84" t="s">
        <v>530</v>
      </c>
      <c r="V67" s="80"/>
      <c r="W67" s="82" t="s">
        <v>210</v>
      </c>
      <c r="X67" s="82"/>
      <c r="Y67" s="85" t="s">
        <v>531</v>
      </c>
      <c r="Z67" s="86" t="s">
        <v>532</v>
      </c>
      <c r="AA67" s="86" t="s">
        <v>17</v>
      </c>
      <c r="AB67" s="86"/>
      <c r="AC67" s="87">
        <v>0</v>
      </c>
      <c r="AD67" s="88">
        <f t="shared" si="4"/>
        <v>0</v>
      </c>
      <c r="AF67" s="54">
        <v>100762</v>
      </c>
      <c r="AQ67" s="80"/>
      <c r="AR67" s="80"/>
    </row>
    <row r="68" spans="1:44" ht="14.4">
      <c r="A68" s="70">
        <v>100763</v>
      </c>
      <c r="B68" s="78" t="str">
        <f>VLOOKUP(A68,'TB for financial'!A:B,2,0)</f>
        <v>Standard Federal</v>
      </c>
      <c r="D68" s="79">
        <f>VLOOKUP(A68,'TB for financial'!A:F,6,0)</f>
        <v>0</v>
      </c>
      <c r="E68" s="80"/>
      <c r="F68" s="79">
        <f>VLOOKUP(A68,'TB for financial'!A:K,11,0)</f>
        <v>0</v>
      </c>
      <c r="G68" s="80"/>
      <c r="H68" s="81">
        <f t="shared" si="2"/>
        <v>0</v>
      </c>
      <c r="I68" s="81">
        <v>0</v>
      </c>
      <c r="J68" s="81">
        <f t="shared" si="0"/>
        <v>0</v>
      </c>
      <c r="K68" s="80"/>
      <c r="L68" s="82">
        <f t="shared" si="3"/>
        <v>0</v>
      </c>
      <c r="M68" s="82">
        <v>0</v>
      </c>
      <c r="N68" s="82">
        <f t="shared" si="1"/>
        <v>0</v>
      </c>
      <c r="O68" s="83"/>
      <c r="P68"/>
      <c r="Q68"/>
      <c r="R68"/>
      <c r="S68"/>
      <c r="U68" s="84" t="s">
        <v>530</v>
      </c>
      <c r="V68" s="80"/>
      <c r="W68" s="82" t="s">
        <v>210</v>
      </c>
      <c r="X68" s="82"/>
      <c r="Y68" s="85" t="s">
        <v>531</v>
      </c>
      <c r="Z68" s="86" t="s">
        <v>532</v>
      </c>
      <c r="AA68" s="86" t="s">
        <v>17</v>
      </c>
      <c r="AB68" s="86"/>
      <c r="AC68" s="87">
        <v>0</v>
      </c>
      <c r="AD68" s="88">
        <f t="shared" si="4"/>
        <v>0</v>
      </c>
      <c r="AF68" s="54">
        <v>100763</v>
      </c>
      <c r="AQ68" s="80"/>
      <c r="AR68" s="80"/>
    </row>
    <row r="69" spans="1:44" ht="14.4">
      <c r="A69" s="70">
        <v>100765</v>
      </c>
      <c r="B69" s="78" t="str">
        <f>VLOOKUP(A69,'TB for financial'!A:B,2,0)</f>
        <v>Mutual Fund - Salomon Smith</v>
      </c>
      <c r="D69" s="79">
        <f>VLOOKUP(A69,'TB for financial'!A:F,6,0)</f>
        <v>0</v>
      </c>
      <c r="E69" s="80"/>
      <c r="F69" s="79">
        <f>VLOOKUP(A69,'TB for financial'!A:K,11,0)</f>
        <v>0</v>
      </c>
      <c r="G69" s="80"/>
      <c r="H69" s="81">
        <f t="shared" si="2"/>
        <v>0</v>
      </c>
      <c r="I69" s="81">
        <v>0</v>
      </c>
      <c r="J69" s="81">
        <f t="shared" si="0"/>
        <v>0</v>
      </c>
      <c r="K69" s="80"/>
      <c r="L69" s="82">
        <f t="shared" si="3"/>
        <v>0</v>
      </c>
      <c r="M69" s="82">
        <v>0</v>
      </c>
      <c r="N69" s="82">
        <f t="shared" si="1"/>
        <v>0</v>
      </c>
      <c r="O69" s="83"/>
      <c r="P69"/>
      <c r="Q69"/>
      <c r="R69"/>
      <c r="S69"/>
      <c r="U69" s="84" t="s">
        <v>530</v>
      </c>
      <c r="V69" s="80"/>
      <c r="W69" s="82" t="s">
        <v>210</v>
      </c>
      <c r="X69" s="82"/>
      <c r="Y69" s="85" t="s">
        <v>531</v>
      </c>
      <c r="Z69" s="86" t="s">
        <v>532</v>
      </c>
      <c r="AA69" s="86" t="s">
        <v>17</v>
      </c>
      <c r="AB69" s="86"/>
      <c r="AC69" s="87">
        <v>0</v>
      </c>
      <c r="AD69" s="88">
        <f t="shared" si="4"/>
        <v>0</v>
      </c>
      <c r="AF69" s="54">
        <v>100765</v>
      </c>
      <c r="AQ69" s="80"/>
      <c r="AR69" s="80"/>
    </row>
    <row r="70" spans="1:44" ht="14.4">
      <c r="A70" s="70">
        <v>100770</v>
      </c>
      <c r="B70" s="78" t="str">
        <f>VLOOKUP(A70,'TB for financial'!A:B,2,0)</f>
        <v>Bear Stearns Securities Corp.</v>
      </c>
      <c r="D70" s="79">
        <f>VLOOKUP(A70,'TB for financial'!A:F,6,0)</f>
        <v>0</v>
      </c>
      <c r="E70" s="80"/>
      <c r="F70" s="79">
        <f>VLOOKUP(A70,'TB for financial'!A:K,11,0)</f>
        <v>0</v>
      </c>
      <c r="G70" s="80"/>
      <c r="H70" s="81">
        <f t="shared" si="2"/>
        <v>0</v>
      </c>
      <c r="I70" s="81">
        <v>0</v>
      </c>
      <c r="J70" s="81">
        <f t="shared" si="0"/>
        <v>0</v>
      </c>
      <c r="K70" s="80"/>
      <c r="L70" s="82">
        <f t="shared" si="3"/>
        <v>0</v>
      </c>
      <c r="M70" s="82">
        <v>0</v>
      </c>
      <c r="N70" s="82">
        <f t="shared" si="1"/>
        <v>0</v>
      </c>
      <c r="O70" s="83"/>
      <c r="P70"/>
      <c r="Q70"/>
      <c r="R70"/>
      <c r="S70"/>
      <c r="U70" s="84" t="s">
        <v>530</v>
      </c>
      <c r="V70" s="80"/>
      <c r="W70" s="82" t="s">
        <v>210</v>
      </c>
      <c r="X70" s="82"/>
      <c r="Y70" s="85" t="s">
        <v>531</v>
      </c>
      <c r="Z70" s="86" t="s">
        <v>532</v>
      </c>
      <c r="AA70" s="86" t="s">
        <v>17</v>
      </c>
      <c r="AB70" s="86"/>
      <c r="AC70" s="87">
        <v>0</v>
      </c>
      <c r="AD70" s="88">
        <f t="shared" si="4"/>
        <v>0</v>
      </c>
      <c r="AF70" s="54">
        <v>100770</v>
      </c>
      <c r="AQ70" s="80"/>
      <c r="AR70" s="80"/>
    </row>
    <row r="71" spans="1:44" ht="14.4">
      <c r="A71" s="70">
        <v>100780</v>
      </c>
      <c r="B71" s="78" t="str">
        <f>VLOOKUP(A71,'TB for financial'!A:B,2,0)</f>
        <v>Mutual Fund-Escrow Investments</v>
      </c>
      <c r="D71" s="79">
        <f>VLOOKUP(A71,'TB for financial'!A:F,6,0)</f>
        <v>0</v>
      </c>
      <c r="E71" s="80"/>
      <c r="F71" s="79">
        <f>VLOOKUP(A71,'TB for financial'!A:K,11,0)</f>
        <v>0</v>
      </c>
      <c r="G71" s="80"/>
      <c r="H71" s="81">
        <f t="shared" si="2"/>
        <v>0</v>
      </c>
      <c r="I71" s="81">
        <v>0</v>
      </c>
      <c r="J71" s="81">
        <f>+D71-H71-I71</f>
        <v>0</v>
      </c>
      <c r="K71" s="80"/>
      <c r="L71" s="82">
        <f t="shared" si="3"/>
        <v>0</v>
      </c>
      <c r="M71" s="82">
        <v>0</v>
      </c>
      <c r="N71" s="82">
        <f>+F71-L71-M71</f>
        <v>0</v>
      </c>
      <c r="O71" s="83"/>
      <c r="P71"/>
      <c r="Q71"/>
      <c r="R71"/>
      <c r="S71"/>
      <c r="U71" s="84" t="s">
        <v>530</v>
      </c>
      <c r="V71" s="80"/>
      <c r="W71" s="82" t="s">
        <v>210</v>
      </c>
      <c r="X71" s="82"/>
      <c r="Y71" s="85" t="s">
        <v>531</v>
      </c>
      <c r="Z71" s="86" t="s">
        <v>532</v>
      </c>
      <c r="AA71" s="86" t="s">
        <v>17</v>
      </c>
      <c r="AB71" s="86"/>
      <c r="AC71" s="87">
        <v>0</v>
      </c>
      <c r="AD71" s="88">
        <f t="shared" si="4"/>
        <v>0</v>
      </c>
      <c r="AF71" s="54">
        <v>100780</v>
      </c>
      <c r="AQ71" s="80"/>
      <c r="AR71" s="80"/>
    </row>
    <row r="72" spans="1:44" ht="5.0999999999999996" customHeight="1">
      <c r="A72" s="70"/>
      <c r="B72" s="93"/>
      <c r="D72" s="79"/>
      <c r="E72" s="80"/>
      <c r="F72" s="79"/>
      <c r="G72" s="80"/>
      <c r="H72" s="81"/>
      <c r="I72" s="81"/>
      <c r="J72" s="81"/>
      <c r="K72" s="80"/>
      <c r="L72" s="82"/>
      <c r="M72" s="82"/>
      <c r="N72" s="82"/>
      <c r="O72" s="83"/>
      <c r="P72"/>
      <c r="Q72"/>
      <c r="R72"/>
      <c r="S72"/>
      <c r="U72" s="84"/>
      <c r="V72" s="80"/>
      <c r="W72" s="82"/>
      <c r="X72" s="82"/>
      <c r="Y72" s="94"/>
      <c r="Z72" s="86"/>
      <c r="AA72" s="86"/>
      <c r="AB72" s="86"/>
      <c r="AQ72" s="80"/>
      <c r="AR72" s="80"/>
    </row>
    <row r="73" spans="1:44" ht="15" thickBot="1">
      <c r="A73" s="70"/>
      <c r="B73" s="71" t="s">
        <v>534</v>
      </c>
      <c r="D73" s="95">
        <f>SUM(D7:D72)</f>
        <v>-10.210000017732382</v>
      </c>
      <c r="E73" s="96"/>
      <c r="F73" s="97">
        <f>SUM(F7:F72)</f>
        <v>-10.210000017732382</v>
      </c>
      <c r="G73" s="80"/>
      <c r="H73" s="1646">
        <f>SUM(H7:H72)</f>
        <v>-10.210000017732382</v>
      </c>
      <c r="I73" s="99">
        <f>SUM(I7:I72)</f>
        <v>0</v>
      </c>
      <c r="J73" s="99">
        <f>SUM(J7:J72)</f>
        <v>0</v>
      </c>
      <c r="K73" s="80"/>
      <c r="L73" s="99">
        <f>SUM(L7:L72)</f>
        <v>-10.210000017732382</v>
      </c>
      <c r="M73" s="99">
        <f>SUM(M7:M72)</f>
        <v>0</v>
      </c>
      <c r="N73" s="99">
        <f>SUM(N7:N72)</f>
        <v>0</v>
      </c>
      <c r="O73" s="100"/>
      <c r="P73"/>
      <c r="Q73"/>
      <c r="R73"/>
      <c r="S73"/>
      <c r="U73" s="101"/>
      <c r="V73" s="80"/>
      <c r="W73" s="102"/>
      <c r="X73" s="102"/>
      <c r="Y73" s="94"/>
      <c r="Z73" s="86"/>
      <c r="AA73" s="86"/>
      <c r="AB73" s="86"/>
      <c r="AQ73" s="80"/>
      <c r="AR73" s="80"/>
    </row>
    <row r="74" spans="1:44" ht="5.0999999999999996" customHeight="1" thickTop="1">
      <c r="A74" s="103"/>
      <c r="B74" s="104"/>
      <c r="D74" s="79"/>
      <c r="E74" s="80"/>
      <c r="F74" s="79"/>
      <c r="G74" s="80"/>
      <c r="H74" s="81"/>
      <c r="I74" s="81"/>
      <c r="J74" s="81"/>
      <c r="K74" s="80"/>
      <c r="L74" s="82"/>
      <c r="M74" s="82"/>
      <c r="N74" s="82"/>
      <c r="O74" s="83"/>
      <c r="P74"/>
      <c r="Q74"/>
      <c r="R74"/>
      <c r="S74"/>
      <c r="U74" s="84"/>
      <c r="V74" s="80"/>
      <c r="W74" s="82"/>
      <c r="X74" s="82"/>
      <c r="Y74" s="94"/>
      <c r="Z74" s="86"/>
      <c r="AA74" s="86"/>
      <c r="AB74" s="86"/>
      <c r="AQ74" s="80"/>
      <c r="AR74" s="80"/>
    </row>
    <row r="75" spans="1:44" ht="14.4">
      <c r="A75" s="70">
        <v>110510</v>
      </c>
      <c r="B75" s="78" t="str">
        <f>VLOOKUP(A75,'TB for financial'!A:B,2,0)</f>
        <v>Investment in Singapore</v>
      </c>
      <c r="D75" s="79">
        <f>VLOOKUP(A75,'TB for financial'!A:F,6,0)</f>
        <v>0</v>
      </c>
      <c r="E75" s="80"/>
      <c r="F75" s="79">
        <f>VLOOKUP(A75,'TB for financial'!A:K,11,0)</f>
        <v>0</v>
      </c>
      <c r="G75" s="80"/>
      <c r="H75" s="81">
        <f t="shared" ref="H75:H89" si="5">D75-I75</f>
        <v>0</v>
      </c>
      <c r="I75" s="81">
        <v>0</v>
      </c>
      <c r="J75" s="81">
        <f t="shared" ref="J75:J91" si="6">+D75-H75-I75</f>
        <v>0</v>
      </c>
      <c r="K75" s="80"/>
      <c r="L75" s="82">
        <f t="shared" ref="L75:L89" si="7">F75-M75</f>
        <v>0</v>
      </c>
      <c r="M75" s="82">
        <v>0</v>
      </c>
      <c r="N75" s="82">
        <f t="shared" ref="N75:N90" si="8">+F75-L75-M75</f>
        <v>0</v>
      </c>
      <c r="O75" s="83"/>
      <c r="P75"/>
      <c r="Q75"/>
      <c r="R75"/>
      <c r="S75"/>
      <c r="U75" s="84" t="s">
        <v>535</v>
      </c>
      <c r="V75" s="80"/>
      <c r="W75" s="82" t="s">
        <v>210</v>
      </c>
      <c r="X75" s="82" t="s">
        <v>536</v>
      </c>
      <c r="Y75" s="85" t="s">
        <v>537</v>
      </c>
      <c r="Z75" s="86" t="s">
        <v>532</v>
      </c>
      <c r="AA75" s="86" t="s">
        <v>17</v>
      </c>
      <c r="AB75" s="86" t="s">
        <v>17</v>
      </c>
      <c r="AC75" s="87">
        <v>0</v>
      </c>
      <c r="AD75" s="88">
        <f t="shared" ref="AD75:AD89" si="9">+D75-AC75</f>
        <v>0</v>
      </c>
      <c r="AF75" s="54">
        <v>110510</v>
      </c>
      <c r="AQ75" s="80"/>
      <c r="AR75" s="80"/>
    </row>
    <row r="76" spans="1:44" ht="14.4">
      <c r="A76" s="70">
        <v>110520</v>
      </c>
      <c r="B76" s="78" t="str">
        <f>VLOOKUP(A76,'TB for financial'!A:B,2,0)</f>
        <v>Investment in India</v>
      </c>
      <c r="D76" s="79">
        <f>VLOOKUP(A76,'TB for financial'!A:F,6,0)</f>
        <v>0</v>
      </c>
      <c r="E76" s="80"/>
      <c r="F76" s="79">
        <f>VLOOKUP(A76,'TB for financial'!A:K,11,0)</f>
        <v>0</v>
      </c>
      <c r="G76" s="80"/>
      <c r="H76" s="81">
        <f t="shared" si="5"/>
        <v>0</v>
      </c>
      <c r="I76" s="81">
        <v>0</v>
      </c>
      <c r="J76" s="81">
        <f t="shared" si="6"/>
        <v>0</v>
      </c>
      <c r="K76" s="80"/>
      <c r="L76" s="82">
        <f t="shared" si="7"/>
        <v>0</v>
      </c>
      <c r="M76" s="82">
        <v>0</v>
      </c>
      <c r="N76" s="82">
        <f t="shared" si="8"/>
        <v>0</v>
      </c>
      <c r="O76" s="83"/>
      <c r="P76"/>
      <c r="Q76"/>
      <c r="R76"/>
      <c r="S76"/>
      <c r="U76" s="84" t="s">
        <v>535</v>
      </c>
      <c r="V76" s="80"/>
      <c r="W76" s="82" t="s">
        <v>210</v>
      </c>
      <c r="X76" s="82" t="s">
        <v>536</v>
      </c>
      <c r="Y76" s="85" t="s">
        <v>537</v>
      </c>
      <c r="Z76" s="86" t="s">
        <v>532</v>
      </c>
      <c r="AA76" s="86" t="s">
        <v>17</v>
      </c>
      <c r="AB76" s="86" t="s">
        <v>17</v>
      </c>
      <c r="AC76" s="87">
        <v>0</v>
      </c>
      <c r="AD76" s="88">
        <f t="shared" si="9"/>
        <v>0</v>
      </c>
      <c r="AF76" s="54">
        <v>110520</v>
      </c>
      <c r="AQ76" s="80"/>
      <c r="AR76" s="80"/>
    </row>
    <row r="77" spans="1:44" ht="14.4">
      <c r="A77" s="70">
        <v>110530</v>
      </c>
      <c r="B77" s="78" t="str">
        <f>VLOOKUP(A77,'TB for financial'!A:B,2,0)</f>
        <v>Investment in new2usa.com</v>
      </c>
      <c r="D77" s="79">
        <f>VLOOKUP(A77,'TB for financial'!A:F,6,0)</f>
        <v>0</v>
      </c>
      <c r="E77" s="80"/>
      <c r="F77" s="79">
        <f>VLOOKUP(A77,'TB for financial'!A:K,11,0)</f>
        <v>0</v>
      </c>
      <c r="G77" s="80"/>
      <c r="H77" s="81">
        <f t="shared" si="5"/>
        <v>0</v>
      </c>
      <c r="I77" s="81">
        <v>0</v>
      </c>
      <c r="J77" s="81">
        <f t="shared" si="6"/>
        <v>0</v>
      </c>
      <c r="K77" s="80"/>
      <c r="L77" s="82">
        <f t="shared" si="7"/>
        <v>0</v>
      </c>
      <c r="M77" s="82">
        <v>0</v>
      </c>
      <c r="N77" s="82">
        <f t="shared" si="8"/>
        <v>0</v>
      </c>
      <c r="O77" s="83"/>
      <c r="P77"/>
      <c r="Q77"/>
      <c r="R77"/>
      <c r="S77"/>
      <c r="U77" s="84" t="s">
        <v>535</v>
      </c>
      <c r="V77" s="80"/>
      <c r="W77" s="82" t="s">
        <v>210</v>
      </c>
      <c r="X77" s="82" t="s">
        <v>536</v>
      </c>
      <c r="Y77" s="85" t="s">
        <v>537</v>
      </c>
      <c r="Z77" s="86" t="s">
        <v>532</v>
      </c>
      <c r="AA77" s="86" t="s">
        <v>17</v>
      </c>
      <c r="AB77" s="86" t="s">
        <v>17</v>
      </c>
      <c r="AC77" s="87">
        <v>0</v>
      </c>
      <c r="AD77" s="88">
        <f t="shared" si="9"/>
        <v>0</v>
      </c>
      <c r="AF77" s="54">
        <v>110530</v>
      </c>
      <c r="AQ77" s="80"/>
      <c r="AR77" s="80"/>
    </row>
    <row r="78" spans="1:44" ht="14.4">
      <c r="A78" s="70">
        <v>110540</v>
      </c>
      <c r="B78" s="78" t="str">
        <f>VLOOKUP(A78,'TB for financial'!A:B,2,0)</f>
        <v>Investment in skillbay.com</v>
      </c>
      <c r="D78" s="79">
        <f>VLOOKUP(A78,'TB for financial'!A:F,6,0)</f>
        <v>0</v>
      </c>
      <c r="E78" s="80"/>
      <c r="F78" s="79">
        <f>VLOOKUP(A78,'TB for financial'!A:K,11,0)</f>
        <v>0</v>
      </c>
      <c r="G78" s="80"/>
      <c r="H78" s="81">
        <f t="shared" si="5"/>
        <v>0</v>
      </c>
      <c r="I78" s="81">
        <v>0</v>
      </c>
      <c r="J78" s="81">
        <f t="shared" si="6"/>
        <v>0</v>
      </c>
      <c r="K78" s="80"/>
      <c r="L78" s="82">
        <f t="shared" si="7"/>
        <v>0</v>
      </c>
      <c r="M78" s="82">
        <v>0</v>
      </c>
      <c r="N78" s="82">
        <f t="shared" si="8"/>
        <v>0</v>
      </c>
      <c r="O78" s="83"/>
      <c r="P78"/>
      <c r="Q78"/>
      <c r="R78"/>
      <c r="S78"/>
      <c r="U78" s="84" t="s">
        <v>535</v>
      </c>
      <c r="V78" s="80"/>
      <c r="W78" s="82" t="s">
        <v>210</v>
      </c>
      <c r="X78" s="82" t="s">
        <v>536</v>
      </c>
      <c r="Y78" s="85" t="s">
        <v>537</v>
      </c>
      <c r="Z78" s="86" t="s">
        <v>532</v>
      </c>
      <c r="AA78" s="86" t="s">
        <v>17</v>
      </c>
      <c r="AB78" s="86" t="s">
        <v>17</v>
      </c>
      <c r="AC78" s="87">
        <v>0</v>
      </c>
      <c r="AD78" s="88">
        <f t="shared" si="9"/>
        <v>0</v>
      </c>
      <c r="AF78" s="54">
        <v>110540</v>
      </c>
      <c r="AQ78" s="80"/>
      <c r="AR78" s="80"/>
    </row>
    <row r="79" spans="1:44" ht="14.4">
      <c r="A79" s="70">
        <v>110550</v>
      </c>
      <c r="B79" s="78" t="str">
        <f>VLOOKUP(A79,'TB for financial'!A:B,2,0)</f>
        <v>Investment in Textiles Online</v>
      </c>
      <c r="D79" s="79">
        <f>VLOOKUP(A79,'TB for financial'!A:F,6,0)</f>
        <v>0</v>
      </c>
      <c r="E79" s="80"/>
      <c r="F79" s="79">
        <f>VLOOKUP(A79,'TB for financial'!A:K,11,0)</f>
        <v>0</v>
      </c>
      <c r="G79" s="80"/>
      <c r="H79" s="81">
        <f t="shared" si="5"/>
        <v>0</v>
      </c>
      <c r="I79" s="81">
        <v>0</v>
      </c>
      <c r="J79" s="81">
        <f t="shared" si="6"/>
        <v>0</v>
      </c>
      <c r="K79" s="80"/>
      <c r="L79" s="82">
        <f t="shared" si="7"/>
        <v>0</v>
      </c>
      <c r="M79" s="82">
        <v>0</v>
      </c>
      <c r="N79" s="82">
        <f t="shared" si="8"/>
        <v>0</v>
      </c>
      <c r="O79" s="83"/>
      <c r="P79"/>
      <c r="Q79"/>
      <c r="R79"/>
      <c r="S79"/>
      <c r="U79" s="84" t="s">
        <v>535</v>
      </c>
      <c r="V79" s="80"/>
      <c r="W79" s="82" t="s">
        <v>210</v>
      </c>
      <c r="X79" s="82" t="s">
        <v>536</v>
      </c>
      <c r="Y79" s="85" t="s">
        <v>537</v>
      </c>
      <c r="Z79" s="86" t="s">
        <v>532</v>
      </c>
      <c r="AA79" s="86" t="s">
        <v>17</v>
      </c>
      <c r="AB79" s="86" t="s">
        <v>17</v>
      </c>
      <c r="AC79" s="87">
        <v>0</v>
      </c>
      <c r="AD79" s="88">
        <f t="shared" si="9"/>
        <v>0</v>
      </c>
      <c r="AF79" s="54">
        <v>110550</v>
      </c>
      <c r="AQ79" s="80"/>
      <c r="AR79" s="80"/>
    </row>
    <row r="80" spans="1:44" ht="14.4">
      <c r="A80" s="70">
        <v>110560</v>
      </c>
      <c r="B80" s="78" t="str">
        <f>VLOOKUP(A80,'TB for financial'!A:B,2,0)</f>
        <v>Investment in Vianetta Commun</v>
      </c>
      <c r="D80" s="79">
        <f>VLOOKUP(A80,'TB for financial'!A:F,6,0)</f>
        <v>0</v>
      </c>
      <c r="E80" s="80"/>
      <c r="F80" s="79">
        <f>VLOOKUP(A80,'TB for financial'!A:K,11,0)</f>
        <v>0</v>
      </c>
      <c r="G80" s="80"/>
      <c r="H80" s="81">
        <f t="shared" si="5"/>
        <v>0</v>
      </c>
      <c r="I80" s="81">
        <v>0</v>
      </c>
      <c r="J80" s="81">
        <f t="shared" si="6"/>
        <v>0</v>
      </c>
      <c r="K80" s="80"/>
      <c r="L80" s="82">
        <f t="shared" si="7"/>
        <v>0</v>
      </c>
      <c r="M80" s="82">
        <v>0</v>
      </c>
      <c r="N80" s="82">
        <f t="shared" si="8"/>
        <v>0</v>
      </c>
      <c r="O80" s="83"/>
      <c r="P80"/>
      <c r="Q80"/>
      <c r="R80"/>
      <c r="S80"/>
      <c r="U80" s="84" t="s">
        <v>535</v>
      </c>
      <c r="V80" s="80"/>
      <c r="W80" s="82" t="s">
        <v>210</v>
      </c>
      <c r="X80" s="82" t="s">
        <v>536</v>
      </c>
      <c r="Y80" s="85" t="s">
        <v>537</v>
      </c>
      <c r="Z80" s="86" t="s">
        <v>532</v>
      </c>
      <c r="AA80" s="86" t="s">
        <v>17</v>
      </c>
      <c r="AB80" s="86" t="s">
        <v>17</v>
      </c>
      <c r="AC80" s="87">
        <v>0</v>
      </c>
      <c r="AD80" s="88">
        <f t="shared" si="9"/>
        <v>0</v>
      </c>
      <c r="AF80" s="54">
        <v>110560</v>
      </c>
      <c r="AQ80" s="80"/>
      <c r="AR80" s="80"/>
    </row>
    <row r="81" spans="1:44" ht="14.4">
      <c r="A81" s="70">
        <v>110570</v>
      </c>
      <c r="B81" s="78" t="str">
        <f>VLOOKUP(A81,'TB for financial'!A:B,2,0)</f>
        <v>Investmnt in Utilitiesmart.com</v>
      </c>
      <c r="D81" s="79">
        <f>VLOOKUP(A81,'TB for financial'!A:F,6,0)</f>
        <v>0</v>
      </c>
      <c r="E81" s="80"/>
      <c r="F81" s="79">
        <f>VLOOKUP(A81,'TB for financial'!A:K,11,0)</f>
        <v>0</v>
      </c>
      <c r="G81" s="80"/>
      <c r="H81" s="81">
        <f t="shared" si="5"/>
        <v>0</v>
      </c>
      <c r="I81" s="81">
        <v>0</v>
      </c>
      <c r="J81" s="81">
        <f t="shared" si="6"/>
        <v>0</v>
      </c>
      <c r="K81" s="80"/>
      <c r="L81" s="82">
        <f t="shared" si="7"/>
        <v>0</v>
      </c>
      <c r="M81" s="82">
        <v>0</v>
      </c>
      <c r="N81" s="82">
        <f t="shared" si="8"/>
        <v>0</v>
      </c>
      <c r="O81" s="83"/>
      <c r="P81"/>
      <c r="Q81"/>
      <c r="R81"/>
      <c r="S81"/>
      <c r="U81" s="84" t="s">
        <v>535</v>
      </c>
      <c r="V81" s="80"/>
      <c r="W81" s="82" t="s">
        <v>210</v>
      </c>
      <c r="X81" s="82" t="s">
        <v>536</v>
      </c>
      <c r="Y81" s="85" t="s">
        <v>537</v>
      </c>
      <c r="Z81" s="86" t="s">
        <v>532</v>
      </c>
      <c r="AA81" s="86" t="s">
        <v>17</v>
      </c>
      <c r="AB81" s="86" t="s">
        <v>17</v>
      </c>
      <c r="AC81" s="87">
        <v>0</v>
      </c>
      <c r="AD81" s="88">
        <f t="shared" si="9"/>
        <v>0</v>
      </c>
      <c r="AF81" s="54">
        <v>110570</v>
      </c>
      <c r="AQ81" s="80"/>
      <c r="AR81" s="80"/>
    </row>
    <row r="82" spans="1:44" ht="14.4">
      <c r="A82" s="70">
        <v>110580</v>
      </c>
      <c r="B82" s="78" t="str">
        <f>VLOOKUP(A82,'TB for financial'!A:B,2,0)</f>
        <v>Investment in Convergent Appli</v>
      </c>
      <c r="D82" s="79">
        <f>VLOOKUP(A82,'TB for financial'!A:F,6,0)</f>
        <v>0</v>
      </c>
      <c r="E82" s="80"/>
      <c r="F82" s="79">
        <f>VLOOKUP(A82,'TB for financial'!A:K,11,0)</f>
        <v>0</v>
      </c>
      <c r="G82" s="80"/>
      <c r="H82" s="81">
        <f t="shared" si="5"/>
        <v>0</v>
      </c>
      <c r="I82" s="81">
        <v>0</v>
      </c>
      <c r="J82" s="81">
        <f t="shared" si="6"/>
        <v>0</v>
      </c>
      <c r="K82" s="80"/>
      <c r="L82" s="82">
        <f t="shared" si="7"/>
        <v>0</v>
      </c>
      <c r="M82" s="82">
        <v>0</v>
      </c>
      <c r="N82" s="82">
        <f t="shared" si="8"/>
        <v>0</v>
      </c>
      <c r="O82" s="83"/>
      <c r="P82"/>
      <c r="Q82"/>
      <c r="R82"/>
      <c r="S82"/>
      <c r="U82" s="84" t="s">
        <v>535</v>
      </c>
      <c r="V82" s="80"/>
      <c r="W82" s="82" t="s">
        <v>210</v>
      </c>
      <c r="X82" s="82" t="s">
        <v>536</v>
      </c>
      <c r="Y82" s="85" t="s">
        <v>537</v>
      </c>
      <c r="Z82" s="86" t="s">
        <v>532</v>
      </c>
      <c r="AA82" s="86" t="s">
        <v>17</v>
      </c>
      <c r="AB82" s="86" t="s">
        <v>17</v>
      </c>
      <c r="AC82" s="87">
        <v>0</v>
      </c>
      <c r="AD82" s="88">
        <f t="shared" si="9"/>
        <v>0</v>
      </c>
      <c r="AF82" s="54">
        <v>110580</v>
      </c>
      <c r="AQ82" s="80"/>
      <c r="AR82" s="80"/>
    </row>
    <row r="83" spans="1:44" ht="14.4">
      <c r="A83" s="70">
        <v>110590</v>
      </c>
      <c r="B83" s="78" t="str">
        <f>VLOOKUP(A83,'TB for financial'!A:B,2,0)</f>
        <v>Invst In Nekema.com</v>
      </c>
      <c r="D83" s="79">
        <f>VLOOKUP(A83,'TB for financial'!A:F,6,0)</f>
        <v>0</v>
      </c>
      <c r="E83" s="80"/>
      <c r="F83" s="79">
        <f>VLOOKUP(A83,'TB for financial'!A:K,11,0)</f>
        <v>0</v>
      </c>
      <c r="G83" s="80"/>
      <c r="H83" s="81">
        <f t="shared" si="5"/>
        <v>0</v>
      </c>
      <c r="I83" s="81">
        <v>0</v>
      </c>
      <c r="J83" s="81">
        <f t="shared" si="6"/>
        <v>0</v>
      </c>
      <c r="K83" s="80"/>
      <c r="L83" s="82">
        <f t="shared" si="7"/>
        <v>0</v>
      </c>
      <c r="M83" s="82">
        <v>0</v>
      </c>
      <c r="N83" s="82">
        <f t="shared" si="8"/>
        <v>0</v>
      </c>
      <c r="O83" s="83"/>
      <c r="P83"/>
      <c r="Q83"/>
      <c r="R83"/>
      <c r="S83"/>
      <c r="U83" s="84" t="s">
        <v>535</v>
      </c>
      <c r="V83" s="80"/>
      <c r="W83" s="82" t="s">
        <v>210</v>
      </c>
      <c r="X83" s="82" t="s">
        <v>536</v>
      </c>
      <c r="Y83" s="85" t="s">
        <v>537</v>
      </c>
      <c r="Z83" s="86" t="s">
        <v>532</v>
      </c>
      <c r="AA83" s="86" t="s">
        <v>17</v>
      </c>
      <c r="AB83" s="86" t="s">
        <v>17</v>
      </c>
      <c r="AC83" s="87">
        <v>0</v>
      </c>
      <c r="AD83" s="88">
        <f t="shared" si="9"/>
        <v>0</v>
      </c>
      <c r="AF83" s="54">
        <v>110590</v>
      </c>
      <c r="AQ83" s="80"/>
      <c r="AR83" s="80"/>
    </row>
    <row r="84" spans="1:44" ht="14.4">
      <c r="A84" s="70">
        <v>110591</v>
      </c>
      <c r="B84" s="78" t="str">
        <f>VLOOKUP(A84,'TB for financial'!A:B,2,0)</f>
        <v>Syntel International Pref.Sh.3</v>
      </c>
      <c r="D84" s="79">
        <f>VLOOKUP(A84,'TB for financial'!A:F,6,0)</f>
        <v>0</v>
      </c>
      <c r="E84" s="80"/>
      <c r="F84" s="79">
        <f>VLOOKUP(A84,'TB for financial'!A:K,11,0)</f>
        <v>0</v>
      </c>
      <c r="G84" s="80"/>
      <c r="H84" s="81">
        <f t="shared" si="5"/>
        <v>0</v>
      </c>
      <c r="I84" s="81">
        <v>0</v>
      </c>
      <c r="J84" s="81">
        <f t="shared" si="6"/>
        <v>0</v>
      </c>
      <c r="K84" s="80"/>
      <c r="L84" s="82">
        <f t="shared" si="7"/>
        <v>0</v>
      </c>
      <c r="M84" s="82">
        <v>0</v>
      </c>
      <c r="N84" s="82">
        <f t="shared" si="8"/>
        <v>0</v>
      </c>
      <c r="O84" s="83"/>
      <c r="P84"/>
      <c r="Q84"/>
      <c r="R84"/>
      <c r="S84"/>
      <c r="T84" s="88"/>
      <c r="U84" s="84" t="s">
        <v>535</v>
      </c>
      <c r="V84" s="80"/>
      <c r="W84" s="82" t="s">
        <v>210</v>
      </c>
      <c r="X84" s="82" t="s">
        <v>536</v>
      </c>
      <c r="Y84" s="85" t="s">
        <v>537</v>
      </c>
      <c r="Z84" s="86" t="s">
        <v>532</v>
      </c>
      <c r="AA84" s="86" t="s">
        <v>17</v>
      </c>
      <c r="AB84" s="86" t="s">
        <v>17</v>
      </c>
      <c r="AC84" s="87">
        <v>0</v>
      </c>
      <c r="AD84" s="88">
        <f t="shared" si="9"/>
        <v>0</v>
      </c>
      <c r="AF84" s="54">
        <v>110591</v>
      </c>
      <c r="AQ84" s="80"/>
      <c r="AR84" s="80"/>
    </row>
    <row r="85" spans="1:44" ht="14.4">
      <c r="A85" s="70">
        <v>110592</v>
      </c>
      <c r="B85" s="78" t="str">
        <f>VLOOKUP(A85,'TB for financial'!A:B,2,0)</f>
        <v>Syntel Sourcing  Pref.Sh.3%</v>
      </c>
      <c r="D85" s="79">
        <f>VLOOKUP(A85,'TB for financial'!A:F,6,0)</f>
        <v>0</v>
      </c>
      <c r="E85" s="80"/>
      <c r="F85" s="79">
        <f>VLOOKUP(A85,'TB for financial'!A:K,11,0)</f>
        <v>0</v>
      </c>
      <c r="G85" s="80"/>
      <c r="H85" s="81">
        <f t="shared" si="5"/>
        <v>0</v>
      </c>
      <c r="I85" s="81">
        <v>0</v>
      </c>
      <c r="J85" s="81">
        <f t="shared" si="6"/>
        <v>0</v>
      </c>
      <c r="K85" s="80"/>
      <c r="L85" s="82">
        <f t="shared" si="7"/>
        <v>0</v>
      </c>
      <c r="M85" s="82">
        <v>0</v>
      </c>
      <c r="N85" s="82">
        <f t="shared" si="8"/>
        <v>0</v>
      </c>
      <c r="O85" s="83"/>
      <c r="P85"/>
      <c r="Q85"/>
      <c r="R85"/>
      <c r="S85"/>
      <c r="U85" s="84" t="s">
        <v>535</v>
      </c>
      <c r="V85" s="80"/>
      <c r="W85" s="82" t="s">
        <v>210</v>
      </c>
      <c r="X85" s="82" t="s">
        <v>536</v>
      </c>
      <c r="Y85" s="85" t="s">
        <v>537</v>
      </c>
      <c r="Z85" s="86" t="s">
        <v>532</v>
      </c>
      <c r="AA85" s="86" t="s">
        <v>17</v>
      </c>
      <c r="AB85" s="86" t="s">
        <v>17</v>
      </c>
      <c r="AC85" s="87">
        <v>0</v>
      </c>
      <c r="AD85" s="88">
        <f t="shared" si="9"/>
        <v>0</v>
      </c>
      <c r="AF85" s="54">
        <v>110592</v>
      </c>
      <c r="AQ85" s="80"/>
      <c r="AR85" s="80"/>
    </row>
    <row r="86" spans="1:44" ht="14.4">
      <c r="A86" s="70">
        <v>110593</v>
      </c>
      <c r="B86" s="78" t="str">
        <f>VLOOKUP(A86,'TB for financial'!A:B,2,0)</f>
        <v>3% Pref Shares - SSBS</v>
      </c>
      <c r="D86" s="79">
        <f>VLOOKUP(A86,'TB for financial'!A:F,6,0)</f>
        <v>0</v>
      </c>
      <c r="E86" s="80"/>
      <c r="F86" s="79">
        <f>VLOOKUP(A86,'TB for financial'!A:K,11,0)</f>
        <v>0</v>
      </c>
      <c r="G86" s="80"/>
      <c r="H86" s="81">
        <f t="shared" si="5"/>
        <v>0</v>
      </c>
      <c r="I86" s="81">
        <v>0</v>
      </c>
      <c r="J86" s="81">
        <f t="shared" si="6"/>
        <v>0</v>
      </c>
      <c r="K86" s="80"/>
      <c r="L86" s="82">
        <f t="shared" si="7"/>
        <v>0</v>
      </c>
      <c r="M86" s="82">
        <v>0</v>
      </c>
      <c r="N86" s="82">
        <f t="shared" si="8"/>
        <v>0</v>
      </c>
      <c r="O86" s="83"/>
      <c r="P86"/>
      <c r="Q86"/>
      <c r="R86"/>
      <c r="S86"/>
      <c r="U86" s="84" t="s">
        <v>535</v>
      </c>
      <c r="V86" s="80"/>
      <c r="W86" s="82" t="s">
        <v>210</v>
      </c>
      <c r="X86" s="82" t="s">
        <v>536</v>
      </c>
      <c r="Y86" s="85" t="s">
        <v>537</v>
      </c>
      <c r="Z86" s="86" t="s">
        <v>532</v>
      </c>
      <c r="AA86" s="86" t="s">
        <v>17</v>
      </c>
      <c r="AB86" s="86" t="s">
        <v>17</v>
      </c>
      <c r="AC86" s="87">
        <v>0</v>
      </c>
      <c r="AD86" s="88">
        <f t="shared" si="9"/>
        <v>0</v>
      </c>
      <c r="AF86" s="54">
        <v>110593</v>
      </c>
      <c r="AQ86" s="80"/>
      <c r="AR86" s="80"/>
    </row>
    <row r="87" spans="1:44" ht="14.4">
      <c r="A87" s="70">
        <v>110594</v>
      </c>
      <c r="B87" s="78" t="str">
        <f>VLOOKUP(A87,'TB for financial'!A:B,2,0)</f>
        <v>Syntel Global Pvt. Ltd Pref shares</v>
      </c>
      <c r="D87" s="79">
        <f>VLOOKUP(A87,'TB for financial'!A:F,6,0)</f>
        <v>0</v>
      </c>
      <c r="E87" s="80"/>
      <c r="F87" s="79">
        <f>VLOOKUP(A87,'TB for financial'!A:K,11,0)</f>
        <v>0</v>
      </c>
      <c r="G87" s="80"/>
      <c r="H87" s="81">
        <f t="shared" si="5"/>
        <v>0</v>
      </c>
      <c r="I87" s="81">
        <v>0</v>
      </c>
      <c r="J87" s="81">
        <f t="shared" si="6"/>
        <v>0</v>
      </c>
      <c r="K87" s="80"/>
      <c r="L87" s="82">
        <f t="shared" si="7"/>
        <v>0</v>
      </c>
      <c r="M87" s="82">
        <v>0</v>
      </c>
      <c r="N87" s="82">
        <f t="shared" si="8"/>
        <v>0</v>
      </c>
      <c r="O87" s="83"/>
      <c r="P87"/>
      <c r="Q87"/>
      <c r="R87"/>
      <c r="S87"/>
      <c r="T87" s="88"/>
      <c r="U87" s="84" t="s">
        <v>535</v>
      </c>
      <c r="V87" s="80"/>
      <c r="W87" s="82" t="s">
        <v>210</v>
      </c>
      <c r="X87" s="82" t="s">
        <v>536</v>
      </c>
      <c r="Y87" s="85" t="s">
        <v>537</v>
      </c>
      <c r="Z87" s="86" t="s">
        <v>532</v>
      </c>
      <c r="AA87" s="86" t="s">
        <v>17</v>
      </c>
      <c r="AB87" s="86" t="s">
        <v>17</v>
      </c>
      <c r="AC87" s="87">
        <v>0</v>
      </c>
      <c r="AD87" s="88">
        <f t="shared" si="9"/>
        <v>0</v>
      </c>
      <c r="AF87" s="54">
        <v>110594</v>
      </c>
      <c r="AQ87" s="80"/>
      <c r="AR87" s="80"/>
    </row>
    <row r="88" spans="1:44" ht="14.4">
      <c r="A88" s="70">
        <v>110596</v>
      </c>
      <c r="B88" s="78" t="str">
        <f>VLOOKUP(A88,'TB for financial'!A:B,2,0)</f>
        <v>TSSPL Pref. Share 3%</v>
      </c>
      <c r="D88" s="79">
        <f>VLOOKUP(A88,'TB for financial'!A:F,6,0)</f>
        <v>0</v>
      </c>
      <c r="E88" s="80"/>
      <c r="F88" s="79">
        <f>VLOOKUP(A88,'TB for financial'!A:K,11,0)</f>
        <v>0</v>
      </c>
      <c r="G88" s="80"/>
      <c r="H88" s="81">
        <f t="shared" si="5"/>
        <v>0</v>
      </c>
      <c r="I88" s="81">
        <v>0</v>
      </c>
      <c r="J88" s="81">
        <f t="shared" si="6"/>
        <v>0</v>
      </c>
      <c r="K88" s="80"/>
      <c r="L88" s="82">
        <f t="shared" si="7"/>
        <v>0</v>
      </c>
      <c r="M88" s="82">
        <v>0</v>
      </c>
      <c r="N88" s="82">
        <f t="shared" si="8"/>
        <v>0</v>
      </c>
      <c r="O88" s="83"/>
      <c r="P88"/>
      <c r="Q88"/>
      <c r="R88"/>
      <c r="S88"/>
      <c r="T88" s="88"/>
      <c r="U88" s="84" t="s">
        <v>535</v>
      </c>
      <c r="V88" s="80"/>
      <c r="W88" s="82" t="s">
        <v>210</v>
      </c>
      <c r="X88" s="82" t="s">
        <v>536</v>
      </c>
      <c r="Y88" s="85" t="s">
        <v>537</v>
      </c>
      <c r="Z88" s="86" t="s">
        <v>532</v>
      </c>
      <c r="AA88" s="86" t="s">
        <v>17</v>
      </c>
      <c r="AB88" s="86" t="s">
        <v>17</v>
      </c>
      <c r="AC88" s="87">
        <v>0</v>
      </c>
      <c r="AD88" s="88">
        <f t="shared" si="9"/>
        <v>0</v>
      </c>
      <c r="AF88" s="54">
        <v>110596</v>
      </c>
      <c r="AQ88" s="80"/>
      <c r="AR88" s="80"/>
    </row>
    <row r="89" spans="1:44" ht="14.4">
      <c r="A89" s="70">
        <v>110595</v>
      </c>
      <c r="B89" s="78" t="str">
        <f>VLOOKUP(A89,'TB for financial'!A:B,2,0)</f>
        <v>Investment in Syntel Germany</v>
      </c>
      <c r="D89" s="79">
        <f>VLOOKUP(A89,'TB for financial'!A:F,6,0)</f>
        <v>0</v>
      </c>
      <c r="E89" s="80"/>
      <c r="F89" s="79">
        <f>VLOOKUP(A89,'TB for financial'!A:K,11,0)</f>
        <v>0</v>
      </c>
      <c r="G89" s="80"/>
      <c r="H89" s="81">
        <f t="shared" si="5"/>
        <v>0</v>
      </c>
      <c r="I89" s="81">
        <v>0</v>
      </c>
      <c r="J89" s="81">
        <f t="shared" si="6"/>
        <v>0</v>
      </c>
      <c r="K89" s="80"/>
      <c r="L89" s="82">
        <f t="shared" si="7"/>
        <v>0</v>
      </c>
      <c r="M89" s="82">
        <v>0</v>
      </c>
      <c r="N89" s="82">
        <f t="shared" si="8"/>
        <v>0</v>
      </c>
      <c r="O89" s="83"/>
      <c r="P89"/>
      <c r="Q89"/>
      <c r="R89"/>
      <c r="S89"/>
      <c r="U89" s="84" t="s">
        <v>535</v>
      </c>
      <c r="V89" s="80"/>
      <c r="W89" s="82" t="s">
        <v>210</v>
      </c>
      <c r="X89" s="82" t="s">
        <v>536</v>
      </c>
      <c r="Y89" s="85" t="s">
        <v>537</v>
      </c>
      <c r="Z89" s="86" t="s">
        <v>532</v>
      </c>
      <c r="AA89" s="86" t="s">
        <v>17</v>
      </c>
      <c r="AB89" s="86" t="s">
        <v>17</v>
      </c>
      <c r="AC89" s="87">
        <v>0</v>
      </c>
      <c r="AD89" s="88">
        <f t="shared" si="9"/>
        <v>0</v>
      </c>
      <c r="AF89" s="54">
        <v>110595</v>
      </c>
      <c r="AQ89" s="80"/>
      <c r="AR89" s="80"/>
    </row>
    <row r="90" spans="1:44" ht="14.4">
      <c r="A90" s="70"/>
      <c r="B90" s="78" t="s">
        <v>538</v>
      </c>
      <c r="D90" s="79">
        <v>0</v>
      </c>
      <c r="E90" s="80"/>
      <c r="F90" s="79">
        <v>0</v>
      </c>
      <c r="G90" s="80"/>
      <c r="H90" s="81">
        <v>0</v>
      </c>
      <c r="I90" s="81">
        <v>0</v>
      </c>
      <c r="J90" s="81">
        <f t="shared" si="6"/>
        <v>0</v>
      </c>
      <c r="K90" s="80"/>
      <c r="L90" s="82">
        <v>0</v>
      </c>
      <c r="M90" s="82">
        <v>0</v>
      </c>
      <c r="N90" s="82">
        <f t="shared" si="8"/>
        <v>0</v>
      </c>
      <c r="O90" s="83"/>
      <c r="P90"/>
      <c r="Q90"/>
      <c r="R90"/>
      <c r="S90"/>
      <c r="U90" s="84"/>
      <c r="V90" s="80"/>
      <c r="W90" s="82" t="s">
        <v>210</v>
      </c>
      <c r="X90" s="82" t="s">
        <v>536</v>
      </c>
      <c r="Y90" s="94"/>
      <c r="Z90" s="86"/>
      <c r="AA90" s="86"/>
      <c r="AB90" s="86"/>
      <c r="AQ90" s="80"/>
      <c r="AR90" s="80"/>
    </row>
    <row r="91" spans="1:44" ht="5.0999999999999996" customHeight="1">
      <c r="A91" s="70"/>
      <c r="B91" s="93"/>
      <c r="D91" s="79"/>
      <c r="E91" s="80"/>
      <c r="F91" s="79"/>
      <c r="G91" s="80"/>
      <c r="H91" s="81"/>
      <c r="I91" s="81"/>
      <c r="J91" s="81">
        <f t="shared" si="6"/>
        <v>0</v>
      </c>
      <c r="K91" s="80"/>
      <c r="L91" s="82"/>
      <c r="M91" s="82"/>
      <c r="N91" s="82"/>
      <c r="O91" s="83"/>
      <c r="P91"/>
      <c r="Q91"/>
      <c r="R91"/>
      <c r="S91"/>
      <c r="U91" s="84"/>
      <c r="V91" s="80"/>
      <c r="W91" s="82"/>
      <c r="X91" s="82"/>
      <c r="Y91" s="94"/>
      <c r="Z91" s="86"/>
      <c r="AA91" s="86"/>
      <c r="AB91" s="86"/>
      <c r="AQ91" s="80"/>
      <c r="AR91" s="80"/>
    </row>
    <row r="92" spans="1:44" ht="15" thickBot="1">
      <c r="A92" s="105"/>
      <c r="B92" s="71" t="s">
        <v>17</v>
      </c>
      <c r="D92" s="95">
        <f>SUM(D75:D91)</f>
        <v>0</v>
      </c>
      <c r="E92" s="96"/>
      <c r="F92" s="97">
        <f>SUM(F75:F91)</f>
        <v>0</v>
      </c>
      <c r="G92" s="80"/>
      <c r="H92" s="98">
        <f>SUM(H75:H91)</f>
        <v>0</v>
      </c>
      <c r="I92" s="98">
        <f>SUM(I75:I91)</f>
        <v>0</v>
      </c>
      <c r="J92" s="99">
        <f>SUM(J75:J91)</f>
        <v>0</v>
      </c>
      <c r="K92" s="80"/>
      <c r="L92" s="99">
        <f>SUM(L75:L91)</f>
        <v>0</v>
      </c>
      <c r="M92" s="99">
        <f>SUM(M75:M91)</f>
        <v>0</v>
      </c>
      <c r="N92" s="99">
        <f>SUM(N75:N91)</f>
        <v>0</v>
      </c>
      <c r="O92" s="100"/>
      <c r="P92"/>
      <c r="Q92"/>
      <c r="R92"/>
      <c r="S92"/>
      <c r="U92" s="101"/>
      <c r="V92" s="80"/>
      <c r="W92" s="102"/>
      <c r="X92" s="102"/>
      <c r="Y92" s="94"/>
      <c r="Z92" s="86"/>
      <c r="AA92" s="86"/>
      <c r="AB92" s="86"/>
      <c r="AQ92" s="80"/>
      <c r="AR92" s="80"/>
    </row>
    <row r="93" spans="1:44" ht="10.5" customHeight="1" thickTop="1">
      <c r="A93" s="105"/>
      <c r="B93" s="71"/>
      <c r="D93" s="79"/>
      <c r="E93" s="80"/>
      <c r="F93" s="79"/>
      <c r="G93" s="80"/>
      <c r="H93" s="81"/>
      <c r="I93" s="81"/>
      <c r="J93" s="81"/>
      <c r="K93" s="80"/>
      <c r="L93" s="82"/>
      <c r="M93" s="82"/>
      <c r="N93" s="82"/>
      <c r="O93" s="83"/>
      <c r="P93"/>
      <c r="Q93"/>
      <c r="R93"/>
      <c r="S93"/>
      <c r="U93" s="84"/>
      <c r="V93" s="80"/>
      <c r="W93" s="82"/>
      <c r="X93" s="82"/>
      <c r="Y93" s="94"/>
      <c r="Z93" s="86"/>
      <c r="AA93" s="86"/>
      <c r="AB93" s="86"/>
      <c r="AQ93" s="80"/>
      <c r="AR93" s="80"/>
    </row>
    <row r="94" spans="1:44" ht="10.5" customHeight="1">
      <c r="A94" s="70">
        <v>120101</v>
      </c>
      <c r="B94" s="78" t="str">
        <f>VLOOKUP(A94,'TB for financial'!A:B,2,0)</f>
        <v>Goodwill-IMG</v>
      </c>
      <c r="D94" s="79">
        <f>VLOOKUP(A94,'TB for financial'!A:F,6,0)</f>
        <v>0</v>
      </c>
      <c r="E94" s="80"/>
      <c r="F94" s="79">
        <f>VLOOKUP(A94,'TB for financial'!A:K,11,0)</f>
        <v>0</v>
      </c>
      <c r="G94" s="80"/>
      <c r="H94" s="81">
        <f>D94-I94</f>
        <v>0</v>
      </c>
      <c r="I94" s="81">
        <v>0</v>
      </c>
      <c r="J94" s="81">
        <f>+D94-H94-I94</f>
        <v>0</v>
      </c>
      <c r="K94" s="80"/>
      <c r="L94" s="82">
        <f>F94-M94</f>
        <v>0</v>
      </c>
      <c r="M94" s="82">
        <v>0</v>
      </c>
      <c r="N94" s="82">
        <f t="shared" ref="N94:N107" si="10">+F94-L94-M94</f>
        <v>0</v>
      </c>
      <c r="O94" s="83"/>
      <c r="P94"/>
      <c r="Q94"/>
      <c r="R94"/>
      <c r="S94"/>
      <c r="U94" s="84" t="s">
        <v>539</v>
      </c>
      <c r="V94" s="80"/>
      <c r="W94" s="82"/>
      <c r="X94" s="82"/>
      <c r="Y94" s="94"/>
      <c r="Z94" s="86"/>
      <c r="AA94" s="86"/>
      <c r="AB94" s="86"/>
      <c r="AC94" s="87">
        <v>0</v>
      </c>
      <c r="AD94" s="88">
        <f>+D94-AC94</f>
        <v>0</v>
      </c>
      <c r="AF94" s="54">
        <v>120101</v>
      </c>
      <c r="AQ94" s="80"/>
      <c r="AR94" s="80"/>
    </row>
    <row r="95" spans="1:44" ht="14.4">
      <c r="A95" s="70">
        <v>120201</v>
      </c>
      <c r="B95" s="78" t="str">
        <f>VLOOKUP(A95,'TB for financial'!A:B,2,0)</f>
        <v>Goodwill Amortz-IMG</v>
      </c>
      <c r="D95" s="79">
        <f>VLOOKUP(A95,'TB for financial'!A:F,6,0)</f>
        <v>0</v>
      </c>
      <c r="E95" s="80"/>
      <c r="F95" s="79">
        <f>VLOOKUP(A95,'TB for financial'!A:K,11,0)</f>
        <v>0</v>
      </c>
      <c r="G95" s="80"/>
      <c r="H95" s="81">
        <f>D95-I95</f>
        <v>0</v>
      </c>
      <c r="I95" s="81">
        <v>0</v>
      </c>
      <c r="J95" s="81">
        <f>+D95-H95-I95</f>
        <v>0</v>
      </c>
      <c r="K95" s="80"/>
      <c r="L95" s="82">
        <f>F95-M95</f>
        <v>0</v>
      </c>
      <c r="M95" s="82">
        <v>0</v>
      </c>
      <c r="N95" s="82">
        <f t="shared" si="10"/>
        <v>0</v>
      </c>
      <c r="O95" s="83"/>
      <c r="P95"/>
      <c r="Q95"/>
      <c r="R95"/>
      <c r="S95"/>
      <c r="U95" s="84" t="s">
        <v>539</v>
      </c>
      <c r="V95" s="80"/>
      <c r="W95" s="82"/>
      <c r="X95" s="82"/>
      <c r="Y95" s="94"/>
      <c r="Z95" s="86"/>
      <c r="AA95" s="86"/>
      <c r="AB95" s="86"/>
      <c r="AC95" s="87">
        <v>0</v>
      </c>
      <c r="AD95" s="88">
        <f>+D95-AC95</f>
        <v>0</v>
      </c>
      <c r="AF95" s="54">
        <v>120201</v>
      </c>
      <c r="AQ95" s="80"/>
      <c r="AR95" s="80"/>
    </row>
    <row r="96" spans="1:44" ht="5.0999999999999996" customHeight="1">
      <c r="A96" s="70"/>
      <c r="B96" s="78"/>
      <c r="D96" s="79"/>
      <c r="E96" s="80"/>
      <c r="F96" s="79"/>
      <c r="G96" s="80"/>
      <c r="H96" s="81"/>
      <c r="I96" s="81">
        <f>+D96-H96</f>
        <v>0</v>
      </c>
      <c r="J96" s="81">
        <f>+D96-H96-I96</f>
        <v>0</v>
      </c>
      <c r="K96" s="80"/>
      <c r="L96" s="82"/>
      <c r="M96" s="82"/>
      <c r="N96" s="82"/>
      <c r="O96" s="83"/>
      <c r="P96"/>
      <c r="Q96"/>
      <c r="R96"/>
      <c r="S96"/>
      <c r="U96" s="84"/>
      <c r="V96" s="80"/>
      <c r="W96" s="82"/>
      <c r="X96" s="82"/>
      <c r="Y96" s="94"/>
      <c r="Z96" s="86"/>
      <c r="AA96" s="86"/>
      <c r="AB96" s="86"/>
      <c r="AQ96" s="80"/>
      <c r="AR96" s="80"/>
    </row>
    <row r="97" spans="1:44" ht="15" thickBot="1">
      <c r="A97" s="105"/>
      <c r="B97" s="71" t="s">
        <v>540</v>
      </c>
      <c r="D97" s="106">
        <f>SUM(D94:D96)</f>
        <v>0</v>
      </c>
      <c r="E97" s="80"/>
      <c r="F97" s="106">
        <f>SUM(F94:F96)</f>
        <v>0</v>
      </c>
      <c r="G97" s="80"/>
      <c r="H97" s="107">
        <f>SUM(H94:H96)</f>
        <v>0</v>
      </c>
      <c r="I97" s="107">
        <f>SUM(I94:I96)</f>
        <v>0</v>
      </c>
      <c r="J97" s="107">
        <f>SUM(J94:J96)</f>
        <v>0</v>
      </c>
      <c r="K97" s="80"/>
      <c r="L97" s="107">
        <f>SUM(L94:L96)</f>
        <v>0</v>
      </c>
      <c r="M97" s="107">
        <f>SUM(M94:M96)</f>
        <v>0</v>
      </c>
      <c r="N97" s="107">
        <f>SUM(N94:N96)</f>
        <v>0</v>
      </c>
      <c r="O97" s="108"/>
      <c r="P97"/>
      <c r="Q97"/>
      <c r="R97"/>
      <c r="S97"/>
      <c r="U97" s="109"/>
      <c r="V97" s="80"/>
      <c r="W97" s="110"/>
      <c r="X97" s="110"/>
      <c r="Y97" s="94"/>
      <c r="Z97" s="86"/>
      <c r="AA97" s="86"/>
      <c r="AB97" s="86"/>
      <c r="AQ97" s="80"/>
      <c r="AR97" s="80"/>
    </row>
    <row r="98" spans="1:44" ht="5.0999999999999996" customHeight="1" thickTop="1">
      <c r="A98" s="105"/>
      <c r="B98" s="71"/>
      <c r="D98" s="79"/>
      <c r="E98" s="80"/>
      <c r="F98" s="79"/>
      <c r="G98" s="80"/>
      <c r="H98" s="81"/>
      <c r="I98" s="81"/>
      <c r="J98" s="81"/>
      <c r="K98" s="80"/>
      <c r="L98" s="82"/>
      <c r="M98" s="82"/>
      <c r="N98" s="82"/>
      <c r="O98" s="83"/>
      <c r="P98"/>
      <c r="Q98"/>
      <c r="R98"/>
      <c r="S98"/>
      <c r="U98" s="84"/>
      <c r="V98" s="80"/>
      <c r="W98" s="82"/>
      <c r="X98" s="82"/>
      <c r="Y98" s="94"/>
      <c r="Z98" s="86"/>
      <c r="AA98" s="86"/>
      <c r="AB98" s="86"/>
      <c r="AQ98" s="80"/>
      <c r="AR98" s="80"/>
    </row>
    <row r="99" spans="1:44" ht="14.4">
      <c r="A99" s="70">
        <v>101000</v>
      </c>
      <c r="B99" s="78" t="str">
        <f>VLOOKUP(A99,'TB for financial'!A:B,2,0)</f>
        <v>Accounts Receivable - Trade</v>
      </c>
      <c r="D99" s="79">
        <f>VLOOKUP(A99,'TB for financial'!A:F,6,0)</f>
        <v>-7.4387740285508333</v>
      </c>
      <c r="E99" s="80"/>
      <c r="F99" s="79">
        <f>VLOOKUP(A99,'TB for financial'!A:K,11,0)</f>
        <v>-7.4387740285508333</v>
      </c>
      <c r="G99" s="80"/>
      <c r="H99" s="81">
        <f t="shared" ref="H99:H107" si="11">D99-I99</f>
        <v>-7.4387740285508333</v>
      </c>
      <c r="I99" s="81">
        <v>0</v>
      </c>
      <c r="J99" s="81">
        <f t="shared" ref="J99:J114" si="12">+D99-H99-I99</f>
        <v>0</v>
      </c>
      <c r="K99" s="80"/>
      <c r="L99" s="82">
        <f t="shared" ref="L99:L107" si="13">F99-M99</f>
        <v>-7.4387740285508333</v>
      </c>
      <c r="M99" s="82">
        <v>0</v>
      </c>
      <c r="N99" s="82">
        <f t="shared" si="10"/>
        <v>0</v>
      </c>
      <c r="O99" s="83"/>
      <c r="P99"/>
      <c r="Q99"/>
      <c r="R99"/>
      <c r="S99"/>
      <c r="U99" s="84" t="s">
        <v>530</v>
      </c>
      <c r="V99" s="80"/>
      <c r="W99" s="82" t="s">
        <v>25</v>
      </c>
      <c r="X99" s="82"/>
      <c r="Y99" s="85" t="s">
        <v>531</v>
      </c>
      <c r="Z99" s="86" t="s">
        <v>532</v>
      </c>
      <c r="AA99" s="86" t="s">
        <v>25</v>
      </c>
      <c r="AB99" s="86"/>
      <c r="AC99" s="87">
        <v>0</v>
      </c>
      <c r="AD99" s="88">
        <f t="shared" ref="AD99:AD107" si="14">+D99-AC99</f>
        <v>-7.4387740285508333</v>
      </c>
      <c r="AF99" s="54">
        <v>101000</v>
      </c>
      <c r="AQ99" s="80">
        <f>D99</f>
        <v>-7.4387740285508333</v>
      </c>
      <c r="AR99" s="80"/>
    </row>
    <row r="100" spans="1:44" ht="14.4">
      <c r="A100" s="70">
        <v>101001</v>
      </c>
      <c r="B100" s="78" t="str">
        <f>VLOOKUP(A100,'TB for financial'!A:B,2,0)</f>
        <v>Accounts Receivable-Trade-IMG</v>
      </c>
      <c r="D100" s="79">
        <f>VLOOKUP(A100,'TB for financial'!A:F,6,0)</f>
        <v>0</v>
      </c>
      <c r="E100" s="80"/>
      <c r="F100" s="79">
        <f>VLOOKUP(A100,'TB for financial'!A:K,11,0)</f>
        <v>0</v>
      </c>
      <c r="G100" s="80"/>
      <c r="H100" s="81">
        <f t="shared" si="11"/>
        <v>0</v>
      </c>
      <c r="I100" s="81">
        <v>0</v>
      </c>
      <c r="J100" s="81">
        <f t="shared" si="12"/>
        <v>0</v>
      </c>
      <c r="K100" s="80"/>
      <c r="L100" s="82">
        <f t="shared" si="13"/>
        <v>0</v>
      </c>
      <c r="M100" s="82">
        <v>0</v>
      </c>
      <c r="N100" s="82">
        <f t="shared" si="10"/>
        <v>0</v>
      </c>
      <c r="O100" s="83"/>
      <c r="P100"/>
      <c r="Q100"/>
      <c r="R100"/>
      <c r="S100"/>
      <c r="U100" s="84" t="s">
        <v>530</v>
      </c>
      <c r="V100" s="80"/>
      <c r="W100" s="82"/>
      <c r="X100" s="82"/>
      <c r="Y100" s="85" t="s">
        <v>531</v>
      </c>
      <c r="Z100" s="86" t="s">
        <v>532</v>
      </c>
      <c r="AA100" s="86" t="s">
        <v>25</v>
      </c>
      <c r="AB100" s="86"/>
      <c r="AC100" s="87">
        <v>0</v>
      </c>
      <c r="AD100" s="88">
        <f t="shared" si="14"/>
        <v>0</v>
      </c>
      <c r="AF100" s="54">
        <v>101001</v>
      </c>
      <c r="AQ100" s="80"/>
      <c r="AR100" s="80"/>
    </row>
    <row r="101" spans="1:44" ht="14.4">
      <c r="A101" s="70">
        <v>101002</v>
      </c>
      <c r="B101" s="78" t="str">
        <f>VLOOKUP(A101,'TB for financial'!A:B,2,0)</f>
        <v>Accts Receivable-Trade Metier</v>
      </c>
      <c r="D101" s="79">
        <f>VLOOKUP(A101,'TB for financial'!A:F,6,0)</f>
        <v>0</v>
      </c>
      <c r="E101" s="80"/>
      <c r="F101" s="79">
        <f>VLOOKUP(A101,'TB for financial'!A:K,11,0)</f>
        <v>0</v>
      </c>
      <c r="G101" s="80"/>
      <c r="H101" s="81">
        <f t="shared" si="11"/>
        <v>0</v>
      </c>
      <c r="I101" s="81">
        <v>0</v>
      </c>
      <c r="J101" s="81">
        <f t="shared" si="12"/>
        <v>0</v>
      </c>
      <c r="K101" s="80"/>
      <c r="L101" s="82">
        <f t="shared" si="13"/>
        <v>0</v>
      </c>
      <c r="M101" s="82">
        <v>0</v>
      </c>
      <c r="N101" s="82">
        <f t="shared" si="10"/>
        <v>0</v>
      </c>
      <c r="O101" s="83"/>
      <c r="P101"/>
      <c r="Q101"/>
      <c r="R101"/>
      <c r="S101"/>
      <c r="U101" s="84" t="s">
        <v>530</v>
      </c>
      <c r="V101" s="80"/>
      <c r="W101" s="82"/>
      <c r="X101" s="82"/>
      <c r="Y101" s="85" t="s">
        <v>531</v>
      </c>
      <c r="Z101" s="86" t="s">
        <v>532</v>
      </c>
      <c r="AA101" s="86" t="s">
        <v>25</v>
      </c>
      <c r="AB101" s="86"/>
      <c r="AC101" s="87">
        <v>0</v>
      </c>
      <c r="AD101" s="88">
        <f t="shared" si="14"/>
        <v>0</v>
      </c>
      <c r="AF101" s="54">
        <v>101002</v>
      </c>
      <c r="AQ101" s="80"/>
      <c r="AR101" s="80"/>
    </row>
    <row r="102" spans="1:44" ht="14.4">
      <c r="A102" s="70">
        <v>101003</v>
      </c>
      <c r="B102" s="78" t="str">
        <f>VLOOKUP(A102,'TB for financial'!A:B,2,0)</f>
        <v>Account receivable Inter Com</v>
      </c>
      <c r="D102" s="79">
        <f>VLOOKUP(A102,'TB for financial'!A:F,6,0)</f>
        <v>0</v>
      </c>
      <c r="E102" s="80"/>
      <c r="F102" s="79">
        <f>VLOOKUP(A102,'TB for financial'!A:K,11,0)</f>
        <v>0</v>
      </c>
      <c r="G102" s="80"/>
      <c r="H102" s="81">
        <f t="shared" si="11"/>
        <v>0</v>
      </c>
      <c r="I102" s="81">
        <v>0</v>
      </c>
      <c r="J102" s="81">
        <f t="shared" si="12"/>
        <v>0</v>
      </c>
      <c r="K102" s="80"/>
      <c r="L102" s="82">
        <f t="shared" si="13"/>
        <v>0</v>
      </c>
      <c r="M102" s="82">
        <v>0</v>
      </c>
      <c r="N102" s="82">
        <f>+F102-L102-M102</f>
        <v>0</v>
      </c>
      <c r="O102" s="83"/>
      <c r="P102"/>
      <c r="Q102"/>
      <c r="R102"/>
      <c r="S102"/>
      <c r="U102" s="84" t="s">
        <v>530</v>
      </c>
      <c r="V102" s="80"/>
      <c r="W102" s="82" t="s">
        <v>25</v>
      </c>
      <c r="X102" s="82"/>
      <c r="Y102" s="85" t="s">
        <v>531</v>
      </c>
      <c r="Z102" s="86" t="s">
        <v>532</v>
      </c>
      <c r="AA102" s="86" t="s">
        <v>25</v>
      </c>
      <c r="AB102" s="86"/>
      <c r="AC102" s="87">
        <v>0</v>
      </c>
      <c r="AD102" s="88">
        <f t="shared" si="14"/>
        <v>0</v>
      </c>
      <c r="AF102" s="54">
        <v>101003</v>
      </c>
      <c r="AQ102" s="80"/>
      <c r="AR102" s="80"/>
    </row>
    <row r="103" spans="1:44" ht="14.4">
      <c r="A103" s="70">
        <v>101060</v>
      </c>
      <c r="B103" s="78" t="str">
        <f>VLOOKUP(A103,'TB for financial'!A:B,2,0)</f>
        <v>Credit Reserve</v>
      </c>
      <c r="D103" s="79">
        <f>VLOOKUP(A103,'TB for financial'!A:F,6,0)</f>
        <v>0</v>
      </c>
      <c r="E103" s="80"/>
      <c r="F103" s="79">
        <f>VLOOKUP(A103,'TB for financial'!A:K,11,0)</f>
        <v>0</v>
      </c>
      <c r="G103" s="80"/>
      <c r="H103" s="81">
        <f t="shared" si="11"/>
        <v>0</v>
      </c>
      <c r="I103" s="81">
        <v>0</v>
      </c>
      <c r="J103" s="81">
        <f t="shared" si="12"/>
        <v>0</v>
      </c>
      <c r="K103" s="80"/>
      <c r="L103" s="82">
        <f t="shared" si="13"/>
        <v>0</v>
      </c>
      <c r="M103" s="82">
        <v>0</v>
      </c>
      <c r="N103" s="82">
        <f t="shared" si="10"/>
        <v>0</v>
      </c>
      <c r="O103" s="83"/>
      <c r="P103"/>
      <c r="Q103"/>
      <c r="R103"/>
      <c r="S103"/>
      <c r="U103" s="84" t="s">
        <v>530</v>
      </c>
      <c r="V103" s="80"/>
      <c r="W103" s="82"/>
      <c r="X103" s="82"/>
      <c r="Y103" s="85" t="s">
        <v>531</v>
      </c>
      <c r="Z103" s="86" t="s">
        <v>532</v>
      </c>
      <c r="AA103" s="86" t="s">
        <v>25</v>
      </c>
      <c r="AB103" s="86"/>
      <c r="AC103" s="87">
        <v>0</v>
      </c>
      <c r="AD103" s="88">
        <f t="shared" si="14"/>
        <v>0</v>
      </c>
      <c r="AF103" s="54">
        <v>101060</v>
      </c>
      <c r="AQ103" s="80"/>
      <c r="AR103" s="80"/>
    </row>
    <row r="104" spans="1:44" ht="14.4">
      <c r="A104" s="70">
        <v>101130</v>
      </c>
      <c r="B104" s="78" t="str">
        <f>VLOOKUP(A104,'TB for financial'!A:B,2,0)</f>
        <v>Accounts Receivables - Retaina</v>
      </c>
      <c r="D104" s="79">
        <f>VLOOKUP(A104,'TB for financial'!A:F,6,0)</f>
        <v>0</v>
      </c>
      <c r="E104" s="80"/>
      <c r="F104" s="79">
        <f>VLOOKUP(A104,'TB for financial'!A:K,11,0)</f>
        <v>0</v>
      </c>
      <c r="G104" s="80"/>
      <c r="H104" s="81">
        <f t="shared" si="11"/>
        <v>0</v>
      </c>
      <c r="I104" s="81">
        <v>0</v>
      </c>
      <c r="J104" s="81">
        <f t="shared" si="12"/>
        <v>0</v>
      </c>
      <c r="K104" s="80"/>
      <c r="L104" s="82">
        <f t="shared" si="13"/>
        <v>0</v>
      </c>
      <c r="M104" s="82">
        <v>0</v>
      </c>
      <c r="N104" s="82">
        <f t="shared" si="10"/>
        <v>0</v>
      </c>
      <c r="O104" s="83"/>
      <c r="P104"/>
      <c r="Q104"/>
      <c r="R104"/>
      <c r="S104"/>
      <c r="U104" s="84" t="s">
        <v>530</v>
      </c>
      <c r="V104" s="80"/>
      <c r="W104" s="82"/>
      <c r="X104" s="82"/>
      <c r="Y104" s="85" t="s">
        <v>531</v>
      </c>
      <c r="Z104" s="86" t="s">
        <v>532</v>
      </c>
      <c r="AA104" s="86" t="s">
        <v>25</v>
      </c>
      <c r="AB104" s="86"/>
      <c r="AC104" s="87">
        <v>0</v>
      </c>
      <c r="AD104" s="88">
        <f t="shared" si="14"/>
        <v>0</v>
      </c>
      <c r="AF104" s="54">
        <v>101130</v>
      </c>
      <c r="AQ104" s="80"/>
      <c r="AR104" s="80"/>
    </row>
    <row r="105" spans="1:44" ht="14.4">
      <c r="A105" s="70">
        <v>101170</v>
      </c>
      <c r="B105" s="78" t="str">
        <f>VLOOKUP(A105,'TB for financial'!A:B,2,0)</f>
        <v>A/R from Syntel UK</v>
      </c>
      <c r="D105" s="79">
        <f>VLOOKUP(A105,'TB for financial'!A:F,6,0)</f>
        <v>0</v>
      </c>
      <c r="E105" s="80"/>
      <c r="F105" s="79">
        <f>VLOOKUP(A105,'TB for financial'!A:K,11,0)</f>
        <v>0</v>
      </c>
      <c r="G105" s="80"/>
      <c r="H105" s="81">
        <f t="shared" si="11"/>
        <v>0</v>
      </c>
      <c r="I105" s="81">
        <v>0</v>
      </c>
      <c r="J105" s="81">
        <f t="shared" si="12"/>
        <v>0</v>
      </c>
      <c r="K105" s="80"/>
      <c r="L105" s="82">
        <f t="shared" si="13"/>
        <v>0</v>
      </c>
      <c r="M105" s="82">
        <v>0</v>
      </c>
      <c r="N105" s="82">
        <f t="shared" si="10"/>
        <v>0</v>
      </c>
      <c r="O105" s="83"/>
      <c r="P105"/>
      <c r="Q105"/>
      <c r="R105"/>
      <c r="S105"/>
      <c r="U105" s="84" t="s">
        <v>530</v>
      </c>
      <c r="V105" s="80"/>
      <c r="W105" s="82"/>
      <c r="X105" s="82"/>
      <c r="Y105" s="85" t="s">
        <v>531</v>
      </c>
      <c r="Z105" s="86" t="s">
        <v>532</v>
      </c>
      <c r="AA105" s="86" t="s">
        <v>25</v>
      </c>
      <c r="AB105" s="86"/>
      <c r="AC105" s="87">
        <v>0</v>
      </c>
      <c r="AD105" s="88">
        <f t="shared" si="14"/>
        <v>0</v>
      </c>
      <c r="AF105" s="54">
        <v>101170</v>
      </c>
      <c r="AQ105" s="80"/>
      <c r="AR105" s="80"/>
    </row>
    <row r="106" spans="1:44" ht="14.4">
      <c r="A106" s="70">
        <v>101180</v>
      </c>
      <c r="B106" s="78" t="str">
        <f>VLOOKUP(A106,'TB for financial'!A:B,2,0)</f>
        <v>A/R from Syntel Singapore</v>
      </c>
      <c r="D106" s="79">
        <f>VLOOKUP(A106,'TB for financial'!A:F,6,0)</f>
        <v>0</v>
      </c>
      <c r="E106" s="80"/>
      <c r="F106" s="79">
        <f>VLOOKUP(A106,'TB for financial'!A:K,11,0)</f>
        <v>0</v>
      </c>
      <c r="G106" s="80"/>
      <c r="H106" s="81">
        <f t="shared" si="11"/>
        <v>0</v>
      </c>
      <c r="I106" s="81">
        <v>0</v>
      </c>
      <c r="J106" s="81">
        <f t="shared" si="12"/>
        <v>0</v>
      </c>
      <c r="K106" s="80"/>
      <c r="L106" s="82">
        <f t="shared" si="13"/>
        <v>0</v>
      </c>
      <c r="M106" s="82">
        <v>0</v>
      </c>
      <c r="N106" s="82">
        <f t="shared" si="10"/>
        <v>0</v>
      </c>
      <c r="O106" s="83"/>
      <c r="P106"/>
      <c r="Q106"/>
      <c r="R106"/>
      <c r="S106"/>
      <c r="U106" s="84" t="s">
        <v>530</v>
      </c>
      <c r="V106" s="80"/>
      <c r="W106" s="82"/>
      <c r="X106" s="82"/>
      <c r="Y106" s="85" t="s">
        <v>531</v>
      </c>
      <c r="Z106" s="86" t="s">
        <v>532</v>
      </c>
      <c r="AA106" s="86" t="s">
        <v>25</v>
      </c>
      <c r="AB106" s="86"/>
      <c r="AC106" s="87">
        <v>0</v>
      </c>
      <c r="AD106" s="88">
        <f t="shared" si="14"/>
        <v>0</v>
      </c>
      <c r="AF106" s="54">
        <v>101180</v>
      </c>
      <c r="AQ106" s="80"/>
      <c r="AR106" s="80"/>
    </row>
    <row r="107" spans="1:44" ht="14.4">
      <c r="A107" s="70">
        <v>101066</v>
      </c>
      <c r="B107" s="78" t="str">
        <f>VLOOKUP(A107,'TB for financial'!A:B,2,0)</f>
        <v>Interco AR accruals</v>
      </c>
      <c r="D107" s="79">
        <f>VLOOKUP(A107,'TB for financial'!A:F,6,0)</f>
        <v>0</v>
      </c>
      <c r="E107" s="80"/>
      <c r="F107" s="79">
        <f>VLOOKUP(A107,'TB for financial'!A:K,11,0)</f>
        <v>0</v>
      </c>
      <c r="G107" s="80"/>
      <c r="H107" s="81">
        <f t="shared" si="11"/>
        <v>0</v>
      </c>
      <c r="I107" s="81">
        <v>0</v>
      </c>
      <c r="J107" s="81">
        <f t="shared" si="12"/>
        <v>0</v>
      </c>
      <c r="K107" s="80"/>
      <c r="L107" s="82">
        <f t="shared" si="13"/>
        <v>0</v>
      </c>
      <c r="M107" s="82">
        <v>0</v>
      </c>
      <c r="N107" s="82">
        <f t="shared" si="10"/>
        <v>0</v>
      </c>
      <c r="O107" s="83"/>
      <c r="P107"/>
      <c r="Q107"/>
      <c r="R107"/>
      <c r="S107"/>
      <c r="U107" s="84"/>
      <c r="V107" s="80"/>
      <c r="W107" s="82"/>
      <c r="X107" s="82"/>
      <c r="Y107" s="85" t="s">
        <v>531</v>
      </c>
      <c r="Z107" s="86" t="s">
        <v>532</v>
      </c>
      <c r="AA107" s="86" t="s">
        <v>25</v>
      </c>
      <c r="AB107" s="86"/>
      <c r="AC107" s="87">
        <v>0</v>
      </c>
      <c r="AD107" s="88">
        <f t="shared" si="14"/>
        <v>0</v>
      </c>
      <c r="AQ107" s="80"/>
      <c r="AR107" s="80"/>
    </row>
    <row r="108" spans="1:44" ht="14.4">
      <c r="A108" s="1373">
        <v>411450</v>
      </c>
      <c r="B108" s="78" t="str">
        <f>VLOOKUP(A108,'TB for financial'!A:B,2,0)</f>
        <v>TRADE RECEIVABLES - FOREIGN</v>
      </c>
      <c r="D108" s="122">
        <f>VLOOKUP(A108,'TB for financial'!A:F,6,0)</f>
        <v>8266046.9600000009</v>
      </c>
      <c r="E108" s="80"/>
      <c r="F108" s="79">
        <f>VLOOKUP(A108,'TB for financial'!A:K,11,0)</f>
        <v>1816954.7100000009</v>
      </c>
      <c r="G108" s="80"/>
      <c r="H108" s="122">
        <f t="shared" ref="H108:H113" si="15">D108-I108</f>
        <v>8266046.9600000009</v>
      </c>
      <c r="I108" s="81">
        <v>0</v>
      </c>
      <c r="J108" s="81">
        <f t="shared" si="12"/>
        <v>0</v>
      </c>
      <c r="K108" s="80"/>
      <c r="L108" s="82">
        <f t="shared" ref="L108:L113" si="16">F108-M108</f>
        <v>1816954.7100000009</v>
      </c>
      <c r="M108" s="82">
        <v>0</v>
      </c>
      <c r="N108" s="82">
        <f t="shared" ref="N108:N113" si="17">+F108-L108-M108</f>
        <v>0</v>
      </c>
      <c r="O108" s="83"/>
      <c r="P108"/>
      <c r="Q108"/>
      <c r="R108"/>
      <c r="S108"/>
      <c r="U108" s="84"/>
      <c r="V108" s="80"/>
      <c r="W108" s="82"/>
      <c r="X108" s="82"/>
      <c r="Y108" s="85" t="s">
        <v>531</v>
      </c>
      <c r="Z108" s="86" t="s">
        <v>532</v>
      </c>
      <c r="AA108" s="86" t="s">
        <v>25</v>
      </c>
      <c r="AB108" s="86"/>
      <c r="AC108" s="87">
        <v>6500696.4199999999</v>
      </c>
      <c r="AD108" s="88">
        <f t="shared" ref="AD108:AD113" si="18">+D108-AC108</f>
        <v>1765350.540000001</v>
      </c>
      <c r="AF108" s="54" t="s">
        <v>2536</v>
      </c>
      <c r="AQ108" s="80">
        <f>D108</f>
        <v>8266046.9600000009</v>
      </c>
      <c r="AR108" s="80"/>
    </row>
    <row r="109" spans="1:44" ht="14.4">
      <c r="A109" s="1373">
        <v>411500</v>
      </c>
      <c r="B109" s="78" t="str">
        <f>VLOOKUP(A109,'TB for financial'!A:B,2,0)</f>
        <v>TRADE RECEIVABLES - DOMESTIC</v>
      </c>
      <c r="D109" s="79">
        <f>VLOOKUP(A109,'TB for financial'!A:F,6,0)</f>
        <v>0</v>
      </c>
      <c r="E109" s="80"/>
      <c r="F109" s="79">
        <f>VLOOKUP(A109,'TB for financial'!A:K,11,0)</f>
        <v>0</v>
      </c>
      <c r="G109" s="80"/>
      <c r="H109" s="81">
        <f t="shared" si="15"/>
        <v>0</v>
      </c>
      <c r="I109" s="81">
        <v>0</v>
      </c>
      <c r="J109" s="81">
        <f t="shared" si="12"/>
        <v>0</v>
      </c>
      <c r="K109" s="80"/>
      <c r="L109" s="82">
        <f t="shared" si="16"/>
        <v>0</v>
      </c>
      <c r="M109" s="82">
        <v>0</v>
      </c>
      <c r="N109" s="82">
        <f t="shared" si="17"/>
        <v>0</v>
      </c>
      <c r="O109" s="83"/>
      <c r="P109"/>
      <c r="Q109"/>
      <c r="R109"/>
      <c r="S109"/>
      <c r="U109" s="84"/>
      <c r="V109" s="80"/>
      <c r="W109" s="82"/>
      <c r="X109" s="82"/>
      <c r="Y109" s="85" t="s">
        <v>531</v>
      </c>
      <c r="Z109" s="86" t="s">
        <v>532</v>
      </c>
      <c r="AA109" s="86" t="s">
        <v>25</v>
      </c>
      <c r="AB109" s="86"/>
      <c r="AC109" s="87">
        <v>0</v>
      </c>
      <c r="AD109" s="88">
        <f t="shared" si="18"/>
        <v>0</v>
      </c>
      <c r="AF109" s="54" t="s">
        <v>2536</v>
      </c>
      <c r="AQ109" s="80"/>
      <c r="AR109" s="80"/>
    </row>
    <row r="110" spans="1:44" ht="14.4">
      <c r="A110" s="1634">
        <v>411996</v>
      </c>
      <c r="B110" s="1635" t="s">
        <v>3023</v>
      </c>
      <c r="D110" s="122">
        <f>VLOOKUP(A110,'TB for financial'!A:F,6,0)</f>
        <v>127495.85000000003</v>
      </c>
      <c r="E110" s="80"/>
      <c r="F110" s="79"/>
      <c r="G110" s="80"/>
      <c r="H110" s="122">
        <f t="shared" si="15"/>
        <v>127495.85000000003</v>
      </c>
      <c r="I110" s="81"/>
      <c r="J110" s="81">
        <f t="shared" si="12"/>
        <v>0</v>
      </c>
      <c r="K110" s="80"/>
      <c r="L110" s="82"/>
      <c r="M110" s="82"/>
      <c r="N110" s="82"/>
      <c r="O110" s="83"/>
      <c r="P110"/>
      <c r="Q110"/>
      <c r="R110"/>
      <c r="S110"/>
      <c r="U110" s="84"/>
      <c r="V110" s="80"/>
      <c r="W110" s="82"/>
      <c r="X110" s="82"/>
      <c r="Y110" s="85"/>
      <c r="Z110" s="86"/>
      <c r="AA110" s="86"/>
      <c r="AB110" s="86"/>
      <c r="AC110" s="87"/>
      <c r="AD110" s="88"/>
      <c r="AQ110" s="80"/>
      <c r="AR110" s="80"/>
    </row>
    <row r="111" spans="1:44" ht="24">
      <c r="A111" s="1373">
        <v>411998</v>
      </c>
      <c r="B111" s="78" t="str">
        <f>VLOOKUP(A111,'TB for financial'!A:B,2,0)</f>
        <v>Debtorss - Foreign Curr Revaluation Account</v>
      </c>
      <c r="D111" s="122">
        <f>VLOOKUP(A111,'TB for financial'!A:F,6,0)</f>
        <v>0</v>
      </c>
      <c r="E111" s="80"/>
      <c r="F111" s="79">
        <f>VLOOKUP(A111,'TB for financial'!A:K,11,0)</f>
        <v>36271</v>
      </c>
      <c r="G111" s="80"/>
      <c r="H111" s="122">
        <f t="shared" si="15"/>
        <v>0</v>
      </c>
      <c r="I111" s="81">
        <v>0</v>
      </c>
      <c r="J111" s="81">
        <f t="shared" si="12"/>
        <v>0</v>
      </c>
      <c r="K111" s="80"/>
      <c r="L111" s="82">
        <f t="shared" si="16"/>
        <v>36271</v>
      </c>
      <c r="M111" s="82">
        <v>0</v>
      </c>
      <c r="N111" s="82">
        <f t="shared" si="17"/>
        <v>0</v>
      </c>
      <c r="O111" s="83"/>
      <c r="P111"/>
      <c r="Q111"/>
      <c r="R111"/>
      <c r="S111"/>
      <c r="U111" s="84"/>
      <c r="V111" s="80"/>
      <c r="W111" s="82"/>
      <c r="X111" s="82"/>
      <c r="Y111" s="85" t="s">
        <v>531</v>
      </c>
      <c r="Z111" s="86" t="s">
        <v>532</v>
      </c>
      <c r="AA111" s="86" t="s">
        <v>25</v>
      </c>
      <c r="AB111" s="86"/>
      <c r="AC111" s="87">
        <v>506481.9</v>
      </c>
      <c r="AD111" s="88">
        <f t="shared" si="18"/>
        <v>-506481.9</v>
      </c>
      <c r="AF111" s="54" t="s">
        <v>2536</v>
      </c>
      <c r="AQ111" s="80">
        <f>D111</f>
        <v>0</v>
      </c>
      <c r="AR111" s="80"/>
    </row>
    <row r="112" spans="1:44" ht="14.4">
      <c r="A112" s="1373">
        <v>4115000</v>
      </c>
      <c r="B112" s="78" t="str">
        <f>VLOOKUP(A112,'TB for financial'!A:B,2,0)</f>
        <v>TRADE DEBTORS GROUP</v>
      </c>
      <c r="D112" s="79">
        <f>VLOOKUP(A112,'TB for financial'!A:F,6,0)</f>
        <v>2.3865140974521637E-9</v>
      </c>
      <c r="E112" s="80"/>
      <c r="F112" s="79">
        <f>VLOOKUP(A112,'TB for financial'!A:K,11,0)</f>
        <v>2.3865140974521637E-9</v>
      </c>
      <c r="G112" s="80"/>
      <c r="H112" s="81">
        <f t="shared" si="15"/>
        <v>2.3865140974521637E-9</v>
      </c>
      <c r="I112" s="81">
        <v>0</v>
      </c>
      <c r="J112" s="81">
        <f t="shared" si="12"/>
        <v>0</v>
      </c>
      <c r="K112" s="80"/>
      <c r="L112" s="82">
        <f t="shared" si="16"/>
        <v>2.3865140974521637E-9</v>
      </c>
      <c r="M112" s="82">
        <v>0</v>
      </c>
      <c r="N112" s="82">
        <f t="shared" si="17"/>
        <v>0</v>
      </c>
      <c r="O112" s="83"/>
      <c r="P112"/>
      <c r="Q112"/>
      <c r="R112"/>
      <c r="S112"/>
      <c r="U112" s="84"/>
      <c r="V112" s="80"/>
      <c r="W112" s="82"/>
      <c r="X112" s="82"/>
      <c r="Y112" s="85" t="s">
        <v>531</v>
      </c>
      <c r="Z112" s="86" t="s">
        <v>532</v>
      </c>
      <c r="AA112" s="86" t="s">
        <v>25</v>
      </c>
      <c r="AB112" s="86"/>
      <c r="AC112" s="87">
        <v>0</v>
      </c>
      <c r="AD112" s="88">
        <f t="shared" si="18"/>
        <v>2.3865140974521637E-9</v>
      </c>
      <c r="AF112" s="54" t="s">
        <v>2536</v>
      </c>
      <c r="AQ112" s="80">
        <f>D112</f>
        <v>2.3865140974521637E-9</v>
      </c>
      <c r="AR112" s="80"/>
    </row>
    <row r="113" spans="1:44" ht="14.4">
      <c r="A113" s="1373">
        <v>4181500</v>
      </c>
      <c r="B113" s="78" t="str">
        <f>VLOOKUP(A113,'TB for financial'!A:B,2,0)</f>
        <v>WIP: travel costs</v>
      </c>
      <c r="D113" s="79">
        <f>VLOOKUP(A113,'TB for financial'!A:F,6,0)</f>
        <v>0</v>
      </c>
      <c r="E113" s="80"/>
      <c r="F113" s="79">
        <f>VLOOKUP(A113,'TB for financial'!A:K,11,0)</f>
        <v>0</v>
      </c>
      <c r="G113" s="80"/>
      <c r="H113" s="81">
        <f t="shared" si="15"/>
        <v>0</v>
      </c>
      <c r="I113" s="81">
        <v>0</v>
      </c>
      <c r="J113" s="81">
        <f t="shared" si="12"/>
        <v>0</v>
      </c>
      <c r="K113" s="80"/>
      <c r="L113" s="82">
        <f t="shared" si="16"/>
        <v>0</v>
      </c>
      <c r="M113" s="82">
        <v>0</v>
      </c>
      <c r="N113" s="82">
        <f t="shared" si="17"/>
        <v>0</v>
      </c>
      <c r="O113" s="83"/>
      <c r="P113"/>
      <c r="Q113"/>
      <c r="R113"/>
      <c r="S113"/>
      <c r="U113" s="84"/>
      <c r="V113" s="80"/>
      <c r="W113" s="82"/>
      <c r="X113" s="82"/>
      <c r="Y113" s="85" t="s">
        <v>531</v>
      </c>
      <c r="Z113" s="86" t="s">
        <v>532</v>
      </c>
      <c r="AA113" s="86" t="s">
        <v>25</v>
      </c>
      <c r="AB113" s="86"/>
      <c r="AC113" s="87">
        <v>0</v>
      </c>
      <c r="AD113" s="88">
        <f t="shared" si="18"/>
        <v>0</v>
      </c>
      <c r="AF113" s="54" t="s">
        <v>2536</v>
      </c>
      <c r="AQ113" s="80">
        <f>D113</f>
        <v>0</v>
      </c>
      <c r="AR113" s="80"/>
    </row>
    <row r="114" spans="1:44" ht="5.0999999999999996" customHeight="1">
      <c r="A114" s="70"/>
      <c r="B114" s="78"/>
      <c r="D114" s="111"/>
      <c r="E114" s="80"/>
      <c r="F114" s="111"/>
      <c r="G114" s="80"/>
      <c r="H114" s="112"/>
      <c r="I114" s="112"/>
      <c r="J114" s="81">
        <f t="shared" si="12"/>
        <v>0</v>
      </c>
      <c r="K114" s="80"/>
      <c r="L114" s="113"/>
      <c r="M114" s="113"/>
      <c r="N114" s="113"/>
      <c r="O114" s="83"/>
      <c r="P114"/>
      <c r="Q114"/>
      <c r="R114"/>
      <c r="S114"/>
      <c r="U114" s="114"/>
      <c r="V114" s="80"/>
      <c r="W114" s="113"/>
      <c r="X114" s="113"/>
      <c r="Y114" s="94"/>
      <c r="Z114" s="86"/>
      <c r="AA114" s="86"/>
      <c r="AB114" s="86"/>
      <c r="AQ114" s="80"/>
      <c r="AR114" s="80"/>
    </row>
    <row r="115" spans="1:44" ht="14.4">
      <c r="A115" s="70"/>
      <c r="B115" s="71" t="s">
        <v>541</v>
      </c>
      <c r="D115" s="115">
        <f>SUM(D99:D114)</f>
        <v>8393535.3712259736</v>
      </c>
      <c r="E115" s="96"/>
      <c r="F115" s="115">
        <f>SUM(F99:F114)</f>
        <v>1853218.2712259747</v>
      </c>
      <c r="G115" s="80"/>
      <c r="H115" s="137">
        <f>SUM(H99:H114)</f>
        <v>8393535.3712259736</v>
      </c>
      <c r="I115" s="116">
        <f>SUM(I99:I114)</f>
        <v>0</v>
      </c>
      <c r="J115" s="116">
        <f>SUM(J99:J114)</f>
        <v>0</v>
      </c>
      <c r="K115" s="80"/>
      <c r="L115" s="116">
        <f>SUM(L99:L114)</f>
        <v>1853218.2712259747</v>
      </c>
      <c r="M115" s="116">
        <f>SUM(M99:M114)</f>
        <v>0</v>
      </c>
      <c r="N115" s="116">
        <f>SUM(N99:N114)</f>
        <v>0</v>
      </c>
      <c r="O115" s="100"/>
      <c r="P115"/>
      <c r="Q115"/>
      <c r="R115"/>
      <c r="S115"/>
      <c r="U115" s="117"/>
      <c r="V115" s="80"/>
      <c r="W115" s="118"/>
      <c r="X115" s="118"/>
      <c r="Y115" s="94"/>
      <c r="Z115" s="86"/>
      <c r="AA115" s="86"/>
      <c r="AB115" s="86"/>
      <c r="AQ115" s="80"/>
      <c r="AR115" s="80"/>
    </row>
    <row r="116" spans="1:44" ht="5.0999999999999996" customHeight="1">
      <c r="A116" s="105"/>
      <c r="B116" s="71"/>
      <c r="D116" s="79"/>
      <c r="E116" s="80"/>
      <c r="F116" s="79"/>
      <c r="G116" s="80"/>
      <c r="H116" s="81"/>
      <c r="I116" s="81"/>
      <c r="J116" s="81"/>
      <c r="K116" s="80"/>
      <c r="L116" s="82"/>
      <c r="M116" s="82"/>
      <c r="N116" s="82"/>
      <c r="O116" s="83"/>
      <c r="P116"/>
      <c r="Q116"/>
      <c r="R116"/>
      <c r="S116"/>
      <c r="U116" s="84"/>
      <c r="V116" s="80"/>
      <c r="W116" s="82"/>
      <c r="X116" s="82"/>
      <c r="Y116" s="94"/>
      <c r="Z116" s="86"/>
      <c r="AA116" s="86"/>
      <c r="AB116" s="86"/>
      <c r="AQ116" s="80"/>
      <c r="AR116" s="80"/>
    </row>
    <row r="117" spans="1:44" ht="14.4">
      <c r="A117" s="70">
        <v>101120</v>
      </c>
      <c r="B117" s="78" t="str">
        <f>VLOOKUP(A117,'TB for financial'!A:B,2,0)</f>
        <v>Accounts Receivable - Advance</v>
      </c>
      <c r="D117" s="79">
        <f>VLOOKUP(A117,'TB for financial'!A:F,6,0)</f>
        <v>0</v>
      </c>
      <c r="E117" s="80"/>
      <c r="F117" s="79">
        <f>VLOOKUP(A117,'TB for financial'!A:K,11,0)</f>
        <v>0</v>
      </c>
      <c r="G117" s="80"/>
      <c r="H117" s="81">
        <f>D117-I117</f>
        <v>0</v>
      </c>
      <c r="I117" s="81">
        <v>0</v>
      </c>
      <c r="J117" s="81">
        <f>+D117-H117-I117</f>
        <v>0</v>
      </c>
      <c r="K117" s="80"/>
      <c r="L117" s="82">
        <f>F117-M117</f>
        <v>0</v>
      </c>
      <c r="M117" s="82">
        <v>0</v>
      </c>
      <c r="N117" s="82">
        <f t="shared" ref="N117:N123" si="19">+F117-L117-M117</f>
        <v>0</v>
      </c>
      <c r="O117" s="83"/>
      <c r="P117"/>
      <c r="Q117"/>
      <c r="R117"/>
      <c r="S117"/>
      <c r="U117" s="84" t="s">
        <v>530</v>
      </c>
      <c r="V117" s="80"/>
      <c r="W117" s="82"/>
      <c r="X117" s="82"/>
      <c r="Y117" s="85" t="s">
        <v>537</v>
      </c>
      <c r="Z117" s="86" t="s">
        <v>532</v>
      </c>
      <c r="AA117" s="86" t="s">
        <v>19</v>
      </c>
      <c r="AB117" s="86" t="s">
        <v>19</v>
      </c>
      <c r="AC117" s="87">
        <v>0</v>
      </c>
      <c r="AD117" s="88">
        <f>+D117-AC117</f>
        <v>0</v>
      </c>
      <c r="AF117" s="54">
        <v>101120</v>
      </c>
      <c r="AQ117" s="80"/>
      <c r="AR117" s="80"/>
    </row>
    <row r="118" spans="1:44" ht="5.0999999999999996" customHeight="1">
      <c r="A118" s="70"/>
      <c r="B118" s="78"/>
      <c r="D118" s="79"/>
      <c r="E118" s="80"/>
      <c r="F118" s="79"/>
      <c r="G118" s="80"/>
      <c r="H118" s="81"/>
      <c r="I118" s="81">
        <f>+D118-H118</f>
        <v>0</v>
      </c>
      <c r="J118" s="81">
        <f>+D118-H118-I118</f>
        <v>0</v>
      </c>
      <c r="K118" s="80"/>
      <c r="L118" s="82"/>
      <c r="M118" s="82">
        <v>0</v>
      </c>
      <c r="N118" s="82">
        <f t="shared" si="19"/>
        <v>0</v>
      </c>
      <c r="O118" s="83"/>
      <c r="P118"/>
      <c r="Q118"/>
      <c r="R118"/>
      <c r="S118"/>
      <c r="U118" s="84"/>
      <c r="V118" s="80"/>
      <c r="W118" s="82"/>
      <c r="X118" s="82"/>
      <c r="Y118" s="94"/>
      <c r="Z118" s="86"/>
      <c r="AA118" s="86"/>
      <c r="AB118" s="86"/>
      <c r="AQ118" s="80"/>
      <c r="AR118" s="80"/>
    </row>
    <row r="119" spans="1:44" s="47" customFormat="1" ht="15" thickBot="1">
      <c r="A119" s="105"/>
      <c r="B119" s="71" t="s">
        <v>542</v>
      </c>
      <c r="C119" s="54"/>
      <c r="D119" s="106">
        <f>SUM(D117:D118)</f>
        <v>0</v>
      </c>
      <c r="E119" s="80"/>
      <c r="F119" s="106">
        <f>SUM(F117:F118)</f>
        <v>0</v>
      </c>
      <c r="G119" s="80"/>
      <c r="H119" s="107">
        <f>SUM(H117:H118)</f>
        <v>0</v>
      </c>
      <c r="I119" s="107">
        <f>SUM(I117:I118)</f>
        <v>0</v>
      </c>
      <c r="J119" s="107">
        <f>SUM(J117:J118)</f>
        <v>0</v>
      </c>
      <c r="K119" s="96"/>
      <c r="L119" s="107">
        <f>SUM(L117:L118)</f>
        <v>0</v>
      </c>
      <c r="M119" s="107">
        <f>SUM(M117:M118)</f>
        <v>0</v>
      </c>
      <c r="N119" s="107">
        <f>SUM(N117:N118)</f>
        <v>0</v>
      </c>
      <c r="O119" s="108"/>
      <c r="P119"/>
      <c r="Q119"/>
      <c r="R119"/>
      <c r="S119"/>
      <c r="U119" s="109"/>
      <c r="V119" s="80"/>
      <c r="W119" s="110"/>
      <c r="X119" s="110"/>
      <c r="Y119" s="94"/>
      <c r="Z119" s="86"/>
      <c r="AA119" s="86"/>
      <c r="AB119" s="86"/>
      <c r="AQ119" s="96"/>
      <c r="AR119" s="96"/>
    </row>
    <row r="120" spans="1:44" s="47" customFormat="1" ht="5.0999999999999996" customHeight="1" thickTop="1">
      <c r="A120" s="105"/>
      <c r="B120" s="71"/>
      <c r="C120" s="54"/>
      <c r="D120" s="115"/>
      <c r="E120" s="96"/>
      <c r="F120" s="115"/>
      <c r="G120" s="80"/>
      <c r="H120" s="116"/>
      <c r="I120" s="116"/>
      <c r="J120" s="116"/>
      <c r="K120" s="96"/>
      <c r="L120" s="118"/>
      <c r="M120" s="118"/>
      <c r="N120" s="118"/>
      <c r="O120" s="119"/>
      <c r="P120"/>
      <c r="Q120"/>
      <c r="R120"/>
      <c r="S120"/>
      <c r="U120" s="117"/>
      <c r="V120" s="80"/>
      <c r="W120" s="118"/>
      <c r="X120" s="118"/>
      <c r="Y120" s="94"/>
      <c r="Z120" s="86"/>
      <c r="AA120" s="86"/>
      <c r="AB120" s="86"/>
      <c r="AQ120" s="96"/>
      <c r="AR120" s="96"/>
    </row>
    <row r="121" spans="1:44" ht="14.4">
      <c r="A121" s="70">
        <v>101050</v>
      </c>
      <c r="B121" s="78" t="str">
        <f>VLOOKUP(A121,'TB for financial'!A:B,2,0)</f>
        <v>Allowance for Doubtful Account</v>
      </c>
      <c r="D121" s="79">
        <f>VLOOKUP(A121,'TB for financial'!A:F,6,0)</f>
        <v>0</v>
      </c>
      <c r="E121" s="80"/>
      <c r="F121" s="79">
        <f>VLOOKUP(A121,'TB for financial'!A:K,11,0)</f>
        <v>0</v>
      </c>
      <c r="G121" s="80"/>
      <c r="H121" s="81">
        <f>D121-I121</f>
        <v>0</v>
      </c>
      <c r="I121" s="81">
        <v>0</v>
      </c>
      <c r="J121" s="81">
        <f>+D121-H121-I121</f>
        <v>0</v>
      </c>
      <c r="K121" s="80"/>
      <c r="L121" s="82">
        <f>F121-M121</f>
        <v>0</v>
      </c>
      <c r="M121" s="82">
        <v>0</v>
      </c>
      <c r="N121" s="82">
        <f t="shared" si="19"/>
        <v>0</v>
      </c>
      <c r="O121" s="83"/>
      <c r="P121"/>
      <c r="Q121"/>
      <c r="R121"/>
      <c r="S121"/>
      <c r="U121" s="84" t="s">
        <v>530</v>
      </c>
      <c r="V121" s="80"/>
      <c r="W121" s="82" t="s">
        <v>25</v>
      </c>
      <c r="X121" s="82"/>
      <c r="Y121" s="85" t="s">
        <v>531</v>
      </c>
      <c r="Z121" s="86" t="s">
        <v>532</v>
      </c>
      <c r="AA121" s="86" t="s">
        <v>25</v>
      </c>
      <c r="AB121" s="86"/>
      <c r="AC121" s="87">
        <v>0</v>
      </c>
      <c r="AD121" s="88">
        <f>+D121-AC121</f>
        <v>0</v>
      </c>
      <c r="AF121" s="54">
        <v>101050</v>
      </c>
      <c r="AQ121" s="80"/>
      <c r="AR121" s="80"/>
    </row>
    <row r="122" spans="1:44" ht="14.4">
      <c r="A122" s="70">
        <v>101052</v>
      </c>
      <c r="B122" s="78" t="str">
        <f>VLOOKUP(A122,'TB for financial'!A:B,2,0)</f>
        <v>Allow for Dbtful Accts-Metier</v>
      </c>
      <c r="D122" s="79">
        <f>VLOOKUP(A122,'TB for financial'!A:F,6,0)</f>
        <v>0</v>
      </c>
      <c r="E122" s="80"/>
      <c r="F122" s="79">
        <f>VLOOKUP(A122,'TB for financial'!A:K,11,0)</f>
        <v>0</v>
      </c>
      <c r="G122" s="80"/>
      <c r="H122" s="81">
        <f>D122-I122</f>
        <v>0</v>
      </c>
      <c r="I122" s="81">
        <v>0</v>
      </c>
      <c r="J122" s="81">
        <f>+D122-H122-I122</f>
        <v>0</v>
      </c>
      <c r="K122" s="80"/>
      <c r="L122" s="82">
        <f>F122-M122</f>
        <v>0</v>
      </c>
      <c r="M122" s="82">
        <v>0</v>
      </c>
      <c r="N122" s="82">
        <f t="shared" si="19"/>
        <v>0</v>
      </c>
      <c r="O122" s="83"/>
      <c r="P122"/>
      <c r="Q122"/>
      <c r="R122"/>
      <c r="S122"/>
      <c r="U122" s="84" t="s">
        <v>530</v>
      </c>
      <c r="V122" s="80"/>
      <c r="W122" s="82"/>
      <c r="X122" s="82"/>
      <c r="Y122" s="85" t="s">
        <v>531</v>
      </c>
      <c r="Z122" s="86" t="s">
        <v>532</v>
      </c>
      <c r="AA122" s="86" t="s">
        <v>25</v>
      </c>
      <c r="AB122" s="86"/>
      <c r="AC122" s="87">
        <v>0</v>
      </c>
      <c r="AD122" s="88">
        <f>+D122-AC122</f>
        <v>0</v>
      </c>
      <c r="AF122" s="54">
        <v>101052</v>
      </c>
      <c r="AQ122" s="80"/>
      <c r="AR122" s="80"/>
    </row>
    <row r="123" spans="1:44" ht="5.0999999999999996" customHeight="1">
      <c r="A123" s="70"/>
      <c r="B123" s="78"/>
      <c r="D123" s="79"/>
      <c r="E123" s="80"/>
      <c r="F123" s="79"/>
      <c r="G123" s="80"/>
      <c r="H123" s="81"/>
      <c r="I123" s="81">
        <f>+D123-H123</f>
        <v>0</v>
      </c>
      <c r="J123" s="81">
        <f>+D123-H123-I123</f>
        <v>0</v>
      </c>
      <c r="K123" s="80"/>
      <c r="L123" s="82"/>
      <c r="M123" s="82">
        <v>0</v>
      </c>
      <c r="N123" s="82">
        <f t="shared" si="19"/>
        <v>0</v>
      </c>
      <c r="O123" s="83"/>
      <c r="P123"/>
      <c r="Q123"/>
      <c r="R123"/>
      <c r="S123"/>
      <c r="U123" s="84"/>
      <c r="V123" s="80"/>
      <c r="W123" s="82"/>
      <c r="X123" s="82"/>
      <c r="Y123" s="94"/>
      <c r="Z123" s="86"/>
      <c r="AA123" s="86"/>
      <c r="AB123" s="86"/>
      <c r="AQ123" s="80"/>
      <c r="AR123" s="80"/>
    </row>
    <row r="124" spans="1:44" s="47" customFormat="1" ht="15" thickBot="1">
      <c r="A124" s="105"/>
      <c r="B124" s="71" t="s">
        <v>543</v>
      </c>
      <c r="C124" s="54"/>
      <c r="D124" s="97">
        <f>SUM(D121:D123)</f>
        <v>0</v>
      </c>
      <c r="E124" s="96"/>
      <c r="F124" s="97">
        <f>SUM(F121:F123)</f>
        <v>0</v>
      </c>
      <c r="G124" s="80"/>
      <c r="H124" s="98">
        <f>SUM(H121:H123)</f>
        <v>0</v>
      </c>
      <c r="I124" s="99">
        <f>SUM(I121:I123)</f>
        <v>0</v>
      </c>
      <c r="J124" s="99">
        <f>SUM(J121:J123)</f>
        <v>0</v>
      </c>
      <c r="K124" s="96"/>
      <c r="L124" s="99">
        <f>SUM(L121:L123)</f>
        <v>0</v>
      </c>
      <c r="M124" s="99">
        <f>SUM(M121:M123)</f>
        <v>0</v>
      </c>
      <c r="N124" s="99">
        <f>SUM(N121:N123)</f>
        <v>0</v>
      </c>
      <c r="O124" s="100"/>
      <c r="P124"/>
      <c r="Q124"/>
      <c r="R124"/>
      <c r="S124"/>
      <c r="U124" s="101"/>
      <c r="V124" s="80"/>
      <c r="W124" s="102"/>
      <c r="X124" s="102"/>
      <c r="Y124" s="94"/>
      <c r="Z124" s="86"/>
      <c r="AA124" s="86"/>
      <c r="AB124" s="86"/>
      <c r="AQ124" s="96"/>
      <c r="AR124" s="96"/>
    </row>
    <row r="125" spans="1:44" s="47" customFormat="1" ht="5.0999999999999996" customHeight="1" thickTop="1">
      <c r="A125" s="105"/>
      <c r="B125" s="71"/>
      <c r="C125" s="54"/>
      <c r="D125" s="115"/>
      <c r="E125" s="96"/>
      <c r="F125" s="115"/>
      <c r="G125" s="80"/>
      <c r="H125" s="116"/>
      <c r="I125" s="116"/>
      <c r="J125" s="116"/>
      <c r="K125" s="96"/>
      <c r="L125" s="118"/>
      <c r="M125" s="118"/>
      <c r="N125" s="118"/>
      <c r="O125" s="119"/>
      <c r="P125"/>
      <c r="Q125"/>
      <c r="R125"/>
      <c r="S125"/>
      <c r="U125" s="117"/>
      <c r="V125" s="80"/>
      <c r="W125" s="118"/>
      <c r="X125" s="118"/>
      <c r="Y125" s="94"/>
      <c r="Z125" s="86"/>
      <c r="AA125" s="86"/>
      <c r="AB125" s="86"/>
      <c r="AQ125" s="96"/>
      <c r="AR125" s="96"/>
    </row>
    <row r="126" spans="1:44" s="47" customFormat="1" ht="14.4">
      <c r="A126" s="105"/>
      <c r="B126" s="71" t="s">
        <v>544</v>
      </c>
      <c r="C126" s="54"/>
      <c r="D126" s="115"/>
      <c r="E126" s="96"/>
      <c r="F126" s="115"/>
      <c r="G126" s="80"/>
      <c r="H126" s="81">
        <f>+D126-I126</f>
        <v>0</v>
      </c>
      <c r="I126" s="81">
        <v>0</v>
      </c>
      <c r="J126" s="81">
        <f t="shared" ref="J126:J134" si="20">+D126-H126-I126</f>
        <v>0</v>
      </c>
      <c r="K126" s="96"/>
      <c r="L126" s="82">
        <v>0</v>
      </c>
      <c r="M126" s="82">
        <v>0</v>
      </c>
      <c r="N126" s="82">
        <f t="shared" ref="N126:N134" si="21">+F126-L126-M126</f>
        <v>0</v>
      </c>
      <c r="O126" s="83"/>
      <c r="P126"/>
      <c r="Q126"/>
      <c r="R126"/>
      <c r="S126"/>
      <c r="U126" s="84"/>
      <c r="V126" s="80"/>
      <c r="W126" s="82"/>
      <c r="X126" s="82"/>
      <c r="Y126" s="94"/>
      <c r="Z126" s="86"/>
      <c r="AA126" s="86"/>
      <c r="AB126" s="86"/>
      <c r="AQ126" s="96"/>
      <c r="AR126" s="96"/>
    </row>
    <row r="127" spans="1:44" s="47" customFormat="1" ht="24">
      <c r="A127" s="105"/>
      <c r="B127" s="78" t="s">
        <v>545</v>
      </c>
      <c r="C127" s="54"/>
      <c r="D127" s="120">
        <v>0</v>
      </c>
      <c r="E127" s="121"/>
      <c r="F127" s="120">
        <v>0</v>
      </c>
      <c r="G127" s="80"/>
      <c r="H127" s="122">
        <f>D127</f>
        <v>0</v>
      </c>
      <c r="I127" s="81">
        <v>0</v>
      </c>
      <c r="J127" s="81">
        <f t="shared" si="20"/>
        <v>0</v>
      </c>
      <c r="K127" s="96"/>
      <c r="L127" s="82">
        <f>F127</f>
        <v>0</v>
      </c>
      <c r="M127" s="82">
        <v>0</v>
      </c>
      <c r="N127" s="82">
        <f t="shared" si="21"/>
        <v>0</v>
      </c>
      <c r="O127" s="83"/>
      <c r="P127"/>
      <c r="Q127"/>
      <c r="R127"/>
      <c r="S127"/>
      <c r="U127" s="84" t="s">
        <v>530</v>
      </c>
      <c r="V127" s="80"/>
      <c r="W127" s="82"/>
      <c r="X127" s="82"/>
      <c r="Y127" s="94"/>
      <c r="Z127" s="86"/>
      <c r="AA127" s="86"/>
      <c r="AB127" s="86"/>
      <c r="AQ127" s="96"/>
      <c r="AR127" s="96"/>
    </row>
    <row r="128" spans="1:44" s="47" customFormat="1" ht="24">
      <c r="A128" s="105"/>
      <c r="B128" s="78" t="s">
        <v>546</v>
      </c>
      <c r="C128" s="54"/>
      <c r="D128" s="79">
        <f>-D124-D130</f>
        <v>0</v>
      </c>
      <c r="E128" s="80"/>
      <c r="F128" s="79"/>
      <c r="G128" s="80"/>
      <c r="H128" s="122">
        <f>D128</f>
        <v>0</v>
      </c>
      <c r="I128" s="81">
        <v>0</v>
      </c>
      <c r="J128" s="81">
        <f t="shared" si="20"/>
        <v>0</v>
      </c>
      <c r="K128" s="96"/>
      <c r="L128" s="82"/>
      <c r="M128" s="82">
        <v>0</v>
      </c>
      <c r="N128" s="82">
        <f t="shared" si="21"/>
        <v>0</v>
      </c>
      <c r="O128" s="83"/>
      <c r="P128"/>
      <c r="Q128"/>
      <c r="R128"/>
      <c r="S128"/>
      <c r="U128" s="84" t="s">
        <v>530</v>
      </c>
      <c r="V128" s="80"/>
      <c r="W128" s="82"/>
      <c r="X128" s="82"/>
      <c r="Y128" s="94"/>
      <c r="Z128" s="86"/>
      <c r="AA128" s="86"/>
      <c r="AB128" s="86"/>
      <c r="AQ128" s="96"/>
      <c r="AR128" s="96"/>
    </row>
    <row r="129" spans="1:44" s="47" customFormat="1" ht="14.4">
      <c r="A129" s="105"/>
      <c r="B129" s="78" t="s">
        <v>547</v>
      </c>
      <c r="C129" s="54"/>
      <c r="D129" s="123">
        <f>+D99+D100+D102-D128-D127+D107+D108+D111+D109+D112+D113+D110</f>
        <v>8393535.3712259755</v>
      </c>
      <c r="E129" s="80"/>
      <c r="F129" s="123">
        <f>+F99+F100+F102-F128-F127+F107+F108+F111+F109+F112+F113+F110</f>
        <v>1853218.2712259747</v>
      </c>
      <c r="G129" s="80"/>
      <c r="H129" s="162">
        <f>D129</f>
        <v>8393535.3712259755</v>
      </c>
      <c r="I129" s="81">
        <v>0</v>
      </c>
      <c r="J129" s="81">
        <f t="shared" si="20"/>
        <v>0</v>
      </c>
      <c r="K129" s="96"/>
      <c r="L129" s="82">
        <f>F129</f>
        <v>1853218.2712259747</v>
      </c>
      <c r="M129" s="82">
        <v>0</v>
      </c>
      <c r="N129" s="82">
        <f t="shared" si="21"/>
        <v>0</v>
      </c>
      <c r="O129" s="83"/>
      <c r="P129"/>
      <c r="Q129"/>
      <c r="R129"/>
      <c r="S129"/>
      <c r="U129" s="84" t="s">
        <v>530</v>
      </c>
      <c r="V129" s="80"/>
      <c r="W129" s="82"/>
      <c r="X129" s="82"/>
      <c r="Y129" s="94"/>
      <c r="Z129" s="86"/>
      <c r="AA129" s="86"/>
      <c r="AB129" s="86"/>
      <c r="AQ129" s="96"/>
      <c r="AR129" s="96"/>
    </row>
    <row r="130" spans="1:44" s="47" customFormat="1" ht="24">
      <c r="A130" s="105"/>
      <c r="B130" s="78" t="s">
        <v>548</v>
      </c>
      <c r="C130" s="54"/>
      <c r="D130" s="124">
        <v>0</v>
      </c>
      <c r="E130" s="125"/>
      <c r="F130" s="85">
        <v>0</v>
      </c>
      <c r="G130" s="80"/>
      <c r="H130" s="122">
        <f>+D130-I130</f>
        <v>0</v>
      </c>
      <c r="I130" s="81">
        <v>0</v>
      </c>
      <c r="J130" s="81">
        <f t="shared" si="20"/>
        <v>0</v>
      </c>
      <c r="K130" s="96"/>
      <c r="L130" s="82">
        <v>0</v>
      </c>
      <c r="M130" s="82">
        <v>0</v>
      </c>
      <c r="N130" s="82">
        <f t="shared" si="21"/>
        <v>0</v>
      </c>
      <c r="O130" s="83"/>
      <c r="P130"/>
      <c r="Q130"/>
      <c r="R130"/>
      <c r="S130"/>
      <c r="U130" s="84"/>
      <c r="V130" s="80"/>
      <c r="W130" s="82"/>
      <c r="X130" s="82"/>
      <c r="Y130" s="94"/>
      <c r="Z130" s="86"/>
      <c r="AA130" s="86"/>
      <c r="AB130" s="86"/>
      <c r="AQ130" s="96"/>
      <c r="AR130" s="96"/>
    </row>
    <row r="131" spans="1:44" s="47" customFormat="1" ht="5.0999999999999996" customHeight="1">
      <c r="A131" s="105"/>
      <c r="B131" s="93"/>
      <c r="C131" s="54"/>
      <c r="D131" s="126"/>
      <c r="E131" s="96"/>
      <c r="F131" s="126"/>
      <c r="G131" s="80"/>
      <c r="H131" s="127"/>
      <c r="I131" s="127"/>
      <c r="J131" s="127"/>
      <c r="K131" s="96"/>
      <c r="L131" s="128"/>
      <c r="M131" s="128"/>
      <c r="N131" s="128"/>
      <c r="O131" s="119"/>
      <c r="P131"/>
      <c r="Q131"/>
      <c r="R131"/>
      <c r="S131"/>
      <c r="U131" s="129"/>
      <c r="V131" s="80"/>
      <c r="W131" s="128"/>
      <c r="X131" s="128"/>
      <c r="Y131" s="94"/>
      <c r="Z131" s="86"/>
      <c r="AA131" s="86"/>
      <c r="AB131" s="86"/>
      <c r="AQ131" s="96"/>
      <c r="AR131" s="96"/>
    </row>
    <row r="132" spans="1:44" s="47" customFormat="1" ht="14.4">
      <c r="A132" s="105"/>
      <c r="B132" s="130"/>
      <c r="C132" s="54"/>
      <c r="D132" s="79">
        <f>SUM(D127:D131)</f>
        <v>8393535.3712259755</v>
      </c>
      <c r="E132" s="80"/>
      <c r="F132" s="79">
        <f>SUM(F127:F131)</f>
        <v>1853218.2712259747</v>
      </c>
      <c r="G132" s="80"/>
      <c r="H132" s="81">
        <f>SUM(H126:H131)</f>
        <v>8393535.3712259755</v>
      </c>
      <c r="I132" s="81">
        <f>SUM(I126:I131)</f>
        <v>0</v>
      </c>
      <c r="J132" s="81">
        <f t="shared" si="20"/>
        <v>0</v>
      </c>
      <c r="K132" s="96"/>
      <c r="L132" s="81">
        <f>SUM(L126:L131)</f>
        <v>1853218.2712259747</v>
      </c>
      <c r="M132" s="81">
        <f>SUM(M126:M131)</f>
        <v>0</v>
      </c>
      <c r="N132" s="81">
        <f>SUM(N126:N131)</f>
        <v>0</v>
      </c>
      <c r="O132" s="108"/>
      <c r="P132"/>
      <c r="Q132"/>
      <c r="R132"/>
      <c r="S132"/>
      <c r="U132" s="84"/>
      <c r="V132" s="80"/>
      <c r="W132" s="82"/>
      <c r="X132" s="82"/>
      <c r="Y132" s="94"/>
      <c r="Z132" s="86"/>
      <c r="AA132" s="86"/>
      <c r="AB132" s="86"/>
      <c r="AQ132" s="96"/>
      <c r="AR132" s="96"/>
    </row>
    <row r="133" spans="1:44" s="47" customFormat="1" ht="24">
      <c r="A133" s="105"/>
      <c r="B133" s="78" t="s">
        <v>549</v>
      </c>
      <c r="C133" s="54"/>
      <c r="D133" s="79">
        <f>+D124</f>
        <v>0</v>
      </c>
      <c r="E133" s="80"/>
      <c r="F133" s="79">
        <f>F124</f>
        <v>0</v>
      </c>
      <c r="G133" s="80"/>
      <c r="H133" s="81">
        <f>D133</f>
        <v>0</v>
      </c>
      <c r="I133" s="81">
        <v>0</v>
      </c>
      <c r="J133" s="81">
        <f t="shared" si="20"/>
        <v>0</v>
      </c>
      <c r="K133" s="96"/>
      <c r="L133" s="82">
        <f>F133</f>
        <v>0</v>
      </c>
      <c r="M133" s="82">
        <v>0</v>
      </c>
      <c r="N133" s="82">
        <f t="shared" si="21"/>
        <v>0</v>
      </c>
      <c r="O133" s="83"/>
      <c r="P133"/>
      <c r="Q133"/>
      <c r="R133"/>
      <c r="S133"/>
      <c r="U133" s="84" t="s">
        <v>530</v>
      </c>
      <c r="V133" s="80"/>
      <c r="W133" s="82"/>
      <c r="X133" s="82"/>
      <c r="Y133" s="94"/>
      <c r="Z133" s="86"/>
      <c r="AA133" s="86"/>
      <c r="AB133" s="86"/>
      <c r="AQ133" s="96"/>
      <c r="AR133" s="96"/>
    </row>
    <row r="134" spans="1:44" s="47" customFormat="1" ht="24">
      <c r="A134" s="105"/>
      <c r="B134" s="78" t="s">
        <v>550</v>
      </c>
      <c r="C134" s="54"/>
      <c r="D134" s="85">
        <v>0</v>
      </c>
      <c r="E134" s="125"/>
      <c r="F134" s="79">
        <v>0</v>
      </c>
      <c r="G134" s="80"/>
      <c r="H134" s="81">
        <f>+D134-I134</f>
        <v>0</v>
      </c>
      <c r="I134" s="81">
        <v>0</v>
      </c>
      <c r="J134" s="81">
        <f t="shared" si="20"/>
        <v>0</v>
      </c>
      <c r="K134" s="96"/>
      <c r="L134" s="82">
        <v>0</v>
      </c>
      <c r="M134" s="82">
        <v>0</v>
      </c>
      <c r="N134" s="82">
        <f t="shared" si="21"/>
        <v>0</v>
      </c>
      <c r="O134" s="83"/>
      <c r="P134"/>
      <c r="Q134"/>
      <c r="R134"/>
      <c r="S134"/>
      <c r="U134" s="84"/>
      <c r="V134" s="80"/>
      <c r="W134" s="82"/>
      <c r="X134" s="82"/>
      <c r="Y134" s="94"/>
      <c r="Z134" s="86"/>
      <c r="AA134" s="86"/>
      <c r="AB134" s="86"/>
      <c r="AQ134" s="96"/>
      <c r="AR134" s="96"/>
    </row>
    <row r="135" spans="1:44" s="47" customFormat="1" ht="5.0999999999999996" customHeight="1">
      <c r="A135" s="105"/>
      <c r="B135" s="78"/>
      <c r="C135" s="54"/>
      <c r="D135" s="126"/>
      <c r="E135" s="96"/>
      <c r="F135" s="126"/>
      <c r="G135" s="80"/>
      <c r="H135" s="127"/>
      <c r="I135" s="127"/>
      <c r="J135" s="127"/>
      <c r="K135" s="96"/>
      <c r="L135" s="128"/>
      <c r="M135" s="128"/>
      <c r="N135" s="128"/>
      <c r="O135" s="119"/>
      <c r="P135"/>
      <c r="Q135"/>
      <c r="R135"/>
      <c r="S135"/>
      <c r="U135" s="129"/>
      <c r="V135" s="80"/>
      <c r="W135" s="128"/>
      <c r="X135" s="128"/>
      <c r="Y135" s="94"/>
      <c r="Z135" s="86"/>
      <c r="AA135" s="86"/>
      <c r="AB135" s="86"/>
      <c r="AQ135" s="96"/>
      <c r="AR135" s="96"/>
    </row>
    <row r="136" spans="1:44" s="47" customFormat="1" ht="15" thickBot="1">
      <c r="A136" s="105"/>
      <c r="B136" s="71" t="s">
        <v>173</v>
      </c>
      <c r="C136" s="54"/>
      <c r="D136" s="1646">
        <f>SUM(D132:D134)</f>
        <v>8393535.3712259755</v>
      </c>
      <c r="E136" s="96"/>
      <c r="F136" s="97">
        <f>SUM(F132:F134)</f>
        <v>1853218.2712259747</v>
      </c>
      <c r="G136" s="96"/>
      <c r="H136" s="1646">
        <f>SUM(H132:H134)</f>
        <v>8393535.3712259755</v>
      </c>
      <c r="I136" s="99">
        <f>SUM(I132:I134)</f>
        <v>0</v>
      </c>
      <c r="J136" s="99">
        <f>SUM(J132:J134)</f>
        <v>0</v>
      </c>
      <c r="K136" s="96"/>
      <c r="L136" s="99">
        <f>SUM(L132:L134)</f>
        <v>1853218.2712259747</v>
      </c>
      <c r="M136" s="99">
        <f>SUM(M132:M134)</f>
        <v>0</v>
      </c>
      <c r="N136" s="99">
        <f>SUM(N132:N134)</f>
        <v>0</v>
      </c>
      <c r="O136" s="100"/>
      <c r="P136"/>
      <c r="Q136"/>
      <c r="R136"/>
      <c r="S136"/>
      <c r="U136" s="101"/>
      <c r="V136" s="96"/>
      <c r="W136" s="102"/>
      <c r="X136" s="102"/>
      <c r="Y136" s="94"/>
      <c r="Z136" s="86"/>
      <c r="AA136" s="86"/>
      <c r="AB136" s="86"/>
      <c r="AQ136" s="96"/>
      <c r="AR136" s="96"/>
    </row>
    <row r="137" spans="1:44" s="47" customFormat="1" ht="5.0999999999999996" customHeight="1" thickTop="1">
      <c r="A137" s="105"/>
      <c r="B137" s="78"/>
      <c r="C137" s="54"/>
      <c r="D137" s="115"/>
      <c r="E137" s="96"/>
      <c r="F137" s="115"/>
      <c r="G137" s="80"/>
      <c r="H137" s="116"/>
      <c r="I137" s="116"/>
      <c r="J137" s="81">
        <f t="shared" ref="J137:J143" si="22">+D137-H137-I137</f>
        <v>0</v>
      </c>
      <c r="K137" s="96"/>
      <c r="L137" s="118"/>
      <c r="M137" s="118"/>
      <c r="N137" s="118"/>
      <c r="O137" s="119"/>
      <c r="P137"/>
      <c r="Q137"/>
      <c r="R137"/>
      <c r="S137"/>
      <c r="U137" s="117"/>
      <c r="V137" s="80"/>
      <c r="W137" s="118"/>
      <c r="X137" s="118"/>
      <c r="Y137" s="94"/>
      <c r="Z137" s="86"/>
      <c r="AA137" s="86"/>
      <c r="AB137" s="86"/>
      <c r="AQ137" s="96"/>
      <c r="AR137" s="96"/>
    </row>
    <row r="138" spans="1:44" ht="14.4">
      <c r="A138" s="70">
        <v>100800</v>
      </c>
      <c r="B138" s="78" t="str">
        <f>VLOOKUP(A138,'TB for financial'!A:B,2,0)</f>
        <v>Petty Cash</v>
      </c>
      <c r="D138" s="79">
        <f>VLOOKUP(A138,'TB for financial'!A:F,6,0)</f>
        <v>0</v>
      </c>
      <c r="E138" s="80"/>
      <c r="F138" s="79">
        <f>VLOOKUP(A138,'TB for financial'!A:K,11,0)</f>
        <v>0</v>
      </c>
      <c r="G138" s="80"/>
      <c r="H138" s="81">
        <f t="shared" ref="H138:H143" si="23">D138-I138</f>
        <v>0</v>
      </c>
      <c r="I138" s="81">
        <v>0</v>
      </c>
      <c r="J138" s="81">
        <f t="shared" si="22"/>
        <v>0</v>
      </c>
      <c r="K138" s="80"/>
      <c r="L138" s="82">
        <f t="shared" ref="L138:L143" si="24">F138-M138</f>
        <v>0</v>
      </c>
      <c r="M138" s="82">
        <v>0</v>
      </c>
      <c r="N138" s="82">
        <f t="shared" ref="N138:N143" si="25">+F138-L138-M138</f>
        <v>0</v>
      </c>
      <c r="O138" s="83"/>
      <c r="P138"/>
      <c r="Q138"/>
      <c r="R138"/>
      <c r="S138"/>
      <c r="U138" s="84" t="s">
        <v>530</v>
      </c>
      <c r="V138" s="80"/>
      <c r="W138" s="82" t="s">
        <v>551</v>
      </c>
      <c r="X138" s="82"/>
      <c r="Y138" s="85" t="s">
        <v>531</v>
      </c>
      <c r="Z138" s="86" t="s">
        <v>532</v>
      </c>
      <c r="AA138" s="86" t="s">
        <v>26</v>
      </c>
      <c r="AB138" s="86"/>
      <c r="AC138" s="87">
        <v>0</v>
      </c>
      <c r="AD138" s="88">
        <f t="shared" ref="AD138:AD143" si="26">+D138-AC138</f>
        <v>0</v>
      </c>
      <c r="AF138" s="54">
        <v>100800</v>
      </c>
      <c r="AQ138" s="80"/>
      <c r="AR138" s="80"/>
    </row>
    <row r="139" spans="1:44" ht="14.4">
      <c r="A139" s="70">
        <v>100801</v>
      </c>
      <c r="B139" s="78" t="str">
        <f>VLOOKUP(A139,'TB for financial'!A:B,2,0)</f>
        <v>Cash in Safe</v>
      </c>
      <c r="D139" s="79">
        <f>VLOOKUP(A139,'TB for financial'!A:F,6,0)</f>
        <v>0</v>
      </c>
      <c r="E139" s="80"/>
      <c r="F139" s="79">
        <f>VLOOKUP(A139,'TB for financial'!A:K,11,0)</f>
        <v>0</v>
      </c>
      <c r="G139" s="80"/>
      <c r="H139" s="81">
        <f t="shared" si="23"/>
        <v>0</v>
      </c>
      <c r="I139" s="81">
        <v>0</v>
      </c>
      <c r="J139" s="81">
        <f t="shared" si="22"/>
        <v>0</v>
      </c>
      <c r="K139" s="80"/>
      <c r="L139" s="82">
        <f t="shared" si="24"/>
        <v>0</v>
      </c>
      <c r="M139" s="82">
        <v>0</v>
      </c>
      <c r="N139" s="82">
        <f t="shared" si="25"/>
        <v>0</v>
      </c>
      <c r="O139" s="83"/>
      <c r="P139"/>
      <c r="Q139"/>
      <c r="R139"/>
      <c r="S139"/>
      <c r="U139" s="84" t="s">
        <v>530</v>
      </c>
      <c r="V139" s="80"/>
      <c r="W139" s="82" t="s">
        <v>551</v>
      </c>
      <c r="X139" s="82"/>
      <c r="Y139" s="85" t="s">
        <v>531</v>
      </c>
      <c r="Z139" s="86" t="s">
        <v>532</v>
      </c>
      <c r="AA139" s="86" t="s">
        <v>26</v>
      </c>
      <c r="AB139" s="86"/>
      <c r="AC139" s="87">
        <v>0</v>
      </c>
      <c r="AD139" s="88">
        <f t="shared" si="26"/>
        <v>0</v>
      </c>
      <c r="AF139" s="54">
        <v>100801</v>
      </c>
      <c r="AQ139" s="80"/>
      <c r="AR139" s="80"/>
    </row>
    <row r="140" spans="1:44" ht="14.4">
      <c r="A140" s="70">
        <v>100802</v>
      </c>
      <c r="B140" s="78" t="str">
        <f>VLOOKUP(A140,'TB for financial'!A:B,2,0)</f>
        <v>Cash in Hand - Chennai</v>
      </c>
      <c r="D140" s="79">
        <f>VLOOKUP(A140,'TB for financial'!A:F,6,0)</f>
        <v>0</v>
      </c>
      <c r="E140" s="80"/>
      <c r="F140" s="79">
        <f>VLOOKUP(A140,'TB for financial'!A:K,11,0)</f>
        <v>0</v>
      </c>
      <c r="G140" s="80"/>
      <c r="H140" s="81">
        <f t="shared" si="23"/>
        <v>0</v>
      </c>
      <c r="I140" s="81">
        <v>0</v>
      </c>
      <c r="J140" s="81">
        <f t="shared" si="22"/>
        <v>0</v>
      </c>
      <c r="K140" s="80"/>
      <c r="L140" s="82">
        <f t="shared" si="24"/>
        <v>0</v>
      </c>
      <c r="M140" s="82">
        <v>0</v>
      </c>
      <c r="N140" s="82">
        <f t="shared" si="25"/>
        <v>0</v>
      </c>
      <c r="O140" s="83"/>
      <c r="P140"/>
      <c r="Q140"/>
      <c r="R140"/>
      <c r="S140"/>
      <c r="U140" s="84" t="s">
        <v>530</v>
      </c>
      <c r="V140" s="80"/>
      <c r="W140" s="82" t="s">
        <v>551</v>
      </c>
      <c r="X140" s="82"/>
      <c r="Y140" s="85" t="s">
        <v>531</v>
      </c>
      <c r="Z140" s="86" t="s">
        <v>532</v>
      </c>
      <c r="AA140" s="86" t="s">
        <v>26</v>
      </c>
      <c r="AB140" s="86"/>
      <c r="AC140" s="87">
        <v>0</v>
      </c>
      <c r="AD140" s="88">
        <f t="shared" si="26"/>
        <v>0</v>
      </c>
      <c r="AF140" s="54">
        <v>100802</v>
      </c>
      <c r="AQ140" s="80"/>
      <c r="AR140" s="80"/>
    </row>
    <row r="141" spans="1:44" ht="14.4">
      <c r="A141" s="70">
        <v>100803</v>
      </c>
      <c r="B141" s="78" t="str">
        <f>VLOOKUP(A141,'TB for financial'!A:B,2,0)</f>
        <v>Cash in Safe,Chennai</v>
      </c>
      <c r="D141" s="79">
        <f>VLOOKUP(A141,'TB for financial'!A:F,6,0)</f>
        <v>0</v>
      </c>
      <c r="E141" s="80"/>
      <c r="F141" s="79">
        <f>VLOOKUP(A141,'TB for financial'!A:K,11,0)</f>
        <v>0</v>
      </c>
      <c r="G141" s="80"/>
      <c r="H141" s="81">
        <f t="shared" si="23"/>
        <v>0</v>
      </c>
      <c r="I141" s="81">
        <v>0</v>
      </c>
      <c r="J141" s="81">
        <f t="shared" si="22"/>
        <v>0</v>
      </c>
      <c r="K141" s="80"/>
      <c r="L141" s="82">
        <f t="shared" si="24"/>
        <v>0</v>
      </c>
      <c r="M141" s="82">
        <v>0</v>
      </c>
      <c r="N141" s="82">
        <f t="shared" si="25"/>
        <v>0</v>
      </c>
      <c r="O141" s="83"/>
      <c r="P141"/>
      <c r="Q141"/>
      <c r="R141"/>
      <c r="S141"/>
      <c r="U141" s="84" t="s">
        <v>530</v>
      </c>
      <c r="V141" s="80"/>
      <c r="W141" s="82" t="s">
        <v>551</v>
      </c>
      <c r="X141" s="82"/>
      <c r="Y141" s="85" t="s">
        <v>531</v>
      </c>
      <c r="Z141" s="86" t="s">
        <v>532</v>
      </c>
      <c r="AA141" s="86" t="s">
        <v>26</v>
      </c>
      <c r="AB141" s="86"/>
      <c r="AC141" s="87">
        <v>0</v>
      </c>
      <c r="AD141" s="88">
        <f t="shared" si="26"/>
        <v>0</v>
      </c>
      <c r="AF141" s="54">
        <v>100803</v>
      </c>
      <c r="AQ141" s="80"/>
      <c r="AR141" s="80"/>
    </row>
    <row r="142" spans="1:44" ht="14.4">
      <c r="A142" s="70">
        <v>100804</v>
      </c>
      <c r="B142" s="78" t="str">
        <f>VLOOKUP(A142,'TB for financial'!A:B,2,0)</f>
        <v>Cash in Hand - Pune</v>
      </c>
      <c r="D142" s="79">
        <f>VLOOKUP(A142,'TB for financial'!A:F,6,0)</f>
        <v>0</v>
      </c>
      <c r="E142" s="80"/>
      <c r="F142" s="79">
        <f>VLOOKUP(A142,'TB for financial'!A:K,11,0)</f>
        <v>0</v>
      </c>
      <c r="G142" s="80"/>
      <c r="H142" s="81">
        <f t="shared" si="23"/>
        <v>0</v>
      </c>
      <c r="I142" s="81">
        <v>0</v>
      </c>
      <c r="J142" s="81">
        <f t="shared" si="22"/>
        <v>0</v>
      </c>
      <c r="K142" s="80"/>
      <c r="L142" s="82">
        <f t="shared" si="24"/>
        <v>0</v>
      </c>
      <c r="M142" s="82">
        <v>0</v>
      </c>
      <c r="N142" s="82">
        <f t="shared" si="25"/>
        <v>0</v>
      </c>
      <c r="O142" s="83"/>
      <c r="P142"/>
      <c r="Q142"/>
      <c r="R142"/>
      <c r="S142"/>
      <c r="U142" s="84" t="s">
        <v>530</v>
      </c>
      <c r="V142" s="80"/>
      <c r="W142" s="82" t="s">
        <v>551</v>
      </c>
      <c r="X142" s="82"/>
      <c r="Y142" s="85" t="s">
        <v>531</v>
      </c>
      <c r="Z142" s="86" t="s">
        <v>532</v>
      </c>
      <c r="AA142" s="86" t="s">
        <v>26</v>
      </c>
      <c r="AB142" s="86"/>
      <c r="AC142" s="87">
        <v>0</v>
      </c>
      <c r="AD142" s="88">
        <f t="shared" si="26"/>
        <v>0</v>
      </c>
      <c r="AF142" s="54">
        <v>100804</v>
      </c>
      <c r="AQ142" s="80"/>
      <c r="AR142" s="80"/>
    </row>
    <row r="143" spans="1:44" ht="14.4">
      <c r="A143" s="70">
        <v>100807</v>
      </c>
      <c r="B143" s="78" t="str">
        <f>VLOOKUP(A143,'TB for financial'!A:B,2,0)</f>
        <v>Forex Surrendered</v>
      </c>
      <c r="D143" s="79">
        <f>VLOOKUP(A143,'TB for financial'!A:F,6,0)</f>
        <v>-0.21</v>
      </c>
      <c r="E143" s="80"/>
      <c r="F143" s="79">
        <f>VLOOKUP(A143,'TB for financial'!A:K,11,0)</f>
        <v>-0.21</v>
      </c>
      <c r="G143" s="80"/>
      <c r="H143" s="81">
        <f t="shared" si="23"/>
        <v>-0.21</v>
      </c>
      <c r="I143" s="81">
        <v>0</v>
      </c>
      <c r="J143" s="81">
        <f t="shared" si="22"/>
        <v>0</v>
      </c>
      <c r="K143" s="80"/>
      <c r="L143" s="82">
        <f t="shared" si="24"/>
        <v>-0.21</v>
      </c>
      <c r="M143" s="82">
        <v>0</v>
      </c>
      <c r="N143" s="82">
        <f t="shared" si="25"/>
        <v>0</v>
      </c>
      <c r="O143" s="83"/>
      <c r="P143"/>
      <c r="Q143"/>
      <c r="R143"/>
      <c r="S143"/>
      <c r="U143" s="84" t="s">
        <v>530</v>
      </c>
      <c r="V143" s="80"/>
      <c r="W143" s="82" t="s">
        <v>551</v>
      </c>
      <c r="X143" s="82"/>
      <c r="Y143" s="85" t="s">
        <v>531</v>
      </c>
      <c r="Z143" s="86" t="s">
        <v>532</v>
      </c>
      <c r="AA143" s="86" t="s">
        <v>26</v>
      </c>
      <c r="AB143" s="86"/>
      <c r="AC143" s="87">
        <v>0</v>
      </c>
      <c r="AD143" s="88">
        <f t="shared" si="26"/>
        <v>-0.21</v>
      </c>
      <c r="AF143" s="54">
        <v>100807</v>
      </c>
      <c r="AQ143" s="80"/>
      <c r="AR143" s="80"/>
    </row>
    <row r="144" spans="1:44" ht="5.0999999999999996" customHeight="1">
      <c r="A144" s="70"/>
      <c r="B144" s="78"/>
      <c r="D144" s="79"/>
      <c r="E144" s="80"/>
      <c r="F144" s="79"/>
      <c r="G144" s="80"/>
      <c r="H144" s="81"/>
      <c r="I144" s="81"/>
      <c r="J144" s="81"/>
      <c r="K144" s="80"/>
      <c r="L144" s="82"/>
      <c r="M144" s="82"/>
      <c r="N144" s="82"/>
      <c r="O144" s="83"/>
      <c r="P144"/>
      <c r="Q144"/>
      <c r="R144"/>
      <c r="S144"/>
      <c r="U144" s="84"/>
      <c r="V144" s="80"/>
      <c r="W144" s="82"/>
      <c r="X144" s="82"/>
      <c r="Y144" s="94"/>
      <c r="Z144" s="86"/>
      <c r="AA144" s="86"/>
      <c r="AB144" s="86"/>
      <c r="AQ144" s="80"/>
      <c r="AR144" s="80"/>
    </row>
    <row r="145" spans="1:44" ht="15" thickBot="1">
      <c r="A145" s="70"/>
      <c r="B145" s="71" t="s">
        <v>221</v>
      </c>
      <c r="D145" s="95">
        <f>SUM(D138:D144)</f>
        <v>-0.21</v>
      </c>
      <c r="E145" s="96"/>
      <c r="F145" s="97">
        <f>SUM(F138:F144)</f>
        <v>-0.21</v>
      </c>
      <c r="G145" s="80"/>
      <c r="H145" s="98">
        <f>SUM(H138:H144)</f>
        <v>-0.21</v>
      </c>
      <c r="I145" s="99">
        <f>SUM(I138:I144)</f>
        <v>0</v>
      </c>
      <c r="J145" s="99">
        <f>SUM(J138:J144)</f>
        <v>0</v>
      </c>
      <c r="K145" s="80"/>
      <c r="L145" s="99">
        <f>SUM(L138:L144)</f>
        <v>-0.21</v>
      </c>
      <c r="M145" s="99">
        <f>SUM(M138:M144)</f>
        <v>0</v>
      </c>
      <c r="N145" s="99">
        <f>SUM(N138:N144)</f>
        <v>0</v>
      </c>
      <c r="O145" s="100"/>
      <c r="P145"/>
      <c r="Q145"/>
      <c r="R145"/>
      <c r="S145"/>
      <c r="U145" s="101"/>
      <c r="V145" s="80"/>
      <c r="W145" s="102"/>
      <c r="X145" s="102"/>
      <c r="Y145" s="94"/>
      <c r="Z145" s="86"/>
      <c r="AA145" s="86"/>
      <c r="AB145" s="86"/>
      <c r="AQ145" s="80"/>
      <c r="AR145" s="80"/>
    </row>
    <row r="146" spans="1:44" ht="5.0999999999999996" customHeight="1" thickTop="1">
      <c r="A146" s="70"/>
      <c r="B146" s="78"/>
      <c r="D146" s="79"/>
      <c r="E146" s="80"/>
      <c r="F146" s="79"/>
      <c r="G146" s="80"/>
      <c r="H146" s="81"/>
      <c r="I146" s="81"/>
      <c r="J146" s="81"/>
      <c r="K146" s="80"/>
      <c r="L146" s="82"/>
      <c r="M146" s="82"/>
      <c r="N146" s="82"/>
      <c r="O146" s="83"/>
      <c r="P146"/>
      <c r="Q146"/>
      <c r="R146"/>
      <c r="S146"/>
      <c r="U146" s="84"/>
      <c r="V146" s="80"/>
      <c r="W146" s="82"/>
      <c r="X146" s="82"/>
      <c r="Y146" s="94"/>
      <c r="Z146" s="86"/>
      <c r="AA146" s="86"/>
      <c r="AB146" s="86"/>
      <c r="AQ146" s="80"/>
      <c r="AR146" s="80"/>
    </row>
    <row r="147" spans="1:44" ht="14.4">
      <c r="A147" s="70">
        <v>100300</v>
      </c>
      <c r="B147" s="78" t="str">
        <f>VLOOKUP(A147,'TB for financial'!A:B,2,0)</f>
        <v>Bank-Dean Witter</v>
      </c>
      <c r="D147" s="79">
        <f>VLOOKUP(A147,'TB for financial'!A:F,6,0)</f>
        <v>0</v>
      </c>
      <c r="E147" s="80"/>
      <c r="F147" s="79">
        <f>VLOOKUP(A147,'TB for financial'!A:K,11,0)</f>
        <v>0</v>
      </c>
      <c r="G147" s="80"/>
      <c r="H147" s="81">
        <f t="shared" ref="H147:H195" si="27">D147-I147</f>
        <v>0</v>
      </c>
      <c r="I147" s="81">
        <v>0</v>
      </c>
      <c r="J147" s="81">
        <f t="shared" ref="J147:J208" si="28">+D147-H147-I147</f>
        <v>0</v>
      </c>
      <c r="K147" s="80"/>
      <c r="L147" s="82">
        <f t="shared" ref="L147:L195" si="29">F147-M147</f>
        <v>0</v>
      </c>
      <c r="M147" s="82">
        <v>0</v>
      </c>
      <c r="N147" s="82">
        <f t="shared" ref="N147:N192" si="30">+F147-L147-M147</f>
        <v>0</v>
      </c>
      <c r="O147" s="83"/>
      <c r="P147"/>
      <c r="Q147"/>
      <c r="R147"/>
      <c r="S147"/>
      <c r="U147" s="84" t="s">
        <v>530</v>
      </c>
      <c r="V147" s="80"/>
      <c r="W147" s="82" t="s">
        <v>551</v>
      </c>
      <c r="X147" s="82"/>
      <c r="Y147" s="85" t="s">
        <v>531</v>
      </c>
      <c r="Z147" s="86" t="s">
        <v>532</v>
      </c>
      <c r="AA147" s="86" t="s">
        <v>26</v>
      </c>
      <c r="AB147" s="86"/>
      <c r="AC147" s="87">
        <v>0</v>
      </c>
      <c r="AD147" s="88">
        <f t="shared" ref="AD147:AD195" si="31">+D147-AC147</f>
        <v>0</v>
      </c>
      <c r="AF147" s="54">
        <v>100300</v>
      </c>
      <c r="AQ147" s="80"/>
      <c r="AR147" s="80"/>
    </row>
    <row r="148" spans="1:44" ht="14.4">
      <c r="A148" s="70">
        <v>100301</v>
      </c>
      <c r="B148" s="78" t="str">
        <f>VLOOKUP(A148,'TB for financial'!A:B,2,0)</f>
        <v>JP Morgan - CAD Bank Account</v>
      </c>
      <c r="D148" s="79">
        <f>VLOOKUP(A148,'TB for financial'!A:F,6,0)</f>
        <v>0</v>
      </c>
      <c r="E148" s="80"/>
      <c r="F148" s="79">
        <f>VLOOKUP(A148,'TB for financial'!A:K,11,0)</f>
        <v>0</v>
      </c>
      <c r="G148" s="80"/>
      <c r="H148" s="81">
        <f t="shared" si="27"/>
        <v>0</v>
      </c>
      <c r="I148" s="81">
        <v>0</v>
      </c>
      <c r="J148" s="81">
        <f t="shared" si="28"/>
        <v>0</v>
      </c>
      <c r="K148" s="80"/>
      <c r="L148" s="82">
        <f t="shared" si="29"/>
        <v>0</v>
      </c>
      <c r="M148" s="82">
        <v>0</v>
      </c>
      <c r="N148" s="82">
        <f t="shared" si="30"/>
        <v>0</v>
      </c>
      <c r="O148" s="83"/>
      <c r="P148"/>
      <c r="Q148"/>
      <c r="R148"/>
      <c r="S148"/>
      <c r="U148" s="84" t="s">
        <v>530</v>
      </c>
      <c r="V148" s="80"/>
      <c r="W148" s="82" t="s">
        <v>551</v>
      </c>
      <c r="X148" s="82"/>
      <c r="Y148" s="85" t="s">
        <v>531</v>
      </c>
      <c r="Z148" s="86" t="s">
        <v>532</v>
      </c>
      <c r="AA148" s="86" t="s">
        <v>26</v>
      </c>
      <c r="AB148" s="86"/>
      <c r="AC148" s="87">
        <v>0</v>
      </c>
      <c r="AD148" s="88">
        <f t="shared" si="31"/>
        <v>0</v>
      </c>
      <c r="AF148" s="54">
        <v>100301</v>
      </c>
      <c r="AQ148" s="80"/>
      <c r="AR148" s="80"/>
    </row>
    <row r="149" spans="1:44" ht="14.4">
      <c r="A149" s="70">
        <v>100302</v>
      </c>
      <c r="B149" s="78" t="str">
        <f>VLOOKUP(A149,'TB for financial'!A:B,2,0)</f>
        <v>Barclays Bank PLC - Wealth</v>
      </c>
      <c r="D149" s="79">
        <f>VLOOKUP(A149,'TB for financial'!A:F,6,0)</f>
        <v>0</v>
      </c>
      <c r="E149" s="80"/>
      <c r="F149" s="79">
        <f>VLOOKUP(A149,'TB for financial'!A:K,11,0)</f>
        <v>0</v>
      </c>
      <c r="G149" s="80"/>
      <c r="H149" s="81">
        <f t="shared" si="27"/>
        <v>0</v>
      </c>
      <c r="I149" s="81">
        <v>0</v>
      </c>
      <c r="J149" s="81">
        <f t="shared" si="28"/>
        <v>0</v>
      </c>
      <c r="K149" s="80"/>
      <c r="L149" s="82">
        <f t="shared" si="29"/>
        <v>0</v>
      </c>
      <c r="M149" s="82">
        <v>0</v>
      </c>
      <c r="N149" s="82">
        <f t="shared" si="30"/>
        <v>0</v>
      </c>
      <c r="O149" s="83"/>
      <c r="P149"/>
      <c r="Q149"/>
      <c r="R149"/>
      <c r="S149"/>
      <c r="U149" s="84" t="s">
        <v>530</v>
      </c>
      <c r="V149" s="80"/>
      <c r="W149" s="82" t="s">
        <v>551</v>
      </c>
      <c r="X149" s="82"/>
      <c r="Y149" s="85" t="s">
        <v>531</v>
      </c>
      <c r="Z149" s="86" t="s">
        <v>532</v>
      </c>
      <c r="AA149" s="86" t="s">
        <v>26</v>
      </c>
      <c r="AB149" s="86"/>
      <c r="AC149" s="87">
        <v>0</v>
      </c>
      <c r="AD149" s="88">
        <f t="shared" si="31"/>
        <v>0</v>
      </c>
      <c r="AF149" s="54">
        <v>100302</v>
      </c>
      <c r="AQ149" s="80"/>
      <c r="AR149" s="80"/>
    </row>
    <row r="150" spans="1:44" ht="14.4">
      <c r="A150" s="70">
        <v>100303</v>
      </c>
      <c r="B150" s="78" t="str">
        <f>VLOOKUP(A150,'TB for financial'!A:B,2,0)</f>
        <v>Barclays Bank PLC - USD EEFC</v>
      </c>
      <c r="D150" s="79">
        <f>VLOOKUP(A150,'TB for financial'!A:F,6,0)</f>
        <v>0</v>
      </c>
      <c r="E150" s="80"/>
      <c r="F150" s="79">
        <f>VLOOKUP(A150,'TB for financial'!A:K,11,0)</f>
        <v>0</v>
      </c>
      <c r="G150" s="80"/>
      <c r="H150" s="81">
        <f t="shared" si="27"/>
        <v>0</v>
      </c>
      <c r="I150" s="81">
        <v>0</v>
      </c>
      <c r="J150" s="81">
        <f t="shared" si="28"/>
        <v>0</v>
      </c>
      <c r="K150" s="80"/>
      <c r="L150" s="82">
        <f t="shared" si="29"/>
        <v>0</v>
      </c>
      <c r="M150" s="82">
        <v>0</v>
      </c>
      <c r="N150" s="82">
        <f t="shared" si="30"/>
        <v>0</v>
      </c>
      <c r="O150" s="83"/>
      <c r="P150"/>
      <c r="Q150"/>
      <c r="R150"/>
      <c r="S150"/>
      <c r="U150" s="84" t="s">
        <v>530</v>
      </c>
      <c r="V150" s="80"/>
      <c r="W150" s="82" t="s">
        <v>551</v>
      </c>
      <c r="X150" s="82"/>
      <c r="Y150" s="85" t="s">
        <v>531</v>
      </c>
      <c r="Z150" s="86" t="s">
        <v>532</v>
      </c>
      <c r="AA150" s="86" t="s">
        <v>26</v>
      </c>
      <c r="AB150" s="86"/>
      <c r="AC150" s="87">
        <v>0</v>
      </c>
      <c r="AD150" s="88">
        <f t="shared" si="31"/>
        <v>0</v>
      </c>
      <c r="AF150" s="54">
        <v>100303</v>
      </c>
      <c r="AQ150" s="80"/>
      <c r="AR150" s="80"/>
    </row>
    <row r="151" spans="1:44" ht="14.4">
      <c r="A151" s="70">
        <v>100304</v>
      </c>
      <c r="B151" s="78" t="str">
        <f>VLOOKUP(A151,'TB for financial'!A:B,2,0)</f>
        <v>Barclays Bank PLC - USD FC</v>
      </c>
      <c r="D151" s="79">
        <f>VLOOKUP(A151,'TB for financial'!A:F,6,0)</f>
        <v>0</v>
      </c>
      <c r="E151" s="80"/>
      <c r="F151" s="79">
        <f>VLOOKUP(A151,'TB for financial'!A:K,11,0)</f>
        <v>0</v>
      </c>
      <c r="G151" s="80"/>
      <c r="H151" s="81">
        <f t="shared" si="27"/>
        <v>0</v>
      </c>
      <c r="I151" s="81">
        <v>0</v>
      </c>
      <c r="J151" s="81">
        <f t="shared" si="28"/>
        <v>0</v>
      </c>
      <c r="K151" s="80"/>
      <c r="L151" s="82">
        <f t="shared" si="29"/>
        <v>0</v>
      </c>
      <c r="M151" s="82">
        <v>0</v>
      </c>
      <c r="N151" s="82">
        <f t="shared" si="30"/>
        <v>0</v>
      </c>
      <c r="O151" s="83"/>
      <c r="P151"/>
      <c r="Q151"/>
      <c r="R151"/>
      <c r="S151"/>
      <c r="U151" s="84" t="s">
        <v>530</v>
      </c>
      <c r="V151" s="80"/>
      <c r="W151" s="82" t="s">
        <v>551</v>
      </c>
      <c r="X151" s="82"/>
      <c r="Y151" s="85" t="s">
        <v>531</v>
      </c>
      <c r="Z151" s="86" t="s">
        <v>532</v>
      </c>
      <c r="AA151" s="86" t="s">
        <v>26</v>
      </c>
      <c r="AB151" s="86"/>
      <c r="AC151" s="87">
        <v>0</v>
      </c>
      <c r="AD151" s="88">
        <f t="shared" si="31"/>
        <v>0</v>
      </c>
      <c r="AF151" s="54">
        <v>100304</v>
      </c>
      <c r="AQ151" s="80"/>
      <c r="AR151" s="80"/>
    </row>
    <row r="152" spans="1:44" ht="14.4">
      <c r="A152" s="70">
        <v>100305</v>
      </c>
      <c r="B152" s="78" t="str">
        <f>VLOOKUP(A152,'TB for financial'!A:B,2,0)</f>
        <v>Bank One Canada-Syntel Inc</v>
      </c>
      <c r="D152" s="79">
        <f>VLOOKUP(A152,'TB for financial'!A:F,6,0)</f>
        <v>0</v>
      </c>
      <c r="E152" s="80"/>
      <c r="F152" s="79">
        <f>VLOOKUP(A152,'TB for financial'!A:K,11,0)</f>
        <v>0</v>
      </c>
      <c r="G152" s="80"/>
      <c r="H152" s="81">
        <f t="shared" si="27"/>
        <v>0</v>
      </c>
      <c r="I152" s="81">
        <v>0</v>
      </c>
      <c r="J152" s="81">
        <f t="shared" si="28"/>
        <v>0</v>
      </c>
      <c r="K152" s="80"/>
      <c r="L152" s="82">
        <f t="shared" si="29"/>
        <v>0</v>
      </c>
      <c r="M152" s="82">
        <v>0</v>
      </c>
      <c r="N152" s="82">
        <f t="shared" si="30"/>
        <v>0</v>
      </c>
      <c r="O152" s="83"/>
      <c r="P152"/>
      <c r="Q152"/>
      <c r="R152"/>
      <c r="S152"/>
      <c r="U152" s="84" t="s">
        <v>530</v>
      </c>
      <c r="V152" s="80"/>
      <c r="W152" s="82" t="s">
        <v>551</v>
      </c>
      <c r="X152" s="82"/>
      <c r="Y152" s="85" t="s">
        <v>531</v>
      </c>
      <c r="Z152" s="86" t="s">
        <v>532</v>
      </c>
      <c r="AA152" s="86" t="s">
        <v>26</v>
      </c>
      <c r="AB152" s="86"/>
      <c r="AC152" s="87">
        <v>0</v>
      </c>
      <c r="AD152" s="88">
        <f t="shared" si="31"/>
        <v>0</v>
      </c>
      <c r="AF152" s="54">
        <v>100305</v>
      </c>
      <c r="AQ152" s="80"/>
      <c r="AR152" s="80"/>
    </row>
    <row r="153" spans="1:44" ht="14.4">
      <c r="A153" s="70">
        <v>100314</v>
      </c>
      <c r="B153" s="78" t="str">
        <f>VLOOKUP(A153,'TB for financial'!A:B,2,0)</f>
        <v>Axis Bank - USD FCY</v>
      </c>
      <c r="D153" s="79">
        <f>VLOOKUP(A153,'TB for financial'!A:F,6,0)</f>
        <v>0</v>
      </c>
      <c r="E153" s="80"/>
      <c r="F153" s="79">
        <f>VLOOKUP(A153,'TB for financial'!A:K,11,0)</f>
        <v>0</v>
      </c>
      <c r="G153" s="80"/>
      <c r="H153" s="81">
        <f t="shared" si="27"/>
        <v>0</v>
      </c>
      <c r="I153" s="81">
        <v>0</v>
      </c>
      <c r="J153" s="81">
        <f t="shared" si="28"/>
        <v>0</v>
      </c>
      <c r="K153" s="80"/>
      <c r="L153" s="82">
        <f t="shared" si="29"/>
        <v>0</v>
      </c>
      <c r="M153" s="82">
        <v>0</v>
      </c>
      <c r="N153" s="82">
        <f t="shared" si="30"/>
        <v>0</v>
      </c>
      <c r="O153" s="83"/>
      <c r="P153"/>
      <c r="Q153"/>
      <c r="R153"/>
      <c r="S153"/>
      <c r="U153" s="84" t="s">
        <v>530</v>
      </c>
      <c r="V153" s="80"/>
      <c r="W153" s="82" t="s">
        <v>551</v>
      </c>
      <c r="X153" s="82"/>
      <c r="Y153" s="85" t="s">
        <v>531</v>
      </c>
      <c r="Z153" s="86" t="s">
        <v>532</v>
      </c>
      <c r="AA153" s="86" t="s">
        <v>26</v>
      </c>
      <c r="AB153" s="86"/>
      <c r="AC153" s="87">
        <v>0</v>
      </c>
      <c r="AD153" s="88">
        <f t="shared" si="31"/>
        <v>0</v>
      </c>
      <c r="AF153" s="54">
        <v>100314</v>
      </c>
      <c r="AQ153" s="80"/>
      <c r="AR153" s="80"/>
    </row>
    <row r="154" spans="1:44" ht="14.4">
      <c r="A154" s="70">
        <v>100320</v>
      </c>
      <c r="B154" s="78" t="str">
        <f>VLOOKUP(A154,'TB for financial'!A:B,2,0)</f>
        <v>HDFC Bank -USD EEFC</v>
      </c>
      <c r="D154" s="79">
        <f>VLOOKUP(A154,'TB for financial'!A:F,6,0)</f>
        <v>0</v>
      </c>
      <c r="E154" s="80"/>
      <c r="F154" s="79">
        <f>VLOOKUP(A154,'TB for financial'!A:K,11,0)</f>
        <v>0</v>
      </c>
      <c r="G154" s="80"/>
      <c r="H154" s="81">
        <f t="shared" si="27"/>
        <v>0</v>
      </c>
      <c r="I154" s="81">
        <v>0</v>
      </c>
      <c r="J154" s="81">
        <f t="shared" si="28"/>
        <v>0</v>
      </c>
      <c r="K154" s="80"/>
      <c r="L154" s="82">
        <f t="shared" si="29"/>
        <v>0</v>
      </c>
      <c r="M154" s="82">
        <v>0</v>
      </c>
      <c r="N154" s="82">
        <f t="shared" si="30"/>
        <v>0</v>
      </c>
      <c r="O154" s="83"/>
      <c r="P154"/>
      <c r="Q154"/>
      <c r="R154"/>
      <c r="S154"/>
      <c r="U154" s="84" t="s">
        <v>530</v>
      </c>
      <c r="V154" s="80"/>
      <c r="W154" s="82" t="s">
        <v>551</v>
      </c>
      <c r="X154" s="82"/>
      <c r="Y154" s="85" t="s">
        <v>531</v>
      </c>
      <c r="Z154" s="86" t="s">
        <v>532</v>
      </c>
      <c r="AA154" s="86" t="s">
        <v>26</v>
      </c>
      <c r="AB154" s="86"/>
      <c r="AC154" s="87">
        <v>0</v>
      </c>
      <c r="AD154" s="88">
        <f t="shared" si="31"/>
        <v>0</v>
      </c>
      <c r="AF154" s="54">
        <v>100320</v>
      </c>
      <c r="AQ154" s="80"/>
      <c r="AR154" s="80"/>
    </row>
    <row r="155" spans="1:44" ht="14.4">
      <c r="A155" s="70">
        <v>100325</v>
      </c>
      <c r="B155" s="78" t="str">
        <f>VLOOKUP(A155,'TB for financial'!A:B,2,0)</f>
        <v xml:space="preserve">HDFC Bank -USD FC </v>
      </c>
      <c r="D155" s="79">
        <f>VLOOKUP(A155,'TB for financial'!A:F,6,0)</f>
        <v>0</v>
      </c>
      <c r="E155" s="80"/>
      <c r="F155" s="79">
        <f>VLOOKUP(A155,'TB for financial'!A:K,11,0)</f>
        <v>0</v>
      </c>
      <c r="G155" s="80"/>
      <c r="H155" s="81">
        <f t="shared" si="27"/>
        <v>0</v>
      </c>
      <c r="I155" s="81">
        <v>0</v>
      </c>
      <c r="J155" s="81">
        <f t="shared" si="28"/>
        <v>0</v>
      </c>
      <c r="K155" s="80"/>
      <c r="L155" s="82">
        <f t="shared" si="29"/>
        <v>0</v>
      </c>
      <c r="M155" s="82">
        <v>0</v>
      </c>
      <c r="N155" s="82">
        <f t="shared" si="30"/>
        <v>0</v>
      </c>
      <c r="O155" s="83"/>
      <c r="P155"/>
      <c r="Q155"/>
      <c r="R155"/>
      <c r="S155"/>
      <c r="U155" s="84" t="s">
        <v>530</v>
      </c>
      <c r="V155" s="80"/>
      <c r="W155" s="82" t="s">
        <v>551</v>
      </c>
      <c r="X155" s="82"/>
      <c r="Y155" s="85" t="s">
        <v>531</v>
      </c>
      <c r="Z155" s="86" t="s">
        <v>532</v>
      </c>
      <c r="AA155" s="86" t="s">
        <v>26</v>
      </c>
      <c r="AB155" s="86"/>
      <c r="AC155" s="87">
        <v>0</v>
      </c>
      <c r="AD155" s="88">
        <f t="shared" si="31"/>
        <v>0</v>
      </c>
      <c r="AF155" s="54">
        <v>100325</v>
      </c>
      <c r="AQ155" s="80"/>
      <c r="AR155" s="80"/>
    </row>
    <row r="156" spans="1:44" ht="14.4">
      <c r="A156" s="70">
        <v>100327</v>
      </c>
      <c r="B156" s="78" t="str">
        <f>VLOOKUP(A156,'TB for financial'!A:B,2,0)</f>
        <v>Standard Chartered -USD FC</v>
      </c>
      <c r="D156" s="79">
        <f>VLOOKUP(A156,'TB for financial'!A:F,6,0)</f>
        <v>0</v>
      </c>
      <c r="E156" s="80"/>
      <c r="F156" s="79">
        <f>VLOOKUP(A156,'TB for financial'!A:K,11,0)</f>
        <v>0</v>
      </c>
      <c r="G156" s="80"/>
      <c r="H156" s="81">
        <f t="shared" si="27"/>
        <v>0</v>
      </c>
      <c r="I156" s="81">
        <v>0</v>
      </c>
      <c r="J156" s="81">
        <f t="shared" si="28"/>
        <v>0</v>
      </c>
      <c r="K156" s="80"/>
      <c r="L156" s="82">
        <f t="shared" si="29"/>
        <v>0</v>
      </c>
      <c r="M156" s="82">
        <v>0</v>
      </c>
      <c r="N156" s="82">
        <f t="shared" si="30"/>
        <v>0</v>
      </c>
      <c r="O156" s="83"/>
      <c r="P156"/>
      <c r="Q156"/>
      <c r="R156"/>
      <c r="S156"/>
      <c r="U156" s="84" t="s">
        <v>530</v>
      </c>
      <c r="V156" s="80"/>
      <c r="W156" s="82" t="s">
        <v>551</v>
      </c>
      <c r="X156" s="82"/>
      <c r="Y156" s="85" t="s">
        <v>531</v>
      </c>
      <c r="Z156" s="86" t="s">
        <v>532</v>
      </c>
      <c r="AA156" s="86" t="s">
        <v>26</v>
      </c>
      <c r="AB156" s="86"/>
      <c r="AC156" s="87">
        <v>0</v>
      </c>
      <c r="AD156" s="88">
        <f t="shared" si="31"/>
        <v>0</v>
      </c>
      <c r="AF156" s="54">
        <v>100327</v>
      </c>
      <c r="AQ156" s="80"/>
      <c r="AR156" s="80"/>
    </row>
    <row r="157" spans="1:44" ht="14.4">
      <c r="A157" s="70">
        <v>100400</v>
      </c>
      <c r="B157" s="78" t="str">
        <f>VLOOKUP(A157,'TB for financial'!A:B,2,0)</f>
        <v>Bank-NBD (Old)</v>
      </c>
      <c r="D157" s="79">
        <f>VLOOKUP(A157,'TB for financial'!A:F,6,0)</f>
        <v>0</v>
      </c>
      <c r="E157" s="80"/>
      <c r="F157" s="79">
        <f>VLOOKUP(A157,'TB for financial'!A:K,11,0)</f>
        <v>0</v>
      </c>
      <c r="G157" s="80"/>
      <c r="H157" s="81">
        <f t="shared" si="27"/>
        <v>0</v>
      </c>
      <c r="I157" s="81">
        <v>0</v>
      </c>
      <c r="J157" s="81">
        <f t="shared" si="28"/>
        <v>0</v>
      </c>
      <c r="K157" s="80"/>
      <c r="L157" s="82">
        <f t="shared" si="29"/>
        <v>0</v>
      </c>
      <c r="M157" s="82">
        <v>0</v>
      </c>
      <c r="N157" s="82">
        <f t="shared" si="30"/>
        <v>0</v>
      </c>
      <c r="O157" s="83"/>
      <c r="P157"/>
      <c r="Q157"/>
      <c r="R157"/>
      <c r="S157"/>
      <c r="U157" s="84" t="s">
        <v>530</v>
      </c>
      <c r="V157" s="80"/>
      <c r="W157" s="82" t="s">
        <v>551</v>
      </c>
      <c r="X157" s="82"/>
      <c r="Y157" s="85" t="s">
        <v>531</v>
      </c>
      <c r="Z157" s="86" t="s">
        <v>532</v>
      </c>
      <c r="AA157" s="86" t="s">
        <v>26</v>
      </c>
      <c r="AB157" s="86"/>
      <c r="AC157" s="87">
        <v>0</v>
      </c>
      <c r="AD157" s="88">
        <f t="shared" si="31"/>
        <v>0</v>
      </c>
      <c r="AF157" s="54">
        <v>100400</v>
      </c>
      <c r="AQ157" s="80"/>
      <c r="AR157" s="80"/>
    </row>
    <row r="158" spans="1:44" ht="14.4">
      <c r="A158" s="70">
        <v>100440</v>
      </c>
      <c r="B158" s="78" t="str">
        <f>VLOOKUP(A158,'TB for financial'!A:B,2,0)</f>
        <v>Bank-NBD Deposit Account</v>
      </c>
      <c r="D158" s="79">
        <f>VLOOKUP(A158,'TB for financial'!A:F,6,0)</f>
        <v>0</v>
      </c>
      <c r="E158" s="80"/>
      <c r="F158" s="79">
        <f>VLOOKUP(A158,'TB for financial'!A:K,11,0)</f>
        <v>0</v>
      </c>
      <c r="G158" s="80"/>
      <c r="H158" s="81">
        <f t="shared" si="27"/>
        <v>0</v>
      </c>
      <c r="I158" s="81">
        <v>0</v>
      </c>
      <c r="J158" s="81">
        <f t="shared" si="28"/>
        <v>0</v>
      </c>
      <c r="K158" s="80"/>
      <c r="L158" s="82">
        <f t="shared" si="29"/>
        <v>0</v>
      </c>
      <c r="M158" s="82">
        <v>0</v>
      </c>
      <c r="N158" s="82">
        <f t="shared" si="30"/>
        <v>0</v>
      </c>
      <c r="O158" s="83"/>
      <c r="P158"/>
      <c r="Q158"/>
      <c r="R158"/>
      <c r="S158"/>
      <c r="U158" s="84" t="s">
        <v>530</v>
      </c>
      <c r="V158" s="80"/>
      <c r="W158" s="82" t="s">
        <v>551</v>
      </c>
      <c r="X158" s="82"/>
      <c r="Y158" s="85" t="s">
        <v>531</v>
      </c>
      <c r="Z158" s="86" t="s">
        <v>532</v>
      </c>
      <c r="AA158" s="86" t="s">
        <v>26</v>
      </c>
      <c r="AB158" s="86"/>
      <c r="AC158" s="87">
        <v>0</v>
      </c>
      <c r="AD158" s="88">
        <f t="shared" si="31"/>
        <v>0</v>
      </c>
      <c r="AF158" s="54">
        <v>100440</v>
      </c>
      <c r="AQ158" s="80"/>
      <c r="AR158" s="80"/>
    </row>
    <row r="159" spans="1:44" ht="14.4">
      <c r="A159" s="70">
        <v>100441</v>
      </c>
      <c r="B159" s="78" t="str">
        <f>VLOOKUP(A159,'TB for financial'!A:B,2,0)</f>
        <v>Bank of America</v>
      </c>
      <c r="D159" s="79">
        <f>VLOOKUP(A159,'TB for financial'!A:F,6,0)</f>
        <v>0</v>
      </c>
      <c r="E159" s="80"/>
      <c r="F159" s="79">
        <f>VLOOKUP(A159,'TB for financial'!A:K,11,0)</f>
        <v>0</v>
      </c>
      <c r="G159" s="80"/>
      <c r="H159" s="81">
        <f t="shared" si="27"/>
        <v>0</v>
      </c>
      <c r="I159" s="81">
        <v>0</v>
      </c>
      <c r="J159" s="81">
        <f t="shared" si="28"/>
        <v>0</v>
      </c>
      <c r="K159" s="80"/>
      <c r="L159" s="82">
        <f t="shared" si="29"/>
        <v>0</v>
      </c>
      <c r="M159" s="82">
        <v>0</v>
      </c>
      <c r="N159" s="82">
        <f t="shared" si="30"/>
        <v>0</v>
      </c>
      <c r="O159" s="83"/>
      <c r="P159"/>
      <c r="Q159"/>
      <c r="R159"/>
      <c r="S159"/>
      <c r="U159" s="84" t="s">
        <v>530</v>
      </c>
      <c r="V159" s="80"/>
      <c r="W159" s="82" t="s">
        <v>551</v>
      </c>
      <c r="X159" s="82"/>
      <c r="Y159" s="85" t="s">
        <v>531</v>
      </c>
      <c r="Z159" s="86" t="s">
        <v>532</v>
      </c>
      <c r="AA159" s="86" t="s">
        <v>26</v>
      </c>
      <c r="AB159" s="86"/>
      <c r="AC159" s="87">
        <v>0</v>
      </c>
      <c r="AD159" s="88">
        <f t="shared" si="31"/>
        <v>0</v>
      </c>
      <c r="AF159" s="54">
        <v>100441</v>
      </c>
      <c r="AQ159" s="80"/>
      <c r="AR159" s="80"/>
    </row>
    <row r="160" spans="1:44" ht="14.4">
      <c r="A160" s="70">
        <v>100450</v>
      </c>
      <c r="B160" s="78" t="str">
        <f>VLOOKUP(A160,'TB for financial'!A:B,2,0)</f>
        <v>Bank-NBD A/P Checks</v>
      </c>
      <c r="D160" s="79">
        <f>VLOOKUP(A160,'TB for financial'!A:F,6,0)</f>
        <v>0</v>
      </c>
      <c r="E160" s="80"/>
      <c r="F160" s="79">
        <f>VLOOKUP(A160,'TB for financial'!A:K,11,0)</f>
        <v>0</v>
      </c>
      <c r="G160" s="80"/>
      <c r="H160" s="81">
        <f t="shared" si="27"/>
        <v>0</v>
      </c>
      <c r="I160" s="81">
        <v>0</v>
      </c>
      <c r="J160" s="81">
        <f t="shared" si="28"/>
        <v>0</v>
      </c>
      <c r="K160" s="80"/>
      <c r="L160" s="82">
        <f t="shared" si="29"/>
        <v>0</v>
      </c>
      <c r="M160" s="82">
        <v>0</v>
      </c>
      <c r="N160" s="82">
        <f t="shared" si="30"/>
        <v>0</v>
      </c>
      <c r="O160" s="83"/>
      <c r="P160"/>
      <c r="Q160"/>
      <c r="R160"/>
      <c r="S160"/>
      <c r="U160" s="84" t="s">
        <v>530</v>
      </c>
      <c r="V160" s="80"/>
      <c r="W160" s="82" t="s">
        <v>551</v>
      </c>
      <c r="X160" s="82"/>
      <c r="Y160" s="85" t="s">
        <v>531</v>
      </c>
      <c r="Z160" s="86" t="s">
        <v>532</v>
      </c>
      <c r="AA160" s="86" t="s">
        <v>26</v>
      </c>
      <c r="AB160" s="86"/>
      <c r="AC160" s="87">
        <v>0</v>
      </c>
      <c r="AD160" s="88">
        <f t="shared" si="31"/>
        <v>0</v>
      </c>
      <c r="AF160" s="54">
        <v>100450</v>
      </c>
      <c r="AQ160" s="80"/>
      <c r="AR160" s="80"/>
    </row>
    <row r="161" spans="1:44" ht="14.4">
      <c r="A161" s="70">
        <v>100451</v>
      </c>
      <c r="B161" s="78" t="str">
        <f>VLOOKUP(A161,'TB for financial'!A:B,2,0)</f>
        <v>JPMorgan Chase Bank N.A. Curre</v>
      </c>
      <c r="D161" s="79">
        <f>VLOOKUP(A161,'TB for financial'!A:F,6,0)</f>
        <v>0</v>
      </c>
      <c r="E161" s="80"/>
      <c r="F161" s="79">
        <f>VLOOKUP(A161,'TB for financial'!A:K,11,0)</f>
        <v>0</v>
      </c>
      <c r="G161" s="80"/>
      <c r="H161" s="81">
        <f t="shared" si="27"/>
        <v>0</v>
      </c>
      <c r="I161" s="81">
        <v>0</v>
      </c>
      <c r="J161" s="81">
        <f t="shared" si="28"/>
        <v>0</v>
      </c>
      <c r="K161" s="80"/>
      <c r="L161" s="82">
        <f t="shared" si="29"/>
        <v>0</v>
      </c>
      <c r="M161" s="82">
        <v>0</v>
      </c>
      <c r="N161" s="82">
        <f t="shared" si="30"/>
        <v>0</v>
      </c>
      <c r="O161" s="83"/>
      <c r="P161"/>
      <c r="Q161"/>
      <c r="R161"/>
      <c r="S161"/>
      <c r="U161" s="84"/>
      <c r="V161" s="80"/>
      <c r="W161" s="82"/>
      <c r="X161" s="82"/>
      <c r="Y161" s="85" t="s">
        <v>531</v>
      </c>
      <c r="Z161" s="86" t="s">
        <v>532</v>
      </c>
      <c r="AA161" s="86" t="s">
        <v>26</v>
      </c>
      <c r="AB161" s="86"/>
      <c r="AC161" s="87">
        <v>0</v>
      </c>
      <c r="AD161" s="88">
        <f t="shared" si="31"/>
        <v>0</v>
      </c>
      <c r="AF161" s="54">
        <v>100451</v>
      </c>
      <c r="AQ161" s="80"/>
      <c r="AR161" s="80"/>
    </row>
    <row r="162" spans="1:44" ht="14.4">
      <c r="A162" s="70">
        <v>100452</v>
      </c>
      <c r="B162" s="78" t="str">
        <f>VLOOKUP(A162,'TB for financial'!A:B,2,0)</f>
        <v>JPMorgan Chase Bank N.A. Payro</v>
      </c>
      <c r="D162" s="79">
        <f>VLOOKUP(A162,'TB for financial'!A:F,6,0)</f>
        <v>0</v>
      </c>
      <c r="E162" s="80"/>
      <c r="F162" s="79">
        <f>VLOOKUP(A162,'TB for financial'!A:K,11,0)</f>
        <v>0</v>
      </c>
      <c r="G162" s="80"/>
      <c r="H162" s="81">
        <f t="shared" si="27"/>
        <v>0</v>
      </c>
      <c r="I162" s="81">
        <v>0</v>
      </c>
      <c r="J162" s="81">
        <f t="shared" si="28"/>
        <v>0</v>
      </c>
      <c r="K162" s="80"/>
      <c r="L162" s="82">
        <f t="shared" si="29"/>
        <v>0</v>
      </c>
      <c r="M162" s="82">
        <v>0</v>
      </c>
      <c r="N162" s="82">
        <f t="shared" si="30"/>
        <v>0</v>
      </c>
      <c r="O162" s="83"/>
      <c r="P162"/>
      <c r="Q162"/>
      <c r="R162"/>
      <c r="S162"/>
      <c r="U162" s="84"/>
      <c r="V162" s="80"/>
      <c r="W162" s="82"/>
      <c r="X162" s="82"/>
      <c r="Y162" s="85" t="s">
        <v>531</v>
      </c>
      <c r="Z162" s="86" t="s">
        <v>532</v>
      </c>
      <c r="AA162" s="86" t="s">
        <v>26</v>
      </c>
      <c r="AB162" s="86"/>
      <c r="AC162" s="87">
        <v>0</v>
      </c>
      <c r="AD162" s="88">
        <f t="shared" si="31"/>
        <v>0</v>
      </c>
      <c r="AF162" s="54">
        <v>100452</v>
      </c>
      <c r="AQ162" s="80"/>
      <c r="AR162" s="80"/>
    </row>
    <row r="163" spans="1:44" ht="14.4">
      <c r="A163" s="70">
        <v>100454</v>
      </c>
      <c r="B163" s="78" t="str">
        <f>VLOOKUP(A163,'TB for financial'!A:B,2,0)</f>
        <v>JPMorgan Chase Bank N.A. FCY A</v>
      </c>
      <c r="D163" s="79">
        <f>VLOOKUP(A163,'TB for financial'!A:F,6,0)</f>
        <v>0</v>
      </c>
      <c r="E163" s="80"/>
      <c r="F163" s="79">
        <f>VLOOKUP(A163,'TB for financial'!A:K,11,0)</f>
        <v>0</v>
      </c>
      <c r="G163" s="80"/>
      <c r="H163" s="81">
        <f t="shared" si="27"/>
        <v>0</v>
      </c>
      <c r="I163" s="81">
        <v>0</v>
      </c>
      <c r="J163" s="81">
        <f t="shared" si="28"/>
        <v>0</v>
      </c>
      <c r="K163" s="80"/>
      <c r="L163" s="82">
        <f t="shared" si="29"/>
        <v>0</v>
      </c>
      <c r="M163" s="82">
        <v>0</v>
      </c>
      <c r="N163" s="82">
        <f t="shared" si="30"/>
        <v>0</v>
      </c>
      <c r="O163" s="83"/>
      <c r="P163"/>
      <c r="Q163"/>
      <c r="R163"/>
      <c r="S163"/>
      <c r="U163" s="84"/>
      <c r="V163" s="80"/>
      <c r="W163" s="82"/>
      <c r="X163" s="82"/>
      <c r="Y163" s="85" t="s">
        <v>531</v>
      </c>
      <c r="Z163" s="86" t="s">
        <v>532</v>
      </c>
      <c r="AA163" s="86" t="s">
        <v>26</v>
      </c>
      <c r="AB163" s="86"/>
      <c r="AC163" s="87">
        <v>0</v>
      </c>
      <c r="AD163" s="88">
        <f t="shared" si="31"/>
        <v>0</v>
      </c>
      <c r="AF163" s="54">
        <v>100454</v>
      </c>
      <c r="AQ163" s="80"/>
      <c r="AR163" s="80"/>
    </row>
    <row r="164" spans="1:44" ht="14.4">
      <c r="A164" s="70">
        <v>100460</v>
      </c>
      <c r="B164" s="78" t="str">
        <f>VLOOKUP(A164,'TB for financial'!A:B,2,0)</f>
        <v>Bank-NBD Expense Checks</v>
      </c>
      <c r="D164" s="79">
        <f>VLOOKUP(A164,'TB for financial'!A:F,6,0)</f>
        <v>0</v>
      </c>
      <c r="E164" s="80"/>
      <c r="F164" s="79">
        <f>VLOOKUP(A164,'TB for financial'!A:K,11,0)</f>
        <v>0</v>
      </c>
      <c r="G164" s="80"/>
      <c r="H164" s="81">
        <f t="shared" si="27"/>
        <v>0</v>
      </c>
      <c r="I164" s="81">
        <v>0</v>
      </c>
      <c r="J164" s="81">
        <f t="shared" si="28"/>
        <v>0</v>
      </c>
      <c r="K164" s="80"/>
      <c r="L164" s="82">
        <f t="shared" si="29"/>
        <v>0</v>
      </c>
      <c r="M164" s="82">
        <v>0</v>
      </c>
      <c r="N164" s="82">
        <f t="shared" si="30"/>
        <v>0</v>
      </c>
      <c r="O164" s="83"/>
      <c r="P164"/>
      <c r="Q164"/>
      <c r="R164"/>
      <c r="S164"/>
      <c r="U164" s="84" t="s">
        <v>530</v>
      </c>
      <c r="V164" s="80"/>
      <c r="W164" s="82" t="s">
        <v>551</v>
      </c>
      <c r="X164" s="82"/>
      <c r="Y164" s="85" t="s">
        <v>531</v>
      </c>
      <c r="Z164" s="86" t="s">
        <v>532</v>
      </c>
      <c r="AA164" s="86" t="s">
        <v>26</v>
      </c>
      <c r="AB164" s="86"/>
      <c r="AC164" s="87">
        <v>0</v>
      </c>
      <c r="AD164" s="88">
        <f t="shared" si="31"/>
        <v>0</v>
      </c>
      <c r="AF164" s="54">
        <v>100460</v>
      </c>
      <c r="AQ164" s="80"/>
      <c r="AR164" s="80"/>
    </row>
    <row r="165" spans="1:44" ht="14.4">
      <c r="A165" s="70">
        <v>100470</v>
      </c>
      <c r="B165" s="78" t="str">
        <f>VLOOKUP(A165,'TB for financial'!A:B,2,0)</f>
        <v>Bank-NBD Flexible Spending Ckg</v>
      </c>
      <c r="D165" s="79">
        <f>VLOOKUP(A165,'TB for financial'!A:F,6,0)</f>
        <v>0</v>
      </c>
      <c r="E165" s="80"/>
      <c r="F165" s="79">
        <f>VLOOKUP(A165,'TB for financial'!A:K,11,0)</f>
        <v>0</v>
      </c>
      <c r="G165" s="80"/>
      <c r="H165" s="81">
        <f t="shared" si="27"/>
        <v>0</v>
      </c>
      <c r="I165" s="81">
        <v>0</v>
      </c>
      <c r="J165" s="81">
        <f t="shared" si="28"/>
        <v>0</v>
      </c>
      <c r="K165" s="80"/>
      <c r="L165" s="82">
        <f t="shared" si="29"/>
        <v>0</v>
      </c>
      <c r="M165" s="82">
        <v>0</v>
      </c>
      <c r="N165" s="82">
        <f t="shared" si="30"/>
        <v>0</v>
      </c>
      <c r="O165" s="83"/>
      <c r="P165"/>
      <c r="Q165"/>
      <c r="R165"/>
      <c r="S165"/>
      <c r="U165" s="84" t="s">
        <v>530</v>
      </c>
      <c r="V165" s="80"/>
      <c r="W165" s="82" t="s">
        <v>551</v>
      </c>
      <c r="X165" s="82"/>
      <c r="Y165" s="85" t="s">
        <v>531</v>
      </c>
      <c r="Z165" s="86" t="s">
        <v>532</v>
      </c>
      <c r="AA165" s="86" t="s">
        <v>26</v>
      </c>
      <c r="AB165" s="86"/>
      <c r="AC165" s="87">
        <v>0</v>
      </c>
      <c r="AD165" s="88">
        <f t="shared" si="31"/>
        <v>0</v>
      </c>
      <c r="AF165" s="54">
        <v>100470</v>
      </c>
      <c r="AQ165" s="80"/>
      <c r="AR165" s="80"/>
    </row>
    <row r="166" spans="1:44" ht="14.4">
      <c r="A166" s="70">
        <v>100480</v>
      </c>
      <c r="B166" s="78" t="str">
        <f>VLOOKUP(A166,'TB for financial'!A:B,2,0)</f>
        <v>Bank-NBD Escrow Checking Acct</v>
      </c>
      <c r="D166" s="79">
        <f>VLOOKUP(A166,'TB for financial'!A:F,6,0)</f>
        <v>0</v>
      </c>
      <c r="E166" s="80"/>
      <c r="F166" s="79">
        <f>VLOOKUP(A166,'TB for financial'!A:K,11,0)</f>
        <v>0</v>
      </c>
      <c r="G166" s="80"/>
      <c r="H166" s="81">
        <f t="shared" si="27"/>
        <v>0</v>
      </c>
      <c r="I166" s="81">
        <v>0</v>
      </c>
      <c r="J166" s="81">
        <f t="shared" si="28"/>
        <v>0</v>
      </c>
      <c r="K166" s="80"/>
      <c r="L166" s="82">
        <f t="shared" si="29"/>
        <v>0</v>
      </c>
      <c r="M166" s="82">
        <v>0</v>
      </c>
      <c r="N166" s="82">
        <f t="shared" si="30"/>
        <v>0</v>
      </c>
      <c r="O166" s="83"/>
      <c r="P166"/>
      <c r="Q166"/>
      <c r="R166"/>
      <c r="S166"/>
      <c r="U166" s="84" t="s">
        <v>530</v>
      </c>
      <c r="V166" s="80"/>
      <c r="W166" s="82" t="s">
        <v>551</v>
      </c>
      <c r="X166" s="82"/>
      <c r="Y166" s="85" t="s">
        <v>531</v>
      </c>
      <c r="Z166" s="86" t="s">
        <v>532</v>
      </c>
      <c r="AA166" s="86" t="s">
        <v>26</v>
      </c>
      <c r="AB166" s="86"/>
      <c r="AC166" s="87">
        <v>0</v>
      </c>
      <c r="AD166" s="88">
        <f t="shared" si="31"/>
        <v>0</v>
      </c>
      <c r="AF166" s="54">
        <v>100480</v>
      </c>
      <c r="AQ166" s="80"/>
      <c r="AR166" s="80"/>
    </row>
    <row r="167" spans="1:44" ht="14.4">
      <c r="A167" s="70">
        <v>100490</v>
      </c>
      <c r="B167" s="78" t="str">
        <f>VLOOKUP(A167,'TB for financial'!A:B,2,0)</f>
        <v>Syntel Earthquake Relief Fund</v>
      </c>
      <c r="D167" s="79">
        <f>VLOOKUP(A167,'TB for financial'!A:F,6,0)</f>
        <v>0</v>
      </c>
      <c r="E167" s="80"/>
      <c r="F167" s="79">
        <f>VLOOKUP(A167,'TB for financial'!A:K,11,0)</f>
        <v>0</v>
      </c>
      <c r="G167" s="80"/>
      <c r="H167" s="81">
        <f t="shared" si="27"/>
        <v>0</v>
      </c>
      <c r="I167" s="81">
        <v>0</v>
      </c>
      <c r="J167" s="81">
        <f t="shared" si="28"/>
        <v>0</v>
      </c>
      <c r="K167" s="80"/>
      <c r="L167" s="82">
        <f t="shared" si="29"/>
        <v>0</v>
      </c>
      <c r="M167" s="82">
        <v>0</v>
      </c>
      <c r="N167" s="82">
        <f t="shared" si="30"/>
        <v>0</v>
      </c>
      <c r="O167" s="83"/>
      <c r="P167"/>
      <c r="Q167"/>
      <c r="R167"/>
      <c r="S167"/>
      <c r="U167" s="84" t="s">
        <v>530</v>
      </c>
      <c r="V167" s="80"/>
      <c r="W167" s="82" t="s">
        <v>551</v>
      </c>
      <c r="X167" s="82"/>
      <c r="Y167" s="85" t="s">
        <v>531</v>
      </c>
      <c r="Z167" s="86" t="s">
        <v>532</v>
      </c>
      <c r="AA167" s="86" t="s">
        <v>26</v>
      </c>
      <c r="AB167" s="86"/>
      <c r="AC167" s="87">
        <v>0</v>
      </c>
      <c r="AD167" s="88">
        <f t="shared" si="31"/>
        <v>0</v>
      </c>
      <c r="AF167" s="54">
        <v>100490</v>
      </c>
      <c r="AQ167" s="80"/>
      <c r="AR167" s="80"/>
    </row>
    <row r="168" spans="1:44" ht="14.4">
      <c r="A168" s="70">
        <v>100491</v>
      </c>
      <c r="B168" s="78" t="str">
        <f>VLOOKUP(A168,'TB for financial'!A:B,2,0)</f>
        <v>Bank Of India - USD FCY</v>
      </c>
      <c r="D168" s="79">
        <f>VLOOKUP(A168,'TB for financial'!A:F,6,0)</f>
        <v>5.8207660913467407E-10</v>
      </c>
      <c r="E168" s="80"/>
      <c r="F168" s="79">
        <f>VLOOKUP(A168,'TB for financial'!A:K,11,0)</f>
        <v>5.8207660913467407E-10</v>
      </c>
      <c r="G168" s="80"/>
      <c r="H168" s="81">
        <f t="shared" si="27"/>
        <v>5.8207660913467407E-10</v>
      </c>
      <c r="I168" s="81">
        <v>0</v>
      </c>
      <c r="J168" s="81">
        <f t="shared" si="28"/>
        <v>0</v>
      </c>
      <c r="K168" s="80"/>
      <c r="L168" s="82">
        <f t="shared" si="29"/>
        <v>5.8207660913467407E-10</v>
      </c>
      <c r="M168" s="82">
        <v>0</v>
      </c>
      <c r="N168" s="82">
        <f>+F168-L168-M168</f>
        <v>0</v>
      </c>
      <c r="O168" s="83"/>
      <c r="P168"/>
      <c r="Q168"/>
      <c r="R168"/>
      <c r="S168"/>
      <c r="U168" s="84" t="s">
        <v>530</v>
      </c>
      <c r="V168" s="80"/>
      <c r="W168" s="82" t="s">
        <v>551</v>
      </c>
      <c r="X168" s="82"/>
      <c r="Y168" s="85" t="s">
        <v>531</v>
      </c>
      <c r="Z168" s="86" t="s">
        <v>532</v>
      </c>
      <c r="AA168" s="86" t="s">
        <v>26</v>
      </c>
      <c r="AB168" s="86"/>
      <c r="AC168" s="87">
        <v>0</v>
      </c>
      <c r="AD168" s="88">
        <f t="shared" si="31"/>
        <v>5.8207660913467407E-10</v>
      </c>
      <c r="AF168" s="54">
        <v>100491</v>
      </c>
      <c r="AQ168" s="80">
        <f>D168</f>
        <v>5.8207660913467407E-10</v>
      </c>
      <c r="AR168" s="80"/>
    </row>
    <row r="169" spans="1:44" ht="14.4">
      <c r="A169" s="70">
        <v>100500</v>
      </c>
      <c r="B169" s="78" t="str">
        <f>VLOOKUP(A169,'TB for financial'!A:B,2,0)</f>
        <v>Metier Checking</v>
      </c>
      <c r="D169" s="79">
        <f>VLOOKUP(A169,'TB for financial'!A:F,6,0)</f>
        <v>0</v>
      </c>
      <c r="E169" s="80"/>
      <c r="F169" s="79">
        <f>VLOOKUP(A169,'TB for financial'!A:K,11,0)</f>
        <v>0</v>
      </c>
      <c r="G169" s="80"/>
      <c r="H169" s="81">
        <f t="shared" si="27"/>
        <v>0</v>
      </c>
      <c r="I169" s="81">
        <v>0</v>
      </c>
      <c r="J169" s="81">
        <f t="shared" si="28"/>
        <v>0</v>
      </c>
      <c r="K169" s="80"/>
      <c r="L169" s="82">
        <f t="shared" si="29"/>
        <v>0</v>
      </c>
      <c r="M169" s="82">
        <v>0</v>
      </c>
      <c r="N169" s="82">
        <f t="shared" si="30"/>
        <v>0</v>
      </c>
      <c r="O169" s="83"/>
      <c r="P169"/>
      <c r="Q169"/>
      <c r="R169"/>
      <c r="S169"/>
      <c r="U169" s="84" t="s">
        <v>530</v>
      </c>
      <c r="V169" s="80"/>
      <c r="W169" s="82" t="s">
        <v>551</v>
      </c>
      <c r="X169" s="82"/>
      <c r="Y169" s="85" t="s">
        <v>531</v>
      </c>
      <c r="Z169" s="86" t="s">
        <v>532</v>
      </c>
      <c r="AA169" s="86" t="s">
        <v>26</v>
      </c>
      <c r="AB169" s="86"/>
      <c r="AC169" s="87">
        <v>0</v>
      </c>
      <c r="AD169" s="88">
        <f t="shared" si="31"/>
        <v>0</v>
      </c>
      <c r="AF169" s="54">
        <v>100500</v>
      </c>
      <c r="AQ169" s="80"/>
      <c r="AR169" s="80"/>
    </row>
    <row r="170" spans="1:44" ht="14.4">
      <c r="A170" s="90">
        <v>100516</v>
      </c>
      <c r="B170" s="78" t="str">
        <f>VLOOKUP(A170,'TB for financial'!A:B,2,0)</f>
        <v>PNB - Current A/c</v>
      </c>
      <c r="D170" s="79">
        <f>VLOOKUP(A170,'TB for financial'!A:F,6,0)</f>
        <v>0</v>
      </c>
      <c r="E170" s="80"/>
      <c r="F170" s="79">
        <f>VLOOKUP(A170,'TB for financial'!A:K,11,0)</f>
        <v>0</v>
      </c>
      <c r="G170" s="80"/>
      <c r="H170" s="81">
        <f t="shared" si="27"/>
        <v>0</v>
      </c>
      <c r="I170" s="81">
        <v>0</v>
      </c>
      <c r="J170" s="81">
        <f t="shared" si="28"/>
        <v>0</v>
      </c>
      <c r="K170" s="80"/>
      <c r="L170" s="82">
        <f t="shared" si="29"/>
        <v>0</v>
      </c>
      <c r="M170" s="82">
        <v>0</v>
      </c>
      <c r="N170" s="82">
        <f t="shared" si="30"/>
        <v>0</v>
      </c>
      <c r="O170" s="83"/>
      <c r="P170"/>
      <c r="Q170"/>
      <c r="R170"/>
      <c r="S170"/>
      <c r="U170" s="84" t="s">
        <v>530</v>
      </c>
      <c r="V170" s="80"/>
      <c r="W170" s="82" t="s">
        <v>551</v>
      </c>
      <c r="X170" s="82"/>
      <c r="Y170" s="85" t="s">
        <v>531</v>
      </c>
      <c r="Z170" s="86" t="s">
        <v>532</v>
      </c>
      <c r="AA170" s="86" t="s">
        <v>26</v>
      </c>
      <c r="AB170" s="86"/>
      <c r="AC170" s="87">
        <v>0</v>
      </c>
      <c r="AD170" s="88">
        <f t="shared" si="31"/>
        <v>0</v>
      </c>
      <c r="AF170" s="54">
        <v>100516</v>
      </c>
      <c r="AQ170" s="80"/>
      <c r="AR170" s="80"/>
    </row>
    <row r="171" spans="1:44" ht="14.4">
      <c r="A171" s="103">
        <v>100520</v>
      </c>
      <c r="B171" s="78" t="str">
        <f>VLOOKUP(A171,'TB for financial'!A:B,2,0)</f>
        <v>Metier Investments</v>
      </c>
      <c r="D171" s="79">
        <f>VLOOKUP(A171,'TB for financial'!A:F,6,0)</f>
        <v>0</v>
      </c>
      <c r="E171" s="80"/>
      <c r="F171" s="79">
        <f>VLOOKUP(A171,'TB for financial'!A:K,11,0)</f>
        <v>0</v>
      </c>
      <c r="G171" s="80"/>
      <c r="H171" s="81">
        <f t="shared" si="27"/>
        <v>0</v>
      </c>
      <c r="I171" s="81">
        <v>0</v>
      </c>
      <c r="J171" s="81">
        <f t="shared" si="28"/>
        <v>0</v>
      </c>
      <c r="K171" s="80"/>
      <c r="L171" s="82">
        <f t="shared" si="29"/>
        <v>0</v>
      </c>
      <c r="M171" s="82">
        <v>0</v>
      </c>
      <c r="N171" s="82">
        <f t="shared" si="30"/>
        <v>0</v>
      </c>
      <c r="O171" s="83"/>
      <c r="P171"/>
      <c r="Q171"/>
      <c r="R171"/>
      <c r="S171"/>
      <c r="U171" s="84" t="s">
        <v>530</v>
      </c>
      <c r="V171" s="80"/>
      <c r="W171" s="82" t="s">
        <v>551</v>
      </c>
      <c r="X171" s="82"/>
      <c r="Y171" s="85" t="s">
        <v>531</v>
      </c>
      <c r="Z171" s="86" t="s">
        <v>532</v>
      </c>
      <c r="AA171" s="86" t="s">
        <v>26</v>
      </c>
      <c r="AB171" s="86"/>
      <c r="AC171" s="87">
        <v>0</v>
      </c>
      <c r="AD171" s="88">
        <f t="shared" si="31"/>
        <v>0</v>
      </c>
      <c r="AF171" s="54">
        <v>100520</v>
      </c>
      <c r="AQ171" s="80"/>
      <c r="AR171" s="80"/>
    </row>
    <row r="172" spans="1:44" ht="14.4">
      <c r="A172" s="103">
        <v>100600</v>
      </c>
      <c r="B172" s="78" t="str">
        <f>VLOOKUP(A172,'TB for financial'!A:B,2,0)</f>
        <v>IMG Cash</v>
      </c>
      <c r="D172" s="79">
        <f>VLOOKUP(A172,'TB for financial'!A:F,6,0)</f>
        <v>0</v>
      </c>
      <c r="E172" s="80"/>
      <c r="F172" s="79">
        <f>VLOOKUP(A172,'TB for financial'!A:K,11,0)</f>
        <v>0</v>
      </c>
      <c r="G172" s="80"/>
      <c r="H172" s="81">
        <f t="shared" si="27"/>
        <v>0</v>
      </c>
      <c r="I172" s="81">
        <v>0</v>
      </c>
      <c r="J172" s="81">
        <f t="shared" si="28"/>
        <v>0</v>
      </c>
      <c r="K172" s="80"/>
      <c r="L172" s="82">
        <f t="shared" si="29"/>
        <v>0</v>
      </c>
      <c r="M172" s="82">
        <v>0</v>
      </c>
      <c r="N172" s="82">
        <f t="shared" si="30"/>
        <v>0</v>
      </c>
      <c r="O172" s="83"/>
      <c r="P172"/>
      <c r="Q172"/>
      <c r="R172"/>
      <c r="S172"/>
      <c r="U172" s="84" t="s">
        <v>530</v>
      </c>
      <c r="V172" s="80"/>
      <c r="W172" s="82" t="s">
        <v>551</v>
      </c>
      <c r="X172" s="82"/>
      <c r="Y172" s="85" t="s">
        <v>531</v>
      </c>
      <c r="Z172" s="86" t="s">
        <v>532</v>
      </c>
      <c r="AA172" s="86" t="s">
        <v>26</v>
      </c>
      <c r="AB172" s="86"/>
      <c r="AC172" s="87">
        <v>0</v>
      </c>
      <c r="AD172" s="88">
        <f t="shared" si="31"/>
        <v>0</v>
      </c>
      <c r="AF172" s="54">
        <v>100600</v>
      </c>
      <c r="AQ172" s="80"/>
      <c r="AR172" s="80"/>
    </row>
    <row r="173" spans="1:44" ht="14.4">
      <c r="A173" s="70">
        <v>100501</v>
      </c>
      <c r="B173" s="78" t="str">
        <f>VLOOKUP(A173,'TB for financial'!A:B,2,0)</f>
        <v xml:space="preserve">Credit Agricole Indosuez INR </v>
      </c>
      <c r="D173" s="79">
        <f>VLOOKUP(A173,'TB for financial'!A:F,6,0)</f>
        <v>0</v>
      </c>
      <c r="E173" s="80"/>
      <c r="F173" s="79">
        <f>VLOOKUP(A173,'TB for financial'!A:K,11,0)</f>
        <v>0</v>
      </c>
      <c r="G173" s="80"/>
      <c r="H173" s="81">
        <f t="shared" si="27"/>
        <v>0</v>
      </c>
      <c r="I173" s="81">
        <v>0</v>
      </c>
      <c r="J173" s="81">
        <f t="shared" si="28"/>
        <v>0</v>
      </c>
      <c r="K173" s="80"/>
      <c r="L173" s="82">
        <f t="shared" si="29"/>
        <v>0</v>
      </c>
      <c r="M173" s="82">
        <v>0</v>
      </c>
      <c r="N173" s="82">
        <f t="shared" si="30"/>
        <v>0</v>
      </c>
      <c r="O173" s="83"/>
      <c r="P173"/>
      <c r="Q173"/>
      <c r="R173"/>
      <c r="S173"/>
      <c r="U173" s="84" t="s">
        <v>530</v>
      </c>
      <c r="V173" s="80"/>
      <c r="W173" s="82" t="s">
        <v>551</v>
      </c>
      <c r="X173" s="82"/>
      <c r="Y173" s="85" t="s">
        <v>531</v>
      </c>
      <c r="Z173" s="86" t="s">
        <v>532</v>
      </c>
      <c r="AA173" s="86" t="s">
        <v>26</v>
      </c>
      <c r="AB173" s="86"/>
      <c r="AC173" s="87">
        <v>0</v>
      </c>
      <c r="AD173" s="88">
        <f t="shared" si="31"/>
        <v>0</v>
      </c>
      <c r="AF173" s="54">
        <v>100501</v>
      </c>
      <c r="AQ173" s="80"/>
      <c r="AR173" s="80"/>
    </row>
    <row r="174" spans="1:44" ht="14.4">
      <c r="A174" s="70">
        <v>100502</v>
      </c>
      <c r="B174" s="78" t="str">
        <f>VLOOKUP(A174,'TB for financial'!A:B,2,0)</f>
        <v>Bank of India - INR</v>
      </c>
      <c r="D174" s="79">
        <f>VLOOKUP(A174,'TB for financial'!A:F,6,0)</f>
        <v>0</v>
      </c>
      <c r="E174" s="80"/>
      <c r="F174" s="79">
        <f>VLOOKUP(A174,'TB for financial'!A:K,11,0)</f>
        <v>0</v>
      </c>
      <c r="G174" s="80"/>
      <c r="H174" s="81">
        <f t="shared" si="27"/>
        <v>0</v>
      </c>
      <c r="I174" s="81">
        <v>0</v>
      </c>
      <c r="J174" s="81">
        <f t="shared" si="28"/>
        <v>0</v>
      </c>
      <c r="K174" s="80"/>
      <c r="L174" s="82">
        <f t="shared" si="29"/>
        <v>0</v>
      </c>
      <c r="M174" s="82">
        <v>0</v>
      </c>
      <c r="N174" s="82">
        <f t="shared" si="30"/>
        <v>0</v>
      </c>
      <c r="O174" s="83"/>
      <c r="P174"/>
      <c r="Q174"/>
      <c r="R174"/>
      <c r="S174"/>
      <c r="U174" s="84" t="s">
        <v>530</v>
      </c>
      <c r="V174" s="80"/>
      <c r="W174" s="82" t="s">
        <v>551</v>
      </c>
      <c r="X174" s="82"/>
      <c r="Y174" s="85" t="s">
        <v>531</v>
      </c>
      <c r="Z174" s="86" t="s">
        <v>532</v>
      </c>
      <c r="AA174" s="86" t="s">
        <v>26</v>
      </c>
      <c r="AB174" s="86"/>
      <c r="AC174" s="87">
        <v>0</v>
      </c>
      <c r="AD174" s="88">
        <f t="shared" si="31"/>
        <v>0</v>
      </c>
      <c r="AF174" s="54">
        <v>100502</v>
      </c>
      <c r="AQ174" s="80"/>
      <c r="AR174" s="80"/>
    </row>
    <row r="175" spans="1:44" ht="14.4">
      <c r="A175" s="70">
        <v>100503</v>
      </c>
      <c r="B175" s="78" t="str">
        <f>VLOOKUP(A175,'TB for financial'!A:B,2,0)</f>
        <v>State Bank of India - INR</v>
      </c>
      <c r="D175" s="79">
        <f>VLOOKUP(A175,'TB for financial'!A:F,6,0)</f>
        <v>0</v>
      </c>
      <c r="E175" s="80"/>
      <c r="F175" s="79">
        <f>VLOOKUP(A175,'TB for financial'!A:K,11,0)</f>
        <v>0</v>
      </c>
      <c r="G175" s="80"/>
      <c r="H175" s="81">
        <f t="shared" si="27"/>
        <v>0</v>
      </c>
      <c r="I175" s="81">
        <v>0</v>
      </c>
      <c r="J175" s="81">
        <f t="shared" si="28"/>
        <v>0</v>
      </c>
      <c r="K175" s="80"/>
      <c r="L175" s="82">
        <f t="shared" si="29"/>
        <v>0</v>
      </c>
      <c r="M175" s="82">
        <v>0</v>
      </c>
      <c r="N175" s="82">
        <f t="shared" si="30"/>
        <v>0</v>
      </c>
      <c r="O175" s="83"/>
      <c r="P175"/>
      <c r="Q175"/>
      <c r="R175"/>
      <c r="S175"/>
      <c r="U175" s="84" t="s">
        <v>530</v>
      </c>
      <c r="V175" s="80"/>
      <c r="W175" s="82" t="s">
        <v>551</v>
      </c>
      <c r="X175" s="82"/>
      <c r="Y175" s="85" t="s">
        <v>531</v>
      </c>
      <c r="Z175" s="86" t="s">
        <v>532</v>
      </c>
      <c r="AA175" s="86" t="s">
        <v>26</v>
      </c>
      <c r="AB175" s="86"/>
      <c r="AC175" s="87">
        <v>0</v>
      </c>
      <c r="AD175" s="88">
        <f t="shared" si="31"/>
        <v>0</v>
      </c>
      <c r="AF175" s="54">
        <v>100503</v>
      </c>
      <c r="AQ175" s="80"/>
      <c r="AR175" s="80"/>
    </row>
    <row r="176" spans="1:44" ht="14.4">
      <c r="A176" s="70">
        <v>100504</v>
      </c>
      <c r="B176" s="78" t="str">
        <f>VLOOKUP(A176,'TB for financial'!A:B,2,0)</f>
        <v>Standard Chartered - INR Mumbai</v>
      </c>
      <c r="D176" s="79">
        <f>VLOOKUP(A176,'TB for financial'!A:F,6,0)</f>
        <v>0</v>
      </c>
      <c r="E176" s="80"/>
      <c r="F176" s="79">
        <f>VLOOKUP(A176,'TB for financial'!A:K,11,0)</f>
        <v>0</v>
      </c>
      <c r="G176" s="80"/>
      <c r="H176" s="81">
        <f t="shared" si="27"/>
        <v>0</v>
      </c>
      <c r="I176" s="81">
        <v>0</v>
      </c>
      <c r="J176" s="81">
        <f t="shared" si="28"/>
        <v>0</v>
      </c>
      <c r="K176" s="80"/>
      <c r="L176" s="82">
        <f t="shared" si="29"/>
        <v>0</v>
      </c>
      <c r="M176" s="82">
        <v>0</v>
      </c>
      <c r="N176" s="82">
        <f t="shared" si="30"/>
        <v>0</v>
      </c>
      <c r="O176" s="83"/>
      <c r="P176"/>
      <c r="Q176"/>
      <c r="R176"/>
      <c r="S176"/>
      <c r="U176" s="84" t="s">
        <v>530</v>
      </c>
      <c r="V176" s="80"/>
      <c r="W176" s="82" t="s">
        <v>551</v>
      </c>
      <c r="X176" s="82"/>
      <c r="Y176" s="85" t="s">
        <v>531</v>
      </c>
      <c r="Z176" s="86" t="s">
        <v>532</v>
      </c>
      <c r="AA176" s="86" t="s">
        <v>26</v>
      </c>
      <c r="AB176" s="86"/>
      <c r="AC176" s="87">
        <v>0</v>
      </c>
      <c r="AD176" s="88">
        <f t="shared" si="31"/>
        <v>0</v>
      </c>
      <c r="AF176" s="54">
        <v>100504</v>
      </c>
      <c r="AQ176" s="80"/>
      <c r="AR176" s="80"/>
    </row>
    <row r="177" spans="1:44" ht="14.4">
      <c r="A177" s="70">
        <v>100505</v>
      </c>
      <c r="B177" s="78" t="str">
        <f>VLOOKUP(A177,'TB for financial'!A:B,2,0)</f>
        <v>American Express Bank - INR</v>
      </c>
      <c r="D177" s="79">
        <f>VLOOKUP(A177,'TB for financial'!A:F,6,0)</f>
        <v>0</v>
      </c>
      <c r="E177" s="80"/>
      <c r="F177" s="79">
        <f>VLOOKUP(A177,'TB for financial'!A:K,11,0)</f>
        <v>0</v>
      </c>
      <c r="G177" s="80"/>
      <c r="H177" s="81">
        <f t="shared" si="27"/>
        <v>0</v>
      </c>
      <c r="I177" s="81">
        <v>0</v>
      </c>
      <c r="J177" s="81">
        <f t="shared" si="28"/>
        <v>0</v>
      </c>
      <c r="K177" s="80"/>
      <c r="L177" s="82">
        <f t="shared" si="29"/>
        <v>0</v>
      </c>
      <c r="M177" s="82">
        <v>0</v>
      </c>
      <c r="N177" s="82">
        <f t="shared" si="30"/>
        <v>0</v>
      </c>
      <c r="O177" s="83"/>
      <c r="P177"/>
      <c r="Q177"/>
      <c r="R177"/>
      <c r="S177"/>
      <c r="U177" s="84" t="s">
        <v>530</v>
      </c>
      <c r="V177" s="80"/>
      <c r="W177" s="82" t="s">
        <v>551</v>
      </c>
      <c r="X177" s="82"/>
      <c r="Y177" s="85" t="s">
        <v>531</v>
      </c>
      <c r="Z177" s="86" t="s">
        <v>532</v>
      </c>
      <c r="AA177" s="86" t="s">
        <v>26</v>
      </c>
      <c r="AB177" s="86"/>
      <c r="AC177" s="87">
        <v>0</v>
      </c>
      <c r="AD177" s="88">
        <f t="shared" si="31"/>
        <v>0</v>
      </c>
      <c r="AF177" s="54">
        <v>100505</v>
      </c>
      <c r="AQ177" s="80"/>
      <c r="AR177" s="80"/>
    </row>
    <row r="178" spans="1:44" ht="14.4">
      <c r="A178" s="70">
        <v>100506</v>
      </c>
      <c r="B178" s="78" t="str">
        <f>VLOOKUP(A178,'TB for financial'!A:B,2,0)</f>
        <v>ICICI Bank - INR</v>
      </c>
      <c r="D178" s="79">
        <f>VLOOKUP(A178,'TB for financial'!A:F,6,0)</f>
        <v>-0.4299999992690573</v>
      </c>
      <c r="E178" s="80"/>
      <c r="F178" s="79">
        <f>VLOOKUP(A178,'TB for financial'!A:K,11,0)</f>
        <v>-0.4299999992690573</v>
      </c>
      <c r="G178" s="80"/>
      <c r="H178" s="81">
        <f t="shared" si="27"/>
        <v>-0.4299999992690573</v>
      </c>
      <c r="I178" s="81">
        <v>0</v>
      </c>
      <c r="J178" s="81">
        <f t="shared" si="28"/>
        <v>0</v>
      </c>
      <c r="K178" s="80"/>
      <c r="L178" s="82">
        <f t="shared" si="29"/>
        <v>-0.4299999992690573</v>
      </c>
      <c r="M178" s="82">
        <v>0</v>
      </c>
      <c r="N178" s="82">
        <f t="shared" si="30"/>
        <v>0</v>
      </c>
      <c r="O178" s="83"/>
      <c r="P178"/>
      <c r="Q178"/>
      <c r="R178"/>
      <c r="S178"/>
      <c r="U178" s="84" t="s">
        <v>530</v>
      </c>
      <c r="V178" s="80"/>
      <c r="W178" s="82" t="s">
        <v>551</v>
      </c>
      <c r="X178" s="82"/>
      <c r="Y178" s="85" t="s">
        <v>531</v>
      </c>
      <c r="Z178" s="86" t="s">
        <v>532</v>
      </c>
      <c r="AA178" s="86" t="s">
        <v>26</v>
      </c>
      <c r="AB178" s="86"/>
      <c r="AC178" s="87">
        <v>0</v>
      </c>
      <c r="AD178" s="88">
        <f t="shared" si="31"/>
        <v>-0.4299999992690573</v>
      </c>
      <c r="AF178" s="54">
        <v>100506</v>
      </c>
      <c r="AQ178" s="80">
        <f>D178</f>
        <v>-0.4299999992690573</v>
      </c>
      <c r="AR178" s="80"/>
    </row>
    <row r="179" spans="1:44" ht="14.4">
      <c r="A179" s="70">
        <v>100507</v>
      </c>
      <c r="B179" s="78" t="str">
        <f>VLOOKUP(A179,'TB for financial'!A:B,2,0)</f>
        <v>UCO Bank - INR</v>
      </c>
      <c r="D179" s="79">
        <f>VLOOKUP(A179,'TB for financial'!A:F,6,0)</f>
        <v>0</v>
      </c>
      <c r="E179" s="80"/>
      <c r="F179" s="79">
        <f>VLOOKUP(A179,'TB for financial'!A:K,11,0)</f>
        <v>0</v>
      </c>
      <c r="G179" s="80"/>
      <c r="H179" s="81">
        <f t="shared" si="27"/>
        <v>0</v>
      </c>
      <c r="I179" s="81">
        <v>0</v>
      </c>
      <c r="J179" s="81">
        <f t="shared" si="28"/>
        <v>0</v>
      </c>
      <c r="K179" s="80"/>
      <c r="L179" s="82">
        <f t="shared" si="29"/>
        <v>0</v>
      </c>
      <c r="M179" s="82">
        <v>0</v>
      </c>
      <c r="N179" s="82">
        <f t="shared" si="30"/>
        <v>0</v>
      </c>
      <c r="O179" s="83"/>
      <c r="P179"/>
      <c r="Q179"/>
      <c r="R179"/>
      <c r="S179"/>
      <c r="U179" s="84" t="s">
        <v>530</v>
      </c>
      <c r="V179" s="80"/>
      <c r="W179" s="82" t="s">
        <v>551</v>
      </c>
      <c r="X179" s="82"/>
      <c r="Y179" s="85" t="s">
        <v>531</v>
      </c>
      <c r="Z179" s="86" t="s">
        <v>532</v>
      </c>
      <c r="AA179" s="86" t="s">
        <v>26</v>
      </c>
      <c r="AB179" s="86"/>
      <c r="AC179" s="87">
        <v>0</v>
      </c>
      <c r="AD179" s="88">
        <f t="shared" si="31"/>
        <v>0</v>
      </c>
      <c r="AF179" s="54">
        <v>100507</v>
      </c>
      <c r="AQ179" s="80"/>
      <c r="AR179" s="80"/>
    </row>
    <row r="180" spans="1:44" ht="14.4">
      <c r="A180" s="70">
        <v>100508</v>
      </c>
      <c r="B180" s="78" t="str">
        <f>VLOOKUP(A180,'TB for financial'!A:B,2,0)</f>
        <v>Credit Agricole Indosuez EEFC</v>
      </c>
      <c r="D180" s="79">
        <f>VLOOKUP(A180,'TB for financial'!A:F,6,0)</f>
        <v>0</v>
      </c>
      <c r="E180" s="80"/>
      <c r="F180" s="79">
        <f>VLOOKUP(A180,'TB for financial'!A:K,11,0)</f>
        <v>0</v>
      </c>
      <c r="G180" s="80"/>
      <c r="H180" s="81">
        <f t="shared" si="27"/>
        <v>0</v>
      </c>
      <c r="I180" s="81">
        <v>0</v>
      </c>
      <c r="J180" s="81">
        <f t="shared" si="28"/>
        <v>0</v>
      </c>
      <c r="K180" s="80"/>
      <c r="L180" s="82">
        <f t="shared" si="29"/>
        <v>0</v>
      </c>
      <c r="M180" s="82">
        <v>0</v>
      </c>
      <c r="N180" s="82">
        <f t="shared" si="30"/>
        <v>0</v>
      </c>
      <c r="O180" s="83"/>
      <c r="P180"/>
      <c r="Q180"/>
      <c r="R180"/>
      <c r="S180"/>
      <c r="U180" s="84" t="s">
        <v>530</v>
      </c>
      <c r="V180" s="80"/>
      <c r="W180" s="82" t="s">
        <v>551</v>
      </c>
      <c r="X180" s="82"/>
      <c r="Y180" s="85" t="s">
        <v>531</v>
      </c>
      <c r="Z180" s="86" t="s">
        <v>532</v>
      </c>
      <c r="AA180" s="86" t="s">
        <v>26</v>
      </c>
      <c r="AB180" s="86"/>
      <c r="AC180" s="87">
        <v>0</v>
      </c>
      <c r="AD180" s="88">
        <f t="shared" si="31"/>
        <v>0</v>
      </c>
      <c r="AF180" s="54">
        <v>100508</v>
      </c>
      <c r="AQ180" s="80"/>
      <c r="AR180" s="80"/>
    </row>
    <row r="181" spans="1:44" ht="14.4">
      <c r="A181" s="70">
        <v>100509</v>
      </c>
      <c r="B181" s="78" t="str">
        <f>VLOOKUP(A181,'TB for financial'!A:B,2,0)</f>
        <v xml:space="preserve">Bank of India - EEFC </v>
      </c>
      <c r="D181" s="79">
        <f>VLOOKUP(A181,'TB for financial'!A:F,6,0)</f>
        <v>0</v>
      </c>
      <c r="E181" s="80"/>
      <c r="F181" s="79">
        <f>VLOOKUP(A181,'TB for financial'!A:K,11,0)</f>
        <v>0</v>
      </c>
      <c r="G181" s="80"/>
      <c r="H181" s="81">
        <f t="shared" si="27"/>
        <v>0</v>
      </c>
      <c r="I181" s="81">
        <v>0</v>
      </c>
      <c r="J181" s="81">
        <f t="shared" si="28"/>
        <v>0</v>
      </c>
      <c r="K181" s="80"/>
      <c r="L181" s="82">
        <f t="shared" si="29"/>
        <v>0</v>
      </c>
      <c r="M181" s="82">
        <v>0</v>
      </c>
      <c r="N181" s="82">
        <f t="shared" si="30"/>
        <v>0</v>
      </c>
      <c r="O181" s="83"/>
      <c r="P181"/>
      <c r="Q181"/>
      <c r="R181"/>
      <c r="S181"/>
      <c r="U181" s="84" t="s">
        <v>530</v>
      </c>
      <c r="V181" s="80"/>
      <c r="W181" s="82" t="s">
        <v>551</v>
      </c>
      <c r="X181" s="82"/>
      <c r="Y181" s="85" t="s">
        <v>531</v>
      </c>
      <c r="Z181" s="86" t="s">
        <v>532</v>
      </c>
      <c r="AA181" s="86" t="s">
        <v>26</v>
      </c>
      <c r="AB181" s="86"/>
      <c r="AC181" s="87">
        <v>0</v>
      </c>
      <c r="AD181" s="88">
        <f t="shared" si="31"/>
        <v>0</v>
      </c>
      <c r="AF181" s="54">
        <v>100509</v>
      </c>
      <c r="AQ181" s="80"/>
      <c r="AR181" s="80"/>
    </row>
    <row r="182" spans="1:44" ht="14.4">
      <c r="A182" s="70">
        <v>100510</v>
      </c>
      <c r="B182" s="78" t="str">
        <f>VLOOKUP(A182,'TB for financial'!A:B,2,0)</f>
        <v>Metier Payroll</v>
      </c>
      <c r="D182" s="79">
        <f>VLOOKUP(A182,'TB for financial'!A:F,6,0)</f>
        <v>0</v>
      </c>
      <c r="E182" s="80"/>
      <c r="F182" s="79">
        <f>VLOOKUP(A182,'TB for financial'!A:K,11,0)</f>
        <v>0</v>
      </c>
      <c r="G182" s="80"/>
      <c r="H182" s="81">
        <f t="shared" si="27"/>
        <v>0</v>
      </c>
      <c r="I182" s="81">
        <v>0</v>
      </c>
      <c r="J182" s="81">
        <f t="shared" si="28"/>
        <v>0</v>
      </c>
      <c r="K182" s="80"/>
      <c r="L182" s="82">
        <f t="shared" si="29"/>
        <v>0</v>
      </c>
      <c r="M182" s="82">
        <v>0</v>
      </c>
      <c r="N182" s="82">
        <f t="shared" si="30"/>
        <v>0</v>
      </c>
      <c r="O182" s="83"/>
      <c r="P182"/>
      <c r="Q182"/>
      <c r="R182"/>
      <c r="S182"/>
      <c r="U182" s="84" t="s">
        <v>530</v>
      </c>
      <c r="V182" s="80"/>
      <c r="W182" s="82" t="s">
        <v>551</v>
      </c>
      <c r="X182" s="82"/>
      <c r="Y182" s="85" t="s">
        <v>531</v>
      </c>
      <c r="Z182" s="86" t="s">
        <v>532</v>
      </c>
      <c r="AA182" s="86" t="s">
        <v>26</v>
      </c>
      <c r="AB182" s="86"/>
      <c r="AC182" s="87">
        <v>0</v>
      </c>
      <c r="AD182" s="88">
        <f t="shared" si="31"/>
        <v>0</v>
      </c>
      <c r="AF182" s="54">
        <v>100510</v>
      </c>
      <c r="AQ182" s="80"/>
      <c r="AR182" s="80"/>
    </row>
    <row r="183" spans="1:44" ht="14.4">
      <c r="A183" s="70">
        <v>100513</v>
      </c>
      <c r="B183" s="78" t="str">
        <f>VLOOKUP(A183,'TB for financial'!A:B,2,0)</f>
        <v>HDFC Bank Limited - INR</v>
      </c>
      <c r="D183" s="79">
        <f>VLOOKUP(A183,'TB for financial'!A:F,6,0)</f>
        <v>1.0000000001855369</v>
      </c>
      <c r="E183" s="80"/>
      <c r="F183" s="79">
        <f>VLOOKUP(A183,'TB for financial'!A:K,11,0)</f>
        <v>1.0000000001855369</v>
      </c>
      <c r="G183" s="80"/>
      <c r="H183" s="81">
        <f t="shared" si="27"/>
        <v>1.0000000001855369</v>
      </c>
      <c r="I183" s="81">
        <v>0</v>
      </c>
      <c r="J183" s="81">
        <f t="shared" si="28"/>
        <v>0</v>
      </c>
      <c r="K183" s="80"/>
      <c r="L183" s="82">
        <f t="shared" si="29"/>
        <v>1.0000000001855369</v>
      </c>
      <c r="M183" s="82">
        <v>0</v>
      </c>
      <c r="N183" s="82">
        <f t="shared" si="30"/>
        <v>0</v>
      </c>
      <c r="O183" s="83"/>
      <c r="P183"/>
      <c r="Q183"/>
      <c r="R183"/>
      <c r="S183"/>
      <c r="U183" s="84" t="s">
        <v>530</v>
      </c>
      <c r="V183" s="80"/>
      <c r="W183" s="82" t="s">
        <v>551</v>
      </c>
      <c r="X183" s="82"/>
      <c r="Y183" s="85" t="s">
        <v>531</v>
      </c>
      <c r="Z183" s="86" t="s">
        <v>532</v>
      </c>
      <c r="AA183" s="86" t="s">
        <v>26</v>
      </c>
      <c r="AB183" s="86"/>
      <c r="AC183" s="87">
        <v>0</v>
      </c>
      <c r="AD183" s="88">
        <f t="shared" si="31"/>
        <v>1.0000000001855369</v>
      </c>
      <c r="AF183" s="54">
        <v>100513</v>
      </c>
      <c r="AQ183" s="80">
        <f>D183</f>
        <v>1.0000000001855369</v>
      </c>
      <c r="AR183" s="80"/>
    </row>
    <row r="184" spans="1:44" ht="14.4">
      <c r="A184" s="89">
        <v>100514</v>
      </c>
      <c r="B184" s="78" t="str">
        <f>VLOOKUP(A184,'TB for financial'!A:B,2,0)</f>
        <v>Kotak Bank- Current A/c</v>
      </c>
      <c r="D184" s="79">
        <f>VLOOKUP(A184,'TB for financial'!A:F,6,0)</f>
        <v>-0.30000000016298145</v>
      </c>
      <c r="E184" s="80"/>
      <c r="F184" s="79">
        <f>VLOOKUP(A184,'TB for financial'!A:K,11,0)</f>
        <v>-0.30000000016298145</v>
      </c>
      <c r="G184" s="80"/>
      <c r="H184" s="81">
        <f t="shared" si="27"/>
        <v>-0.30000000016298145</v>
      </c>
      <c r="I184" s="81">
        <v>0</v>
      </c>
      <c r="J184" s="81">
        <f t="shared" si="28"/>
        <v>0</v>
      </c>
      <c r="K184" s="80"/>
      <c r="L184" s="82">
        <f t="shared" si="29"/>
        <v>-0.30000000016298145</v>
      </c>
      <c r="M184" s="82">
        <v>0</v>
      </c>
      <c r="N184" s="82">
        <f t="shared" si="30"/>
        <v>0</v>
      </c>
      <c r="O184" s="83"/>
      <c r="P184"/>
      <c r="Q184"/>
      <c r="R184"/>
      <c r="S184"/>
      <c r="U184" s="84" t="s">
        <v>530</v>
      </c>
      <c r="V184" s="80"/>
      <c r="W184" s="82" t="s">
        <v>551</v>
      </c>
      <c r="X184" s="82"/>
      <c r="Y184" s="85" t="s">
        <v>531</v>
      </c>
      <c r="Z184" s="86" t="s">
        <v>532</v>
      </c>
      <c r="AA184" s="86" t="s">
        <v>26</v>
      </c>
      <c r="AB184" s="86"/>
      <c r="AC184" s="87">
        <v>0</v>
      </c>
      <c r="AD184" s="88">
        <f t="shared" si="31"/>
        <v>-0.30000000016298145</v>
      </c>
      <c r="AF184" s="54">
        <v>100514</v>
      </c>
      <c r="AQ184" s="80">
        <f>D184</f>
        <v>-0.30000000016298145</v>
      </c>
      <c r="AR184" s="80"/>
    </row>
    <row r="185" spans="1:44" ht="14.4">
      <c r="A185" s="89">
        <v>100519</v>
      </c>
      <c r="B185" s="78" t="str">
        <f>VLOOKUP(A185,'TB for financial'!A:B,2,0)</f>
        <v>Citibank</v>
      </c>
      <c r="D185" s="79">
        <f>VLOOKUP(A185,'TB for financial'!A:F,6,0)</f>
        <v>0</v>
      </c>
      <c r="E185" s="80"/>
      <c r="F185" s="79">
        <f>VLOOKUP(A185,'TB for financial'!A:K,11,0)</f>
        <v>0</v>
      </c>
      <c r="G185" s="80"/>
      <c r="H185" s="81">
        <f t="shared" si="27"/>
        <v>0</v>
      </c>
      <c r="I185" s="81">
        <v>0</v>
      </c>
      <c r="J185" s="81">
        <f t="shared" si="28"/>
        <v>0</v>
      </c>
      <c r="K185" s="80"/>
      <c r="L185" s="82">
        <f t="shared" si="29"/>
        <v>0</v>
      </c>
      <c r="M185" s="82">
        <v>0</v>
      </c>
      <c r="N185" s="82">
        <f t="shared" si="30"/>
        <v>0</v>
      </c>
      <c r="O185" s="83"/>
      <c r="P185"/>
      <c r="Q185"/>
      <c r="R185"/>
      <c r="S185"/>
      <c r="U185" s="84" t="s">
        <v>530</v>
      </c>
      <c r="V185" s="80"/>
      <c r="W185" s="82" t="s">
        <v>551</v>
      </c>
      <c r="X185" s="82"/>
      <c r="Y185" s="85" t="s">
        <v>531</v>
      </c>
      <c r="Z185" s="86" t="s">
        <v>532</v>
      </c>
      <c r="AA185" s="86" t="s">
        <v>26</v>
      </c>
      <c r="AB185" s="86"/>
      <c r="AC185" s="87">
        <v>0</v>
      </c>
      <c r="AD185" s="88">
        <f t="shared" si="31"/>
        <v>0</v>
      </c>
      <c r="AF185" s="54">
        <v>100519</v>
      </c>
      <c r="AQ185" s="80"/>
      <c r="AR185" s="80"/>
    </row>
    <row r="186" spans="1:44" ht="14.4">
      <c r="A186" s="70">
        <v>100531</v>
      </c>
      <c r="B186" s="78" t="str">
        <f>VLOOKUP(A186,'TB for financial'!A:B,2,0)&amp;"- USD"</f>
        <v>Punjab National Bank- USD</v>
      </c>
      <c r="D186" s="79">
        <f>VLOOKUP(A186,'TB for financial'!A:F,6,0)</f>
        <v>1.1641532182693481E-10</v>
      </c>
      <c r="E186" s="80"/>
      <c r="F186" s="79">
        <f>VLOOKUP(A186,'TB for financial'!A:K,11,0)</f>
        <v>1.1641532182693481E-10</v>
      </c>
      <c r="G186" s="80"/>
      <c r="H186" s="81">
        <f t="shared" si="27"/>
        <v>1.1641532182693481E-10</v>
      </c>
      <c r="I186" s="81">
        <v>0</v>
      </c>
      <c r="J186" s="81">
        <f t="shared" si="28"/>
        <v>0</v>
      </c>
      <c r="K186" s="80"/>
      <c r="L186" s="82">
        <f t="shared" si="29"/>
        <v>1.1641532182693481E-10</v>
      </c>
      <c r="M186" s="82">
        <v>0</v>
      </c>
      <c r="N186" s="82">
        <f t="shared" si="30"/>
        <v>0</v>
      </c>
      <c r="O186" s="83"/>
      <c r="P186"/>
      <c r="Q186"/>
      <c r="R186"/>
      <c r="S186"/>
      <c r="U186" s="84" t="s">
        <v>530</v>
      </c>
      <c r="V186" s="80"/>
      <c r="W186" s="82" t="s">
        <v>551</v>
      </c>
      <c r="X186" s="82"/>
      <c r="Y186" s="85" t="s">
        <v>531</v>
      </c>
      <c r="Z186" s="86" t="s">
        <v>532</v>
      </c>
      <c r="AA186" s="86" t="s">
        <v>26</v>
      </c>
      <c r="AB186" s="86"/>
      <c r="AC186" s="87">
        <v>0</v>
      </c>
      <c r="AD186" s="88">
        <f t="shared" si="31"/>
        <v>1.1641532182693481E-10</v>
      </c>
      <c r="AF186" s="54">
        <v>100531</v>
      </c>
      <c r="AQ186" s="80">
        <f>D186</f>
        <v>1.1641532182693481E-10</v>
      </c>
      <c r="AR186" s="80"/>
    </row>
    <row r="187" spans="1:44" ht="14.4">
      <c r="A187" s="89">
        <v>100535</v>
      </c>
      <c r="B187" s="78" t="str">
        <f>VLOOKUP(A187,'TB for financial'!A:B,2,0)</f>
        <v>Corporation Bank - INR</v>
      </c>
      <c r="D187" s="79">
        <f>VLOOKUP(A187,'TB for financial'!A:F,6,0)</f>
        <v>0</v>
      </c>
      <c r="E187" s="80"/>
      <c r="F187" s="79">
        <f>VLOOKUP(A187,'TB for financial'!A:K,11,0)</f>
        <v>0</v>
      </c>
      <c r="G187" s="80"/>
      <c r="H187" s="81">
        <f t="shared" si="27"/>
        <v>0</v>
      </c>
      <c r="I187" s="81">
        <v>0</v>
      </c>
      <c r="J187" s="81">
        <f t="shared" si="28"/>
        <v>0</v>
      </c>
      <c r="K187" s="80"/>
      <c r="L187" s="82">
        <f t="shared" si="29"/>
        <v>0</v>
      </c>
      <c r="M187" s="82">
        <v>0</v>
      </c>
      <c r="N187" s="82">
        <f t="shared" si="30"/>
        <v>0</v>
      </c>
      <c r="O187" s="83"/>
      <c r="P187"/>
      <c r="Q187"/>
      <c r="R187"/>
      <c r="S187"/>
      <c r="U187" s="84" t="s">
        <v>530</v>
      </c>
      <c r="V187" s="80"/>
      <c r="W187" s="82" t="s">
        <v>551</v>
      </c>
      <c r="X187" s="82"/>
      <c r="Y187" s="85" t="s">
        <v>531</v>
      </c>
      <c r="Z187" s="86" t="s">
        <v>532</v>
      </c>
      <c r="AA187" s="86" t="s">
        <v>26</v>
      </c>
      <c r="AB187" s="86"/>
      <c r="AC187" s="87">
        <v>0</v>
      </c>
      <c r="AD187" s="88">
        <f t="shared" si="31"/>
        <v>0</v>
      </c>
      <c r="AF187" s="54">
        <v>100535</v>
      </c>
      <c r="AQ187" s="80"/>
      <c r="AR187" s="80"/>
    </row>
    <row r="188" spans="1:44" ht="14.4">
      <c r="A188" s="70">
        <v>100511</v>
      </c>
      <c r="B188" s="78" t="str">
        <f>VLOOKUP(A188,'TB for financial'!A:B,2,0)</f>
        <v>Bank One - USA CA</v>
      </c>
      <c r="D188" s="79">
        <f>VLOOKUP(A188,'TB for financial'!A:F,6,0)</f>
        <v>-3.7252902984619141E-9</v>
      </c>
      <c r="E188" s="80"/>
      <c r="F188" s="79">
        <f>VLOOKUP(A188,'TB for financial'!A:K,11,0)</f>
        <v>-3.7252902984619141E-9</v>
      </c>
      <c r="G188" s="80"/>
      <c r="H188" s="81">
        <f t="shared" si="27"/>
        <v>-3.7252902984619141E-9</v>
      </c>
      <c r="I188" s="81">
        <v>0</v>
      </c>
      <c r="J188" s="81">
        <f t="shared" si="28"/>
        <v>0</v>
      </c>
      <c r="K188" s="80"/>
      <c r="L188" s="82">
        <f t="shared" si="29"/>
        <v>-3.7252902984619141E-9</v>
      </c>
      <c r="M188" s="82">
        <v>0</v>
      </c>
      <c r="N188" s="82">
        <f>+F188-L188-M188</f>
        <v>0</v>
      </c>
      <c r="O188" s="83"/>
      <c r="P188"/>
      <c r="Q188"/>
      <c r="R188"/>
      <c r="S188"/>
      <c r="U188" s="84" t="s">
        <v>530</v>
      </c>
      <c r="V188" s="80"/>
      <c r="W188" s="82" t="s">
        <v>551</v>
      </c>
      <c r="X188" s="82"/>
      <c r="Y188" s="85" t="s">
        <v>531</v>
      </c>
      <c r="Z188" s="86" t="s">
        <v>532</v>
      </c>
      <c r="AA188" s="86" t="s">
        <v>26</v>
      </c>
      <c r="AB188" s="86"/>
      <c r="AC188" s="87">
        <v>0</v>
      </c>
      <c r="AD188" s="88">
        <f t="shared" si="31"/>
        <v>-3.7252902984619141E-9</v>
      </c>
      <c r="AF188" s="54">
        <v>100511</v>
      </c>
      <c r="AQ188" s="80">
        <f>D188</f>
        <v>-3.7252902984619141E-9</v>
      </c>
      <c r="AR188" s="80"/>
    </row>
    <row r="189" spans="1:44" ht="14.4">
      <c r="A189" s="70">
        <v>200021</v>
      </c>
      <c r="B189" s="78" t="str">
        <f>VLOOKUP(A189,'TB for financial'!A:B,2,0)</f>
        <v>USBK1 Control Account</v>
      </c>
      <c r="D189" s="162">
        <f>VLOOKUP(A189,'TB for financial'!A:F,6,0)</f>
        <v>1.0000000002037268E-2</v>
      </c>
      <c r="E189" s="80"/>
      <c r="F189" s="79">
        <f>VLOOKUP(A189,'TB for financial'!A:K,11,0)</f>
        <v>1.0000000002037268E-2</v>
      </c>
      <c r="G189" s="80"/>
      <c r="H189" s="162">
        <f t="shared" si="27"/>
        <v>1.0000000002037268E-2</v>
      </c>
      <c r="I189" s="81">
        <v>0</v>
      </c>
      <c r="J189" s="81">
        <f t="shared" si="28"/>
        <v>0</v>
      </c>
      <c r="K189" s="80"/>
      <c r="L189" s="82">
        <f t="shared" si="29"/>
        <v>1.0000000002037268E-2</v>
      </c>
      <c r="M189" s="82">
        <v>0</v>
      </c>
      <c r="N189" s="82">
        <f>+F189-L189-M189</f>
        <v>0</v>
      </c>
      <c r="O189" s="83"/>
      <c r="P189"/>
      <c r="Q189"/>
      <c r="R189"/>
      <c r="S189"/>
      <c r="U189" s="84" t="s">
        <v>530</v>
      </c>
      <c r="V189" s="80"/>
      <c r="W189" s="82" t="s">
        <v>551</v>
      </c>
      <c r="X189" s="82"/>
      <c r="Y189" s="85" t="s">
        <v>531</v>
      </c>
      <c r="Z189" s="86" t="s">
        <v>532</v>
      </c>
      <c r="AA189" s="86" t="s">
        <v>26</v>
      </c>
      <c r="AB189" s="86"/>
      <c r="AC189" s="87">
        <v>0</v>
      </c>
      <c r="AD189" s="88">
        <f t="shared" si="31"/>
        <v>1.0000000002037268E-2</v>
      </c>
      <c r="AF189" s="54">
        <v>200021</v>
      </c>
      <c r="AQ189" s="80">
        <f>D189</f>
        <v>1.0000000002037268E-2</v>
      </c>
      <c r="AR189" s="80"/>
    </row>
    <row r="190" spans="1:44" ht="14.4">
      <c r="A190" s="89">
        <v>100539</v>
      </c>
      <c r="B190" s="78" t="str">
        <f>VLOOKUP(A190,'TB for financial'!A:B,2,0)</f>
        <v>Axis Bank - INR</v>
      </c>
      <c r="D190" s="79">
        <f>VLOOKUP(A190,'TB for financial'!A:F,6,0)</f>
        <v>0</v>
      </c>
      <c r="E190" s="80"/>
      <c r="F190" s="79">
        <f>VLOOKUP(A190,'TB for financial'!A:K,11,0)</f>
        <v>0</v>
      </c>
      <c r="G190" s="80"/>
      <c r="H190" s="81">
        <f t="shared" si="27"/>
        <v>0</v>
      </c>
      <c r="I190" s="81">
        <v>0</v>
      </c>
      <c r="J190" s="81">
        <f t="shared" si="28"/>
        <v>0</v>
      </c>
      <c r="K190" s="80"/>
      <c r="L190" s="82">
        <f t="shared" si="29"/>
        <v>0</v>
      </c>
      <c r="M190" s="82">
        <v>0</v>
      </c>
      <c r="N190" s="82">
        <f t="shared" si="30"/>
        <v>0</v>
      </c>
      <c r="O190" s="83"/>
      <c r="P190"/>
      <c r="Q190"/>
      <c r="R190"/>
      <c r="S190"/>
      <c r="U190" s="84" t="s">
        <v>530</v>
      </c>
      <c r="V190" s="80"/>
      <c r="W190" s="82" t="s">
        <v>551</v>
      </c>
      <c r="X190" s="82"/>
      <c r="Y190" s="85" t="s">
        <v>531</v>
      </c>
      <c r="Z190" s="86" t="s">
        <v>532</v>
      </c>
      <c r="AA190" s="86" t="s">
        <v>26</v>
      </c>
      <c r="AB190" s="86"/>
      <c r="AC190" s="87">
        <v>0</v>
      </c>
      <c r="AD190" s="88">
        <f t="shared" si="31"/>
        <v>0</v>
      </c>
      <c r="AF190" s="54">
        <v>100539</v>
      </c>
      <c r="AQ190" s="80"/>
      <c r="AR190" s="80"/>
    </row>
    <row r="191" spans="1:44" ht="14.4">
      <c r="A191" s="70">
        <v>100525</v>
      </c>
      <c r="B191" s="78" t="str">
        <f>VLOOKUP(A191,'TB for financial'!A:B,2,0)</f>
        <v>Standard Chartered - INR Chennai</v>
      </c>
      <c r="D191" s="79">
        <f>VLOOKUP(A191,'TB for financial'!A:F,6,0)</f>
        <v>0</v>
      </c>
      <c r="E191" s="80"/>
      <c r="F191" s="79">
        <f>VLOOKUP(A191,'TB for financial'!A:K,11,0)</f>
        <v>0</v>
      </c>
      <c r="G191" s="80"/>
      <c r="H191" s="81">
        <f t="shared" si="27"/>
        <v>0</v>
      </c>
      <c r="I191" s="81">
        <v>0</v>
      </c>
      <c r="J191" s="81">
        <f t="shared" si="28"/>
        <v>0</v>
      </c>
      <c r="K191" s="80"/>
      <c r="L191" s="82">
        <f t="shared" si="29"/>
        <v>0</v>
      </c>
      <c r="M191" s="82">
        <v>0</v>
      </c>
      <c r="N191" s="82">
        <f t="shared" si="30"/>
        <v>0</v>
      </c>
      <c r="O191" s="83"/>
      <c r="P191"/>
      <c r="Q191"/>
      <c r="R191"/>
      <c r="S191"/>
      <c r="U191" s="84" t="s">
        <v>530</v>
      </c>
      <c r="V191" s="80"/>
      <c r="W191" s="82" t="s">
        <v>551</v>
      </c>
      <c r="X191" s="82"/>
      <c r="Y191" s="85" t="s">
        <v>531</v>
      </c>
      <c r="Z191" s="86" t="s">
        <v>532</v>
      </c>
      <c r="AA191" s="86" t="s">
        <v>26</v>
      </c>
      <c r="AB191" s="86"/>
      <c r="AC191" s="87">
        <v>0</v>
      </c>
      <c r="AD191" s="88">
        <f t="shared" si="31"/>
        <v>0</v>
      </c>
      <c r="AF191" s="54">
        <v>100525</v>
      </c>
      <c r="AQ191" s="80"/>
      <c r="AR191" s="80"/>
    </row>
    <row r="192" spans="1:44" ht="14.4">
      <c r="A192" s="70">
        <v>100545</v>
      </c>
      <c r="B192" s="78" t="str">
        <f>VLOOKUP(A192,'TB for financial'!A:B,2,0)</f>
        <v>Kotak Mahindra Bank-USD EEFC</v>
      </c>
      <c r="D192" s="79">
        <f>VLOOKUP(A192,'TB for financial'!A:F,6,0)</f>
        <v>0</v>
      </c>
      <c r="E192" s="80"/>
      <c r="F192" s="79">
        <f>VLOOKUP(A192,'TB for financial'!A:K,11,0)</f>
        <v>0</v>
      </c>
      <c r="G192" s="80"/>
      <c r="H192" s="81">
        <f t="shared" si="27"/>
        <v>0</v>
      </c>
      <c r="I192" s="81">
        <v>0</v>
      </c>
      <c r="J192" s="81">
        <f t="shared" si="28"/>
        <v>0</v>
      </c>
      <c r="K192" s="80"/>
      <c r="L192" s="82">
        <f t="shared" si="29"/>
        <v>0</v>
      </c>
      <c r="M192" s="82">
        <v>0</v>
      </c>
      <c r="N192" s="82">
        <f t="shared" si="30"/>
        <v>0</v>
      </c>
      <c r="O192" s="83"/>
      <c r="P192"/>
      <c r="Q192"/>
      <c r="R192"/>
      <c r="S192"/>
      <c r="U192" s="84" t="s">
        <v>530</v>
      </c>
      <c r="V192" s="80"/>
      <c r="W192" s="82" t="s">
        <v>551</v>
      </c>
      <c r="X192" s="82"/>
      <c r="Y192" s="85" t="s">
        <v>531</v>
      </c>
      <c r="Z192" s="86" t="s">
        <v>532</v>
      </c>
      <c r="AA192" s="86" t="s">
        <v>26</v>
      </c>
      <c r="AB192" s="86"/>
      <c r="AC192" s="87">
        <v>0</v>
      </c>
      <c r="AD192" s="88">
        <f t="shared" si="31"/>
        <v>0</v>
      </c>
      <c r="AF192" s="54">
        <v>100545</v>
      </c>
      <c r="AQ192" s="80"/>
      <c r="AR192" s="80"/>
    </row>
    <row r="193" spans="1:44" ht="14.4">
      <c r="A193" s="70">
        <v>100546</v>
      </c>
      <c r="B193" s="78" t="s">
        <v>552</v>
      </c>
      <c r="D193" s="79">
        <f>VLOOKUP(A193,'TB for financial'!A:F,6,0)</f>
        <v>0.44000000227242708</v>
      </c>
      <c r="E193" s="80"/>
      <c r="F193" s="79">
        <f>VLOOKUP(A193,'TB for financial'!A:K,11,0)</f>
        <v>0.44000000227242708</v>
      </c>
      <c r="G193" s="80"/>
      <c r="H193" s="81">
        <f t="shared" si="27"/>
        <v>0.44000000227242708</v>
      </c>
      <c r="I193" s="81">
        <v>0</v>
      </c>
      <c r="J193" s="81">
        <f t="shared" si="28"/>
        <v>0</v>
      </c>
      <c r="K193" s="80"/>
      <c r="L193" s="82">
        <f t="shared" si="29"/>
        <v>0.44000000227242708</v>
      </c>
      <c r="M193" s="82">
        <v>0</v>
      </c>
      <c r="N193" s="82">
        <f>+F193-L193-M193</f>
        <v>0</v>
      </c>
      <c r="O193" s="83"/>
      <c r="P193"/>
      <c r="Q193"/>
      <c r="R193"/>
      <c r="S193"/>
      <c r="U193" s="84" t="s">
        <v>530</v>
      </c>
      <c r="V193" s="80"/>
      <c r="W193" s="82" t="s">
        <v>551</v>
      </c>
      <c r="X193" s="82"/>
      <c r="Y193" s="85" t="s">
        <v>531</v>
      </c>
      <c r="Z193" s="86" t="s">
        <v>532</v>
      </c>
      <c r="AA193" s="86" t="s">
        <v>26</v>
      </c>
      <c r="AB193" s="86"/>
      <c r="AC193" s="87">
        <v>0</v>
      </c>
      <c r="AD193" s="88">
        <f t="shared" si="31"/>
        <v>0.44000000227242708</v>
      </c>
      <c r="AF193" s="54">
        <v>100546</v>
      </c>
      <c r="AQ193" s="80">
        <f t="shared" ref="AQ193:AQ208" si="32">D193</f>
        <v>0.44000000227242708</v>
      </c>
      <c r="AR193" s="80"/>
    </row>
    <row r="194" spans="1:44" ht="14.4">
      <c r="A194" s="70">
        <v>100806</v>
      </c>
      <c r="B194" s="78" t="str">
        <f>VLOOKUP(A194,'TB for financial'!A:B,2,0)</f>
        <v>Remittance in Transit</v>
      </c>
      <c r="D194" s="79">
        <f>VLOOKUP(A194,'TB for financial'!A:F,6,0)</f>
        <v>0</v>
      </c>
      <c r="E194" s="80"/>
      <c r="F194" s="79">
        <f>VLOOKUP(A194,'TB for financial'!A:K,11,0)</f>
        <v>0</v>
      </c>
      <c r="G194" s="80"/>
      <c r="H194" s="81">
        <f t="shared" si="27"/>
        <v>0</v>
      </c>
      <c r="I194" s="81">
        <v>0</v>
      </c>
      <c r="J194" s="81">
        <f t="shared" si="28"/>
        <v>0</v>
      </c>
      <c r="K194" s="80"/>
      <c r="L194" s="82">
        <f t="shared" si="29"/>
        <v>0</v>
      </c>
      <c r="M194" s="82">
        <v>0</v>
      </c>
      <c r="N194" s="82">
        <f>+F194-L194-M194</f>
        <v>0</v>
      </c>
      <c r="O194" s="83"/>
      <c r="P194"/>
      <c r="Q194"/>
      <c r="R194"/>
      <c r="S194"/>
      <c r="U194" s="84" t="s">
        <v>530</v>
      </c>
      <c r="V194" s="80"/>
      <c r="W194" s="82" t="s">
        <v>551</v>
      </c>
      <c r="X194" s="82"/>
      <c r="Y194" s="85" t="s">
        <v>531</v>
      </c>
      <c r="Z194" s="86" t="s">
        <v>532</v>
      </c>
      <c r="AA194" s="86" t="s">
        <v>26</v>
      </c>
      <c r="AB194" s="86"/>
      <c r="AC194" s="87">
        <v>0</v>
      </c>
      <c r="AD194" s="88">
        <f t="shared" si="31"/>
        <v>0</v>
      </c>
      <c r="AF194" s="54">
        <v>100806</v>
      </c>
      <c r="AQ194" s="80">
        <f t="shared" si="32"/>
        <v>0</v>
      </c>
      <c r="AR194" s="80"/>
    </row>
    <row r="195" spans="1:44" ht="24">
      <c r="A195" s="1373">
        <v>511998</v>
      </c>
      <c r="B195" s="78" t="str">
        <f>VLOOKUP(A195,'TB for financial'!A:B,2,0)</f>
        <v>SUNDRY EXPENSES CDN TIME DEPOSITS</v>
      </c>
      <c r="D195" s="122">
        <f>VLOOKUP(A195,'TB for financial'!A:F,6,0)</f>
        <v>-5.8207660913467407E-11</v>
      </c>
      <c r="E195" s="80"/>
      <c r="F195" s="79">
        <f>VLOOKUP(A195,'TB for financial'!A:K,11,0)</f>
        <v>87942.840000000026</v>
      </c>
      <c r="G195" s="80"/>
      <c r="H195" s="122">
        <f t="shared" si="27"/>
        <v>-5.8207660913467407E-11</v>
      </c>
      <c r="I195" s="81">
        <v>0</v>
      </c>
      <c r="J195" s="81">
        <f t="shared" si="28"/>
        <v>0</v>
      </c>
      <c r="K195" s="80"/>
      <c r="L195" s="82">
        <f t="shared" si="29"/>
        <v>87942.840000000026</v>
      </c>
      <c r="M195" s="82">
        <v>0</v>
      </c>
      <c r="N195" s="82">
        <f>+F195-L195-M195</f>
        <v>0</v>
      </c>
      <c r="O195" s="83"/>
      <c r="P195"/>
      <c r="Q195"/>
      <c r="R195"/>
      <c r="S195"/>
      <c r="U195" s="84"/>
      <c r="V195" s="80"/>
      <c r="W195" s="82"/>
      <c r="X195" s="82"/>
      <c r="Y195" s="85" t="s">
        <v>531</v>
      </c>
      <c r="Z195" s="86" t="s">
        <v>532</v>
      </c>
      <c r="AA195" s="86" t="s">
        <v>26</v>
      </c>
      <c r="AB195" s="86"/>
      <c r="AC195" s="87">
        <v>101645.56</v>
      </c>
      <c r="AD195" s="88">
        <f t="shared" si="31"/>
        <v>-101645.56000000006</v>
      </c>
      <c r="AF195" s="54" t="s">
        <v>2536</v>
      </c>
      <c r="AQ195" s="80">
        <f t="shared" si="32"/>
        <v>-5.8207660913467407E-11</v>
      </c>
      <c r="AR195" s="80"/>
    </row>
    <row r="196" spans="1:44" ht="14.4">
      <c r="A196" s="1373">
        <v>5890000</v>
      </c>
      <c r="B196" s="78" t="str">
        <f>VLOOKUP(A196,'TB for financial'!A:B,2,0)</f>
        <v>EBS transit account</v>
      </c>
      <c r="D196" s="122">
        <f>VLOOKUP(A196,'TB for financial'!A:F,6,0)</f>
        <v>0</v>
      </c>
      <c r="E196" s="80"/>
      <c r="F196" s="79">
        <f>VLOOKUP(A196,'TB for financial'!A:K,11,0)</f>
        <v>0</v>
      </c>
      <c r="G196" s="80"/>
      <c r="H196" s="81">
        <f>D196-I196</f>
        <v>0</v>
      </c>
      <c r="I196" s="81">
        <v>0</v>
      </c>
      <c r="J196" s="81">
        <f t="shared" si="28"/>
        <v>0</v>
      </c>
      <c r="K196" s="80"/>
      <c r="L196" s="82">
        <f>F196-M196</f>
        <v>0</v>
      </c>
      <c r="M196" s="82">
        <v>0</v>
      </c>
      <c r="N196" s="82">
        <f>+F196-L196-M196</f>
        <v>0</v>
      </c>
      <c r="O196" s="83"/>
      <c r="P196"/>
      <c r="Q196"/>
      <c r="R196"/>
      <c r="S196"/>
      <c r="U196" s="84" t="s">
        <v>530</v>
      </c>
      <c r="V196" s="80"/>
      <c r="W196" s="82" t="s">
        <v>551</v>
      </c>
      <c r="X196" s="82"/>
      <c r="Y196" s="85" t="s">
        <v>531</v>
      </c>
      <c r="Z196" s="86" t="s">
        <v>532</v>
      </c>
      <c r="AA196" s="86" t="s">
        <v>26</v>
      </c>
      <c r="AB196" s="86"/>
      <c r="AC196" s="87">
        <v>0</v>
      </c>
      <c r="AD196" s="88">
        <f>+D196-AC196</f>
        <v>0</v>
      </c>
      <c r="AF196" s="54" t="s">
        <v>2536</v>
      </c>
      <c r="AQ196" s="80">
        <f t="shared" si="32"/>
        <v>0</v>
      </c>
      <c r="AR196" s="80"/>
    </row>
    <row r="197" spans="1:44" ht="14.4">
      <c r="A197" s="1373">
        <v>5120276</v>
      </c>
      <c r="B197" s="78" t="str">
        <f>VLOOKUP(A197,'TB for financial'!A:B,2,0)</f>
        <v>JPMorgan USD</v>
      </c>
      <c r="D197" s="122">
        <f>VLOOKUP(A197,'TB for financial'!A:F,6,0)</f>
        <v>-1.0477378964424133E-9</v>
      </c>
      <c r="E197" s="80"/>
      <c r="F197" s="79">
        <f>VLOOKUP(A197,'TB for financial'!A:K,11,0)</f>
        <v>-87942.840000000899</v>
      </c>
      <c r="G197" s="80"/>
      <c r="H197" s="122">
        <f>D197-I197</f>
        <v>-1.0477378964424133E-9</v>
      </c>
      <c r="I197" s="81">
        <v>0</v>
      </c>
      <c r="J197" s="81">
        <f t="shared" si="28"/>
        <v>0</v>
      </c>
      <c r="K197" s="80"/>
      <c r="L197" s="82">
        <f>F197-M197</f>
        <v>-87942.840000000899</v>
      </c>
      <c r="M197" s="82">
        <v>0</v>
      </c>
      <c r="N197" s="82">
        <f>+F197-L197-M197</f>
        <v>0</v>
      </c>
      <c r="O197" s="83"/>
      <c r="P197"/>
      <c r="Q197"/>
      <c r="R197"/>
      <c r="S197"/>
      <c r="U197" s="84"/>
      <c r="V197" s="80"/>
      <c r="W197" s="82"/>
      <c r="X197" s="82"/>
      <c r="Y197" s="85" t="s">
        <v>531</v>
      </c>
      <c r="Z197" s="86" t="s">
        <v>532</v>
      </c>
      <c r="AA197" s="86" t="s">
        <v>26</v>
      </c>
      <c r="AB197" s="86"/>
      <c r="AC197" s="87">
        <v>660.87</v>
      </c>
      <c r="AD197" s="88">
        <f>+D197-AC197</f>
        <v>-660.87000000104774</v>
      </c>
      <c r="AF197" s="54" t="s">
        <v>2536</v>
      </c>
      <c r="AQ197" s="80">
        <f t="shared" si="32"/>
        <v>-1.0477378964424133E-9</v>
      </c>
      <c r="AR197" s="80"/>
    </row>
    <row r="198" spans="1:44" ht="24">
      <c r="A198" s="1373">
        <v>51120215</v>
      </c>
      <c r="B198" s="78" t="str">
        <f>VLOOKUP(A198,'TB for financial'!A:B,2,0)</f>
        <v>J. P. Morgan Chase Bank N.A.-INR-Rcpt</v>
      </c>
      <c r="D198" s="122">
        <f>VLOOKUP(A198,'TB for financial'!A:F,6,0)</f>
        <v>0</v>
      </c>
      <c r="E198" s="80"/>
      <c r="F198" s="79">
        <f>VLOOKUP(A198,'TB for financial'!A:K,11,0)</f>
        <v>0</v>
      </c>
      <c r="G198" s="80"/>
      <c r="H198" s="81">
        <f t="shared" ref="H198:H206" si="33">D198-I198</f>
        <v>0</v>
      </c>
      <c r="I198" s="81">
        <v>0</v>
      </c>
      <c r="J198" s="81">
        <f t="shared" si="28"/>
        <v>0</v>
      </c>
      <c r="K198" s="80"/>
      <c r="L198" s="82">
        <f t="shared" ref="L198:L205" si="34">F198-M198</f>
        <v>0</v>
      </c>
      <c r="M198" s="82">
        <v>0</v>
      </c>
      <c r="N198" s="82">
        <f t="shared" ref="N198:N206" si="35">+F198-L198-M198</f>
        <v>0</v>
      </c>
      <c r="O198" s="83"/>
      <c r="P198"/>
      <c r="Q198"/>
      <c r="R198"/>
      <c r="S198"/>
      <c r="U198" s="84" t="s">
        <v>530</v>
      </c>
      <c r="V198" s="80"/>
      <c r="W198" s="82" t="s">
        <v>551</v>
      </c>
      <c r="X198" s="82"/>
      <c r="Y198" s="85" t="s">
        <v>531</v>
      </c>
      <c r="Z198" s="86" t="s">
        <v>532</v>
      </c>
      <c r="AA198" s="86" t="s">
        <v>26</v>
      </c>
      <c r="AB198" s="86"/>
      <c r="AC198" s="87">
        <v>0</v>
      </c>
      <c r="AD198" s="88">
        <f t="shared" ref="AD198:AD206" si="36">+D198-AC198</f>
        <v>0</v>
      </c>
      <c r="AF198" s="54" t="s">
        <v>2536</v>
      </c>
      <c r="AQ198" s="80">
        <f t="shared" si="32"/>
        <v>0</v>
      </c>
      <c r="AR198" s="80"/>
    </row>
    <row r="199" spans="1:44" ht="24">
      <c r="A199" s="1373">
        <v>51120216</v>
      </c>
      <c r="B199" s="78" t="str">
        <f>VLOOKUP(A199,'TB for financial'!A:B,2,0)</f>
        <v>J. P. Morgan Chase Bank N.A.-INR-Rcpt</v>
      </c>
      <c r="D199" s="122">
        <f>VLOOKUP(A199,'TB for financial'!A:F,6,0)</f>
        <v>0</v>
      </c>
      <c r="E199" s="80"/>
      <c r="F199" s="79">
        <f>VLOOKUP(A199,'TB for financial'!A:K,11,0)</f>
        <v>0</v>
      </c>
      <c r="G199" s="80"/>
      <c r="H199" s="81">
        <f t="shared" si="33"/>
        <v>0</v>
      </c>
      <c r="I199" s="81">
        <v>0</v>
      </c>
      <c r="J199" s="81">
        <f t="shared" si="28"/>
        <v>0</v>
      </c>
      <c r="K199" s="80"/>
      <c r="L199" s="82">
        <f t="shared" si="34"/>
        <v>0</v>
      </c>
      <c r="M199" s="82">
        <v>0</v>
      </c>
      <c r="N199" s="82">
        <f t="shared" si="35"/>
        <v>0</v>
      </c>
      <c r="O199" s="83"/>
      <c r="P199"/>
      <c r="Q199"/>
      <c r="R199"/>
      <c r="S199"/>
      <c r="U199" s="84" t="s">
        <v>530</v>
      </c>
      <c r="V199" s="80"/>
      <c r="W199" s="82" t="s">
        <v>551</v>
      </c>
      <c r="X199" s="82"/>
      <c r="Y199" s="85" t="s">
        <v>531</v>
      </c>
      <c r="Z199" s="86" t="s">
        <v>532</v>
      </c>
      <c r="AA199" s="86" t="s">
        <v>26</v>
      </c>
      <c r="AB199" s="86"/>
      <c r="AC199" s="87">
        <v>0</v>
      </c>
      <c r="AD199" s="88">
        <f t="shared" si="36"/>
        <v>0</v>
      </c>
      <c r="AF199" s="54" t="s">
        <v>2536</v>
      </c>
      <c r="AQ199" s="80">
        <f t="shared" si="32"/>
        <v>0</v>
      </c>
      <c r="AR199" s="80"/>
    </row>
    <row r="200" spans="1:44" ht="24">
      <c r="A200" s="1373">
        <v>51120217</v>
      </c>
      <c r="B200" s="78" t="str">
        <f>VLOOKUP(A200,'TB for financial'!A:B,2,0)</f>
        <v>J. P. Morgan Chase Bank N.A.-INR-Rcpt</v>
      </c>
      <c r="D200" s="122">
        <f>VLOOKUP(A200,'TB for financial'!A:F,6,0)</f>
        <v>0</v>
      </c>
      <c r="E200" s="80"/>
      <c r="F200" s="79">
        <f>VLOOKUP(A200,'TB for financial'!A:K,11,0)</f>
        <v>0</v>
      </c>
      <c r="G200" s="80"/>
      <c r="H200" s="81">
        <f t="shared" si="33"/>
        <v>0</v>
      </c>
      <c r="I200" s="81">
        <v>0</v>
      </c>
      <c r="J200" s="81">
        <f t="shared" si="28"/>
        <v>0</v>
      </c>
      <c r="K200" s="80"/>
      <c r="L200" s="82">
        <f t="shared" si="34"/>
        <v>0</v>
      </c>
      <c r="M200" s="82">
        <v>0</v>
      </c>
      <c r="N200" s="82">
        <f t="shared" si="35"/>
        <v>0</v>
      </c>
      <c r="O200" s="83"/>
      <c r="P200"/>
      <c r="Q200"/>
      <c r="R200"/>
      <c r="S200"/>
      <c r="U200" s="84" t="s">
        <v>530</v>
      </c>
      <c r="V200" s="80"/>
      <c r="W200" s="82" t="s">
        <v>551</v>
      </c>
      <c r="X200" s="82"/>
      <c r="Y200" s="85" t="s">
        <v>531</v>
      </c>
      <c r="Z200" s="86" t="s">
        <v>532</v>
      </c>
      <c r="AA200" s="86" t="s">
        <v>26</v>
      </c>
      <c r="AB200" s="86"/>
      <c r="AC200" s="87">
        <v>0</v>
      </c>
      <c r="AD200" s="88">
        <f t="shared" si="36"/>
        <v>0</v>
      </c>
      <c r="AF200" s="54" t="s">
        <v>2536</v>
      </c>
      <c r="AQ200" s="80">
        <f t="shared" si="32"/>
        <v>0</v>
      </c>
      <c r="AR200" s="80"/>
    </row>
    <row r="201" spans="1:44" ht="24">
      <c r="A201" s="1373">
        <v>51150215</v>
      </c>
      <c r="B201" s="78" t="str">
        <f>VLOOKUP(A201,'TB for financial'!A:B,2,0)</f>
        <v>J. P. Morgan Chase Bank N.A.-INR-Pymt</v>
      </c>
      <c r="D201" s="122">
        <f>VLOOKUP(A201,'TB for financial'!A:F,6,0)</f>
        <v>0</v>
      </c>
      <c r="E201" s="80"/>
      <c r="F201" s="79">
        <f>VLOOKUP(A201,'TB for financial'!A:K,11,0)</f>
        <v>0</v>
      </c>
      <c r="G201" s="80"/>
      <c r="H201" s="81">
        <f t="shared" si="33"/>
        <v>0</v>
      </c>
      <c r="I201" s="81">
        <v>0</v>
      </c>
      <c r="J201" s="81">
        <f t="shared" si="28"/>
        <v>0</v>
      </c>
      <c r="K201" s="80"/>
      <c r="L201" s="82">
        <f t="shared" si="34"/>
        <v>0</v>
      </c>
      <c r="M201" s="82">
        <v>0</v>
      </c>
      <c r="N201" s="82">
        <f t="shared" si="35"/>
        <v>0</v>
      </c>
      <c r="O201" s="83"/>
      <c r="P201"/>
      <c r="Q201"/>
      <c r="R201"/>
      <c r="S201"/>
      <c r="U201" s="84" t="s">
        <v>530</v>
      </c>
      <c r="V201" s="80"/>
      <c r="W201" s="82" t="s">
        <v>551</v>
      </c>
      <c r="X201" s="82"/>
      <c r="Y201" s="85" t="s">
        <v>531</v>
      </c>
      <c r="Z201" s="86" t="s">
        <v>532</v>
      </c>
      <c r="AA201" s="86" t="s">
        <v>26</v>
      </c>
      <c r="AB201" s="86"/>
      <c r="AC201" s="87">
        <v>0</v>
      </c>
      <c r="AD201" s="88">
        <f t="shared" si="36"/>
        <v>0</v>
      </c>
      <c r="AF201" s="54" t="s">
        <v>2536</v>
      </c>
      <c r="AQ201" s="80">
        <f t="shared" si="32"/>
        <v>0</v>
      </c>
      <c r="AR201" s="80"/>
    </row>
    <row r="202" spans="1:44" ht="24">
      <c r="A202" s="1373">
        <v>51150216</v>
      </c>
      <c r="B202" s="78" t="str">
        <f>VLOOKUP(A202,'TB for financial'!A:B,2,0)</f>
        <v>J. P. Morgan Chase Bank N.A.-INR-Pymt</v>
      </c>
      <c r="D202" s="122">
        <f>VLOOKUP(A202,'TB for financial'!A:F,6,0)</f>
        <v>0</v>
      </c>
      <c r="E202" s="80"/>
      <c r="F202" s="79">
        <f>VLOOKUP(A202,'TB for financial'!A:K,11,0)</f>
        <v>0</v>
      </c>
      <c r="G202" s="80"/>
      <c r="H202" s="81">
        <f t="shared" si="33"/>
        <v>0</v>
      </c>
      <c r="I202" s="81">
        <v>0</v>
      </c>
      <c r="J202" s="81">
        <f t="shared" si="28"/>
        <v>0</v>
      </c>
      <c r="K202" s="80"/>
      <c r="L202" s="82">
        <f t="shared" si="34"/>
        <v>0</v>
      </c>
      <c r="M202" s="82">
        <v>0</v>
      </c>
      <c r="N202" s="82">
        <f t="shared" si="35"/>
        <v>0</v>
      </c>
      <c r="O202" s="83"/>
      <c r="P202"/>
      <c r="Q202"/>
      <c r="R202"/>
      <c r="S202"/>
      <c r="U202" s="84" t="s">
        <v>530</v>
      </c>
      <c r="V202" s="80"/>
      <c r="W202" s="82" t="s">
        <v>551</v>
      </c>
      <c r="X202" s="82"/>
      <c r="Y202" s="85" t="s">
        <v>531</v>
      </c>
      <c r="Z202" s="86" t="s">
        <v>532</v>
      </c>
      <c r="AA202" s="86" t="s">
        <v>26</v>
      </c>
      <c r="AB202" s="86"/>
      <c r="AC202" s="87">
        <v>0</v>
      </c>
      <c r="AD202" s="88">
        <f t="shared" si="36"/>
        <v>0</v>
      </c>
      <c r="AF202" s="54" t="s">
        <v>2536</v>
      </c>
      <c r="AQ202" s="80">
        <f t="shared" si="32"/>
        <v>0</v>
      </c>
      <c r="AR202" s="80"/>
    </row>
    <row r="203" spans="1:44" ht="24">
      <c r="A203" s="1373">
        <v>51150217</v>
      </c>
      <c r="B203" s="78" t="str">
        <f>VLOOKUP(A203,'TB for financial'!A:B,2,0)</f>
        <v>J. P. Morgan Chase Bank N.A.-INR-Pymt</v>
      </c>
      <c r="D203" s="122">
        <f>VLOOKUP(A203,'TB for financial'!A:F,6,0)</f>
        <v>0</v>
      </c>
      <c r="E203" s="80"/>
      <c r="F203" s="79">
        <f>VLOOKUP(A203,'TB for financial'!A:K,11,0)</f>
        <v>0</v>
      </c>
      <c r="G203" s="80"/>
      <c r="H203" s="81">
        <f t="shared" si="33"/>
        <v>0</v>
      </c>
      <c r="I203" s="81">
        <v>0</v>
      </c>
      <c r="J203" s="81">
        <f t="shared" si="28"/>
        <v>0</v>
      </c>
      <c r="K203" s="80"/>
      <c r="L203" s="82">
        <f t="shared" si="34"/>
        <v>0</v>
      </c>
      <c r="M203" s="82">
        <v>0</v>
      </c>
      <c r="N203" s="82">
        <f t="shared" si="35"/>
        <v>0</v>
      </c>
      <c r="O203" s="83"/>
      <c r="P203"/>
      <c r="Q203"/>
      <c r="R203"/>
      <c r="S203"/>
      <c r="U203" s="84" t="s">
        <v>530</v>
      </c>
      <c r="V203" s="80"/>
      <c r="W203" s="82" t="s">
        <v>551</v>
      </c>
      <c r="X203" s="82"/>
      <c r="Y203" s="85" t="s">
        <v>531</v>
      </c>
      <c r="Z203" s="86" t="s">
        <v>532</v>
      </c>
      <c r="AA203" s="86" t="s">
        <v>26</v>
      </c>
      <c r="AB203" s="86"/>
      <c r="AC203" s="87">
        <v>0</v>
      </c>
      <c r="AD203" s="88">
        <f t="shared" si="36"/>
        <v>0</v>
      </c>
      <c r="AF203" s="54" t="s">
        <v>2536</v>
      </c>
      <c r="AQ203" s="80">
        <f t="shared" si="32"/>
        <v>0</v>
      </c>
      <c r="AR203" s="80"/>
    </row>
    <row r="204" spans="1:44" ht="14.4">
      <c r="A204" s="1373">
        <v>51200208</v>
      </c>
      <c r="B204" s="78" t="str">
        <f>VLOOKUP(A204,'TB for financial'!A:B,2,0)</f>
        <v>Bank Of India-INR-Main</v>
      </c>
      <c r="D204" s="122">
        <f>VLOOKUP(A204,'TB for financial'!A:F,6,0)</f>
        <v>11753.500000007451</v>
      </c>
      <c r="E204" s="80"/>
      <c r="F204" s="79">
        <f>VLOOKUP(A204,'TB for financial'!A:K,11,0)</f>
        <v>11753.500000007451</v>
      </c>
      <c r="G204" s="80"/>
      <c r="H204" s="122">
        <f t="shared" si="33"/>
        <v>11753.500000007451</v>
      </c>
      <c r="I204" s="81">
        <v>0</v>
      </c>
      <c r="J204" s="81">
        <f t="shared" si="28"/>
        <v>0</v>
      </c>
      <c r="K204" s="80"/>
      <c r="L204" s="82">
        <f t="shared" si="34"/>
        <v>11753.500000007451</v>
      </c>
      <c r="M204" s="82">
        <v>0</v>
      </c>
      <c r="N204" s="82">
        <f t="shared" si="35"/>
        <v>0</v>
      </c>
      <c r="O204" s="83"/>
      <c r="P204"/>
      <c r="Q204"/>
      <c r="R204"/>
      <c r="S204"/>
      <c r="U204" s="84" t="s">
        <v>530</v>
      </c>
      <c r="V204" s="80"/>
      <c r="W204" s="82" t="s">
        <v>551</v>
      </c>
      <c r="X204" s="82"/>
      <c r="Y204" s="85" t="s">
        <v>531</v>
      </c>
      <c r="Z204" s="86" t="s">
        <v>532</v>
      </c>
      <c r="AA204" s="86" t="s">
        <v>26</v>
      </c>
      <c r="AB204" s="86"/>
      <c r="AC204" s="87">
        <v>11754.5</v>
      </c>
      <c r="AD204" s="88">
        <f t="shared" si="36"/>
        <v>-0.9999999925494194</v>
      </c>
      <c r="AF204" s="54" t="s">
        <v>2536</v>
      </c>
      <c r="AQ204" s="80">
        <f t="shared" si="32"/>
        <v>11753.500000007451</v>
      </c>
      <c r="AR204" s="80"/>
    </row>
    <row r="205" spans="1:44" ht="24">
      <c r="A205" s="1373">
        <v>51200215</v>
      </c>
      <c r="B205" s="78" t="str">
        <f>VLOOKUP(A205,'TB for financial'!A:B,2,0)</f>
        <v>J. P. Morgan Chase Bank N.A.-INR-Main</v>
      </c>
      <c r="D205" s="122">
        <f>VLOOKUP(A205,'TB for financial'!A:F,6,0)</f>
        <v>397763.54999992717</v>
      </c>
      <c r="E205" s="80"/>
      <c r="F205" s="79">
        <f>VLOOKUP(A205,'TB for financial'!A:K,11,0)</f>
        <v>593429.48999998439</v>
      </c>
      <c r="G205" s="80"/>
      <c r="H205" s="122">
        <f t="shared" si="33"/>
        <v>397763.54999992717</v>
      </c>
      <c r="I205" s="81">
        <v>0</v>
      </c>
      <c r="J205" s="81">
        <f t="shared" si="28"/>
        <v>0</v>
      </c>
      <c r="K205" s="80"/>
      <c r="L205" s="82">
        <f t="shared" si="34"/>
        <v>593429.48999998439</v>
      </c>
      <c r="M205" s="82">
        <v>0</v>
      </c>
      <c r="N205" s="82">
        <f t="shared" si="35"/>
        <v>0</v>
      </c>
      <c r="O205" s="83"/>
      <c r="P205"/>
      <c r="Q205"/>
      <c r="R205"/>
      <c r="S205"/>
      <c r="U205" s="84" t="s">
        <v>530</v>
      </c>
      <c r="V205" s="80"/>
      <c r="W205" s="82" t="s">
        <v>551</v>
      </c>
      <c r="X205" s="82"/>
      <c r="Y205" s="85" t="s">
        <v>531</v>
      </c>
      <c r="Z205" s="86" t="s">
        <v>532</v>
      </c>
      <c r="AA205" s="86" t="s">
        <v>26</v>
      </c>
      <c r="AB205" s="86"/>
      <c r="AC205" s="87">
        <v>379291.02</v>
      </c>
      <c r="AD205" s="88">
        <f t="shared" si="36"/>
        <v>18472.529999927152</v>
      </c>
      <c r="AF205" s="54" t="s">
        <v>2536</v>
      </c>
      <c r="AQ205" s="80">
        <f t="shared" si="32"/>
        <v>397763.54999992717</v>
      </c>
      <c r="AR205" s="80"/>
    </row>
    <row r="206" spans="1:44" ht="24">
      <c r="A206" s="1373">
        <v>51200217</v>
      </c>
      <c r="B206" s="78" t="str">
        <f>VLOOKUP(A206,'TB for financial'!A:B,2,0)</f>
        <v>J. P. Morgan Chase Bank N.A.-INR-Main</v>
      </c>
      <c r="D206" s="122">
        <f>VLOOKUP(A206,'TB for financial'!A:F,6,0)</f>
        <v>6.0000002384185791E-2</v>
      </c>
      <c r="E206" s="80"/>
      <c r="F206" s="79">
        <f>VLOOKUP(A206,'TB for financial'!A:K,11,0)</f>
        <v>6.0000002384185791E-2</v>
      </c>
      <c r="G206" s="80"/>
      <c r="H206" s="81">
        <f t="shared" si="33"/>
        <v>6.0000002384185791E-2</v>
      </c>
      <c r="I206" s="81">
        <v>0</v>
      </c>
      <c r="J206" s="81">
        <f t="shared" si="28"/>
        <v>0</v>
      </c>
      <c r="K206" s="80"/>
      <c r="L206" s="82">
        <f>F206-M206</f>
        <v>6.0000002384185791E-2</v>
      </c>
      <c r="M206" s="82">
        <v>0</v>
      </c>
      <c r="N206" s="82">
        <f t="shared" si="35"/>
        <v>0</v>
      </c>
      <c r="O206" s="83"/>
      <c r="P206"/>
      <c r="Q206"/>
      <c r="R206"/>
      <c r="S206"/>
      <c r="U206" s="84" t="s">
        <v>530</v>
      </c>
      <c r="V206" s="80"/>
      <c r="W206" s="82" t="s">
        <v>551</v>
      </c>
      <c r="X206" s="82"/>
      <c r="Y206" s="85" t="s">
        <v>531</v>
      </c>
      <c r="Z206" s="86" t="s">
        <v>532</v>
      </c>
      <c r="AA206" s="86" t="s">
        <v>26</v>
      </c>
      <c r="AB206" s="86"/>
      <c r="AC206" s="87">
        <v>0.06</v>
      </c>
      <c r="AD206" s="88">
        <f t="shared" si="36"/>
        <v>2.384185793236071E-9</v>
      </c>
      <c r="AF206" s="54" t="s">
        <v>2536</v>
      </c>
      <c r="AQ206" s="80">
        <f t="shared" si="32"/>
        <v>6.0000002384185791E-2</v>
      </c>
      <c r="AR206" s="80"/>
    </row>
    <row r="207" spans="1:44" ht="14.4">
      <c r="A207" s="1373">
        <v>4510000</v>
      </c>
      <c r="B207" s="78" t="str">
        <f>VLOOKUP(A207,'TB for financial'!A:B,2,0)</f>
        <v>Current Account</v>
      </c>
      <c r="D207" s="122">
        <f>VLOOKUP(A207,'TB for financial'!A:F,6,0)</f>
        <v>0</v>
      </c>
      <c r="E207" s="80"/>
      <c r="F207" s="79">
        <f>VLOOKUP(A207,'TB for financial'!A:K,11,0)-F240</f>
        <v>0</v>
      </c>
      <c r="G207" s="80"/>
      <c r="H207" s="81">
        <f>D207-I207</f>
        <v>0</v>
      </c>
      <c r="I207" s="81">
        <v>0</v>
      </c>
      <c r="J207" s="81">
        <f t="shared" si="28"/>
        <v>0</v>
      </c>
      <c r="K207" s="80"/>
      <c r="L207" s="82">
        <f>F207-M207</f>
        <v>0</v>
      </c>
      <c r="M207" s="82">
        <v>0</v>
      </c>
      <c r="N207" s="82">
        <f>+F207-L207-M207</f>
        <v>0</v>
      </c>
      <c r="O207" s="83"/>
      <c r="P207"/>
      <c r="Q207"/>
      <c r="R207"/>
      <c r="S207"/>
      <c r="U207" s="84"/>
      <c r="V207" s="80"/>
      <c r="W207" s="82"/>
      <c r="X207" s="82"/>
      <c r="Y207" s="85" t="s">
        <v>531</v>
      </c>
      <c r="Z207" s="86" t="s">
        <v>532</v>
      </c>
      <c r="AA207" s="86" t="s">
        <v>26</v>
      </c>
      <c r="AB207" s="86"/>
      <c r="AC207" s="87">
        <v>0</v>
      </c>
      <c r="AD207" s="88">
        <f>+D207-AC207</f>
        <v>0</v>
      </c>
      <c r="AF207" s="54" t="s">
        <v>2536</v>
      </c>
      <c r="AQ207" s="80">
        <f t="shared" si="32"/>
        <v>0</v>
      </c>
      <c r="AR207" s="80"/>
    </row>
    <row r="208" spans="1:44" ht="5.0999999999999996" customHeight="1">
      <c r="A208" s="70"/>
      <c r="B208" s="78"/>
      <c r="D208" s="79"/>
      <c r="E208" s="80"/>
      <c r="F208" s="79"/>
      <c r="G208" s="80"/>
      <c r="H208" s="81"/>
      <c r="I208" s="81"/>
      <c r="J208" s="81">
        <f t="shared" si="28"/>
        <v>0</v>
      </c>
      <c r="K208" s="80"/>
      <c r="L208" s="82"/>
      <c r="M208" s="82"/>
      <c r="N208" s="82"/>
      <c r="O208" s="83"/>
      <c r="P208"/>
      <c r="Q208"/>
      <c r="R208"/>
      <c r="S208"/>
      <c r="U208" s="84"/>
      <c r="V208" s="80"/>
      <c r="W208" s="82"/>
      <c r="X208" s="82"/>
      <c r="Y208" s="94"/>
      <c r="Z208" s="86"/>
      <c r="AA208" s="86"/>
      <c r="AB208" s="86"/>
      <c r="AQ208" s="80">
        <f t="shared" si="32"/>
        <v>0</v>
      </c>
      <c r="AR208" s="80"/>
    </row>
    <row r="209" spans="1:44" ht="15" thickBot="1">
      <c r="A209" s="70"/>
      <c r="B209" s="71" t="s">
        <v>553</v>
      </c>
      <c r="D209" s="1646">
        <f>SUM(D147:D208)</f>
        <v>409517.82999993593</v>
      </c>
      <c r="E209" s="96"/>
      <c r="F209" s="97">
        <f>SUM(F147:F208)</f>
        <v>605183.76999999338</v>
      </c>
      <c r="G209" s="80"/>
      <c r="H209" s="1646">
        <f>SUM(H147:H208)</f>
        <v>409517.82999993593</v>
      </c>
      <c r="I209" s="99">
        <f>SUM(I147:I208)</f>
        <v>0</v>
      </c>
      <c r="J209" s="99">
        <f>SUM(J147:J208)</f>
        <v>0</v>
      </c>
      <c r="K209" s="80"/>
      <c r="L209" s="99">
        <f>SUM(L147:L208)</f>
        <v>605183.76999999338</v>
      </c>
      <c r="M209" s="99">
        <f>SUM(M147:M208)</f>
        <v>0</v>
      </c>
      <c r="N209" s="99">
        <f>SUM(N147:N208)</f>
        <v>0</v>
      </c>
      <c r="O209" s="100"/>
      <c r="P209"/>
      <c r="Q209"/>
      <c r="R209"/>
      <c r="S209"/>
      <c r="U209" s="101"/>
      <c r="V209" s="80"/>
      <c r="W209" s="102"/>
      <c r="X209" s="102"/>
      <c r="Y209" s="94"/>
      <c r="Z209" s="86"/>
      <c r="AA209" s="86"/>
      <c r="AB209" s="86"/>
      <c r="AQ209" s="80"/>
      <c r="AR209" s="80"/>
    </row>
    <row r="210" spans="1:44" ht="5.0999999999999996" customHeight="1" thickTop="1">
      <c r="A210" s="70"/>
      <c r="B210" s="78"/>
      <c r="D210" s="79"/>
      <c r="E210" s="80"/>
      <c r="F210" s="79"/>
      <c r="G210" s="80"/>
      <c r="H210" s="81"/>
      <c r="I210" s="81"/>
      <c r="J210" s="81"/>
      <c r="K210" s="80"/>
      <c r="L210" s="82"/>
      <c r="M210" s="82"/>
      <c r="N210" s="82"/>
      <c r="O210" s="83"/>
      <c r="P210"/>
      <c r="Q210"/>
      <c r="R210"/>
      <c r="S210"/>
      <c r="U210" s="84"/>
      <c r="V210" s="80"/>
      <c r="W210" s="82"/>
      <c r="X210" s="82"/>
      <c r="Y210" s="94"/>
      <c r="Z210" s="86"/>
      <c r="AA210" s="86"/>
      <c r="AB210" s="86"/>
      <c r="AQ210" s="80"/>
      <c r="AR210" s="80"/>
    </row>
    <row r="211" spans="1:44" ht="14.4">
      <c r="A211" s="89">
        <v>100515</v>
      </c>
      <c r="B211" s="78" t="str">
        <f>VLOOKUP(A211,'TB for financial'!A:B,2,0)</f>
        <v>Kotak Bank-Fixed Deposits</v>
      </c>
      <c r="D211" s="79">
        <f>VLOOKUP(A211,'TB for financial'!A:F,6,0)</f>
        <v>0</v>
      </c>
      <c r="E211" s="80"/>
      <c r="F211" s="79">
        <f>VLOOKUP(A211,'TB for financial'!A:K,11,0)</f>
        <v>0</v>
      </c>
      <c r="G211" s="80"/>
      <c r="H211" s="81">
        <f t="shared" ref="H211:H230" si="37">D211-I211</f>
        <v>0</v>
      </c>
      <c r="I211" s="81">
        <v>0</v>
      </c>
      <c r="J211" s="81">
        <f t="shared" ref="J211:J233" si="38">+D211-H211-I211</f>
        <v>0</v>
      </c>
      <c r="K211" s="80"/>
      <c r="L211" s="82">
        <f t="shared" ref="L211:L230" si="39">F211-M211</f>
        <v>0</v>
      </c>
      <c r="M211" s="82">
        <v>0</v>
      </c>
      <c r="N211" s="82">
        <f t="shared" ref="N211:N230" si="40">+F211-L211-M211</f>
        <v>0</v>
      </c>
      <c r="O211" s="83"/>
      <c r="P211"/>
      <c r="Q211"/>
      <c r="R211"/>
      <c r="S211"/>
      <c r="U211" s="84" t="s">
        <v>530</v>
      </c>
      <c r="V211" s="80"/>
      <c r="W211" s="82" t="s">
        <v>551</v>
      </c>
      <c r="X211" s="82" t="s">
        <v>201</v>
      </c>
      <c r="Y211" s="85" t="s">
        <v>531</v>
      </c>
      <c r="Z211" s="86" t="s">
        <v>532</v>
      </c>
      <c r="AA211" s="86" t="s">
        <v>554</v>
      </c>
      <c r="AB211" s="86"/>
      <c r="AC211" s="87">
        <v>0</v>
      </c>
      <c r="AD211" s="88">
        <f t="shared" ref="AD211:AD230" si="41">+D211-AC211</f>
        <v>0</v>
      </c>
      <c r="AF211" s="54">
        <v>100515</v>
      </c>
      <c r="AQ211" s="80"/>
      <c r="AR211" s="80"/>
    </row>
    <row r="212" spans="1:44" ht="14.4">
      <c r="A212" s="89">
        <v>100492</v>
      </c>
      <c r="B212" s="78" t="s">
        <v>555</v>
      </c>
      <c r="D212" s="79">
        <f>VLOOKUP(A212,'TB for financial'!A:F,6,0)</f>
        <v>0</v>
      </c>
      <c r="E212" s="80"/>
      <c r="F212" s="79">
        <f>VLOOKUP(A212,'TB for financial'!A:K,11,0)</f>
        <v>0</v>
      </c>
      <c r="G212" s="80"/>
      <c r="H212" s="81">
        <f t="shared" si="37"/>
        <v>0</v>
      </c>
      <c r="I212" s="81">
        <v>0</v>
      </c>
      <c r="J212" s="81">
        <f t="shared" si="38"/>
        <v>0</v>
      </c>
      <c r="K212" s="80"/>
      <c r="L212" s="82">
        <f t="shared" si="39"/>
        <v>0</v>
      </c>
      <c r="M212" s="82">
        <v>0</v>
      </c>
      <c r="N212" s="82">
        <f>+F212-L212-M212</f>
        <v>0</v>
      </c>
      <c r="O212" s="83"/>
      <c r="P212"/>
      <c r="Q212"/>
      <c r="R212"/>
      <c r="S212"/>
      <c r="U212" s="84" t="s">
        <v>530</v>
      </c>
      <c r="V212" s="80"/>
      <c r="W212" s="82" t="s">
        <v>551</v>
      </c>
      <c r="X212" s="82" t="s">
        <v>201</v>
      </c>
      <c r="Y212" s="85" t="s">
        <v>531</v>
      </c>
      <c r="Z212" s="86" t="s">
        <v>532</v>
      </c>
      <c r="AA212" s="86" t="s">
        <v>554</v>
      </c>
      <c r="AB212" s="86"/>
      <c r="AC212" s="87">
        <v>0</v>
      </c>
      <c r="AD212" s="88">
        <f t="shared" si="41"/>
        <v>0</v>
      </c>
      <c r="AF212" s="54">
        <v>100492</v>
      </c>
      <c r="AQ212" s="80"/>
      <c r="AR212" s="80"/>
    </row>
    <row r="213" spans="1:44" ht="14.4">
      <c r="A213" s="89">
        <v>100493</v>
      </c>
      <c r="B213" s="78" t="s">
        <v>556</v>
      </c>
      <c r="D213" s="79">
        <f>VLOOKUP(A213,'TB for financial'!A:F,6,0)</f>
        <v>0</v>
      </c>
      <c r="E213" s="80"/>
      <c r="F213" s="79">
        <f>VLOOKUP(A213,'TB for financial'!A:K,11,0)</f>
        <v>0</v>
      </c>
      <c r="G213" s="80"/>
      <c r="H213" s="81">
        <f t="shared" si="37"/>
        <v>0</v>
      </c>
      <c r="I213" s="81">
        <v>0</v>
      </c>
      <c r="J213" s="81">
        <f t="shared" si="38"/>
        <v>0</v>
      </c>
      <c r="K213" s="80"/>
      <c r="L213" s="82">
        <f t="shared" si="39"/>
        <v>0</v>
      </c>
      <c r="M213" s="82">
        <v>0</v>
      </c>
      <c r="N213" s="82">
        <f>+F213-L213-M213</f>
        <v>0</v>
      </c>
      <c r="O213" s="83"/>
      <c r="P213"/>
      <c r="Q213"/>
      <c r="R213"/>
      <c r="S213"/>
      <c r="U213" s="84" t="s">
        <v>530</v>
      </c>
      <c r="V213" s="80"/>
      <c r="W213" s="82" t="s">
        <v>551</v>
      </c>
      <c r="X213" s="82" t="s">
        <v>201</v>
      </c>
      <c r="Y213" s="85" t="s">
        <v>531</v>
      </c>
      <c r="Z213" s="86" t="s">
        <v>532</v>
      </c>
      <c r="AA213" s="86" t="s">
        <v>554</v>
      </c>
      <c r="AB213" s="86"/>
      <c r="AC213" s="87">
        <v>0</v>
      </c>
      <c r="AD213" s="88">
        <f t="shared" si="41"/>
        <v>0</v>
      </c>
      <c r="AF213" s="54">
        <v>100493</v>
      </c>
      <c r="AQ213" s="80"/>
      <c r="AR213" s="80"/>
    </row>
    <row r="214" spans="1:44" ht="14.4">
      <c r="A214" s="89">
        <v>100517</v>
      </c>
      <c r="B214" s="78" t="str">
        <f>VLOOKUP(A214,'TB for financial'!A:B,2,0)</f>
        <v>PNB-Fixed Deposits</v>
      </c>
      <c r="D214" s="79">
        <f>VLOOKUP(A214,'TB for financial'!A:F,6,0)</f>
        <v>0</v>
      </c>
      <c r="E214" s="80"/>
      <c r="F214" s="79">
        <f>VLOOKUP(A214,'TB for financial'!A:K,11,0)</f>
        <v>0</v>
      </c>
      <c r="G214" s="80"/>
      <c r="H214" s="81">
        <f t="shared" si="37"/>
        <v>0</v>
      </c>
      <c r="I214" s="81">
        <v>0</v>
      </c>
      <c r="J214" s="81">
        <f t="shared" si="38"/>
        <v>0</v>
      </c>
      <c r="K214" s="80"/>
      <c r="L214" s="82">
        <f t="shared" si="39"/>
        <v>0</v>
      </c>
      <c r="M214" s="82">
        <v>0</v>
      </c>
      <c r="N214" s="82">
        <f t="shared" si="40"/>
        <v>0</v>
      </c>
      <c r="O214" s="83"/>
      <c r="P214"/>
      <c r="Q214"/>
      <c r="R214"/>
      <c r="S214"/>
      <c r="U214" s="84" t="s">
        <v>530</v>
      </c>
      <c r="V214" s="80"/>
      <c r="W214" s="82" t="s">
        <v>551</v>
      </c>
      <c r="X214" s="82" t="s">
        <v>201</v>
      </c>
      <c r="Y214" s="85" t="s">
        <v>531</v>
      </c>
      <c r="Z214" s="86" t="s">
        <v>532</v>
      </c>
      <c r="AA214" s="86" t="s">
        <v>554</v>
      </c>
      <c r="AB214" s="86"/>
      <c r="AC214" s="87">
        <v>0</v>
      </c>
      <c r="AD214" s="88">
        <f t="shared" si="41"/>
        <v>0</v>
      </c>
      <c r="AF214" s="54">
        <v>100517</v>
      </c>
      <c r="AQ214" s="80"/>
      <c r="AR214" s="80"/>
    </row>
    <row r="215" spans="1:44" ht="14.4">
      <c r="A215" s="70">
        <v>100521</v>
      </c>
      <c r="B215" s="78" t="str">
        <f>VLOOKUP(A215,'TB for financial'!A:B,2,0)</f>
        <v>Bank of India - TDR</v>
      </c>
      <c r="D215" s="79">
        <f>VLOOKUP(A215,'TB for financial'!A:F,6,0)</f>
        <v>0</v>
      </c>
      <c r="E215" s="80"/>
      <c r="F215" s="79">
        <f>VLOOKUP(A215,'TB for financial'!A:K,11,0)</f>
        <v>0</v>
      </c>
      <c r="G215" s="80"/>
      <c r="H215" s="81">
        <f t="shared" si="37"/>
        <v>0</v>
      </c>
      <c r="I215" s="81">
        <v>0</v>
      </c>
      <c r="J215" s="81">
        <f t="shared" si="38"/>
        <v>0</v>
      </c>
      <c r="K215" s="80"/>
      <c r="L215" s="82">
        <f t="shared" si="39"/>
        <v>0</v>
      </c>
      <c r="M215" s="82">
        <v>0</v>
      </c>
      <c r="N215" s="82">
        <f t="shared" si="40"/>
        <v>0</v>
      </c>
      <c r="O215" s="83"/>
      <c r="P215"/>
      <c r="Q215"/>
      <c r="R215"/>
      <c r="S215"/>
      <c r="U215" s="84" t="s">
        <v>530</v>
      </c>
      <c r="V215" s="80"/>
      <c r="W215" s="82" t="s">
        <v>551</v>
      </c>
      <c r="X215" s="82" t="s">
        <v>201</v>
      </c>
      <c r="Y215" s="85" t="s">
        <v>531</v>
      </c>
      <c r="Z215" s="86" t="s">
        <v>532</v>
      </c>
      <c r="AA215" s="86" t="s">
        <v>554</v>
      </c>
      <c r="AB215" s="86"/>
      <c r="AC215" s="87">
        <v>0</v>
      </c>
      <c r="AD215" s="88">
        <f t="shared" si="41"/>
        <v>0</v>
      </c>
      <c r="AF215" s="54">
        <v>100521</v>
      </c>
      <c r="AQ215" s="80"/>
      <c r="AR215" s="80"/>
    </row>
    <row r="216" spans="1:44" ht="14.4">
      <c r="A216" s="70">
        <v>100522</v>
      </c>
      <c r="B216" s="78" t="str">
        <f>VLOOKUP(A216,'TB for financial'!A:B,2,0)</f>
        <v>State Bank of India - TDR</v>
      </c>
      <c r="D216" s="79">
        <f>VLOOKUP(A216,'TB for financial'!A:F,6,0)</f>
        <v>0</v>
      </c>
      <c r="E216" s="80"/>
      <c r="F216" s="79">
        <f>VLOOKUP(A216,'TB for financial'!A:K,11,0)</f>
        <v>0</v>
      </c>
      <c r="G216" s="80"/>
      <c r="H216" s="81">
        <f t="shared" si="37"/>
        <v>0</v>
      </c>
      <c r="I216" s="81">
        <v>0</v>
      </c>
      <c r="J216" s="81">
        <f t="shared" si="38"/>
        <v>0</v>
      </c>
      <c r="K216" s="80"/>
      <c r="L216" s="82">
        <f t="shared" si="39"/>
        <v>0</v>
      </c>
      <c r="M216" s="82">
        <v>0</v>
      </c>
      <c r="N216" s="82">
        <f t="shared" si="40"/>
        <v>0</v>
      </c>
      <c r="O216" s="83"/>
      <c r="P216"/>
      <c r="Q216"/>
      <c r="R216"/>
      <c r="S216"/>
      <c r="U216" s="84" t="s">
        <v>530</v>
      </c>
      <c r="V216" s="80"/>
      <c r="W216" s="82" t="s">
        <v>551</v>
      </c>
      <c r="X216" s="82" t="s">
        <v>201</v>
      </c>
      <c r="Y216" s="85" t="s">
        <v>531</v>
      </c>
      <c r="Z216" s="86" t="s">
        <v>532</v>
      </c>
      <c r="AA216" s="86" t="s">
        <v>554</v>
      </c>
      <c r="AB216" s="86"/>
      <c r="AC216" s="87">
        <v>0</v>
      </c>
      <c r="AD216" s="88">
        <f t="shared" si="41"/>
        <v>0</v>
      </c>
      <c r="AF216" s="54">
        <v>100522</v>
      </c>
      <c r="AQ216" s="80"/>
      <c r="AR216" s="80"/>
    </row>
    <row r="217" spans="1:44" ht="14.4">
      <c r="A217" s="70">
        <v>100523</v>
      </c>
      <c r="B217" s="78" t="str">
        <f>VLOOKUP(A217,'TB for financial'!A:B,2,0)</f>
        <v>Credit Agricole Indosuez - TDR</v>
      </c>
      <c r="D217" s="79">
        <f>VLOOKUP(A217,'TB for financial'!A:F,6,0)</f>
        <v>0</v>
      </c>
      <c r="E217" s="80"/>
      <c r="F217" s="79">
        <f>VLOOKUP(A217,'TB for financial'!A:K,11,0)</f>
        <v>0</v>
      </c>
      <c r="G217" s="80"/>
      <c r="H217" s="81">
        <f t="shared" si="37"/>
        <v>0</v>
      </c>
      <c r="I217" s="81">
        <v>0</v>
      </c>
      <c r="J217" s="81">
        <f t="shared" si="38"/>
        <v>0</v>
      </c>
      <c r="K217" s="80"/>
      <c r="L217" s="82">
        <f t="shared" si="39"/>
        <v>0</v>
      </c>
      <c r="M217" s="82">
        <v>0</v>
      </c>
      <c r="N217" s="82">
        <f t="shared" si="40"/>
        <v>0</v>
      </c>
      <c r="O217" s="83"/>
      <c r="P217"/>
      <c r="Q217"/>
      <c r="R217"/>
      <c r="S217"/>
      <c r="U217" s="84" t="s">
        <v>530</v>
      </c>
      <c r="V217" s="80"/>
      <c r="W217" s="82" t="s">
        <v>551</v>
      </c>
      <c r="X217" s="82" t="s">
        <v>201</v>
      </c>
      <c r="Y217" s="85" t="s">
        <v>531</v>
      </c>
      <c r="Z217" s="86" t="s">
        <v>532</v>
      </c>
      <c r="AA217" s="86" t="s">
        <v>554</v>
      </c>
      <c r="AB217" s="86"/>
      <c r="AC217" s="87">
        <v>0</v>
      </c>
      <c r="AD217" s="88">
        <f t="shared" si="41"/>
        <v>0</v>
      </c>
      <c r="AF217" s="54">
        <v>100523</v>
      </c>
      <c r="AQ217" s="80"/>
      <c r="AR217" s="80"/>
    </row>
    <row r="218" spans="1:44" ht="14.4">
      <c r="A218" s="70">
        <v>100524</v>
      </c>
      <c r="B218" s="78" t="str">
        <f>VLOOKUP(A218,'TB for financial'!A:B,2,0)</f>
        <v>UCO Bank - TDR</v>
      </c>
      <c r="D218" s="79">
        <f>VLOOKUP(A218,'TB for financial'!A:F,6,0)</f>
        <v>0</v>
      </c>
      <c r="E218" s="80"/>
      <c r="F218" s="79">
        <f>VLOOKUP(A218,'TB for financial'!A:K,11,0)</f>
        <v>0</v>
      </c>
      <c r="G218" s="80"/>
      <c r="H218" s="81">
        <f t="shared" si="37"/>
        <v>0</v>
      </c>
      <c r="I218" s="81">
        <v>0</v>
      </c>
      <c r="J218" s="81">
        <f t="shared" si="38"/>
        <v>0</v>
      </c>
      <c r="K218" s="80"/>
      <c r="L218" s="82">
        <f t="shared" si="39"/>
        <v>0</v>
      </c>
      <c r="M218" s="82">
        <v>0</v>
      </c>
      <c r="N218" s="82">
        <f t="shared" si="40"/>
        <v>0</v>
      </c>
      <c r="O218" s="83"/>
      <c r="P218"/>
      <c r="Q218"/>
      <c r="R218"/>
      <c r="S218"/>
      <c r="U218" s="84" t="s">
        <v>530</v>
      </c>
      <c r="V218" s="80"/>
      <c r="W218" s="82" t="s">
        <v>551</v>
      </c>
      <c r="X218" s="82" t="s">
        <v>201</v>
      </c>
      <c r="Y218" s="85" t="s">
        <v>531</v>
      </c>
      <c r="Z218" s="86" t="s">
        <v>532</v>
      </c>
      <c r="AA218" s="86" t="s">
        <v>554</v>
      </c>
      <c r="AB218" s="86"/>
      <c r="AC218" s="87">
        <v>0</v>
      </c>
      <c r="AD218" s="88">
        <f t="shared" si="41"/>
        <v>0</v>
      </c>
      <c r="AF218" s="54">
        <v>100524</v>
      </c>
      <c r="AQ218" s="80"/>
      <c r="AR218" s="80"/>
    </row>
    <row r="219" spans="1:44" ht="14.4">
      <c r="A219" s="70">
        <v>100526</v>
      </c>
      <c r="B219" s="78" t="str">
        <f>VLOOKUP(A219,'TB for financial'!A:B,2,0)</f>
        <v>ICICI Bank - TDR</v>
      </c>
      <c r="D219" s="79">
        <f>VLOOKUP(A219,'TB for financial'!A:F,6,0)-D237</f>
        <v>0</v>
      </c>
      <c r="E219" s="80"/>
      <c r="F219" s="79">
        <f>VLOOKUP(A219,'TB for financial'!A:K,11,0)-F237</f>
        <v>0</v>
      </c>
      <c r="G219" s="80"/>
      <c r="H219" s="81">
        <f t="shared" si="37"/>
        <v>0</v>
      </c>
      <c r="I219" s="81">
        <v>0</v>
      </c>
      <c r="J219" s="81">
        <f t="shared" si="38"/>
        <v>0</v>
      </c>
      <c r="K219" s="80"/>
      <c r="L219" s="82">
        <f t="shared" si="39"/>
        <v>0</v>
      </c>
      <c r="M219" s="82">
        <v>0</v>
      </c>
      <c r="N219" s="82">
        <f t="shared" si="40"/>
        <v>0</v>
      </c>
      <c r="O219" s="83"/>
      <c r="P219"/>
      <c r="Q219"/>
      <c r="R219"/>
      <c r="S219"/>
      <c r="U219" s="84" t="s">
        <v>530</v>
      </c>
      <c r="V219" s="80"/>
      <c r="W219" s="82" t="s">
        <v>551</v>
      </c>
      <c r="X219" s="82" t="s">
        <v>201</v>
      </c>
      <c r="Y219" s="85" t="s">
        <v>531</v>
      </c>
      <c r="Z219" s="86" t="s">
        <v>532</v>
      </c>
      <c r="AA219" s="86" t="s">
        <v>554</v>
      </c>
      <c r="AB219" s="86"/>
      <c r="AC219" s="87">
        <v>0</v>
      </c>
      <c r="AD219" s="88">
        <f t="shared" si="41"/>
        <v>0</v>
      </c>
      <c r="AF219" s="54">
        <v>100526</v>
      </c>
      <c r="AQ219" s="80"/>
      <c r="AR219" s="80"/>
    </row>
    <row r="220" spans="1:44" ht="14.4">
      <c r="A220" s="70">
        <v>100527</v>
      </c>
      <c r="B220" s="78" t="str">
        <f>VLOOKUP(A220,'TB for financial'!A:B,2,0)</f>
        <v>Bank of India - USD TDR</v>
      </c>
      <c r="D220" s="79">
        <f>VLOOKUP(A220,'TB for financial'!A:F,6,0)</f>
        <v>0.33800005912780762</v>
      </c>
      <c r="E220" s="80"/>
      <c r="F220" s="131">
        <f>VLOOKUP(A220,'TB for financial'!A:K,11,0)</f>
        <v>0.33800005912780762</v>
      </c>
      <c r="G220" s="80"/>
      <c r="H220" s="81">
        <f t="shared" si="37"/>
        <v>0.33800005912780762</v>
      </c>
      <c r="I220" s="81">
        <v>0</v>
      </c>
      <c r="J220" s="81">
        <f t="shared" si="38"/>
        <v>0</v>
      </c>
      <c r="K220" s="80"/>
      <c r="L220" s="82">
        <f t="shared" si="39"/>
        <v>0.33800005912780762</v>
      </c>
      <c r="M220" s="82">
        <v>0</v>
      </c>
      <c r="N220" s="82">
        <f t="shared" si="40"/>
        <v>0</v>
      </c>
      <c r="O220" s="83"/>
      <c r="P220"/>
      <c r="Q220"/>
      <c r="R220"/>
      <c r="S220"/>
      <c r="U220" s="84" t="s">
        <v>530</v>
      </c>
      <c r="V220" s="80"/>
      <c r="W220" s="82" t="s">
        <v>551</v>
      </c>
      <c r="X220" s="82" t="s">
        <v>201</v>
      </c>
      <c r="Y220" s="85" t="s">
        <v>531</v>
      </c>
      <c r="Z220" s="86" t="s">
        <v>532</v>
      </c>
      <c r="AA220" s="86" t="s">
        <v>554</v>
      </c>
      <c r="AB220" s="86"/>
      <c r="AC220" s="87">
        <v>0</v>
      </c>
      <c r="AD220" s="88">
        <f t="shared" si="41"/>
        <v>0.33800005912780762</v>
      </c>
      <c r="AF220" s="54">
        <v>100527</v>
      </c>
      <c r="AQ220" s="80">
        <f>D220</f>
        <v>0.33800005912780762</v>
      </c>
      <c r="AR220" s="80"/>
    </row>
    <row r="221" spans="1:44" ht="14.4">
      <c r="A221" s="70">
        <v>100528</v>
      </c>
      <c r="B221" s="78" t="str">
        <f>VLOOKUP(A221,'TB for financial'!A:B,2,0)</f>
        <v>ICICI Bank - TDR - OBU</v>
      </c>
      <c r="D221" s="79">
        <f>VLOOKUP(A221,'TB for financial'!A:F,6,0)</f>
        <v>0</v>
      </c>
      <c r="E221" s="80"/>
      <c r="F221" s="79">
        <f>VLOOKUP(A221,'TB for financial'!A:K,11,0)</f>
        <v>0</v>
      </c>
      <c r="G221" s="80"/>
      <c r="H221" s="81">
        <f t="shared" si="37"/>
        <v>0</v>
      </c>
      <c r="I221" s="81">
        <v>0</v>
      </c>
      <c r="J221" s="81">
        <f t="shared" si="38"/>
        <v>0</v>
      </c>
      <c r="K221" s="80"/>
      <c r="L221" s="82">
        <f t="shared" si="39"/>
        <v>0</v>
      </c>
      <c r="M221" s="82">
        <v>0</v>
      </c>
      <c r="N221" s="82">
        <f t="shared" si="40"/>
        <v>0</v>
      </c>
      <c r="O221" s="83"/>
      <c r="P221"/>
      <c r="Q221"/>
      <c r="R221"/>
      <c r="S221"/>
      <c r="U221" s="84" t="s">
        <v>530</v>
      </c>
      <c r="V221" s="80"/>
      <c r="W221" s="82" t="s">
        <v>551</v>
      </c>
      <c r="X221" s="82" t="s">
        <v>201</v>
      </c>
      <c r="Y221" s="85" t="s">
        <v>531</v>
      </c>
      <c r="Z221" s="86" t="s">
        <v>532</v>
      </c>
      <c r="AA221" s="86" t="s">
        <v>554</v>
      </c>
      <c r="AB221" s="86"/>
      <c r="AC221" s="87">
        <v>0</v>
      </c>
      <c r="AD221" s="88">
        <f t="shared" si="41"/>
        <v>0</v>
      </c>
      <c r="AF221" s="54">
        <v>100528</v>
      </c>
      <c r="AQ221" s="80"/>
      <c r="AR221" s="80"/>
    </row>
    <row r="222" spans="1:44" ht="14.4">
      <c r="A222" s="70">
        <v>100530</v>
      </c>
      <c r="B222" s="78" t="str">
        <f>VLOOKUP(A222,'TB for financial'!A:B,2,0)</f>
        <v>Punjab National Bank - USD TDR</v>
      </c>
      <c r="D222" s="79">
        <f>VLOOKUP(A222,'TB for financial'!A:F,6,0)</f>
        <v>1.4449999928474426</v>
      </c>
      <c r="E222" s="80"/>
      <c r="F222" s="131">
        <f>VLOOKUP(A222,'TB for financial'!A:K,11,0)</f>
        <v>1.4449999928474426</v>
      </c>
      <c r="G222" s="80"/>
      <c r="H222" s="81">
        <f t="shared" si="37"/>
        <v>1.4449999928474426</v>
      </c>
      <c r="I222" s="81">
        <v>0</v>
      </c>
      <c r="J222" s="81">
        <f t="shared" si="38"/>
        <v>0</v>
      </c>
      <c r="K222" s="80"/>
      <c r="L222" s="82">
        <f t="shared" si="39"/>
        <v>1.4449999928474426</v>
      </c>
      <c r="M222" s="82">
        <v>0</v>
      </c>
      <c r="N222" s="82">
        <f t="shared" si="40"/>
        <v>0</v>
      </c>
      <c r="O222" s="83"/>
      <c r="P222"/>
      <c r="Q222"/>
      <c r="R222"/>
      <c r="S222"/>
      <c r="U222" s="84" t="s">
        <v>530</v>
      </c>
      <c r="V222" s="80"/>
      <c r="W222" s="82" t="s">
        <v>551</v>
      </c>
      <c r="X222" s="82" t="s">
        <v>201</v>
      </c>
      <c r="Y222" s="85" t="s">
        <v>531</v>
      </c>
      <c r="Z222" s="86" t="s">
        <v>532</v>
      </c>
      <c r="AA222" s="86" t="s">
        <v>554</v>
      </c>
      <c r="AB222" s="86"/>
      <c r="AC222" s="87">
        <v>0</v>
      </c>
      <c r="AD222" s="88">
        <f t="shared" si="41"/>
        <v>1.4449999928474426</v>
      </c>
      <c r="AF222" s="54">
        <v>100530</v>
      </c>
      <c r="AQ222" s="80">
        <f t="shared" ref="AQ222:AQ234" si="42">D222</f>
        <v>1.4449999928474426</v>
      </c>
      <c r="AR222" s="80"/>
    </row>
    <row r="223" spans="1:44" ht="14.4">
      <c r="A223" s="92">
        <v>100533</v>
      </c>
      <c r="B223" s="78" t="str">
        <f>VLOOKUP(A223,'TB for financial'!A:B,2,0)</f>
        <v>Standard Chartered Bank - TDR</v>
      </c>
      <c r="D223" s="79">
        <f>VLOOKUP(A223,'TB for financial'!A:F,6,0)</f>
        <v>0</v>
      </c>
      <c r="E223" s="80"/>
      <c r="F223" s="79">
        <f>VLOOKUP(A223,'TB for financial'!A:K,11,0)</f>
        <v>0</v>
      </c>
      <c r="G223" s="80"/>
      <c r="H223" s="81">
        <f t="shared" si="37"/>
        <v>0</v>
      </c>
      <c r="I223" s="81">
        <v>0</v>
      </c>
      <c r="J223" s="81">
        <f t="shared" si="38"/>
        <v>0</v>
      </c>
      <c r="K223" s="80"/>
      <c r="L223" s="82">
        <f t="shared" si="39"/>
        <v>0</v>
      </c>
      <c r="M223" s="82">
        <v>0</v>
      </c>
      <c r="N223" s="82">
        <f t="shared" si="40"/>
        <v>0</v>
      </c>
      <c r="O223" s="83"/>
      <c r="P223"/>
      <c r="Q223"/>
      <c r="R223"/>
      <c r="S223"/>
      <c r="U223" s="84" t="s">
        <v>530</v>
      </c>
      <c r="V223" s="80"/>
      <c r="W223" s="82" t="s">
        <v>551</v>
      </c>
      <c r="X223" s="82" t="s">
        <v>201</v>
      </c>
      <c r="Y223" s="85" t="s">
        <v>531</v>
      </c>
      <c r="Z223" s="86" t="s">
        <v>532</v>
      </c>
      <c r="AA223" s="86" t="s">
        <v>554</v>
      </c>
      <c r="AB223" s="86"/>
      <c r="AC223" s="87">
        <v>0</v>
      </c>
      <c r="AD223" s="88">
        <f t="shared" si="41"/>
        <v>0</v>
      </c>
      <c r="AF223" s="54">
        <v>100533</v>
      </c>
      <c r="AQ223" s="80">
        <f t="shared" si="42"/>
        <v>0</v>
      </c>
      <c r="AR223" s="80"/>
    </row>
    <row r="224" spans="1:44" ht="14.4">
      <c r="A224" s="132">
        <v>100534</v>
      </c>
      <c r="B224" s="78" t="str">
        <f>VLOOKUP(A224,'TB for financial'!A:B,2,0)</f>
        <v>HDFC Bank Limited -INR TDR</v>
      </c>
      <c r="D224" s="79">
        <f>VLOOKUP(A224,'TB for financial'!A:F,6,0)</f>
        <v>0</v>
      </c>
      <c r="E224" s="80"/>
      <c r="F224" s="79">
        <f>VLOOKUP(A224,'TB for financial'!A:K,11,0)</f>
        <v>0</v>
      </c>
      <c r="G224" s="80"/>
      <c r="H224" s="81">
        <f t="shared" si="37"/>
        <v>0</v>
      </c>
      <c r="I224" s="81">
        <v>0</v>
      </c>
      <c r="J224" s="81">
        <f t="shared" si="38"/>
        <v>0</v>
      </c>
      <c r="K224" s="80"/>
      <c r="L224" s="82">
        <f t="shared" si="39"/>
        <v>0</v>
      </c>
      <c r="M224" s="82">
        <v>0</v>
      </c>
      <c r="N224" s="82">
        <f t="shared" si="40"/>
        <v>0</v>
      </c>
      <c r="O224" s="83"/>
      <c r="P224"/>
      <c r="Q224"/>
      <c r="R224"/>
      <c r="S224"/>
      <c r="U224" s="84" t="s">
        <v>530</v>
      </c>
      <c r="V224" s="80"/>
      <c r="W224" s="82" t="s">
        <v>551</v>
      </c>
      <c r="X224" s="82" t="s">
        <v>201</v>
      </c>
      <c r="Y224" s="85" t="s">
        <v>531</v>
      </c>
      <c r="Z224" s="86" t="s">
        <v>532</v>
      </c>
      <c r="AA224" s="86" t="s">
        <v>554</v>
      </c>
      <c r="AB224" s="86"/>
      <c r="AC224" s="87">
        <v>0</v>
      </c>
      <c r="AD224" s="88">
        <f t="shared" si="41"/>
        <v>0</v>
      </c>
      <c r="AF224" s="54">
        <v>100534</v>
      </c>
      <c r="AQ224" s="80">
        <f t="shared" si="42"/>
        <v>0</v>
      </c>
      <c r="AR224" s="80"/>
    </row>
    <row r="225" spans="1:44" ht="14.4">
      <c r="A225" s="89">
        <v>100536</v>
      </c>
      <c r="B225" s="78" t="str">
        <f>VLOOKUP(A225,'TB for financial'!A:B,2,0)</f>
        <v>Corporation Bank - INR TDR</v>
      </c>
      <c r="D225" s="79">
        <f>VLOOKUP(A225,'TB for financial'!A:F,6,0)</f>
        <v>0</v>
      </c>
      <c r="E225" s="80"/>
      <c r="F225" s="79">
        <f>VLOOKUP(A225,'TB for financial'!A:K,11,0)</f>
        <v>0</v>
      </c>
      <c r="G225" s="80"/>
      <c r="H225" s="81">
        <f t="shared" si="37"/>
        <v>0</v>
      </c>
      <c r="I225" s="81">
        <v>0</v>
      </c>
      <c r="J225" s="81">
        <f t="shared" si="38"/>
        <v>0</v>
      </c>
      <c r="K225" s="80"/>
      <c r="L225" s="82">
        <f t="shared" si="39"/>
        <v>0</v>
      </c>
      <c r="M225" s="82">
        <v>0</v>
      </c>
      <c r="N225" s="82">
        <f t="shared" si="40"/>
        <v>0</v>
      </c>
      <c r="O225" s="83"/>
      <c r="P225"/>
      <c r="Q225"/>
      <c r="R225"/>
      <c r="S225"/>
      <c r="U225" s="84" t="s">
        <v>530</v>
      </c>
      <c r="V225" s="80"/>
      <c r="W225" s="82" t="s">
        <v>551</v>
      </c>
      <c r="X225" s="82" t="s">
        <v>201</v>
      </c>
      <c r="Y225" s="85" t="s">
        <v>531</v>
      </c>
      <c r="Z225" s="86" t="s">
        <v>532</v>
      </c>
      <c r="AA225" s="86" t="s">
        <v>554</v>
      </c>
      <c r="AB225" s="86"/>
      <c r="AC225" s="87">
        <v>0</v>
      </c>
      <c r="AD225" s="88">
        <f t="shared" si="41"/>
        <v>0</v>
      </c>
      <c r="AF225" s="54">
        <v>100536</v>
      </c>
      <c r="AQ225" s="80">
        <f t="shared" si="42"/>
        <v>0</v>
      </c>
      <c r="AR225" s="80"/>
    </row>
    <row r="226" spans="1:44" ht="14.4">
      <c r="A226" s="89">
        <v>100540</v>
      </c>
      <c r="B226" s="78" t="str">
        <f>VLOOKUP(A226,'TB for financial'!A:B,2,0)</f>
        <v>Axis Bank - INR TDR</v>
      </c>
      <c r="D226" s="79">
        <f>VLOOKUP(A226,'TB for financial'!A:F,6,0)</f>
        <v>0</v>
      </c>
      <c r="E226" s="80"/>
      <c r="F226" s="79">
        <f>VLOOKUP(A226,'TB for financial'!A:K,11,0)</f>
        <v>0</v>
      </c>
      <c r="G226" s="80"/>
      <c r="H226" s="81">
        <f t="shared" si="37"/>
        <v>0</v>
      </c>
      <c r="I226" s="81">
        <v>0</v>
      </c>
      <c r="J226" s="81">
        <f t="shared" si="38"/>
        <v>0</v>
      </c>
      <c r="K226" s="80"/>
      <c r="L226" s="82">
        <f t="shared" si="39"/>
        <v>0</v>
      </c>
      <c r="M226" s="82">
        <v>0</v>
      </c>
      <c r="N226" s="82">
        <f t="shared" si="40"/>
        <v>0</v>
      </c>
      <c r="O226" s="83"/>
      <c r="P226"/>
      <c r="Q226"/>
      <c r="R226"/>
      <c r="S226"/>
      <c r="U226" s="84" t="s">
        <v>530</v>
      </c>
      <c r="V226" s="80"/>
      <c r="W226" s="82" t="s">
        <v>551</v>
      </c>
      <c r="X226" s="82" t="s">
        <v>201</v>
      </c>
      <c r="Y226" s="85" t="s">
        <v>531</v>
      </c>
      <c r="Z226" s="86" t="s">
        <v>532</v>
      </c>
      <c r="AA226" s="86" t="s">
        <v>554</v>
      </c>
      <c r="AB226" s="86"/>
      <c r="AC226" s="87">
        <v>0</v>
      </c>
      <c r="AD226" s="88">
        <f t="shared" si="41"/>
        <v>0</v>
      </c>
      <c r="AF226" s="54">
        <v>100540</v>
      </c>
      <c r="AQ226" s="80">
        <f t="shared" si="42"/>
        <v>0</v>
      </c>
      <c r="AR226" s="80"/>
    </row>
    <row r="227" spans="1:44" ht="14.4">
      <c r="A227" s="90">
        <v>100541</v>
      </c>
      <c r="B227" s="78" t="str">
        <f>VLOOKUP(A227,'TB for financial'!A:B,2,0)</f>
        <v>Canara Bank TDR INR</v>
      </c>
      <c r="D227" s="79">
        <f>VLOOKUP(A227,'TB for financial'!A:F,6,0)</f>
        <v>0</v>
      </c>
      <c r="E227" s="80"/>
      <c r="F227" s="79">
        <f>VLOOKUP(A227,'TB for financial'!A:K,11,0)</f>
        <v>0</v>
      </c>
      <c r="G227" s="80"/>
      <c r="H227" s="81">
        <f t="shared" si="37"/>
        <v>0</v>
      </c>
      <c r="I227" s="81">
        <v>0</v>
      </c>
      <c r="J227" s="81">
        <f t="shared" si="38"/>
        <v>0</v>
      </c>
      <c r="K227" s="80"/>
      <c r="L227" s="82">
        <f t="shared" si="39"/>
        <v>0</v>
      </c>
      <c r="M227" s="82">
        <v>0</v>
      </c>
      <c r="N227" s="82">
        <f t="shared" si="40"/>
        <v>0</v>
      </c>
      <c r="O227" s="83"/>
      <c r="P227"/>
      <c r="Q227"/>
      <c r="R227"/>
      <c r="S227"/>
      <c r="U227" s="84" t="s">
        <v>530</v>
      </c>
      <c r="V227" s="80"/>
      <c r="W227" s="82" t="s">
        <v>551</v>
      </c>
      <c r="X227" s="82" t="s">
        <v>201</v>
      </c>
      <c r="Y227" s="85" t="s">
        <v>531</v>
      </c>
      <c r="Z227" s="86" t="s">
        <v>532</v>
      </c>
      <c r="AA227" s="86" t="s">
        <v>554</v>
      </c>
      <c r="AB227" s="86"/>
      <c r="AC227" s="87">
        <v>0</v>
      </c>
      <c r="AD227" s="88">
        <f t="shared" si="41"/>
        <v>0</v>
      </c>
      <c r="AF227" s="54">
        <v>100541</v>
      </c>
      <c r="AQ227" s="80">
        <f t="shared" si="42"/>
        <v>0</v>
      </c>
      <c r="AR227" s="80"/>
    </row>
    <row r="228" spans="1:44" ht="14.4">
      <c r="A228" s="90">
        <v>100542</v>
      </c>
      <c r="B228" s="78" t="str">
        <f>VLOOKUP(A228,'TB for financial'!A:B,2,0)</f>
        <v>Bank of Baroda-INR TDR A/c</v>
      </c>
      <c r="D228" s="79">
        <f>VLOOKUP(A228,'TB for financial'!A:F,6,0)</f>
        <v>0</v>
      </c>
      <c r="E228" s="80"/>
      <c r="F228" s="79">
        <f>VLOOKUP(A228,'TB for financial'!A:K,11,0)</f>
        <v>0</v>
      </c>
      <c r="G228" s="80"/>
      <c r="H228" s="81">
        <f t="shared" si="37"/>
        <v>0</v>
      </c>
      <c r="I228" s="81">
        <v>0</v>
      </c>
      <c r="J228" s="81">
        <f t="shared" si="38"/>
        <v>0</v>
      </c>
      <c r="K228" s="80"/>
      <c r="L228" s="82">
        <f t="shared" si="39"/>
        <v>0</v>
      </c>
      <c r="M228" s="82">
        <v>0</v>
      </c>
      <c r="N228" s="82">
        <f t="shared" si="40"/>
        <v>0</v>
      </c>
      <c r="O228" s="83"/>
      <c r="P228"/>
      <c r="Q228"/>
      <c r="R228"/>
      <c r="S228"/>
      <c r="U228" s="84" t="s">
        <v>530</v>
      </c>
      <c r="V228" s="80"/>
      <c r="W228" s="82" t="s">
        <v>551</v>
      </c>
      <c r="X228" s="82" t="s">
        <v>201</v>
      </c>
      <c r="Y228" s="85" t="s">
        <v>531</v>
      </c>
      <c r="Z228" s="86" t="s">
        <v>532</v>
      </c>
      <c r="AA228" s="86" t="s">
        <v>554</v>
      </c>
      <c r="AB228" s="86"/>
      <c r="AC228" s="87">
        <v>0</v>
      </c>
      <c r="AD228" s="88">
        <f t="shared" si="41"/>
        <v>0</v>
      </c>
      <c r="AF228" s="54">
        <v>100542</v>
      </c>
      <c r="AQ228" s="80">
        <f t="shared" si="42"/>
        <v>0</v>
      </c>
      <c r="AR228" s="80"/>
    </row>
    <row r="229" spans="1:44" ht="14.4">
      <c r="A229" s="70">
        <v>100593</v>
      </c>
      <c r="B229" s="78" t="str">
        <f>VLOOKUP(A229,'TB for financial'!A:B,2,0)</f>
        <v>SCB TDR</v>
      </c>
      <c r="D229" s="79">
        <f>VLOOKUP(A229,'TB for financial'!A:F,6,0)</f>
        <v>0</v>
      </c>
      <c r="E229" s="80"/>
      <c r="F229" s="79">
        <f>VLOOKUP(A229,'TB for financial'!A:K,11,0)</f>
        <v>0</v>
      </c>
      <c r="G229" s="80"/>
      <c r="H229" s="81">
        <f t="shared" si="37"/>
        <v>0</v>
      </c>
      <c r="I229" s="81">
        <v>0</v>
      </c>
      <c r="J229" s="81">
        <f t="shared" si="38"/>
        <v>0</v>
      </c>
      <c r="K229" s="80"/>
      <c r="L229" s="82">
        <f t="shared" si="39"/>
        <v>0</v>
      </c>
      <c r="M229" s="82">
        <v>0</v>
      </c>
      <c r="N229" s="82">
        <f t="shared" si="40"/>
        <v>0</v>
      </c>
      <c r="O229" s="83"/>
      <c r="P229"/>
      <c r="Q229"/>
      <c r="R229"/>
      <c r="S229"/>
      <c r="U229" s="84" t="s">
        <v>530</v>
      </c>
      <c r="V229" s="80"/>
      <c r="W229" s="82" t="s">
        <v>551</v>
      </c>
      <c r="X229" s="82" t="s">
        <v>201</v>
      </c>
      <c r="Y229" s="85" t="s">
        <v>531</v>
      </c>
      <c r="Z229" s="86" t="s">
        <v>532</v>
      </c>
      <c r="AA229" s="86" t="s">
        <v>554</v>
      </c>
      <c r="AB229" s="86"/>
      <c r="AC229" s="87">
        <v>0</v>
      </c>
      <c r="AD229" s="88">
        <f t="shared" si="41"/>
        <v>0</v>
      </c>
      <c r="AF229" s="54">
        <v>100593</v>
      </c>
      <c r="AQ229" s="80">
        <f t="shared" si="42"/>
        <v>0</v>
      </c>
      <c r="AR229" s="80"/>
    </row>
    <row r="230" spans="1:44" ht="14.4">
      <c r="A230" s="70">
        <v>101861</v>
      </c>
      <c r="B230" s="78" t="str">
        <f>VLOOKUP(A230,'TB for financial'!A:B,2,0)</f>
        <v>JPMorgan Chase Bank FD</v>
      </c>
      <c r="D230" s="79">
        <f>VLOOKUP(A230,'TB for financial'!A:F,6,0)</f>
        <v>0</v>
      </c>
      <c r="E230" s="80"/>
      <c r="F230" s="79">
        <f>VLOOKUP(A230,'TB for financial'!A:K,11,0)</f>
        <v>0</v>
      </c>
      <c r="G230" s="80"/>
      <c r="H230" s="81">
        <f t="shared" si="37"/>
        <v>0</v>
      </c>
      <c r="I230" s="81">
        <v>0</v>
      </c>
      <c r="J230" s="81">
        <f t="shared" si="38"/>
        <v>0</v>
      </c>
      <c r="K230" s="80"/>
      <c r="L230" s="82">
        <f t="shared" si="39"/>
        <v>0</v>
      </c>
      <c r="M230" s="82">
        <v>0</v>
      </c>
      <c r="N230" s="82">
        <f t="shared" si="40"/>
        <v>0</v>
      </c>
      <c r="O230" s="83"/>
      <c r="P230"/>
      <c r="Q230"/>
      <c r="R230"/>
      <c r="S230"/>
      <c r="U230" s="84"/>
      <c r="V230" s="80"/>
      <c r="W230" s="82"/>
      <c r="X230" s="82"/>
      <c r="Y230" s="85" t="s">
        <v>531</v>
      </c>
      <c r="Z230" s="86" t="s">
        <v>532</v>
      </c>
      <c r="AA230" s="86" t="s">
        <v>554</v>
      </c>
      <c r="AB230" s="86"/>
      <c r="AC230" s="87">
        <v>0</v>
      </c>
      <c r="AD230" s="88">
        <f t="shared" si="41"/>
        <v>0</v>
      </c>
      <c r="AF230" s="54">
        <v>101861</v>
      </c>
      <c r="AQ230" s="80">
        <f t="shared" si="42"/>
        <v>0</v>
      </c>
      <c r="AR230" s="80"/>
    </row>
    <row r="231" spans="1:44" ht="14.4">
      <c r="A231" s="1373">
        <v>508200</v>
      </c>
      <c r="B231" s="78" t="str">
        <f>VLOOKUP(A231,'TB for financial'!A:B,2,0)</f>
        <v>Bank Deposit</v>
      </c>
      <c r="D231" s="79">
        <f>VLOOKUP(A231,'TB for financial'!A:F,6,0)</f>
        <v>0</v>
      </c>
      <c r="E231" s="80"/>
      <c r="F231" s="79">
        <f>VLOOKUP(A231,'TB for financial'!A:K,11,0)-F240</f>
        <v>0</v>
      </c>
      <c r="G231" s="80"/>
      <c r="H231" s="81">
        <f>D231-I231</f>
        <v>0</v>
      </c>
      <c r="I231" s="81">
        <v>0</v>
      </c>
      <c r="J231" s="81">
        <f t="shared" si="38"/>
        <v>0</v>
      </c>
      <c r="K231" s="80"/>
      <c r="L231" s="82">
        <f>F231-M231</f>
        <v>0</v>
      </c>
      <c r="M231" s="82">
        <v>0</v>
      </c>
      <c r="N231" s="82">
        <f>+F231-L231-M231</f>
        <v>0</v>
      </c>
      <c r="O231" s="83"/>
      <c r="P231"/>
      <c r="Q231"/>
      <c r="R231"/>
      <c r="S231"/>
      <c r="U231" s="84"/>
      <c r="V231" s="80"/>
      <c r="W231" s="82"/>
      <c r="X231" s="82"/>
      <c r="Y231" s="85" t="s">
        <v>531</v>
      </c>
      <c r="Z231" s="86" t="s">
        <v>532</v>
      </c>
      <c r="AA231" s="86" t="s">
        <v>554</v>
      </c>
      <c r="AB231" s="86"/>
      <c r="AC231" s="87">
        <v>0</v>
      </c>
      <c r="AD231" s="88">
        <f>+D231-AC231</f>
        <v>0</v>
      </c>
      <c r="AF231" s="54" t="s">
        <v>2536</v>
      </c>
      <c r="AQ231" s="80">
        <f t="shared" si="42"/>
        <v>0</v>
      </c>
      <c r="AR231" s="80"/>
    </row>
    <row r="232" spans="1:44" ht="14.4">
      <c r="A232" s="1373">
        <v>508226</v>
      </c>
      <c r="B232" s="78" t="str">
        <f>VLOOKUP(A232,'TB for financial'!A:B,2,0)</f>
        <v>JPMC Bank FD Account</v>
      </c>
      <c r="D232" s="79">
        <f>VLOOKUP(A232,'TB for financial'!A:F,6,0)-D239</f>
        <v>-243250000</v>
      </c>
      <c r="E232" s="80"/>
      <c r="F232" s="131">
        <f>VLOOKUP(A232,'TB for financial'!A:K,11,0)-F239</f>
        <v>0</v>
      </c>
      <c r="G232" s="80"/>
      <c r="H232" s="81">
        <f>D232-I232</f>
        <v>-243250000</v>
      </c>
      <c r="I232" s="81">
        <v>0</v>
      </c>
      <c r="J232" s="81">
        <f t="shared" si="38"/>
        <v>0</v>
      </c>
      <c r="K232" s="80"/>
      <c r="L232" s="82">
        <v>0</v>
      </c>
      <c r="M232" s="82">
        <v>0</v>
      </c>
      <c r="N232" s="82">
        <f>+F232-L232-M232</f>
        <v>0</v>
      </c>
      <c r="O232" s="83"/>
      <c r="P232"/>
      <c r="Q232"/>
      <c r="R232"/>
      <c r="S232"/>
      <c r="U232" s="84"/>
      <c r="V232" s="80"/>
      <c r="W232" s="82"/>
      <c r="X232" s="82"/>
      <c r="Y232" s="85" t="s">
        <v>531</v>
      </c>
      <c r="Z232" s="86" t="s">
        <v>532</v>
      </c>
      <c r="AA232" s="86" t="s">
        <v>554</v>
      </c>
      <c r="AB232" s="86"/>
      <c r="AC232" s="87">
        <v>222200000</v>
      </c>
      <c r="AD232" s="88">
        <f>+D232-AC232</f>
        <v>-465450000</v>
      </c>
      <c r="AE232" s="54" t="s">
        <v>2537</v>
      </c>
      <c r="AF232" s="54" t="s">
        <v>2536</v>
      </c>
      <c r="AQ232" s="80">
        <f t="shared" si="42"/>
        <v>-243250000</v>
      </c>
      <c r="AR232" s="80"/>
    </row>
    <row r="233" spans="1:44" ht="14.4">
      <c r="A233" s="1373">
        <v>508227</v>
      </c>
      <c r="B233" s="78" t="str">
        <f>VLOOKUP(A233,'TB for financial'!A:B,2,0)</f>
        <v>JPMC Bank Flexi FD Account</v>
      </c>
      <c r="D233" s="79">
        <f>VLOOKUP(A233,'TB for financial'!A:F,6,0)-D238</f>
        <v>243250000</v>
      </c>
      <c r="E233" s="80"/>
      <c r="F233" s="79">
        <f>VLOOKUP(A233,'TB for financial'!A:K,11,0)-F238</f>
        <v>0</v>
      </c>
      <c r="G233" s="80"/>
      <c r="H233" s="81">
        <f>D233-I233</f>
        <v>243250000</v>
      </c>
      <c r="I233" s="81">
        <v>0</v>
      </c>
      <c r="J233" s="81">
        <f t="shared" si="38"/>
        <v>0</v>
      </c>
      <c r="K233" s="80"/>
      <c r="L233" s="82">
        <v>0</v>
      </c>
      <c r="M233" s="82">
        <v>0</v>
      </c>
      <c r="N233" s="82">
        <f>+F233-L233-M233</f>
        <v>0</v>
      </c>
      <c r="O233" s="83"/>
      <c r="P233"/>
      <c r="Q233"/>
      <c r="R233"/>
      <c r="S233"/>
      <c r="U233" s="84"/>
      <c r="V233" s="80"/>
      <c r="W233" s="82"/>
      <c r="X233" s="82"/>
      <c r="Y233" s="85" t="s">
        <v>531</v>
      </c>
      <c r="Z233" s="86" t="s">
        <v>532</v>
      </c>
      <c r="AA233" s="86" t="s">
        <v>554</v>
      </c>
      <c r="AB233" s="86"/>
      <c r="AC233" s="87">
        <v>6250000</v>
      </c>
      <c r="AD233" s="88">
        <f>+D233-AC233</f>
        <v>237000000</v>
      </c>
      <c r="AE233" s="54" t="s">
        <v>2537</v>
      </c>
      <c r="AF233" s="54" t="s">
        <v>2536</v>
      </c>
      <c r="AQ233" s="80">
        <f t="shared" si="42"/>
        <v>243250000</v>
      </c>
      <c r="AR233" s="80"/>
    </row>
    <row r="234" spans="1:44" ht="5.0999999999999996" customHeight="1">
      <c r="A234" s="70"/>
      <c r="B234" s="78"/>
      <c r="D234" s="79"/>
      <c r="E234" s="80"/>
      <c r="F234" s="79"/>
      <c r="G234" s="80"/>
      <c r="H234" s="81"/>
      <c r="I234" s="81"/>
      <c r="J234" s="81"/>
      <c r="K234" s="80"/>
      <c r="L234" s="82"/>
      <c r="M234" s="82"/>
      <c r="N234" s="82"/>
      <c r="O234" s="83"/>
      <c r="P234"/>
      <c r="Q234"/>
      <c r="R234"/>
      <c r="S234"/>
      <c r="U234" s="84"/>
      <c r="V234" s="80"/>
      <c r="W234" s="82"/>
      <c r="X234" s="82"/>
      <c r="Y234" s="94"/>
      <c r="Z234" s="86"/>
      <c r="AA234" s="86"/>
      <c r="AB234" s="86"/>
      <c r="AQ234" s="80">
        <f t="shared" si="42"/>
        <v>0</v>
      </c>
      <c r="AR234" s="80"/>
    </row>
    <row r="235" spans="1:44" ht="15" thickBot="1">
      <c r="A235" s="70"/>
      <c r="B235" s="71" t="s">
        <v>557</v>
      </c>
      <c r="D235" s="1646">
        <f>SUM(D211:D234)</f>
        <v>1.7830000519752502</v>
      </c>
      <c r="E235" s="96"/>
      <c r="F235" s="97">
        <f>SUM(F211:F234)</f>
        <v>1.7830000519752502</v>
      </c>
      <c r="G235" s="80"/>
      <c r="H235" s="1646">
        <f>SUM(H211:H234)</f>
        <v>1.7830000519752502</v>
      </c>
      <c r="I235" s="99">
        <f>SUM(I211:I234)</f>
        <v>0</v>
      </c>
      <c r="J235" s="99">
        <f>SUM(J211:J234)</f>
        <v>0</v>
      </c>
      <c r="K235" s="80"/>
      <c r="L235" s="99">
        <f>SUM(L211:L234)</f>
        <v>1.7830000519752502</v>
      </c>
      <c r="M235" s="99">
        <f>SUM(M211:M234)</f>
        <v>0</v>
      </c>
      <c r="N235" s="99">
        <f>SUM(N211:N234)</f>
        <v>0</v>
      </c>
      <c r="O235" s="100"/>
      <c r="P235"/>
      <c r="Q235"/>
      <c r="R235"/>
      <c r="S235"/>
      <c r="U235" s="101"/>
      <c r="V235" s="80"/>
      <c r="W235" s="102"/>
      <c r="X235" s="102"/>
      <c r="Y235" s="94"/>
      <c r="Z235" s="86"/>
      <c r="AA235" s="86"/>
      <c r="AB235" s="86"/>
      <c r="AQ235" s="80"/>
      <c r="AR235" s="80"/>
    </row>
    <row r="236" spans="1:44" ht="5.0999999999999996" customHeight="1" thickTop="1">
      <c r="A236" s="70"/>
      <c r="B236" s="78"/>
      <c r="D236" s="79"/>
      <c r="E236" s="80"/>
      <c r="F236" s="79"/>
      <c r="G236" s="80"/>
      <c r="H236" s="81"/>
      <c r="I236" s="81"/>
      <c r="J236" s="81"/>
      <c r="K236" s="80"/>
      <c r="L236" s="82"/>
      <c r="M236" s="82"/>
      <c r="N236" s="82"/>
      <c r="O236" s="83"/>
      <c r="P236"/>
      <c r="Q236"/>
      <c r="R236"/>
      <c r="S236"/>
      <c r="U236" s="84"/>
      <c r="V236" s="80"/>
      <c r="W236" s="82"/>
      <c r="X236" s="82"/>
      <c r="Y236" s="94"/>
      <c r="Z236" s="86"/>
      <c r="AA236" s="86"/>
      <c r="AB236" s="86"/>
      <c r="AQ236" s="80"/>
      <c r="AR236" s="80"/>
    </row>
    <row r="237" spans="1:44" ht="14.4">
      <c r="A237" s="70"/>
      <c r="B237" s="78" t="s">
        <v>1017</v>
      </c>
      <c r="D237" s="133"/>
      <c r="E237" s="134"/>
      <c r="F237" s="135"/>
      <c r="G237" s="80"/>
      <c r="H237" s="81">
        <f>D237</f>
        <v>0</v>
      </c>
      <c r="I237" s="81">
        <v>0</v>
      </c>
      <c r="J237" s="81">
        <f>+D237-H237-I237</f>
        <v>0</v>
      </c>
      <c r="K237" s="80"/>
      <c r="L237" s="82">
        <f>F237</f>
        <v>0</v>
      </c>
      <c r="M237" s="82">
        <v>0</v>
      </c>
      <c r="N237" s="82">
        <f>+F237-L237-M237</f>
        <v>0</v>
      </c>
      <c r="O237" s="83"/>
      <c r="P237"/>
      <c r="Q237"/>
      <c r="R237"/>
      <c r="S237"/>
      <c r="U237" s="84" t="s">
        <v>530</v>
      </c>
      <c r="V237" s="80"/>
      <c r="W237" s="82" t="s">
        <v>551</v>
      </c>
      <c r="X237" s="82"/>
      <c r="Y237" s="85" t="s">
        <v>531</v>
      </c>
      <c r="Z237" s="86" t="s">
        <v>532</v>
      </c>
      <c r="AA237" s="86" t="s">
        <v>26</v>
      </c>
      <c r="AB237" s="86"/>
      <c r="AC237" s="87">
        <v>0</v>
      </c>
      <c r="AD237" s="88">
        <f>+D237-AC237</f>
        <v>0</v>
      </c>
      <c r="AQ237" s="80"/>
      <c r="AR237" s="80"/>
    </row>
    <row r="238" spans="1:44" ht="14.4">
      <c r="A238" s="70"/>
      <c r="B238" s="78" t="s">
        <v>2285</v>
      </c>
      <c r="D238" s="120">
        <f>4500000*0</f>
        <v>0</v>
      </c>
      <c r="E238" s="134"/>
      <c r="F238" s="136">
        <v>4500000</v>
      </c>
      <c r="G238" s="80"/>
      <c r="H238" s="122">
        <f>D238</f>
        <v>0</v>
      </c>
      <c r="I238" s="81">
        <v>0</v>
      </c>
      <c r="J238" s="81">
        <f>+D238-H238-I238</f>
        <v>0</v>
      </c>
      <c r="K238" s="80"/>
      <c r="L238" s="82">
        <f>F238</f>
        <v>4500000</v>
      </c>
      <c r="M238" s="82">
        <v>0</v>
      </c>
      <c r="N238" s="82">
        <f>+F238-L238-M238</f>
        <v>0</v>
      </c>
      <c r="O238" s="83"/>
      <c r="P238"/>
      <c r="Q238"/>
      <c r="R238"/>
      <c r="S238"/>
      <c r="U238" s="84" t="s">
        <v>530</v>
      </c>
      <c r="V238" s="80"/>
      <c r="W238" s="82" t="s">
        <v>551</v>
      </c>
      <c r="X238" s="82"/>
      <c r="Y238" s="85" t="s">
        <v>531</v>
      </c>
      <c r="Z238" s="86" t="s">
        <v>532</v>
      </c>
      <c r="AA238" s="86" t="s">
        <v>26</v>
      </c>
      <c r="AB238" s="86"/>
      <c r="AC238" s="87">
        <v>0</v>
      </c>
      <c r="AD238" s="88">
        <f>+F238-AC238</f>
        <v>4500000</v>
      </c>
      <c r="AE238" s="54" t="s">
        <v>2537</v>
      </c>
      <c r="AQ238" s="80">
        <f>D238</f>
        <v>0</v>
      </c>
      <c r="AR238" s="80"/>
    </row>
    <row r="239" spans="1:44" ht="14.4">
      <c r="A239" s="70"/>
      <c r="B239" s="78" t="s">
        <v>2285</v>
      </c>
      <c r="D239" s="133">
        <f>243250000</f>
        <v>243250000</v>
      </c>
      <c r="E239" s="80"/>
      <c r="F239" s="135">
        <v>238700000</v>
      </c>
      <c r="G239" s="80"/>
      <c r="H239" s="122">
        <f>D239</f>
        <v>243250000</v>
      </c>
      <c r="I239" s="81">
        <v>0</v>
      </c>
      <c r="J239" s="81">
        <f>+D239-H239-I239</f>
        <v>0</v>
      </c>
      <c r="K239" s="80"/>
      <c r="L239" s="82">
        <f>F239</f>
        <v>238700000</v>
      </c>
      <c r="M239" s="82">
        <v>0</v>
      </c>
      <c r="N239" s="82">
        <f>+F239-L239-M239</f>
        <v>0</v>
      </c>
      <c r="O239" s="83"/>
      <c r="P239"/>
      <c r="Q239"/>
      <c r="R239"/>
      <c r="S239"/>
      <c r="U239" s="84" t="s">
        <v>530</v>
      </c>
      <c r="V239" s="80"/>
      <c r="W239" s="82" t="s">
        <v>551</v>
      </c>
      <c r="X239" s="82"/>
      <c r="Y239" s="85" t="s">
        <v>531</v>
      </c>
      <c r="Z239" s="86" t="s">
        <v>532</v>
      </c>
      <c r="AA239" s="86" t="s">
        <v>26</v>
      </c>
      <c r="AB239" s="86"/>
      <c r="AC239" s="87">
        <v>0</v>
      </c>
      <c r="AD239" s="88">
        <f>+F239-AC239</f>
        <v>238700000</v>
      </c>
      <c r="AE239" s="54" t="s">
        <v>2537</v>
      </c>
      <c r="AQ239" s="80">
        <f>D239</f>
        <v>243250000</v>
      </c>
      <c r="AR239" s="80"/>
    </row>
    <row r="240" spans="1:44" ht="3" customHeight="1">
      <c r="A240" s="70"/>
      <c r="B240" s="78"/>
      <c r="D240" s="79"/>
      <c r="E240" s="80"/>
      <c r="F240" s="79"/>
      <c r="G240" s="80"/>
      <c r="H240" s="81"/>
      <c r="I240" s="81"/>
      <c r="J240" s="81">
        <f>+D240-H240-I240</f>
        <v>0</v>
      </c>
      <c r="K240" s="80"/>
      <c r="L240" s="82"/>
      <c r="M240" s="82"/>
      <c r="N240" s="82"/>
      <c r="O240" s="83"/>
      <c r="P240"/>
      <c r="Q240"/>
      <c r="R240"/>
      <c r="S240"/>
      <c r="U240" s="84"/>
      <c r="V240" s="80"/>
      <c r="W240" s="82"/>
      <c r="X240" s="82"/>
      <c r="Y240" s="94"/>
      <c r="Z240" s="86"/>
      <c r="AA240" s="86"/>
      <c r="AB240" s="86"/>
      <c r="AQ240" s="80"/>
      <c r="AR240" s="80"/>
    </row>
    <row r="241" spans="1:44" ht="5.0999999999999996" customHeight="1">
      <c r="A241" s="70"/>
      <c r="B241" s="78"/>
      <c r="D241" s="79"/>
      <c r="E241" s="80"/>
      <c r="F241" s="79"/>
      <c r="G241" s="80"/>
      <c r="H241" s="81"/>
      <c r="I241" s="81"/>
      <c r="J241" s="81"/>
      <c r="K241" s="80"/>
      <c r="L241" s="82"/>
      <c r="M241" s="82"/>
      <c r="N241" s="82"/>
      <c r="O241" s="83"/>
      <c r="P241"/>
      <c r="Q241"/>
      <c r="R241"/>
      <c r="S241"/>
      <c r="U241" s="84"/>
      <c r="V241" s="80"/>
      <c r="W241" s="82"/>
      <c r="X241" s="82"/>
      <c r="Y241" s="94"/>
      <c r="Z241" s="86"/>
      <c r="AA241" s="86"/>
      <c r="AB241" s="86"/>
      <c r="AQ241" s="80"/>
      <c r="AR241" s="80"/>
    </row>
    <row r="242" spans="1:44" ht="24.6" thickBot="1">
      <c r="A242" s="70"/>
      <c r="B242" s="71" t="s">
        <v>561</v>
      </c>
      <c r="D242" s="95">
        <f>SUM(D237:D241)</f>
        <v>243250000</v>
      </c>
      <c r="E242" s="96"/>
      <c r="F242" s="97">
        <f>SUM(F237:F241)</f>
        <v>243200000</v>
      </c>
      <c r="G242" s="80"/>
      <c r="H242" s="98">
        <f>SUM(H237:H241)</f>
        <v>243250000</v>
      </c>
      <c r="I242" s="99">
        <f>SUM(I237:I241)</f>
        <v>0</v>
      </c>
      <c r="J242" s="99">
        <f>SUM(J237:J241)</f>
        <v>0</v>
      </c>
      <c r="K242" s="80"/>
      <c r="L242" s="99">
        <f>SUM(L237:L241)</f>
        <v>243200000</v>
      </c>
      <c r="M242" s="99">
        <f>SUM(M237:M241)</f>
        <v>0</v>
      </c>
      <c r="N242" s="99">
        <f>SUM(N237:N241)</f>
        <v>0</v>
      </c>
      <c r="O242" s="100"/>
      <c r="P242"/>
      <c r="Q242"/>
      <c r="R242"/>
      <c r="S242"/>
      <c r="U242" s="101"/>
      <c r="V242" s="80"/>
      <c r="W242" s="102"/>
      <c r="X242" s="102"/>
      <c r="Y242" s="94"/>
      <c r="Z242" s="86"/>
      <c r="AA242" s="86"/>
      <c r="AB242" s="86"/>
      <c r="AQ242" s="80"/>
      <c r="AR242" s="80"/>
    </row>
    <row r="243" spans="1:44" ht="4.5" customHeight="1" thickTop="1">
      <c r="A243" s="70"/>
      <c r="B243" s="71"/>
      <c r="D243" s="137"/>
      <c r="E243" s="96"/>
      <c r="F243" s="115"/>
      <c r="G243" s="80"/>
      <c r="H243" s="116"/>
      <c r="I243" s="116"/>
      <c r="J243" s="116"/>
      <c r="K243" s="80"/>
      <c r="L243" s="118"/>
      <c r="M243" s="118"/>
      <c r="N243" s="118"/>
      <c r="O243" s="119"/>
      <c r="P243"/>
      <c r="Q243"/>
      <c r="R243"/>
      <c r="S243"/>
      <c r="U243" s="117"/>
      <c r="V243" s="80"/>
      <c r="W243" s="118"/>
      <c r="X243" s="118"/>
      <c r="Y243" s="94"/>
      <c r="Z243" s="86"/>
      <c r="AA243" s="86"/>
      <c r="AB243" s="86"/>
      <c r="AQ243" s="80"/>
      <c r="AR243" s="80"/>
    </row>
    <row r="244" spans="1:44" ht="14.4">
      <c r="A244" s="70">
        <v>101321</v>
      </c>
      <c r="B244" s="78" t="str">
        <f>VLOOKUP(A244,'TB for financial'!A:B,2,0)</f>
        <v>Employee Vehicle Loans</v>
      </c>
      <c r="D244" s="79">
        <f>VLOOKUP(A244,'TB for financial'!A:F,6,0)</f>
        <v>0</v>
      </c>
      <c r="E244" s="80"/>
      <c r="F244" s="79">
        <f>VLOOKUP(A244,'TB for financial'!A:K,11,0)</f>
        <v>0</v>
      </c>
      <c r="G244" s="80"/>
      <c r="H244" s="81">
        <f t="shared" ref="H244:H254" si="43">D244-I244</f>
        <v>0</v>
      </c>
      <c r="I244" s="81">
        <v>0</v>
      </c>
      <c r="J244" s="81">
        <f t="shared" ref="J244:J256" si="44">+D244-H244-I244</f>
        <v>0</v>
      </c>
      <c r="K244" s="80"/>
      <c r="L244" s="82">
        <f t="shared" ref="L244:L254" si="45">F244-M244</f>
        <v>0</v>
      </c>
      <c r="M244" s="82">
        <v>0</v>
      </c>
      <c r="N244" s="82">
        <f t="shared" ref="N244:N253" si="46">+F244-L244-M244</f>
        <v>0</v>
      </c>
      <c r="O244" s="83"/>
      <c r="P244"/>
      <c r="Q244"/>
      <c r="R244"/>
      <c r="S244"/>
      <c r="U244" s="84" t="s">
        <v>535</v>
      </c>
      <c r="V244" s="80"/>
      <c r="W244" s="82" t="s">
        <v>562</v>
      </c>
      <c r="X244" s="82" t="s">
        <v>563</v>
      </c>
      <c r="Y244" s="85" t="s">
        <v>537</v>
      </c>
      <c r="Z244" s="86" t="s">
        <v>532</v>
      </c>
      <c r="AA244" s="86" t="s">
        <v>18</v>
      </c>
      <c r="AB244" s="86" t="s">
        <v>18</v>
      </c>
      <c r="AC244" s="87">
        <v>0</v>
      </c>
      <c r="AD244" s="88">
        <f t="shared" ref="AD244:AD254" si="47">+D244-AC244</f>
        <v>0</v>
      </c>
      <c r="AF244" s="54">
        <v>101321</v>
      </c>
      <c r="AQ244" s="80"/>
      <c r="AR244" s="80"/>
    </row>
    <row r="245" spans="1:44" ht="14.4">
      <c r="A245" s="70">
        <v>101323</v>
      </c>
      <c r="B245" s="78" t="str">
        <f>VLOOKUP(A245,'TB for financial'!A:B,2,0)</f>
        <v>Employee Other Loans</v>
      </c>
      <c r="D245" s="79">
        <f>VLOOKUP(A245,'TB for financial'!A:F,6,0)</f>
        <v>0</v>
      </c>
      <c r="E245" s="80"/>
      <c r="F245" s="79">
        <f>VLOOKUP(A245,'TB for financial'!A:K,11,0)</f>
        <v>0</v>
      </c>
      <c r="G245" s="80"/>
      <c r="H245" s="81">
        <f t="shared" si="43"/>
        <v>0</v>
      </c>
      <c r="I245" s="81">
        <v>0</v>
      </c>
      <c r="J245" s="81">
        <f t="shared" si="44"/>
        <v>0</v>
      </c>
      <c r="K245" s="80"/>
      <c r="L245" s="82">
        <f t="shared" si="45"/>
        <v>0</v>
      </c>
      <c r="M245" s="82">
        <v>0</v>
      </c>
      <c r="N245" s="82">
        <f t="shared" si="46"/>
        <v>0</v>
      </c>
      <c r="O245" s="83"/>
      <c r="P245"/>
      <c r="Q245"/>
      <c r="R245"/>
      <c r="S245"/>
      <c r="U245" s="84" t="s">
        <v>535</v>
      </c>
      <c r="V245" s="80"/>
      <c r="W245" s="82" t="s">
        <v>562</v>
      </c>
      <c r="X245" s="82" t="s">
        <v>563</v>
      </c>
      <c r="Y245" s="85" t="s">
        <v>537</v>
      </c>
      <c r="Z245" s="86" t="s">
        <v>532</v>
      </c>
      <c r="AA245" s="86" t="s">
        <v>18</v>
      </c>
      <c r="AB245" s="86" t="s">
        <v>18</v>
      </c>
      <c r="AC245" s="87">
        <v>0</v>
      </c>
      <c r="AD245" s="88">
        <f t="shared" si="47"/>
        <v>0</v>
      </c>
      <c r="AF245" s="54">
        <v>101323</v>
      </c>
      <c r="AQ245" s="80"/>
      <c r="AR245" s="80"/>
    </row>
    <row r="246" spans="1:44" ht="14.4">
      <c r="A246" s="92">
        <v>101327</v>
      </c>
      <c r="B246" s="78" t="str">
        <f>VLOOKUP(A246,'TB for financial'!A:B,2,0)</f>
        <v>Critical CTR Loan</v>
      </c>
      <c r="D246" s="79">
        <f>VLOOKUP(A246,'TB for financial'!A:F,6,0)</f>
        <v>0</v>
      </c>
      <c r="E246" s="80"/>
      <c r="F246" s="79">
        <f>VLOOKUP(A246,'TB for financial'!A:K,11,0)</f>
        <v>0</v>
      </c>
      <c r="G246" s="80"/>
      <c r="H246" s="81">
        <f t="shared" si="43"/>
        <v>0</v>
      </c>
      <c r="I246" s="81">
        <v>0</v>
      </c>
      <c r="J246" s="81">
        <f t="shared" si="44"/>
        <v>0</v>
      </c>
      <c r="K246" s="80"/>
      <c r="L246" s="82">
        <f t="shared" si="45"/>
        <v>0</v>
      </c>
      <c r="M246" s="82">
        <v>0</v>
      </c>
      <c r="N246" s="82">
        <f t="shared" si="46"/>
        <v>0</v>
      </c>
      <c r="O246" s="83"/>
      <c r="P246"/>
      <c r="Q246"/>
      <c r="R246"/>
      <c r="S246"/>
      <c r="U246" s="84" t="s">
        <v>535</v>
      </c>
      <c r="V246" s="80"/>
      <c r="W246" s="82" t="s">
        <v>562</v>
      </c>
      <c r="X246" s="82" t="s">
        <v>563</v>
      </c>
      <c r="Y246" s="85" t="s">
        <v>537</v>
      </c>
      <c r="Z246" s="86" t="s">
        <v>532</v>
      </c>
      <c r="AA246" s="86" t="s">
        <v>18</v>
      </c>
      <c r="AB246" s="86" t="s">
        <v>18</v>
      </c>
      <c r="AC246" s="87">
        <v>0</v>
      </c>
      <c r="AD246" s="88">
        <f t="shared" si="47"/>
        <v>0</v>
      </c>
      <c r="AF246" s="54">
        <v>101327</v>
      </c>
      <c r="AQ246" s="80"/>
      <c r="AR246" s="80"/>
    </row>
    <row r="247" spans="1:44" ht="14.4">
      <c r="A247" s="132">
        <v>101328</v>
      </c>
      <c r="B247" s="78" t="str">
        <f>VLOOKUP(A247,'TB for financial'!A:B,2,0)</f>
        <v>Employee Tuition Fee Loan</v>
      </c>
      <c r="D247" s="79">
        <f>VLOOKUP(A247,'TB for financial'!A:F,6,0)</f>
        <v>0</v>
      </c>
      <c r="E247" s="80"/>
      <c r="F247" s="79">
        <f>VLOOKUP(A247,'TB for financial'!A:K,11,0)</f>
        <v>0</v>
      </c>
      <c r="G247" s="80"/>
      <c r="H247" s="81">
        <f t="shared" si="43"/>
        <v>0</v>
      </c>
      <c r="I247" s="81">
        <v>0</v>
      </c>
      <c r="J247" s="81">
        <f t="shared" si="44"/>
        <v>0</v>
      </c>
      <c r="K247" s="80"/>
      <c r="L247" s="82">
        <f t="shared" si="45"/>
        <v>0</v>
      </c>
      <c r="M247" s="82">
        <v>0</v>
      </c>
      <c r="N247" s="82">
        <f t="shared" si="46"/>
        <v>0</v>
      </c>
      <c r="O247" s="83"/>
      <c r="P247"/>
      <c r="Q247"/>
      <c r="R247"/>
      <c r="S247"/>
      <c r="U247" s="84" t="s">
        <v>535</v>
      </c>
      <c r="V247" s="80"/>
      <c r="W247" s="82" t="s">
        <v>562</v>
      </c>
      <c r="X247" s="82" t="s">
        <v>563</v>
      </c>
      <c r="Y247" s="85" t="s">
        <v>537</v>
      </c>
      <c r="Z247" s="86" t="s">
        <v>532</v>
      </c>
      <c r="AA247" s="86" t="s">
        <v>18</v>
      </c>
      <c r="AB247" s="86" t="s">
        <v>18</v>
      </c>
      <c r="AC247" s="87">
        <v>0</v>
      </c>
      <c r="AD247" s="88">
        <f t="shared" si="47"/>
        <v>0</v>
      </c>
      <c r="AF247" s="54">
        <v>101328</v>
      </c>
      <c r="AQ247" s="80"/>
      <c r="AR247" s="80"/>
    </row>
    <row r="248" spans="1:44" ht="14.4">
      <c r="A248" s="132">
        <v>101329</v>
      </c>
      <c r="B248" s="78" t="str">
        <f>VLOOKUP(A248,'TB for financial'!A:B,2,0)</f>
        <v>Employee Vehicle Loan</v>
      </c>
      <c r="D248" s="79">
        <f>VLOOKUP(A248,'TB for financial'!A:F,6,0)</f>
        <v>0</v>
      </c>
      <c r="E248" s="80"/>
      <c r="F248" s="79">
        <f>VLOOKUP(A248,'TB for financial'!A:K,11,0)</f>
        <v>0</v>
      </c>
      <c r="G248" s="80"/>
      <c r="H248" s="81">
        <f t="shared" si="43"/>
        <v>0</v>
      </c>
      <c r="I248" s="81">
        <v>0</v>
      </c>
      <c r="J248" s="81">
        <f t="shared" si="44"/>
        <v>0</v>
      </c>
      <c r="K248" s="80"/>
      <c r="L248" s="82">
        <f t="shared" si="45"/>
        <v>0</v>
      </c>
      <c r="M248" s="82">
        <v>0</v>
      </c>
      <c r="N248" s="82">
        <f t="shared" si="46"/>
        <v>0</v>
      </c>
      <c r="O248" s="83"/>
      <c r="P248"/>
      <c r="Q248"/>
      <c r="R248"/>
      <c r="S248"/>
      <c r="U248" s="84" t="s">
        <v>535</v>
      </c>
      <c r="V248" s="80"/>
      <c r="W248" s="82" t="s">
        <v>562</v>
      </c>
      <c r="X248" s="82" t="s">
        <v>563</v>
      </c>
      <c r="Y248" s="85" t="s">
        <v>537</v>
      </c>
      <c r="Z248" s="86" t="s">
        <v>532</v>
      </c>
      <c r="AA248" s="86" t="s">
        <v>18</v>
      </c>
      <c r="AB248" s="86" t="s">
        <v>18</v>
      </c>
      <c r="AC248" s="87">
        <v>0</v>
      </c>
      <c r="AD248" s="88">
        <f t="shared" si="47"/>
        <v>0</v>
      </c>
      <c r="AF248" s="54">
        <v>101329</v>
      </c>
      <c r="AQ248" s="80"/>
      <c r="AR248" s="80"/>
    </row>
    <row r="249" spans="1:44" ht="14.4">
      <c r="A249" s="132">
        <v>101331</v>
      </c>
      <c r="B249" s="78" t="str">
        <f>VLOOKUP(A249,'TB for financial'!A:B,2,0)</f>
        <v>Employee Marriage Loan</v>
      </c>
      <c r="D249" s="79">
        <f>VLOOKUP(A249,'TB for financial'!A:F,6,0)</f>
        <v>0</v>
      </c>
      <c r="E249" s="80"/>
      <c r="F249" s="79">
        <f>VLOOKUP(A249,'TB for financial'!A:K,11,0)</f>
        <v>0</v>
      </c>
      <c r="G249" s="80"/>
      <c r="H249" s="81">
        <f t="shared" si="43"/>
        <v>0</v>
      </c>
      <c r="I249" s="81">
        <v>0</v>
      </c>
      <c r="J249" s="81">
        <f t="shared" si="44"/>
        <v>0</v>
      </c>
      <c r="K249" s="80"/>
      <c r="L249" s="82">
        <f t="shared" si="45"/>
        <v>0</v>
      </c>
      <c r="M249" s="82">
        <v>0</v>
      </c>
      <c r="N249" s="82">
        <f t="shared" si="46"/>
        <v>0</v>
      </c>
      <c r="O249" s="83"/>
      <c r="P249"/>
      <c r="Q249"/>
      <c r="R249"/>
      <c r="S249"/>
      <c r="U249" s="84" t="s">
        <v>535</v>
      </c>
      <c r="V249" s="80"/>
      <c r="W249" s="82" t="s">
        <v>562</v>
      </c>
      <c r="X249" s="82" t="s">
        <v>563</v>
      </c>
      <c r="Y249" s="85" t="s">
        <v>537</v>
      </c>
      <c r="Z249" s="86" t="s">
        <v>532</v>
      </c>
      <c r="AA249" s="86" t="s">
        <v>18</v>
      </c>
      <c r="AB249" s="86" t="s">
        <v>18</v>
      </c>
      <c r="AC249" s="87">
        <v>0</v>
      </c>
      <c r="AD249" s="88">
        <f t="shared" si="47"/>
        <v>0</v>
      </c>
      <c r="AF249" s="54">
        <v>101331</v>
      </c>
      <c r="AQ249" s="80"/>
      <c r="AR249" s="80"/>
    </row>
    <row r="250" spans="1:44" ht="14.4">
      <c r="A250" s="132">
        <v>101332</v>
      </c>
      <c r="B250" s="78" t="str">
        <f>VLOOKUP(A250,'TB for financial'!A:B,2,0)</f>
        <v>Employee Lease Breakage Loan</v>
      </c>
      <c r="D250" s="79">
        <f>VLOOKUP(A250,'TB for financial'!A:F,6,0)</f>
        <v>0</v>
      </c>
      <c r="E250" s="80"/>
      <c r="F250" s="79">
        <f>VLOOKUP(A250,'TB for financial'!A:K,11,0)</f>
        <v>0</v>
      </c>
      <c r="G250" s="80"/>
      <c r="H250" s="81">
        <f t="shared" si="43"/>
        <v>0</v>
      </c>
      <c r="I250" s="81">
        <v>0</v>
      </c>
      <c r="J250" s="81">
        <f t="shared" si="44"/>
        <v>0</v>
      </c>
      <c r="K250" s="80"/>
      <c r="L250" s="82">
        <f t="shared" si="45"/>
        <v>0</v>
      </c>
      <c r="M250" s="82">
        <v>0</v>
      </c>
      <c r="N250" s="82">
        <f t="shared" si="46"/>
        <v>0</v>
      </c>
      <c r="O250" s="83"/>
      <c r="P250"/>
      <c r="Q250"/>
      <c r="R250"/>
      <c r="S250"/>
      <c r="U250" s="84" t="s">
        <v>535</v>
      </c>
      <c r="V250" s="80"/>
      <c r="W250" s="82" t="s">
        <v>562</v>
      </c>
      <c r="X250" s="82" t="s">
        <v>563</v>
      </c>
      <c r="Y250" s="85" t="s">
        <v>537</v>
      </c>
      <c r="Z250" s="86" t="s">
        <v>532</v>
      </c>
      <c r="AA250" s="86" t="s">
        <v>18</v>
      </c>
      <c r="AB250" s="86" t="s">
        <v>18</v>
      </c>
      <c r="AC250" s="87">
        <v>0</v>
      </c>
      <c r="AD250" s="88">
        <f t="shared" si="47"/>
        <v>0</v>
      </c>
      <c r="AF250" s="54">
        <v>101332</v>
      </c>
      <c r="AQ250" s="80"/>
      <c r="AR250" s="80"/>
    </row>
    <row r="251" spans="1:44" ht="14.4">
      <c r="A251" s="132">
        <v>101333</v>
      </c>
      <c r="B251" s="78" t="str">
        <f>VLOOKUP(A251,'TB for financial'!A:B,2,0)</f>
        <v>Employee Medical Emergncy Loan</v>
      </c>
      <c r="D251" s="79">
        <f>VLOOKUP(A251,'TB for financial'!A:F,6,0)</f>
        <v>0</v>
      </c>
      <c r="E251" s="80"/>
      <c r="F251" s="79">
        <f>VLOOKUP(A251,'TB for financial'!A:K,11,0)</f>
        <v>0</v>
      </c>
      <c r="G251" s="80"/>
      <c r="H251" s="81">
        <f t="shared" si="43"/>
        <v>0</v>
      </c>
      <c r="I251" s="81">
        <v>0</v>
      </c>
      <c r="J251" s="81">
        <f t="shared" si="44"/>
        <v>0</v>
      </c>
      <c r="K251" s="80"/>
      <c r="L251" s="82">
        <f t="shared" si="45"/>
        <v>0</v>
      </c>
      <c r="M251" s="82">
        <v>0</v>
      </c>
      <c r="N251" s="82">
        <f t="shared" si="46"/>
        <v>0</v>
      </c>
      <c r="O251" s="83"/>
      <c r="P251"/>
      <c r="Q251"/>
      <c r="R251"/>
      <c r="S251"/>
      <c r="U251" s="84" t="s">
        <v>535</v>
      </c>
      <c r="V251" s="80"/>
      <c r="W251" s="82" t="s">
        <v>562</v>
      </c>
      <c r="X251" s="82" t="s">
        <v>563</v>
      </c>
      <c r="Y251" s="85" t="s">
        <v>537</v>
      </c>
      <c r="Z251" s="86" t="s">
        <v>532</v>
      </c>
      <c r="AA251" s="86" t="s">
        <v>18</v>
      </c>
      <c r="AB251" s="86" t="s">
        <v>18</v>
      </c>
      <c r="AC251" s="87">
        <v>0</v>
      </c>
      <c r="AD251" s="88">
        <f t="shared" si="47"/>
        <v>0</v>
      </c>
      <c r="AF251" s="54">
        <v>101333</v>
      </c>
      <c r="AQ251" s="80"/>
      <c r="AR251" s="80"/>
    </row>
    <row r="252" spans="1:44" ht="14.4">
      <c r="A252" s="132">
        <v>101334</v>
      </c>
      <c r="B252" s="78" t="str">
        <f>VLOOKUP(A252,'TB for financial'!A:B,2,0)</f>
        <v>Emp. Natural Calamities Loan</v>
      </c>
      <c r="D252" s="79">
        <f>VLOOKUP(A252,'TB for financial'!A:F,6,0)</f>
        <v>0</v>
      </c>
      <c r="E252" s="80"/>
      <c r="F252" s="79">
        <f>VLOOKUP(A252,'TB for financial'!A:K,11,0)</f>
        <v>0</v>
      </c>
      <c r="G252" s="80"/>
      <c r="H252" s="81">
        <f t="shared" si="43"/>
        <v>0</v>
      </c>
      <c r="I252" s="81">
        <v>0</v>
      </c>
      <c r="J252" s="81">
        <f t="shared" si="44"/>
        <v>0</v>
      </c>
      <c r="K252" s="80"/>
      <c r="L252" s="82">
        <f t="shared" si="45"/>
        <v>0</v>
      </c>
      <c r="M252" s="82">
        <v>0</v>
      </c>
      <c r="N252" s="82">
        <f t="shared" si="46"/>
        <v>0</v>
      </c>
      <c r="O252" s="83"/>
      <c r="P252"/>
      <c r="Q252"/>
      <c r="R252"/>
      <c r="S252"/>
      <c r="U252" s="84" t="s">
        <v>535</v>
      </c>
      <c r="V252" s="80"/>
      <c r="W252" s="82" t="s">
        <v>562</v>
      </c>
      <c r="X252" s="82" t="s">
        <v>563</v>
      </c>
      <c r="Y252" s="85" t="s">
        <v>537</v>
      </c>
      <c r="Z252" s="86" t="s">
        <v>532</v>
      </c>
      <c r="AA252" s="86" t="s">
        <v>18</v>
      </c>
      <c r="AB252" s="86" t="s">
        <v>18</v>
      </c>
      <c r="AC252" s="87">
        <v>0</v>
      </c>
      <c r="AD252" s="88">
        <f t="shared" si="47"/>
        <v>0</v>
      </c>
      <c r="AF252" s="54">
        <v>101334</v>
      </c>
      <c r="AQ252" s="80"/>
      <c r="AR252" s="80"/>
    </row>
    <row r="253" spans="1:44" ht="14.4">
      <c r="A253" s="70">
        <v>101322</v>
      </c>
      <c r="B253" s="78" t="str">
        <f>VLOOKUP(A253,'TB for financial'!A:B,2,0)</f>
        <v>Employee Housing Loans</v>
      </c>
      <c r="D253" s="79">
        <f>VLOOKUP(A253,'TB for financial'!A:F,6,0)</f>
        <v>0</v>
      </c>
      <c r="E253" s="80"/>
      <c r="F253" s="79">
        <f>VLOOKUP(A253,'TB for financial'!A:K,11,0)</f>
        <v>0</v>
      </c>
      <c r="G253" s="80"/>
      <c r="H253" s="81">
        <f t="shared" si="43"/>
        <v>0</v>
      </c>
      <c r="I253" s="81">
        <v>0</v>
      </c>
      <c r="J253" s="81">
        <f t="shared" si="44"/>
        <v>0</v>
      </c>
      <c r="K253" s="80"/>
      <c r="L253" s="82">
        <f t="shared" si="45"/>
        <v>0</v>
      </c>
      <c r="M253" s="82">
        <v>0</v>
      </c>
      <c r="N253" s="82">
        <f t="shared" si="46"/>
        <v>0</v>
      </c>
      <c r="O253" s="83"/>
      <c r="P253"/>
      <c r="Q253"/>
      <c r="R253"/>
      <c r="S253"/>
      <c r="U253" s="84" t="s">
        <v>535</v>
      </c>
      <c r="V253" s="80"/>
      <c r="W253" s="82" t="s">
        <v>562</v>
      </c>
      <c r="X253" s="82" t="s">
        <v>563</v>
      </c>
      <c r="Y253" s="85" t="s">
        <v>537</v>
      </c>
      <c r="Z253" s="86" t="s">
        <v>532</v>
      </c>
      <c r="AA253" s="86" t="s">
        <v>18</v>
      </c>
      <c r="AB253" s="86" t="s">
        <v>18</v>
      </c>
      <c r="AC253" s="87">
        <v>0</v>
      </c>
      <c r="AD253" s="88">
        <f t="shared" si="47"/>
        <v>0</v>
      </c>
      <c r="AF253" s="54">
        <v>101322</v>
      </c>
      <c r="AQ253" s="80"/>
      <c r="AR253" s="80"/>
    </row>
    <row r="254" spans="1:44" ht="14.4">
      <c r="A254" s="70">
        <v>101190</v>
      </c>
      <c r="B254" s="78" t="str">
        <f>VLOOKUP(A254,'TB for financial'!A:B,2,0)</f>
        <v>Employee Loans</v>
      </c>
      <c r="D254" s="79">
        <f>VLOOKUP(A254,'TB for financial'!A:F,6,0)</f>
        <v>0</v>
      </c>
      <c r="E254" s="80"/>
      <c r="F254" s="79">
        <f>VLOOKUP(A254,'TB for financial'!A:K,11,0)</f>
        <v>0</v>
      </c>
      <c r="G254" s="80"/>
      <c r="H254" s="81">
        <f t="shared" si="43"/>
        <v>0</v>
      </c>
      <c r="I254" s="81">
        <v>0</v>
      </c>
      <c r="J254" s="81">
        <f t="shared" si="44"/>
        <v>0</v>
      </c>
      <c r="K254" s="80"/>
      <c r="L254" s="82">
        <f t="shared" si="45"/>
        <v>0</v>
      </c>
      <c r="M254" s="82">
        <v>0</v>
      </c>
      <c r="N254" s="82">
        <f>+F254-L254-M254</f>
        <v>0</v>
      </c>
      <c r="O254" s="83"/>
      <c r="P254"/>
      <c r="Q254"/>
      <c r="R254"/>
      <c r="S254"/>
      <c r="U254" s="84" t="s">
        <v>530</v>
      </c>
      <c r="V254" s="80"/>
      <c r="W254" s="82"/>
      <c r="X254" s="82"/>
      <c r="Y254" s="85" t="s">
        <v>537</v>
      </c>
      <c r="Z254" s="86" t="s">
        <v>532</v>
      </c>
      <c r="AA254" s="86" t="s">
        <v>18</v>
      </c>
      <c r="AB254" s="86" t="s">
        <v>18</v>
      </c>
      <c r="AC254" s="87">
        <v>0</v>
      </c>
      <c r="AD254" s="88">
        <f t="shared" si="47"/>
        <v>0</v>
      </c>
      <c r="AF254" s="54">
        <v>101190</v>
      </c>
      <c r="AQ254" s="80"/>
      <c r="AR254" s="80"/>
    </row>
    <row r="255" spans="1:44" ht="14.4">
      <c r="A255" s="1373">
        <v>425004</v>
      </c>
      <c r="B255" s="78" t="str">
        <f>VLOOKUP(A255,'TB for financial'!A:B,2,0)</f>
        <v>Empl Personal Loan</v>
      </c>
      <c r="D255" s="79">
        <f>VLOOKUP(A255,'TB for financial'!A:F,6,0)</f>
        <v>0</v>
      </c>
      <c r="E255" s="80"/>
      <c r="F255" s="79">
        <f>VLOOKUP(A255,'TB for financial'!A:K,11,0)</f>
        <v>216669</v>
      </c>
      <c r="G255" s="80"/>
      <c r="H255" s="122">
        <f>D255-I255</f>
        <v>0</v>
      </c>
      <c r="I255" s="81">
        <v>0</v>
      </c>
      <c r="J255" s="81">
        <f t="shared" si="44"/>
        <v>0</v>
      </c>
      <c r="K255" s="80"/>
      <c r="L255" s="82">
        <f>F255-M255</f>
        <v>216669</v>
      </c>
      <c r="M255" s="82">
        <v>0</v>
      </c>
      <c r="N255" s="82">
        <f>+F255-L255-M255</f>
        <v>0</v>
      </c>
      <c r="O255" s="83"/>
      <c r="P255"/>
      <c r="Q255"/>
      <c r="R255"/>
      <c r="S255"/>
      <c r="U255" s="84" t="s">
        <v>530</v>
      </c>
      <c r="V255" s="80"/>
      <c r="W255" s="82"/>
      <c r="X255" s="82"/>
      <c r="Y255" s="85" t="s">
        <v>537</v>
      </c>
      <c r="Z255" s="86" t="s">
        <v>532</v>
      </c>
      <c r="AA255" s="86" t="s">
        <v>18</v>
      </c>
      <c r="AB255" s="86" t="s">
        <v>18</v>
      </c>
      <c r="AC255" s="87">
        <v>75001</v>
      </c>
      <c r="AD255" s="88">
        <f>+D255-AC255</f>
        <v>-75001</v>
      </c>
      <c r="AF255" s="54" t="s">
        <v>2536</v>
      </c>
      <c r="AQ255" s="80">
        <f>D255</f>
        <v>0</v>
      </c>
      <c r="AR255" s="80"/>
    </row>
    <row r="256" spans="1:44" ht="5.0999999999999996" customHeight="1">
      <c r="A256" s="70"/>
      <c r="B256" s="78"/>
      <c r="D256" s="79"/>
      <c r="E256" s="80"/>
      <c r="F256" s="79"/>
      <c r="G256" s="80"/>
      <c r="H256" s="81"/>
      <c r="I256" s="81"/>
      <c r="J256" s="81">
        <f t="shared" si="44"/>
        <v>0</v>
      </c>
      <c r="K256" s="80"/>
      <c r="L256" s="82"/>
      <c r="M256" s="82"/>
      <c r="N256" s="82"/>
      <c r="O256" s="83"/>
      <c r="P256"/>
      <c r="Q256"/>
      <c r="R256"/>
      <c r="S256"/>
      <c r="U256" s="84"/>
      <c r="V256" s="80"/>
      <c r="W256" s="82"/>
      <c r="X256" s="82"/>
      <c r="Y256" s="94"/>
      <c r="Z256" s="86"/>
      <c r="AA256" s="86"/>
      <c r="AB256" s="86"/>
      <c r="AQ256" s="80"/>
      <c r="AR256" s="80"/>
    </row>
    <row r="257" spans="1:44" ht="15" thickBot="1">
      <c r="A257" s="70"/>
      <c r="B257" s="71" t="s">
        <v>564</v>
      </c>
      <c r="D257" s="1646">
        <f>SUM(D244:D256)</f>
        <v>0</v>
      </c>
      <c r="E257" s="96"/>
      <c r="F257" s="97">
        <f>SUM(F244:F256)</f>
        <v>216669</v>
      </c>
      <c r="G257" s="80"/>
      <c r="H257" s="1646">
        <f>SUM(H244:H256)</f>
        <v>0</v>
      </c>
      <c r="I257" s="98">
        <f>SUM(I244:I256)</f>
        <v>0</v>
      </c>
      <c r="J257" s="99">
        <f>SUM(J244:J256)</f>
        <v>0</v>
      </c>
      <c r="K257" s="80"/>
      <c r="L257" s="99">
        <f>SUM(L244:L256)</f>
        <v>216669</v>
      </c>
      <c r="M257" s="99">
        <f>SUM(M244:M256)</f>
        <v>0</v>
      </c>
      <c r="N257" s="99">
        <f>SUM(N244:N256)</f>
        <v>0</v>
      </c>
      <c r="O257" s="100"/>
      <c r="P257"/>
      <c r="Q257"/>
      <c r="R257"/>
      <c r="S257"/>
      <c r="U257" s="101"/>
      <c r="V257" s="80"/>
      <c r="W257" s="102"/>
      <c r="X257" s="102"/>
      <c r="Y257" s="94"/>
      <c r="Z257" s="86"/>
      <c r="AA257" s="86"/>
      <c r="AB257" s="86"/>
      <c r="AQ257" s="80"/>
      <c r="AR257" s="80"/>
    </row>
    <row r="258" spans="1:44" ht="5.0999999999999996" customHeight="1" thickTop="1">
      <c r="A258" s="70"/>
      <c r="B258" s="78"/>
      <c r="D258" s="79"/>
      <c r="E258" s="80"/>
      <c r="F258" s="79"/>
      <c r="G258" s="80"/>
      <c r="H258" s="81"/>
      <c r="I258" s="81"/>
      <c r="J258" s="81"/>
      <c r="K258" s="80"/>
      <c r="L258" s="82"/>
      <c r="M258" s="82">
        <v>0</v>
      </c>
      <c r="N258" s="82">
        <f t="shared" ref="N258:N277" si="48">+F258-L258-M258</f>
        <v>0</v>
      </c>
      <c r="O258" s="83"/>
      <c r="P258"/>
      <c r="Q258"/>
      <c r="R258"/>
      <c r="S258"/>
      <c r="U258" s="84"/>
      <c r="V258" s="80"/>
      <c r="W258" s="82"/>
      <c r="X258" s="82"/>
      <c r="Y258" s="94"/>
      <c r="Z258" s="86"/>
      <c r="AA258" s="86"/>
      <c r="AB258" s="86"/>
      <c r="AQ258" s="80"/>
      <c r="AR258" s="80"/>
    </row>
    <row r="259" spans="1:44" ht="14.4">
      <c r="A259" s="70">
        <v>101415</v>
      </c>
      <c r="B259" s="78" t="str">
        <f>VLOOKUP(A259,'TB for financial'!A:B,2,0)</f>
        <v>Prepaid Rent - Office</v>
      </c>
      <c r="D259" s="79">
        <f>VLOOKUP(A259,'TB for financial'!A:F,6,0)</f>
        <v>0</v>
      </c>
      <c r="E259" s="80"/>
      <c r="F259" s="79">
        <f>VLOOKUP(A259,'TB for financial'!A:K,11,0)</f>
        <v>0</v>
      </c>
      <c r="G259" s="80"/>
      <c r="H259" s="81">
        <f t="shared" ref="H259:H277" si="49">D259-I259</f>
        <v>0</v>
      </c>
      <c r="I259" s="81">
        <v>0</v>
      </c>
      <c r="J259" s="81">
        <f t="shared" ref="J259:J280" si="50">+D259-H259-I259</f>
        <v>0</v>
      </c>
      <c r="K259" s="80"/>
      <c r="L259" s="82">
        <f t="shared" ref="L259:L277" si="51">F259-M259</f>
        <v>0</v>
      </c>
      <c r="M259" s="82">
        <v>0</v>
      </c>
      <c r="N259" s="82">
        <f t="shared" si="48"/>
        <v>0</v>
      </c>
      <c r="O259" s="83"/>
      <c r="P259"/>
      <c r="Q259"/>
      <c r="R259"/>
      <c r="S259"/>
      <c r="U259" s="84" t="s">
        <v>535</v>
      </c>
      <c r="V259" s="80"/>
      <c r="W259" s="82" t="s">
        <v>562</v>
      </c>
      <c r="X259" s="82" t="s">
        <v>563</v>
      </c>
      <c r="Y259" s="85" t="s">
        <v>537</v>
      </c>
      <c r="Z259" s="86" t="s">
        <v>565</v>
      </c>
      <c r="AA259" s="86" t="s">
        <v>28</v>
      </c>
      <c r="AB259" s="86" t="s">
        <v>21</v>
      </c>
      <c r="AC259" s="87">
        <v>0</v>
      </c>
      <c r="AD259" s="88">
        <f t="shared" ref="AD259:AD277" si="52">+D259-AC259</f>
        <v>0</v>
      </c>
      <c r="AF259" s="54">
        <v>101415</v>
      </c>
      <c r="AQ259" s="80"/>
      <c r="AR259" s="80"/>
    </row>
    <row r="260" spans="1:44" ht="14.4">
      <c r="A260" s="70">
        <v>101416</v>
      </c>
      <c r="B260" s="78" t="str">
        <f>VLOOKUP(A260,'TB for financial'!A:B,2,0)</f>
        <v>Prepaid Rent - Flat for Empl.</v>
      </c>
      <c r="D260" s="79">
        <f>VLOOKUP(A260,'TB for financial'!A:F,6,0)</f>
        <v>0</v>
      </c>
      <c r="E260" s="80"/>
      <c r="F260" s="79">
        <f>VLOOKUP(A260,'TB for financial'!A:K,11,0)</f>
        <v>0</v>
      </c>
      <c r="G260" s="80"/>
      <c r="H260" s="81">
        <f t="shared" si="49"/>
        <v>0</v>
      </c>
      <c r="I260" s="81">
        <v>0</v>
      </c>
      <c r="J260" s="81">
        <f t="shared" si="50"/>
        <v>0</v>
      </c>
      <c r="K260" s="80"/>
      <c r="L260" s="82">
        <f t="shared" si="51"/>
        <v>0</v>
      </c>
      <c r="M260" s="82">
        <v>0</v>
      </c>
      <c r="N260" s="82">
        <f t="shared" si="48"/>
        <v>0</v>
      </c>
      <c r="O260" s="83"/>
      <c r="P260"/>
      <c r="Q260"/>
      <c r="R260"/>
      <c r="S260"/>
      <c r="U260" s="84" t="s">
        <v>535</v>
      </c>
      <c r="V260" s="80"/>
      <c r="W260" s="82" t="s">
        <v>562</v>
      </c>
      <c r="X260" s="82" t="s">
        <v>563</v>
      </c>
      <c r="Y260" s="85" t="s">
        <v>537</v>
      </c>
      <c r="Z260" s="86" t="s">
        <v>565</v>
      </c>
      <c r="AA260" s="86" t="s">
        <v>28</v>
      </c>
      <c r="AB260" s="86" t="s">
        <v>21</v>
      </c>
      <c r="AC260" s="87">
        <v>0</v>
      </c>
      <c r="AD260" s="88">
        <f t="shared" si="52"/>
        <v>0</v>
      </c>
      <c r="AF260" s="54">
        <v>101416</v>
      </c>
      <c r="AQ260" s="80"/>
      <c r="AR260" s="80"/>
    </row>
    <row r="261" spans="1:44" ht="14.4">
      <c r="A261" s="70">
        <v>101417</v>
      </c>
      <c r="B261" s="78" t="str">
        <f>VLOOKUP(A261,'TB for financial'!A:B,2,0)</f>
        <v>Prepaid Rent - Guest House</v>
      </c>
      <c r="D261" s="79">
        <f>VLOOKUP(A261,'TB for financial'!A:F,6,0)</f>
        <v>0</v>
      </c>
      <c r="E261" s="80"/>
      <c r="F261" s="79">
        <f>VLOOKUP(A261,'TB for financial'!A:K,11,0)</f>
        <v>0</v>
      </c>
      <c r="G261" s="80"/>
      <c r="H261" s="81">
        <f t="shared" si="49"/>
        <v>0</v>
      </c>
      <c r="I261" s="81">
        <v>0</v>
      </c>
      <c r="J261" s="81">
        <f t="shared" si="50"/>
        <v>0</v>
      </c>
      <c r="K261" s="80"/>
      <c r="L261" s="82">
        <f t="shared" si="51"/>
        <v>0</v>
      </c>
      <c r="M261" s="82">
        <v>0</v>
      </c>
      <c r="N261" s="82">
        <f t="shared" si="48"/>
        <v>0</v>
      </c>
      <c r="O261" s="83"/>
      <c r="P261"/>
      <c r="Q261"/>
      <c r="R261"/>
      <c r="S261"/>
      <c r="U261" s="84" t="s">
        <v>535</v>
      </c>
      <c r="V261" s="80"/>
      <c r="W261" s="82" t="s">
        <v>562</v>
      </c>
      <c r="X261" s="82" t="s">
        <v>563</v>
      </c>
      <c r="Y261" s="85" t="s">
        <v>537</v>
      </c>
      <c r="Z261" s="86" t="s">
        <v>565</v>
      </c>
      <c r="AA261" s="86" t="s">
        <v>28</v>
      </c>
      <c r="AB261" s="86" t="s">
        <v>21</v>
      </c>
      <c r="AC261" s="87">
        <v>0</v>
      </c>
      <c r="AD261" s="88">
        <f t="shared" si="52"/>
        <v>0</v>
      </c>
      <c r="AF261" s="54">
        <v>101417</v>
      </c>
      <c r="AQ261" s="80"/>
      <c r="AR261" s="80"/>
    </row>
    <row r="262" spans="1:44" ht="14.4">
      <c r="A262" s="70">
        <v>101418</v>
      </c>
      <c r="B262" s="78" t="str">
        <f>VLOOKUP(A262,'TB for financial'!A:B,2,0)</f>
        <v>Prepaid Rent - Others</v>
      </c>
      <c r="D262" s="79">
        <f>VLOOKUP(A262,'TB for financial'!A:F,6,0)</f>
        <v>0</v>
      </c>
      <c r="E262" s="80"/>
      <c r="F262" s="79">
        <f>VLOOKUP(A262,'TB for financial'!A:K,11,0)</f>
        <v>0</v>
      </c>
      <c r="G262" s="80"/>
      <c r="H262" s="81">
        <f t="shared" si="49"/>
        <v>0</v>
      </c>
      <c r="I262" s="81">
        <v>0</v>
      </c>
      <c r="J262" s="81">
        <f t="shared" si="50"/>
        <v>0</v>
      </c>
      <c r="K262" s="80"/>
      <c r="L262" s="82">
        <f t="shared" si="51"/>
        <v>0</v>
      </c>
      <c r="M262" s="82">
        <v>0</v>
      </c>
      <c r="N262" s="82">
        <f t="shared" si="48"/>
        <v>0</v>
      </c>
      <c r="O262" s="83"/>
      <c r="P262"/>
      <c r="Q262"/>
      <c r="R262"/>
      <c r="S262"/>
      <c r="U262" s="84" t="s">
        <v>535</v>
      </c>
      <c r="V262" s="80"/>
      <c r="W262" s="82" t="s">
        <v>562</v>
      </c>
      <c r="X262" s="82" t="s">
        <v>563</v>
      </c>
      <c r="Y262" s="85" t="s">
        <v>537</v>
      </c>
      <c r="Z262" s="86" t="s">
        <v>565</v>
      </c>
      <c r="AA262" s="86" t="s">
        <v>28</v>
      </c>
      <c r="AB262" s="86" t="s">
        <v>21</v>
      </c>
      <c r="AC262" s="87">
        <v>0</v>
      </c>
      <c r="AD262" s="88">
        <f t="shared" si="52"/>
        <v>0</v>
      </c>
      <c r="AF262" s="54">
        <v>101418</v>
      </c>
      <c r="AQ262" s="80"/>
      <c r="AR262" s="80"/>
    </row>
    <row r="263" spans="1:44" ht="14.4">
      <c r="A263" s="70">
        <v>101420</v>
      </c>
      <c r="B263" s="78" t="str">
        <f>VLOOKUP(A263,'TB for financial'!A:B,2,0)</f>
        <v>Prepaid Insurance</v>
      </c>
      <c r="D263" s="79">
        <f>VLOOKUP(A263,'TB for financial'!A:F,6,0)</f>
        <v>0</v>
      </c>
      <c r="E263" s="80"/>
      <c r="F263" s="79">
        <f>VLOOKUP(A263,'TB for financial'!A:K,11,0)</f>
        <v>0</v>
      </c>
      <c r="G263" s="80"/>
      <c r="H263" s="81">
        <f t="shared" si="49"/>
        <v>0</v>
      </c>
      <c r="I263" s="81">
        <v>0</v>
      </c>
      <c r="J263" s="81">
        <f t="shared" si="50"/>
        <v>0</v>
      </c>
      <c r="K263" s="80"/>
      <c r="L263" s="82">
        <f t="shared" si="51"/>
        <v>0</v>
      </c>
      <c r="M263" s="82">
        <v>0</v>
      </c>
      <c r="N263" s="82">
        <f t="shared" si="48"/>
        <v>0</v>
      </c>
      <c r="O263" s="83"/>
      <c r="P263"/>
      <c r="Q263"/>
      <c r="R263"/>
      <c r="S263"/>
      <c r="U263" s="84" t="s">
        <v>535</v>
      </c>
      <c r="V263" s="80"/>
      <c r="W263" s="82" t="s">
        <v>562</v>
      </c>
      <c r="X263" s="82" t="s">
        <v>563</v>
      </c>
      <c r="Y263" s="85" t="s">
        <v>537</v>
      </c>
      <c r="Z263" s="86" t="s">
        <v>565</v>
      </c>
      <c r="AA263" s="86" t="s">
        <v>28</v>
      </c>
      <c r="AB263" s="86" t="s">
        <v>21</v>
      </c>
      <c r="AC263" s="87">
        <v>0</v>
      </c>
      <c r="AD263" s="88">
        <f t="shared" si="52"/>
        <v>0</v>
      </c>
      <c r="AF263" s="54">
        <v>101420</v>
      </c>
      <c r="AQ263" s="80"/>
      <c r="AR263" s="80"/>
    </row>
    <row r="264" spans="1:44" ht="14.4">
      <c r="A264" s="70">
        <v>101421</v>
      </c>
      <c r="B264" s="78" t="str">
        <f>VLOOKUP(A264,'TB for financial'!A:B,2,0)</f>
        <v>Prepaid Overseas Insu</v>
      </c>
      <c r="D264" s="79">
        <f>VLOOKUP(A264,'TB for financial'!A:F,6,0)</f>
        <v>0</v>
      </c>
      <c r="E264" s="80"/>
      <c r="F264" s="79">
        <f>VLOOKUP(A264,'TB for financial'!A:K,11,0)</f>
        <v>0</v>
      </c>
      <c r="G264" s="80"/>
      <c r="H264" s="81">
        <f t="shared" si="49"/>
        <v>0</v>
      </c>
      <c r="I264" s="81">
        <v>0</v>
      </c>
      <c r="J264" s="81">
        <f t="shared" si="50"/>
        <v>0</v>
      </c>
      <c r="K264" s="80"/>
      <c r="L264" s="82">
        <f t="shared" si="51"/>
        <v>0</v>
      </c>
      <c r="M264" s="82">
        <v>0</v>
      </c>
      <c r="N264" s="82">
        <f t="shared" si="48"/>
        <v>0</v>
      </c>
      <c r="O264" s="83"/>
      <c r="P264"/>
      <c r="Q264"/>
      <c r="R264"/>
      <c r="S264"/>
      <c r="U264" s="84" t="s">
        <v>535</v>
      </c>
      <c r="V264" s="80"/>
      <c r="W264" s="82" t="s">
        <v>562</v>
      </c>
      <c r="X264" s="82" t="s">
        <v>563</v>
      </c>
      <c r="Y264" s="85" t="s">
        <v>537</v>
      </c>
      <c r="Z264" s="86" t="s">
        <v>565</v>
      </c>
      <c r="AA264" s="86" t="s">
        <v>28</v>
      </c>
      <c r="AB264" s="86" t="s">
        <v>21</v>
      </c>
      <c r="AC264" s="87">
        <v>0</v>
      </c>
      <c r="AD264" s="88">
        <f t="shared" si="52"/>
        <v>0</v>
      </c>
      <c r="AF264" s="54">
        <v>101421</v>
      </c>
      <c r="AQ264" s="80"/>
      <c r="AR264" s="80"/>
    </row>
    <row r="265" spans="1:44" ht="14.4">
      <c r="A265" s="70">
        <v>101425</v>
      </c>
      <c r="B265" s="78" t="str">
        <f>VLOOKUP(A265,'TB for financial'!A:B,2,0)</f>
        <v>Prepaid Prop Taxes</v>
      </c>
      <c r="D265" s="79">
        <f>VLOOKUP(A265,'TB for financial'!A:F,6,0)</f>
        <v>0</v>
      </c>
      <c r="E265" s="80"/>
      <c r="F265" s="79">
        <f>VLOOKUP(A265,'TB for financial'!A:K,11,0)</f>
        <v>0</v>
      </c>
      <c r="G265" s="80"/>
      <c r="H265" s="81">
        <f t="shared" si="49"/>
        <v>0</v>
      </c>
      <c r="I265" s="81">
        <v>0</v>
      </c>
      <c r="J265" s="81">
        <f t="shared" si="50"/>
        <v>0</v>
      </c>
      <c r="K265" s="80"/>
      <c r="L265" s="82">
        <f t="shared" si="51"/>
        <v>0</v>
      </c>
      <c r="M265" s="82">
        <v>0</v>
      </c>
      <c r="N265" s="82">
        <f t="shared" si="48"/>
        <v>0</v>
      </c>
      <c r="O265" s="83"/>
      <c r="P265"/>
      <c r="Q265"/>
      <c r="R265"/>
      <c r="S265"/>
      <c r="U265" s="84" t="s">
        <v>535</v>
      </c>
      <c r="V265" s="80"/>
      <c r="W265" s="82" t="s">
        <v>562</v>
      </c>
      <c r="X265" s="82" t="s">
        <v>563</v>
      </c>
      <c r="Y265" s="85" t="s">
        <v>537</v>
      </c>
      <c r="Z265" s="86" t="s">
        <v>565</v>
      </c>
      <c r="AA265" s="86" t="s">
        <v>28</v>
      </c>
      <c r="AB265" s="86" t="s">
        <v>21</v>
      </c>
      <c r="AC265" s="87">
        <v>0</v>
      </c>
      <c r="AD265" s="88">
        <f t="shared" si="52"/>
        <v>0</v>
      </c>
      <c r="AF265" s="54">
        <v>101425</v>
      </c>
      <c r="AQ265" s="80"/>
      <c r="AR265" s="80"/>
    </row>
    <row r="266" spans="1:44" ht="14.4">
      <c r="A266" s="70">
        <v>101430</v>
      </c>
      <c r="B266" s="78" t="str">
        <f>VLOOKUP(A266,'TB for financial'!A:B,2,0)</f>
        <v>Prepaid Licenses</v>
      </c>
      <c r="D266" s="79">
        <f>VLOOKUP(A266,'TB for financial'!A:F,6,0)</f>
        <v>0</v>
      </c>
      <c r="E266" s="80"/>
      <c r="F266" s="79">
        <f>VLOOKUP(A266,'TB for financial'!A:K,11,0)</f>
        <v>0</v>
      </c>
      <c r="G266" s="80"/>
      <c r="H266" s="81">
        <f t="shared" si="49"/>
        <v>0</v>
      </c>
      <c r="I266" s="81">
        <v>0</v>
      </c>
      <c r="J266" s="81">
        <f t="shared" si="50"/>
        <v>0</v>
      </c>
      <c r="K266" s="80"/>
      <c r="L266" s="82">
        <f t="shared" si="51"/>
        <v>0</v>
      </c>
      <c r="M266" s="82">
        <v>0</v>
      </c>
      <c r="N266" s="82">
        <f t="shared" si="48"/>
        <v>0</v>
      </c>
      <c r="O266" s="83"/>
      <c r="P266"/>
      <c r="Q266"/>
      <c r="R266"/>
      <c r="S266"/>
      <c r="U266" s="84" t="s">
        <v>535</v>
      </c>
      <c r="V266" s="80"/>
      <c r="W266" s="82" t="s">
        <v>562</v>
      </c>
      <c r="X266" s="82" t="s">
        <v>563</v>
      </c>
      <c r="Y266" s="85" t="s">
        <v>537</v>
      </c>
      <c r="Z266" s="86" t="s">
        <v>565</v>
      </c>
      <c r="AA266" s="86" t="s">
        <v>28</v>
      </c>
      <c r="AB266" s="86" t="s">
        <v>21</v>
      </c>
      <c r="AC266" s="87">
        <v>0</v>
      </c>
      <c r="AD266" s="88">
        <f t="shared" si="52"/>
        <v>0</v>
      </c>
      <c r="AF266" s="54">
        <v>101430</v>
      </c>
      <c r="AQ266" s="80"/>
      <c r="AR266" s="80"/>
    </row>
    <row r="267" spans="1:44" ht="14.4">
      <c r="A267" s="70">
        <v>101435</v>
      </c>
      <c r="B267" s="78" t="str">
        <f>VLOOKUP(A267,'TB for financial'!A:B,2,0)</f>
        <v>Prepaid Link expenses</v>
      </c>
      <c r="D267" s="79">
        <f>VLOOKUP(A267,'TB for financial'!A:F,6,0)</f>
        <v>0</v>
      </c>
      <c r="E267" s="80"/>
      <c r="F267" s="79">
        <f>VLOOKUP(A267,'TB for financial'!A:K,11,0)</f>
        <v>0</v>
      </c>
      <c r="G267" s="80"/>
      <c r="H267" s="81">
        <f t="shared" si="49"/>
        <v>0</v>
      </c>
      <c r="I267" s="81">
        <v>0</v>
      </c>
      <c r="J267" s="81">
        <f t="shared" si="50"/>
        <v>0</v>
      </c>
      <c r="K267" s="80"/>
      <c r="L267" s="82">
        <f t="shared" si="51"/>
        <v>0</v>
      </c>
      <c r="M267" s="82">
        <v>0</v>
      </c>
      <c r="N267" s="82">
        <f t="shared" si="48"/>
        <v>0</v>
      </c>
      <c r="O267" s="83"/>
      <c r="P267"/>
      <c r="Q267"/>
      <c r="R267"/>
      <c r="S267"/>
      <c r="U267" s="84" t="s">
        <v>535</v>
      </c>
      <c r="V267" s="80"/>
      <c r="W267" s="82" t="s">
        <v>562</v>
      </c>
      <c r="X267" s="82" t="s">
        <v>563</v>
      </c>
      <c r="Y267" s="85" t="s">
        <v>537</v>
      </c>
      <c r="Z267" s="86" t="s">
        <v>565</v>
      </c>
      <c r="AA267" s="86" t="s">
        <v>28</v>
      </c>
      <c r="AB267" s="86" t="s">
        <v>21</v>
      </c>
      <c r="AC267" s="87">
        <v>0</v>
      </c>
      <c r="AD267" s="88">
        <f t="shared" si="52"/>
        <v>0</v>
      </c>
      <c r="AF267" s="54">
        <v>101435</v>
      </c>
      <c r="AQ267" s="80"/>
      <c r="AR267" s="80"/>
    </row>
    <row r="268" spans="1:44" ht="14.4">
      <c r="A268" s="70">
        <v>101436</v>
      </c>
      <c r="B268" s="78" t="str">
        <f>VLOOKUP(A268,'TB for financial'!A:B,2,0)</f>
        <v>Prepaid Internet Charges</v>
      </c>
      <c r="D268" s="79">
        <f>VLOOKUP(A268,'TB for financial'!A:F,6,0)</f>
        <v>0</v>
      </c>
      <c r="E268" s="80"/>
      <c r="F268" s="79">
        <f>VLOOKUP(A268,'TB for financial'!A:K,11,0)</f>
        <v>0</v>
      </c>
      <c r="G268" s="80"/>
      <c r="H268" s="81">
        <f t="shared" si="49"/>
        <v>0</v>
      </c>
      <c r="I268" s="81">
        <v>0</v>
      </c>
      <c r="J268" s="81">
        <f t="shared" si="50"/>
        <v>0</v>
      </c>
      <c r="K268" s="80"/>
      <c r="L268" s="82">
        <f t="shared" si="51"/>
        <v>0</v>
      </c>
      <c r="M268" s="82">
        <v>0</v>
      </c>
      <c r="N268" s="82">
        <f t="shared" si="48"/>
        <v>0</v>
      </c>
      <c r="O268" s="83"/>
      <c r="P268"/>
      <c r="Q268"/>
      <c r="R268"/>
      <c r="S268"/>
      <c r="U268" s="84" t="s">
        <v>535</v>
      </c>
      <c r="V268" s="80"/>
      <c r="W268" s="82" t="s">
        <v>562</v>
      </c>
      <c r="X268" s="82" t="s">
        <v>563</v>
      </c>
      <c r="Y268" s="85" t="s">
        <v>537</v>
      </c>
      <c r="Z268" s="86" t="s">
        <v>565</v>
      </c>
      <c r="AA268" s="86" t="s">
        <v>28</v>
      </c>
      <c r="AB268" s="86" t="s">
        <v>21</v>
      </c>
      <c r="AC268" s="87">
        <v>0</v>
      </c>
      <c r="AD268" s="88">
        <f t="shared" si="52"/>
        <v>0</v>
      </c>
      <c r="AF268" s="54">
        <v>101436</v>
      </c>
      <c r="AQ268" s="80"/>
      <c r="AR268" s="80"/>
    </row>
    <row r="269" spans="1:44" ht="14.4">
      <c r="A269" s="70">
        <v>101437</v>
      </c>
      <c r="B269" s="78" t="str">
        <f>VLOOKUP(A269,'TB for financial'!A:B,2,0)</f>
        <v>Prepaid Membership fees</v>
      </c>
      <c r="D269" s="79">
        <f>VLOOKUP(A269,'TB for financial'!A:F,6,0)</f>
        <v>0</v>
      </c>
      <c r="E269" s="80"/>
      <c r="F269" s="79">
        <f>VLOOKUP(A269,'TB for financial'!A:K,11,0)</f>
        <v>0</v>
      </c>
      <c r="G269" s="80"/>
      <c r="H269" s="81">
        <f t="shared" si="49"/>
        <v>0</v>
      </c>
      <c r="I269" s="81">
        <v>0</v>
      </c>
      <c r="J269" s="81">
        <f t="shared" si="50"/>
        <v>0</v>
      </c>
      <c r="K269" s="80"/>
      <c r="L269" s="82">
        <f t="shared" si="51"/>
        <v>0</v>
      </c>
      <c r="M269" s="82">
        <v>0</v>
      </c>
      <c r="N269" s="82">
        <f t="shared" si="48"/>
        <v>0</v>
      </c>
      <c r="O269" s="83"/>
      <c r="P269"/>
      <c r="Q269"/>
      <c r="R269"/>
      <c r="S269"/>
      <c r="U269" s="84" t="s">
        <v>535</v>
      </c>
      <c r="V269" s="80"/>
      <c r="W269" s="82" t="s">
        <v>562</v>
      </c>
      <c r="X269" s="82" t="s">
        <v>563</v>
      </c>
      <c r="Y269" s="85" t="s">
        <v>537</v>
      </c>
      <c r="Z269" s="86" t="s">
        <v>565</v>
      </c>
      <c r="AA269" s="86" t="s">
        <v>28</v>
      </c>
      <c r="AB269" s="86" t="s">
        <v>21</v>
      </c>
      <c r="AC269" s="87">
        <v>0</v>
      </c>
      <c r="AD269" s="88">
        <f t="shared" si="52"/>
        <v>0</v>
      </c>
      <c r="AF269" s="54">
        <v>101437</v>
      </c>
      <c r="AQ269" s="80"/>
      <c r="AR269" s="80"/>
    </row>
    <row r="270" spans="1:44" ht="14.4">
      <c r="A270" s="70">
        <v>101438</v>
      </c>
      <c r="B270" s="78" t="str">
        <f>VLOOKUP(A270,'TB for financial'!A:B,2,0)</f>
        <v>Prepaid Subscription fees</v>
      </c>
      <c r="D270" s="79">
        <f>VLOOKUP(A270,'TB for financial'!A:F,6,0)</f>
        <v>0</v>
      </c>
      <c r="E270" s="80"/>
      <c r="F270" s="79">
        <f>VLOOKUP(A270,'TB for financial'!A:K,11,0)</f>
        <v>0</v>
      </c>
      <c r="G270" s="80"/>
      <c r="H270" s="81">
        <f t="shared" si="49"/>
        <v>0</v>
      </c>
      <c r="I270" s="81">
        <v>0</v>
      </c>
      <c r="J270" s="81">
        <f t="shared" si="50"/>
        <v>0</v>
      </c>
      <c r="K270" s="80"/>
      <c r="L270" s="82">
        <f t="shared" si="51"/>
        <v>0</v>
      </c>
      <c r="M270" s="82">
        <v>0</v>
      </c>
      <c r="N270" s="82">
        <f t="shared" si="48"/>
        <v>0</v>
      </c>
      <c r="O270" s="83"/>
      <c r="P270"/>
      <c r="Q270"/>
      <c r="R270"/>
      <c r="S270"/>
      <c r="U270" s="84" t="s">
        <v>535</v>
      </c>
      <c r="V270" s="80"/>
      <c r="W270" s="82" t="s">
        <v>562</v>
      </c>
      <c r="X270" s="82" t="s">
        <v>563</v>
      </c>
      <c r="Y270" s="85" t="s">
        <v>537</v>
      </c>
      <c r="Z270" s="86" t="s">
        <v>565</v>
      </c>
      <c r="AA270" s="86" t="s">
        <v>28</v>
      </c>
      <c r="AB270" s="86" t="s">
        <v>21</v>
      </c>
      <c r="AC270" s="87">
        <v>0</v>
      </c>
      <c r="AD270" s="88">
        <f t="shared" si="52"/>
        <v>0</v>
      </c>
      <c r="AF270" s="54">
        <v>101438</v>
      </c>
      <c r="AQ270" s="80"/>
      <c r="AR270" s="80"/>
    </row>
    <row r="271" spans="1:44" ht="14.4">
      <c r="A271" s="70">
        <v>101439</v>
      </c>
      <c r="B271" s="78" t="str">
        <f>VLOOKUP(A271,'TB for financial'!A:B,2,0)</f>
        <v>Prepaid Pager expenses</v>
      </c>
      <c r="D271" s="79">
        <f>VLOOKUP(A271,'TB for financial'!A:F,6,0)</f>
        <v>0</v>
      </c>
      <c r="E271" s="80"/>
      <c r="F271" s="79">
        <f>VLOOKUP(A271,'TB for financial'!A:K,11,0)</f>
        <v>0</v>
      </c>
      <c r="G271" s="80"/>
      <c r="H271" s="81">
        <f t="shared" si="49"/>
        <v>0</v>
      </c>
      <c r="I271" s="81">
        <v>0</v>
      </c>
      <c r="J271" s="81">
        <f t="shared" si="50"/>
        <v>0</v>
      </c>
      <c r="K271" s="80"/>
      <c r="L271" s="82">
        <f t="shared" si="51"/>
        <v>0</v>
      </c>
      <c r="M271" s="82">
        <v>0</v>
      </c>
      <c r="N271" s="82">
        <f t="shared" si="48"/>
        <v>0</v>
      </c>
      <c r="O271" s="83"/>
      <c r="P271"/>
      <c r="Q271"/>
      <c r="R271"/>
      <c r="S271"/>
      <c r="U271" s="84" t="s">
        <v>535</v>
      </c>
      <c r="V271" s="80"/>
      <c r="W271" s="82" t="s">
        <v>562</v>
      </c>
      <c r="X271" s="82" t="s">
        <v>563</v>
      </c>
      <c r="Y271" s="85" t="s">
        <v>537</v>
      </c>
      <c r="Z271" s="86" t="s">
        <v>565</v>
      </c>
      <c r="AA271" s="86" t="s">
        <v>28</v>
      </c>
      <c r="AB271" s="86" t="s">
        <v>21</v>
      </c>
      <c r="AC271" s="87">
        <v>0</v>
      </c>
      <c r="AD271" s="88">
        <f t="shared" si="52"/>
        <v>0</v>
      </c>
      <c r="AF271" s="54">
        <v>101439</v>
      </c>
      <c r="AQ271" s="80"/>
      <c r="AR271" s="80"/>
    </row>
    <row r="272" spans="1:44" ht="14.4">
      <c r="A272" s="70">
        <v>101440</v>
      </c>
      <c r="B272" s="78" t="str">
        <f>VLOOKUP(A272,'TB for financial'!A:B,2,0)</f>
        <v>Prepaid BMC Taxes</v>
      </c>
      <c r="D272" s="79">
        <f>VLOOKUP(A272,'TB for financial'!A:F,6,0)</f>
        <v>0</v>
      </c>
      <c r="E272" s="80"/>
      <c r="F272" s="79">
        <f>VLOOKUP(A272,'TB for financial'!A:K,11,0)</f>
        <v>0</v>
      </c>
      <c r="G272" s="80"/>
      <c r="H272" s="81">
        <f t="shared" si="49"/>
        <v>0</v>
      </c>
      <c r="I272" s="81">
        <v>0</v>
      </c>
      <c r="J272" s="81">
        <f t="shared" si="50"/>
        <v>0</v>
      </c>
      <c r="K272" s="80"/>
      <c r="L272" s="82">
        <f t="shared" si="51"/>
        <v>0</v>
      </c>
      <c r="M272" s="82">
        <v>0</v>
      </c>
      <c r="N272" s="82">
        <f t="shared" si="48"/>
        <v>0</v>
      </c>
      <c r="O272" s="83"/>
      <c r="P272"/>
      <c r="Q272"/>
      <c r="R272"/>
      <c r="S272"/>
      <c r="U272" s="84" t="s">
        <v>535</v>
      </c>
      <c r="V272" s="80"/>
      <c r="W272" s="82" t="s">
        <v>562</v>
      </c>
      <c r="X272" s="82" t="s">
        <v>563</v>
      </c>
      <c r="Y272" s="85" t="s">
        <v>537</v>
      </c>
      <c r="Z272" s="86" t="s">
        <v>565</v>
      </c>
      <c r="AA272" s="86" t="s">
        <v>28</v>
      </c>
      <c r="AB272" s="86" t="s">
        <v>21</v>
      </c>
      <c r="AC272" s="87">
        <v>0</v>
      </c>
      <c r="AD272" s="88">
        <f t="shared" si="52"/>
        <v>0</v>
      </c>
      <c r="AF272" s="54">
        <v>101440</v>
      </c>
      <c r="AQ272" s="80"/>
      <c r="AR272" s="80"/>
    </row>
    <row r="273" spans="1:44" ht="14.4">
      <c r="A273" s="70">
        <v>101441</v>
      </c>
      <c r="B273" s="78" t="str">
        <f>VLOOKUP(A273,'TB for financial'!A:B,2,0)</f>
        <v>Prepaid R&amp;M</v>
      </c>
      <c r="D273" s="79">
        <f>VLOOKUP(A273,'TB for financial'!A:F,6,0)</f>
        <v>0</v>
      </c>
      <c r="E273" s="80"/>
      <c r="F273" s="79">
        <f>VLOOKUP(A273,'TB for financial'!A:K,11,0)</f>
        <v>0</v>
      </c>
      <c r="G273" s="80"/>
      <c r="H273" s="81">
        <f t="shared" si="49"/>
        <v>0</v>
      </c>
      <c r="I273" s="81">
        <v>0</v>
      </c>
      <c r="J273" s="81">
        <f t="shared" si="50"/>
        <v>0</v>
      </c>
      <c r="K273" s="80"/>
      <c r="L273" s="82">
        <f t="shared" si="51"/>
        <v>0</v>
      </c>
      <c r="M273" s="82">
        <v>0</v>
      </c>
      <c r="N273" s="82">
        <f t="shared" si="48"/>
        <v>0</v>
      </c>
      <c r="O273" s="83"/>
      <c r="P273"/>
      <c r="Q273"/>
      <c r="R273"/>
      <c r="S273"/>
      <c r="U273" s="84" t="s">
        <v>535</v>
      </c>
      <c r="V273" s="80"/>
      <c r="W273" s="82" t="s">
        <v>562</v>
      </c>
      <c r="X273" s="82" t="s">
        <v>563</v>
      </c>
      <c r="Y273" s="85" t="s">
        <v>537</v>
      </c>
      <c r="Z273" s="86" t="s">
        <v>565</v>
      </c>
      <c r="AA273" s="86" t="s">
        <v>28</v>
      </c>
      <c r="AB273" s="86" t="s">
        <v>21</v>
      </c>
      <c r="AC273" s="87">
        <v>0</v>
      </c>
      <c r="AD273" s="88">
        <f t="shared" si="52"/>
        <v>0</v>
      </c>
      <c r="AF273" s="54">
        <v>101441</v>
      </c>
      <c r="AQ273" s="80"/>
      <c r="AR273" s="80"/>
    </row>
    <row r="274" spans="1:44" ht="14.4">
      <c r="A274" s="70">
        <v>101442</v>
      </c>
      <c r="B274" s="78" t="str">
        <f>VLOOKUP(A274,'TB for financial'!A:B,2,0)</f>
        <v>Prepaid Rates &amp; Taxes</v>
      </c>
      <c r="D274" s="79">
        <f>VLOOKUP(A274,'TB for financial'!A:F,6,0)</f>
        <v>0</v>
      </c>
      <c r="E274" s="80"/>
      <c r="F274" s="79">
        <f>VLOOKUP(A274,'TB for financial'!A:K,11,0)</f>
        <v>0</v>
      </c>
      <c r="G274" s="80"/>
      <c r="H274" s="81">
        <f t="shared" si="49"/>
        <v>0</v>
      </c>
      <c r="I274" s="81">
        <v>0</v>
      </c>
      <c r="J274" s="81">
        <f t="shared" si="50"/>
        <v>0</v>
      </c>
      <c r="K274" s="80"/>
      <c r="L274" s="82">
        <f t="shared" si="51"/>
        <v>0</v>
      </c>
      <c r="M274" s="82">
        <v>0</v>
      </c>
      <c r="N274" s="82">
        <f t="shared" si="48"/>
        <v>0</v>
      </c>
      <c r="O274" s="83"/>
      <c r="P274"/>
      <c r="Q274"/>
      <c r="R274"/>
      <c r="S274"/>
      <c r="U274" s="84" t="s">
        <v>535</v>
      </c>
      <c r="V274" s="80"/>
      <c r="W274" s="82" t="s">
        <v>562</v>
      </c>
      <c r="X274" s="82" t="s">
        <v>563</v>
      </c>
      <c r="Y274" s="85" t="s">
        <v>537</v>
      </c>
      <c r="Z274" s="86" t="s">
        <v>565</v>
      </c>
      <c r="AA274" s="86" t="s">
        <v>28</v>
      </c>
      <c r="AB274" s="86" t="s">
        <v>21</v>
      </c>
      <c r="AC274" s="87">
        <v>0</v>
      </c>
      <c r="AD274" s="88">
        <f t="shared" si="52"/>
        <v>0</v>
      </c>
      <c r="AF274" s="54">
        <v>101442</v>
      </c>
      <c r="AQ274" s="80"/>
      <c r="AR274" s="80"/>
    </row>
    <row r="275" spans="1:44" ht="14.4">
      <c r="A275" s="70">
        <v>101443</v>
      </c>
      <c r="B275" s="78" t="str">
        <f>VLOOKUP(A275,'TB for financial'!A:B,2,0)</f>
        <v>Prepaid Professional Fees</v>
      </c>
      <c r="D275" s="79">
        <f>VLOOKUP(A275,'TB for financial'!A:F,6,0)</f>
        <v>-0.45999999999912689</v>
      </c>
      <c r="E275" s="80"/>
      <c r="F275" s="79">
        <f>VLOOKUP(A275,'TB for financial'!A:K,11,0)</f>
        <v>-0.45999999999912689</v>
      </c>
      <c r="G275" s="80"/>
      <c r="H275" s="81">
        <f t="shared" si="49"/>
        <v>-0.45999999999912689</v>
      </c>
      <c r="I275" s="81">
        <v>0</v>
      </c>
      <c r="J275" s="81">
        <f t="shared" si="50"/>
        <v>0</v>
      </c>
      <c r="K275" s="80"/>
      <c r="L275" s="82">
        <f t="shared" si="51"/>
        <v>-0.45999999999912689</v>
      </c>
      <c r="M275" s="82">
        <v>0</v>
      </c>
      <c r="N275" s="82">
        <f t="shared" si="48"/>
        <v>0</v>
      </c>
      <c r="O275" s="83"/>
      <c r="P275"/>
      <c r="Q275"/>
      <c r="R275"/>
      <c r="S275"/>
      <c r="U275" s="84" t="s">
        <v>535</v>
      </c>
      <c r="V275" s="80"/>
      <c r="W275" s="82" t="s">
        <v>562</v>
      </c>
      <c r="X275" s="82" t="s">
        <v>563</v>
      </c>
      <c r="Y275" s="85" t="s">
        <v>537</v>
      </c>
      <c r="Z275" s="86" t="s">
        <v>565</v>
      </c>
      <c r="AA275" s="86" t="s">
        <v>28</v>
      </c>
      <c r="AB275" s="86" t="s">
        <v>21</v>
      </c>
      <c r="AC275" s="87">
        <v>0</v>
      </c>
      <c r="AD275" s="88">
        <f t="shared" si="52"/>
        <v>-0.45999999999912689</v>
      </c>
      <c r="AF275" s="54">
        <v>101443</v>
      </c>
      <c r="AQ275" s="80">
        <f>D275</f>
        <v>-0.45999999999912689</v>
      </c>
      <c r="AR275" s="80"/>
    </row>
    <row r="276" spans="1:44" ht="14.4">
      <c r="A276" s="70">
        <v>101444</v>
      </c>
      <c r="B276" s="78" t="str">
        <f>VLOOKUP(A276,'TB for financial'!A:B,2,0)</f>
        <v>Prepaid Profession Tax Co.</v>
      </c>
      <c r="D276" s="79">
        <f>VLOOKUP(A276,'TB for financial'!A:F,6,0)</f>
        <v>0</v>
      </c>
      <c r="E276" s="80"/>
      <c r="F276" s="79">
        <f>VLOOKUP(A276,'TB for financial'!A:K,11,0)</f>
        <v>0</v>
      </c>
      <c r="G276" s="80"/>
      <c r="H276" s="81">
        <f t="shared" si="49"/>
        <v>0</v>
      </c>
      <c r="I276" s="81">
        <v>0</v>
      </c>
      <c r="J276" s="81">
        <f t="shared" si="50"/>
        <v>0</v>
      </c>
      <c r="K276" s="80"/>
      <c r="L276" s="82">
        <f t="shared" si="51"/>
        <v>0</v>
      </c>
      <c r="M276" s="82">
        <v>0</v>
      </c>
      <c r="N276" s="82">
        <f t="shared" si="48"/>
        <v>0</v>
      </c>
      <c r="O276" s="83"/>
      <c r="P276"/>
      <c r="Q276"/>
      <c r="R276"/>
      <c r="S276"/>
      <c r="U276" s="84" t="s">
        <v>535</v>
      </c>
      <c r="V276" s="80"/>
      <c r="W276" s="82" t="s">
        <v>562</v>
      </c>
      <c r="X276" s="82" t="s">
        <v>563</v>
      </c>
      <c r="Y276" s="85" t="s">
        <v>537</v>
      </c>
      <c r="Z276" s="86" t="s">
        <v>565</v>
      </c>
      <c r="AA276" s="86" t="s">
        <v>28</v>
      </c>
      <c r="AB276" s="86" t="s">
        <v>21</v>
      </c>
      <c r="AC276" s="87">
        <v>0</v>
      </c>
      <c r="AD276" s="88">
        <f t="shared" si="52"/>
        <v>0</v>
      </c>
      <c r="AF276" s="54">
        <v>101444</v>
      </c>
      <c r="AQ276" s="80"/>
      <c r="AR276" s="80"/>
    </row>
    <row r="277" spans="1:44" ht="14.4">
      <c r="A277" s="70">
        <v>101445</v>
      </c>
      <c r="B277" s="78" t="str">
        <f>VLOOKUP(A277,'TB for financial'!A:B,2,0)</f>
        <v>Prepaid Locker Rent</v>
      </c>
      <c r="D277" s="79">
        <f>VLOOKUP(A277,'TB for financial'!A:F,6,0)</f>
        <v>0</v>
      </c>
      <c r="E277" s="80"/>
      <c r="F277" s="79">
        <f>VLOOKUP(A277,'TB for financial'!A:K,11,0)</f>
        <v>0</v>
      </c>
      <c r="G277" s="80"/>
      <c r="H277" s="81">
        <f t="shared" si="49"/>
        <v>0</v>
      </c>
      <c r="I277" s="81">
        <v>0</v>
      </c>
      <c r="J277" s="81">
        <f t="shared" si="50"/>
        <v>0</v>
      </c>
      <c r="K277" s="80"/>
      <c r="L277" s="82">
        <f t="shared" si="51"/>
        <v>0</v>
      </c>
      <c r="M277" s="82">
        <v>0</v>
      </c>
      <c r="N277" s="82">
        <f t="shared" si="48"/>
        <v>0</v>
      </c>
      <c r="O277" s="83"/>
      <c r="P277"/>
      <c r="Q277"/>
      <c r="R277"/>
      <c r="S277"/>
      <c r="U277" s="84" t="s">
        <v>535</v>
      </c>
      <c r="V277" s="80"/>
      <c r="W277" s="82" t="s">
        <v>562</v>
      </c>
      <c r="X277" s="82" t="s">
        <v>563</v>
      </c>
      <c r="Y277" s="85" t="s">
        <v>537</v>
      </c>
      <c r="Z277" s="86" t="s">
        <v>565</v>
      </c>
      <c r="AA277" s="86" t="s">
        <v>28</v>
      </c>
      <c r="AB277" s="86" t="s">
        <v>21</v>
      </c>
      <c r="AC277" s="87">
        <v>0</v>
      </c>
      <c r="AD277" s="88">
        <f t="shared" si="52"/>
        <v>0</v>
      </c>
      <c r="AF277" s="54">
        <v>101445</v>
      </c>
      <c r="AQ277" s="80"/>
      <c r="AR277" s="80"/>
    </row>
    <row r="278" spans="1:44" ht="14.4">
      <c r="A278" s="1373">
        <v>486200</v>
      </c>
      <c r="B278" s="78" t="str">
        <f>VLOOKUP(A278,'TB for financial'!A:B,2,0)</f>
        <v>Long term prepayment</v>
      </c>
      <c r="D278" s="79">
        <f>VLOOKUP(A278,'TB for financial'!A:F,6,0)</f>
        <v>0.52300000000104774</v>
      </c>
      <c r="E278" s="80"/>
      <c r="F278" s="79">
        <f>VLOOKUP(A278,'TB for financial'!A:K,11,0)</f>
        <v>0.52300000000104774</v>
      </c>
      <c r="G278" s="80"/>
      <c r="H278" s="122">
        <f>D278-I278</f>
        <v>0.52300000000104774</v>
      </c>
      <c r="I278" s="81">
        <v>0</v>
      </c>
      <c r="J278" s="81">
        <f t="shared" si="50"/>
        <v>0</v>
      </c>
      <c r="K278" s="80"/>
      <c r="L278" s="82">
        <f>F278-M278</f>
        <v>0.52300000000104774</v>
      </c>
      <c r="M278" s="82">
        <v>0</v>
      </c>
      <c r="N278" s="82">
        <f>+F278-L278-M278</f>
        <v>0</v>
      </c>
      <c r="O278" s="83"/>
      <c r="P278"/>
      <c r="Q278"/>
      <c r="R278"/>
      <c r="S278"/>
      <c r="U278" s="84" t="s">
        <v>535</v>
      </c>
      <c r="V278" s="80"/>
      <c r="W278" s="82" t="s">
        <v>562</v>
      </c>
      <c r="X278" s="82" t="s">
        <v>563</v>
      </c>
      <c r="Y278" s="85" t="s">
        <v>537</v>
      </c>
      <c r="Z278" s="86" t="s">
        <v>565</v>
      </c>
      <c r="AA278" s="86" t="s">
        <v>28</v>
      </c>
      <c r="AB278" s="86" t="s">
        <v>21</v>
      </c>
      <c r="AC278" s="87">
        <v>26609.53</v>
      </c>
      <c r="AD278" s="88">
        <f>+D278-AC278</f>
        <v>-26609.006999999998</v>
      </c>
      <c r="AF278" s="54" t="s">
        <v>2536</v>
      </c>
      <c r="AQ278" s="80">
        <f>D278</f>
        <v>0.52300000000104774</v>
      </c>
      <c r="AR278" s="80"/>
    </row>
    <row r="279" spans="1:44" ht="24">
      <c r="A279" s="1373">
        <v>409100</v>
      </c>
      <c r="B279" s="78" t="str">
        <f>VLOOKUP(A279,'TB for financial'!A:B,2,0)</f>
        <v>DOWN PAYMENTS TO EXTERNAL VENDORS</v>
      </c>
      <c r="D279" s="79">
        <f>VLOOKUP(A279,'TB for financial'!A:F,6,0)</f>
        <v>416592</v>
      </c>
      <c r="E279" s="80"/>
      <c r="F279" s="79">
        <f>VLOOKUP(A279,'TB for financial'!A:K,11,0)</f>
        <v>265115</v>
      </c>
      <c r="G279" s="80"/>
      <c r="H279" s="122">
        <f>D279-I279</f>
        <v>416592</v>
      </c>
      <c r="I279" s="81">
        <v>0</v>
      </c>
      <c r="J279" s="81">
        <f t="shared" si="50"/>
        <v>0</v>
      </c>
      <c r="K279" s="80"/>
      <c r="L279" s="82">
        <f>F279-M279</f>
        <v>265115</v>
      </c>
      <c r="M279" s="82">
        <v>0</v>
      </c>
      <c r="N279" s="82">
        <f>+F279-L279-M279</f>
        <v>0</v>
      </c>
      <c r="O279" s="83"/>
      <c r="P279"/>
      <c r="Q279"/>
      <c r="R279"/>
      <c r="S279"/>
      <c r="U279" s="84"/>
      <c r="V279" s="80"/>
      <c r="W279" s="82"/>
      <c r="X279" s="82"/>
      <c r="Y279" s="85" t="s">
        <v>537</v>
      </c>
      <c r="Z279" s="86" t="s">
        <v>565</v>
      </c>
      <c r="AA279" s="86" t="s">
        <v>28</v>
      </c>
      <c r="AB279" s="86" t="s">
        <v>21</v>
      </c>
      <c r="AC279" s="87">
        <v>4698</v>
      </c>
      <c r="AD279" s="88">
        <f>+D279-AC279</f>
        <v>411894</v>
      </c>
      <c r="AF279" s="54" t="s">
        <v>2536</v>
      </c>
      <c r="AQ279" s="80">
        <f>D279</f>
        <v>416592</v>
      </c>
      <c r="AR279" s="80"/>
    </row>
    <row r="280" spans="1:44" ht="5.0999999999999996" customHeight="1">
      <c r="A280" s="70"/>
      <c r="B280" s="78"/>
      <c r="D280" s="79"/>
      <c r="E280" s="80"/>
      <c r="F280" s="79"/>
      <c r="G280" s="80"/>
      <c r="H280" s="81"/>
      <c r="I280" s="81"/>
      <c r="J280" s="81">
        <f t="shared" si="50"/>
        <v>0</v>
      </c>
      <c r="K280" s="80"/>
      <c r="L280" s="82"/>
      <c r="M280" s="82"/>
      <c r="N280" s="82"/>
      <c r="O280" s="83"/>
      <c r="P280"/>
      <c r="Q280"/>
      <c r="R280"/>
      <c r="S280"/>
      <c r="U280" s="84"/>
      <c r="V280" s="80"/>
      <c r="W280" s="82"/>
      <c r="X280" s="82"/>
      <c r="Y280" s="94"/>
      <c r="Z280" s="86"/>
      <c r="AA280" s="86"/>
      <c r="AB280" s="86"/>
      <c r="AQ280" s="80"/>
      <c r="AR280" s="80"/>
    </row>
    <row r="281" spans="1:44" s="47" customFormat="1" ht="14.4">
      <c r="A281" s="105"/>
      <c r="B281" s="71" t="s">
        <v>566</v>
      </c>
      <c r="C281" s="54"/>
      <c r="D281" s="1648">
        <f>SUM(D259:D280)</f>
        <v>416592.06300000002</v>
      </c>
      <c r="E281" s="96"/>
      <c r="F281" s="139">
        <f>SUM(F259:F280)</f>
        <v>265115.06300000002</v>
      </c>
      <c r="G281" s="80"/>
      <c r="H281" s="1648">
        <f>SUM(H259:H280)</f>
        <v>416592.06300000002</v>
      </c>
      <c r="I281" s="140">
        <f>SUM(I259:I280)</f>
        <v>0</v>
      </c>
      <c r="J281" s="141">
        <f>SUM(J259:J280)</f>
        <v>0</v>
      </c>
      <c r="K281" s="96"/>
      <c r="L281" s="141">
        <f>SUM(L259:L280)</f>
        <v>265115.06300000002</v>
      </c>
      <c r="M281" s="141">
        <f>SUM(M259:M280)</f>
        <v>0</v>
      </c>
      <c r="N281" s="141">
        <f>SUM(N259:N280)</f>
        <v>0</v>
      </c>
      <c r="O281" s="100"/>
      <c r="P281"/>
      <c r="Q281"/>
      <c r="R281"/>
      <c r="S281"/>
      <c r="U281" s="142"/>
      <c r="V281" s="80"/>
      <c r="W281" s="143"/>
      <c r="X281" s="143"/>
      <c r="Y281" s="94"/>
      <c r="Z281" s="86"/>
      <c r="AA281" s="86"/>
      <c r="AB281" s="86"/>
      <c r="AQ281" s="96"/>
      <c r="AR281" s="96"/>
    </row>
    <row r="282" spans="1:44" ht="5.0999999999999996" customHeight="1">
      <c r="A282" s="103"/>
      <c r="B282" s="104"/>
      <c r="D282" s="79"/>
      <c r="E282" s="80"/>
      <c r="F282" s="79"/>
      <c r="G282" s="80"/>
      <c r="H282" s="81"/>
      <c r="I282" s="81"/>
      <c r="J282" s="81"/>
      <c r="K282" s="80"/>
      <c r="L282" s="82"/>
      <c r="M282" s="82"/>
      <c r="N282" s="82"/>
      <c r="O282" s="83"/>
      <c r="P282"/>
      <c r="Q282"/>
      <c r="R282"/>
      <c r="S282"/>
      <c r="U282" s="84"/>
      <c r="V282" s="80"/>
      <c r="W282" s="82"/>
      <c r="X282" s="82"/>
      <c r="Y282" s="94"/>
      <c r="Z282" s="86"/>
      <c r="AA282" s="86"/>
      <c r="AB282" s="86"/>
      <c r="AQ282" s="80"/>
      <c r="AR282" s="80"/>
    </row>
    <row r="283" spans="1:44" ht="14.4">
      <c r="A283" s="70">
        <v>101310</v>
      </c>
      <c r="B283" s="78" t="str">
        <f>VLOOKUP(A283,'TB for financial'!A:B,2,0)</f>
        <v>Employee Travel Advances</v>
      </c>
      <c r="D283" s="79">
        <f>VLOOKUP(A283,'TB for financial'!A:F,6,0)</f>
        <v>0</v>
      </c>
      <c r="E283" s="80"/>
      <c r="F283" s="79">
        <f>VLOOKUP(A283,'TB for financial'!A:K,11,0)</f>
        <v>0</v>
      </c>
      <c r="G283" s="80"/>
      <c r="H283" s="81">
        <f t="shared" ref="H283:H298" si="53">D283-I283</f>
        <v>0</v>
      </c>
      <c r="I283" s="81">
        <v>0</v>
      </c>
      <c r="J283" s="81">
        <f t="shared" ref="J283:J300" si="54">+D283-H283-I283</f>
        <v>0</v>
      </c>
      <c r="K283" s="80"/>
      <c r="L283" s="82">
        <f t="shared" ref="L283:L298" si="55">F283-M283</f>
        <v>0</v>
      </c>
      <c r="M283" s="82">
        <v>0</v>
      </c>
      <c r="N283" s="82">
        <f t="shared" ref="N283:N301" si="56">+F283-L283-M283</f>
        <v>0</v>
      </c>
      <c r="O283" s="83"/>
      <c r="P283"/>
      <c r="Q283"/>
      <c r="R283"/>
      <c r="S283"/>
      <c r="U283" s="84" t="s">
        <v>530</v>
      </c>
      <c r="V283" s="80"/>
      <c r="W283" s="82" t="s">
        <v>562</v>
      </c>
      <c r="X283" s="82" t="s">
        <v>563</v>
      </c>
      <c r="Y283" s="85" t="s">
        <v>531</v>
      </c>
      <c r="Z283" s="86" t="s">
        <v>532</v>
      </c>
      <c r="AA283" s="86" t="s">
        <v>19</v>
      </c>
      <c r="AB283" s="86" t="s">
        <v>19</v>
      </c>
      <c r="AC283" s="87">
        <v>0</v>
      </c>
      <c r="AD283" s="88">
        <f t="shared" ref="AD283:AD298" si="57">+D283-AC283</f>
        <v>0</v>
      </c>
      <c r="AF283" s="54">
        <v>101310</v>
      </c>
      <c r="AQ283" s="80"/>
      <c r="AR283" s="80"/>
    </row>
    <row r="284" spans="1:44" ht="14.4">
      <c r="A284" s="70">
        <v>101309</v>
      </c>
      <c r="B284" s="78" t="str">
        <f>VLOOKUP(A284,'TB for financial'!A:B,2,0)</f>
        <v>Employee F. Travel Adv-Jersey</v>
      </c>
      <c r="D284" s="79">
        <f>VLOOKUP(A284,'TB for financial'!A:F,6,0)</f>
        <v>0</v>
      </c>
      <c r="E284" s="80"/>
      <c r="F284" s="79">
        <f>VLOOKUP(A284,'TB for financial'!A:K,11,0)</f>
        <v>0</v>
      </c>
      <c r="G284" s="80"/>
      <c r="H284" s="81">
        <f t="shared" si="53"/>
        <v>0</v>
      </c>
      <c r="I284" s="81">
        <v>0</v>
      </c>
      <c r="J284" s="81">
        <f t="shared" si="54"/>
        <v>0</v>
      </c>
      <c r="K284" s="80"/>
      <c r="L284" s="82">
        <f t="shared" si="55"/>
        <v>0</v>
      </c>
      <c r="M284" s="82">
        <v>0</v>
      </c>
      <c r="N284" s="82">
        <f t="shared" si="56"/>
        <v>0</v>
      </c>
      <c r="O284" s="83"/>
      <c r="P284"/>
      <c r="Q284"/>
      <c r="R284"/>
      <c r="S284"/>
      <c r="U284" s="84" t="s">
        <v>530</v>
      </c>
      <c r="V284" s="80"/>
      <c r="W284" s="82" t="s">
        <v>562</v>
      </c>
      <c r="X284" s="82" t="s">
        <v>563</v>
      </c>
      <c r="Y284" s="85" t="s">
        <v>531</v>
      </c>
      <c r="Z284" s="86" t="s">
        <v>532</v>
      </c>
      <c r="AA284" s="86" t="s">
        <v>19</v>
      </c>
      <c r="AB284" s="86" t="s">
        <v>19</v>
      </c>
      <c r="AC284" s="87">
        <v>0</v>
      </c>
      <c r="AD284" s="88">
        <f t="shared" si="57"/>
        <v>0</v>
      </c>
      <c r="AF284" s="54">
        <v>101309</v>
      </c>
      <c r="AQ284" s="80"/>
      <c r="AR284" s="80"/>
    </row>
    <row r="285" spans="1:44" ht="14.4">
      <c r="A285" s="70">
        <v>101311</v>
      </c>
      <c r="B285" s="78" t="str">
        <f>VLOOKUP(A285,'TB for financial'!A:B,2,0)</f>
        <v>Employee F.Travel Adv-US</v>
      </c>
      <c r="D285" s="79">
        <f>VLOOKUP(A285,'TB for financial'!A:F,6,0)</f>
        <v>0</v>
      </c>
      <c r="E285" s="80"/>
      <c r="F285" s="79">
        <f>VLOOKUP(A285,'TB for financial'!A:K,11,0)</f>
        <v>0</v>
      </c>
      <c r="G285" s="80"/>
      <c r="H285" s="81">
        <f t="shared" si="53"/>
        <v>0</v>
      </c>
      <c r="I285" s="81">
        <v>0</v>
      </c>
      <c r="J285" s="81">
        <f t="shared" si="54"/>
        <v>0</v>
      </c>
      <c r="K285" s="80"/>
      <c r="L285" s="82">
        <f t="shared" si="55"/>
        <v>0</v>
      </c>
      <c r="M285" s="82">
        <v>0</v>
      </c>
      <c r="N285" s="82">
        <f t="shared" si="56"/>
        <v>0</v>
      </c>
      <c r="O285" s="83"/>
      <c r="P285"/>
      <c r="Q285"/>
      <c r="R285"/>
      <c r="S285"/>
      <c r="U285" s="84" t="s">
        <v>530</v>
      </c>
      <c r="V285" s="80"/>
      <c r="W285" s="82" t="s">
        <v>562</v>
      </c>
      <c r="X285" s="82" t="s">
        <v>563</v>
      </c>
      <c r="Y285" s="85" t="s">
        <v>531</v>
      </c>
      <c r="Z285" s="86" t="s">
        <v>532</v>
      </c>
      <c r="AA285" s="86" t="s">
        <v>19</v>
      </c>
      <c r="AB285" s="86" t="s">
        <v>19</v>
      </c>
      <c r="AC285" s="87">
        <v>0</v>
      </c>
      <c r="AD285" s="88">
        <f t="shared" si="57"/>
        <v>0</v>
      </c>
      <c r="AF285" s="54">
        <v>101311</v>
      </c>
      <c r="AQ285" s="80"/>
      <c r="AR285" s="80"/>
    </row>
    <row r="286" spans="1:44" ht="14.4">
      <c r="A286" s="70">
        <v>101312</v>
      </c>
      <c r="B286" s="78" t="str">
        <f>VLOOKUP(A286,'TB for financial'!A:B,2,0)</f>
        <v>Employee F.Travel Adv-UK</v>
      </c>
      <c r="D286" s="79">
        <f>VLOOKUP(A286,'TB for financial'!A:F,6,0)</f>
        <v>0</v>
      </c>
      <c r="E286" s="80"/>
      <c r="F286" s="79">
        <f>VLOOKUP(A286,'TB for financial'!A:K,11,0)</f>
        <v>0</v>
      </c>
      <c r="G286" s="80"/>
      <c r="H286" s="81">
        <f t="shared" si="53"/>
        <v>0</v>
      </c>
      <c r="I286" s="81">
        <v>0</v>
      </c>
      <c r="J286" s="81">
        <f t="shared" si="54"/>
        <v>0</v>
      </c>
      <c r="K286" s="80"/>
      <c r="L286" s="82">
        <f t="shared" si="55"/>
        <v>0</v>
      </c>
      <c r="M286" s="82">
        <v>0</v>
      </c>
      <c r="N286" s="82">
        <f t="shared" si="56"/>
        <v>0</v>
      </c>
      <c r="O286" s="83"/>
      <c r="P286"/>
      <c r="Q286"/>
      <c r="R286"/>
      <c r="S286"/>
      <c r="U286" s="84" t="s">
        <v>530</v>
      </c>
      <c r="V286" s="80"/>
      <c r="W286" s="82" t="s">
        <v>562</v>
      </c>
      <c r="X286" s="82" t="s">
        <v>563</v>
      </c>
      <c r="Y286" s="85" t="s">
        <v>531</v>
      </c>
      <c r="Z286" s="86" t="s">
        <v>532</v>
      </c>
      <c r="AA286" s="86" t="s">
        <v>19</v>
      </c>
      <c r="AB286" s="86" t="s">
        <v>19</v>
      </c>
      <c r="AC286" s="87">
        <v>0</v>
      </c>
      <c r="AD286" s="88">
        <f t="shared" si="57"/>
        <v>0</v>
      </c>
      <c r="AF286" s="54">
        <v>101312</v>
      </c>
      <c r="AQ286" s="80"/>
      <c r="AR286" s="80"/>
    </row>
    <row r="287" spans="1:44" ht="14.4">
      <c r="A287" s="70">
        <v>101313</v>
      </c>
      <c r="B287" s="78" t="str">
        <f>VLOOKUP(A287,'TB for financial'!A:B,2,0)</f>
        <v>Employee F.Travel Adv-Germany</v>
      </c>
      <c r="D287" s="79">
        <f>VLOOKUP(A287,'TB for financial'!A:F,6,0)</f>
        <v>0</v>
      </c>
      <c r="E287" s="80"/>
      <c r="F287" s="79">
        <f>VLOOKUP(A287,'TB for financial'!A:K,11,0)</f>
        <v>0</v>
      </c>
      <c r="G287" s="80"/>
      <c r="H287" s="81">
        <f t="shared" si="53"/>
        <v>0</v>
      </c>
      <c r="I287" s="81">
        <v>0</v>
      </c>
      <c r="J287" s="81">
        <f t="shared" si="54"/>
        <v>0</v>
      </c>
      <c r="K287" s="80"/>
      <c r="L287" s="82">
        <f t="shared" si="55"/>
        <v>0</v>
      </c>
      <c r="M287" s="82">
        <v>0</v>
      </c>
      <c r="N287" s="82">
        <f t="shared" si="56"/>
        <v>0</v>
      </c>
      <c r="O287" s="83"/>
      <c r="P287"/>
      <c r="Q287"/>
      <c r="R287"/>
      <c r="S287"/>
      <c r="U287" s="84" t="s">
        <v>530</v>
      </c>
      <c r="V287" s="80"/>
      <c r="W287" s="82" t="s">
        <v>562</v>
      </c>
      <c r="X287" s="82" t="s">
        <v>563</v>
      </c>
      <c r="Y287" s="85" t="s">
        <v>531</v>
      </c>
      <c r="Z287" s="86" t="s">
        <v>532</v>
      </c>
      <c r="AA287" s="86" t="s">
        <v>19</v>
      </c>
      <c r="AB287" s="86" t="s">
        <v>19</v>
      </c>
      <c r="AC287" s="87">
        <v>0</v>
      </c>
      <c r="AD287" s="88">
        <f t="shared" si="57"/>
        <v>0</v>
      </c>
      <c r="AF287" s="54">
        <v>101313</v>
      </c>
      <c r="AQ287" s="80"/>
      <c r="AR287" s="80"/>
    </row>
    <row r="288" spans="1:44" ht="14.4">
      <c r="A288" s="70">
        <v>101314</v>
      </c>
      <c r="B288" s="78" t="str">
        <f>VLOOKUP(A288,'TB for financial'!A:B,2,0)</f>
        <v>Employee F.Travel Adv-Sing.</v>
      </c>
      <c r="D288" s="79">
        <f>VLOOKUP(A288,'TB for financial'!A:F,6,0)</f>
        <v>0</v>
      </c>
      <c r="E288" s="80"/>
      <c r="F288" s="79">
        <f>VLOOKUP(A288,'TB for financial'!A:K,11,0)</f>
        <v>0</v>
      </c>
      <c r="G288" s="80"/>
      <c r="H288" s="81">
        <f t="shared" si="53"/>
        <v>0</v>
      </c>
      <c r="I288" s="81">
        <v>0</v>
      </c>
      <c r="J288" s="81">
        <f t="shared" si="54"/>
        <v>0</v>
      </c>
      <c r="K288" s="80"/>
      <c r="L288" s="82">
        <f t="shared" si="55"/>
        <v>0</v>
      </c>
      <c r="M288" s="82">
        <v>0</v>
      </c>
      <c r="N288" s="82">
        <f t="shared" si="56"/>
        <v>0</v>
      </c>
      <c r="O288" s="83"/>
      <c r="P288"/>
      <c r="Q288"/>
      <c r="R288"/>
      <c r="S288"/>
      <c r="U288" s="84" t="s">
        <v>530</v>
      </c>
      <c r="V288" s="80"/>
      <c r="W288" s="82" t="s">
        <v>562</v>
      </c>
      <c r="X288" s="82" t="s">
        <v>563</v>
      </c>
      <c r="Y288" s="85" t="s">
        <v>531</v>
      </c>
      <c r="Z288" s="86" t="s">
        <v>532</v>
      </c>
      <c r="AA288" s="86" t="s">
        <v>19</v>
      </c>
      <c r="AB288" s="86" t="s">
        <v>19</v>
      </c>
      <c r="AC288" s="87">
        <v>0</v>
      </c>
      <c r="AD288" s="88">
        <f t="shared" si="57"/>
        <v>0</v>
      </c>
      <c r="AF288" s="54">
        <v>101314</v>
      </c>
      <c r="AQ288" s="80"/>
      <c r="AR288" s="80"/>
    </row>
    <row r="289" spans="1:44" ht="14.4">
      <c r="A289" s="70">
        <v>101315</v>
      </c>
      <c r="B289" s="78" t="str">
        <f>VLOOKUP(A289,'TB for financial'!A:B,2,0)</f>
        <v>Employee F.Travel Adv-Others</v>
      </c>
      <c r="D289" s="79">
        <f>VLOOKUP(A289,'TB for financial'!A:F,6,0)</f>
        <v>0</v>
      </c>
      <c r="E289" s="80"/>
      <c r="F289" s="79">
        <f>VLOOKUP(A289,'TB for financial'!A:K,11,0)</f>
        <v>0</v>
      </c>
      <c r="G289" s="80"/>
      <c r="H289" s="81">
        <f t="shared" si="53"/>
        <v>0</v>
      </c>
      <c r="I289" s="81">
        <v>0</v>
      </c>
      <c r="J289" s="81">
        <f t="shared" si="54"/>
        <v>0</v>
      </c>
      <c r="K289" s="80"/>
      <c r="L289" s="82">
        <f t="shared" si="55"/>
        <v>0</v>
      </c>
      <c r="M289" s="82">
        <v>0</v>
      </c>
      <c r="N289" s="82">
        <f t="shared" si="56"/>
        <v>0</v>
      </c>
      <c r="O289" s="83"/>
      <c r="P289"/>
      <c r="Q289"/>
      <c r="R289"/>
      <c r="S289"/>
      <c r="U289" s="84" t="s">
        <v>530</v>
      </c>
      <c r="V289" s="80"/>
      <c r="W289" s="82" t="s">
        <v>562</v>
      </c>
      <c r="X289" s="82" t="s">
        <v>563</v>
      </c>
      <c r="Y289" s="85" t="s">
        <v>531</v>
      </c>
      <c r="Z289" s="86" t="s">
        <v>532</v>
      </c>
      <c r="AA289" s="86" t="s">
        <v>19</v>
      </c>
      <c r="AB289" s="86" t="s">
        <v>19</v>
      </c>
      <c r="AC289" s="87">
        <v>0</v>
      </c>
      <c r="AD289" s="88">
        <f t="shared" si="57"/>
        <v>0</v>
      </c>
      <c r="AF289" s="54">
        <v>101315</v>
      </c>
      <c r="AQ289" s="80"/>
      <c r="AR289" s="80"/>
    </row>
    <row r="290" spans="1:44" ht="14.4">
      <c r="A290" s="70">
        <v>101316</v>
      </c>
      <c r="B290" s="78" t="str">
        <f>VLOOKUP(A290,'TB for financial'!A:B,2,0)</f>
        <v>Employee F.Travel Settlement</v>
      </c>
      <c r="D290" s="79">
        <f>VLOOKUP(A290,'TB for financial'!A:F,6,0)</f>
        <v>0</v>
      </c>
      <c r="E290" s="80"/>
      <c r="F290" s="79">
        <f>VLOOKUP(A290,'TB for financial'!A:K,11,0)</f>
        <v>0</v>
      </c>
      <c r="G290" s="80"/>
      <c r="H290" s="81">
        <f t="shared" si="53"/>
        <v>0</v>
      </c>
      <c r="I290" s="81">
        <v>0</v>
      </c>
      <c r="J290" s="81">
        <f t="shared" si="54"/>
        <v>0</v>
      </c>
      <c r="K290" s="80"/>
      <c r="L290" s="82">
        <f t="shared" si="55"/>
        <v>0</v>
      </c>
      <c r="M290" s="82">
        <v>0</v>
      </c>
      <c r="N290" s="82">
        <f t="shared" si="56"/>
        <v>0</v>
      </c>
      <c r="O290" s="83"/>
      <c r="P290"/>
      <c r="Q290"/>
      <c r="R290"/>
      <c r="S290"/>
      <c r="U290" s="84" t="s">
        <v>530</v>
      </c>
      <c r="V290" s="80"/>
      <c r="W290" s="82" t="s">
        <v>562</v>
      </c>
      <c r="X290" s="82" t="s">
        <v>563</v>
      </c>
      <c r="Y290" s="85" t="s">
        <v>531</v>
      </c>
      <c r="Z290" s="86" t="s">
        <v>532</v>
      </c>
      <c r="AA290" s="86" t="s">
        <v>19</v>
      </c>
      <c r="AB290" s="86" t="s">
        <v>19</v>
      </c>
      <c r="AC290" s="87">
        <v>0</v>
      </c>
      <c r="AD290" s="88">
        <f t="shared" si="57"/>
        <v>0</v>
      </c>
      <c r="AF290" s="54">
        <v>101316</v>
      </c>
      <c r="AQ290" s="80"/>
      <c r="AR290" s="80"/>
    </row>
    <row r="291" spans="1:44" ht="14.4">
      <c r="A291" s="70">
        <v>101317</v>
      </c>
      <c r="B291" s="78" t="str">
        <f>VLOOKUP(A291,'TB for financial'!A:B,2,0)</f>
        <v>Employee F.Travel Adv-Canada</v>
      </c>
      <c r="D291" s="79">
        <f>VLOOKUP(A291,'TB for financial'!A:F,6,0)</f>
        <v>0</v>
      </c>
      <c r="E291" s="80"/>
      <c r="F291" s="79">
        <f>VLOOKUP(A291,'TB for financial'!A:K,11,0)</f>
        <v>0</v>
      </c>
      <c r="G291" s="80"/>
      <c r="H291" s="81">
        <f t="shared" si="53"/>
        <v>0</v>
      </c>
      <c r="I291" s="81">
        <v>0</v>
      </c>
      <c r="J291" s="81">
        <f t="shared" si="54"/>
        <v>0</v>
      </c>
      <c r="K291" s="80"/>
      <c r="L291" s="82">
        <f t="shared" si="55"/>
        <v>0</v>
      </c>
      <c r="M291" s="82">
        <v>0</v>
      </c>
      <c r="N291" s="82">
        <f t="shared" si="56"/>
        <v>0</v>
      </c>
      <c r="O291" s="83"/>
      <c r="P291"/>
      <c r="Q291"/>
      <c r="R291"/>
      <c r="S291"/>
      <c r="U291" s="84" t="s">
        <v>530</v>
      </c>
      <c r="V291" s="80"/>
      <c r="W291" s="82" t="s">
        <v>562</v>
      </c>
      <c r="X291" s="82" t="s">
        <v>563</v>
      </c>
      <c r="Y291" s="85" t="s">
        <v>531</v>
      </c>
      <c r="Z291" s="86" t="s">
        <v>532</v>
      </c>
      <c r="AA291" s="86" t="s">
        <v>19</v>
      </c>
      <c r="AB291" s="86" t="s">
        <v>19</v>
      </c>
      <c r="AC291" s="87">
        <v>0</v>
      </c>
      <c r="AD291" s="88">
        <f t="shared" si="57"/>
        <v>0</v>
      </c>
      <c r="AF291" s="54">
        <v>101317</v>
      </c>
      <c r="AQ291" s="80"/>
      <c r="AR291" s="80"/>
    </row>
    <row r="292" spans="1:44" ht="14.4">
      <c r="A292" s="89">
        <v>101318</v>
      </c>
      <c r="B292" s="78" t="str">
        <f>VLOOKUP(A292,'TB for financial'!A:B,2,0)</f>
        <v>Admin Expenses Advance</v>
      </c>
      <c r="D292" s="79">
        <f>VLOOKUP(A292,'TB for financial'!A:F,6,0)</f>
        <v>0</v>
      </c>
      <c r="E292" s="80"/>
      <c r="F292" s="79">
        <f>VLOOKUP(A292,'TB for financial'!A:K,11,0)</f>
        <v>0</v>
      </c>
      <c r="G292" s="80"/>
      <c r="H292" s="81">
        <f t="shared" si="53"/>
        <v>0</v>
      </c>
      <c r="I292" s="81">
        <v>0</v>
      </c>
      <c r="J292" s="81">
        <f t="shared" si="54"/>
        <v>0</v>
      </c>
      <c r="K292" s="80"/>
      <c r="L292" s="82">
        <f t="shared" si="55"/>
        <v>0</v>
      </c>
      <c r="M292" s="82">
        <v>0</v>
      </c>
      <c r="N292" s="82">
        <f t="shared" si="56"/>
        <v>0</v>
      </c>
      <c r="O292" s="83"/>
      <c r="P292"/>
      <c r="Q292"/>
      <c r="R292"/>
      <c r="S292"/>
      <c r="U292" s="84" t="s">
        <v>530</v>
      </c>
      <c r="V292" s="80"/>
      <c r="W292" s="82" t="s">
        <v>562</v>
      </c>
      <c r="X292" s="82" t="s">
        <v>563</v>
      </c>
      <c r="Y292" s="85" t="s">
        <v>531</v>
      </c>
      <c r="Z292" s="86" t="s">
        <v>532</v>
      </c>
      <c r="AA292" s="86" t="s">
        <v>19</v>
      </c>
      <c r="AB292" s="86" t="s">
        <v>19</v>
      </c>
      <c r="AC292" s="87">
        <v>0</v>
      </c>
      <c r="AD292" s="88">
        <f t="shared" si="57"/>
        <v>0</v>
      </c>
      <c r="AF292" s="54">
        <v>101318</v>
      </c>
      <c r="AQ292" s="80"/>
      <c r="AR292" s="80"/>
    </row>
    <row r="293" spans="1:44" ht="14.4">
      <c r="A293" s="70">
        <v>101320</v>
      </c>
      <c r="B293" s="78" t="str">
        <f>VLOOKUP(A293,'TB for financial'!A:B,2,0)</f>
        <v>Employee Payroll Advances</v>
      </c>
      <c r="D293" s="79">
        <f>VLOOKUP(A293,'TB for financial'!A:F,6,0)</f>
        <v>4.2405190470162779E-11</v>
      </c>
      <c r="E293" s="80"/>
      <c r="F293" s="79">
        <f>VLOOKUP(A293,'TB for financial'!A:K,11,0)</f>
        <v>4.2405190470162779E-11</v>
      </c>
      <c r="G293" s="80"/>
      <c r="H293" s="81">
        <f t="shared" si="53"/>
        <v>4.2405190470162779E-11</v>
      </c>
      <c r="I293" s="81">
        <v>0</v>
      </c>
      <c r="J293" s="81">
        <f t="shared" si="54"/>
        <v>0</v>
      </c>
      <c r="K293" s="80"/>
      <c r="L293" s="82">
        <f t="shared" si="55"/>
        <v>4.2405190470162779E-11</v>
      </c>
      <c r="M293" s="82">
        <v>0</v>
      </c>
      <c r="N293" s="82">
        <f t="shared" si="56"/>
        <v>0</v>
      </c>
      <c r="O293" s="83"/>
      <c r="P293"/>
      <c r="Q293"/>
      <c r="R293"/>
      <c r="S293"/>
      <c r="U293" s="84" t="s">
        <v>530</v>
      </c>
      <c r="V293" s="80"/>
      <c r="W293" s="82" t="s">
        <v>562</v>
      </c>
      <c r="X293" s="82" t="s">
        <v>563</v>
      </c>
      <c r="Y293" s="85" t="s">
        <v>531</v>
      </c>
      <c r="Z293" s="86" t="s">
        <v>532</v>
      </c>
      <c r="AA293" s="86" t="s">
        <v>19</v>
      </c>
      <c r="AB293" s="86" t="s">
        <v>19</v>
      </c>
      <c r="AC293" s="87">
        <v>0</v>
      </c>
      <c r="AD293" s="88">
        <f t="shared" si="57"/>
        <v>4.2405190470162779E-11</v>
      </c>
      <c r="AF293" s="54">
        <v>101320</v>
      </c>
      <c r="AQ293" s="80">
        <f>D293</f>
        <v>4.2405190470162779E-11</v>
      </c>
      <c r="AR293" s="80"/>
    </row>
    <row r="294" spans="1:44" ht="14.4">
      <c r="A294" s="70">
        <v>101324</v>
      </c>
      <c r="B294" s="78" t="str">
        <f>VLOOKUP(A294,'TB for financial'!A:B,2,0)</f>
        <v>Employee Advances for Expenses</v>
      </c>
      <c r="D294" s="79">
        <f>VLOOKUP(A294,'TB for financial'!A:F,6,0)</f>
        <v>-1</v>
      </c>
      <c r="E294" s="80"/>
      <c r="F294" s="79">
        <f>VLOOKUP(A294,'TB for financial'!A:K,11,0)</f>
        <v>-1</v>
      </c>
      <c r="G294" s="80"/>
      <c r="H294" s="81">
        <f t="shared" si="53"/>
        <v>-1</v>
      </c>
      <c r="I294" s="81">
        <v>0</v>
      </c>
      <c r="J294" s="81">
        <f t="shared" si="54"/>
        <v>0</v>
      </c>
      <c r="K294" s="80"/>
      <c r="L294" s="82">
        <f t="shared" si="55"/>
        <v>-1</v>
      </c>
      <c r="M294" s="82">
        <v>0</v>
      </c>
      <c r="N294" s="82">
        <f t="shared" si="56"/>
        <v>0</v>
      </c>
      <c r="O294" s="83"/>
      <c r="P294"/>
      <c r="Q294"/>
      <c r="R294"/>
      <c r="S294"/>
      <c r="U294" s="84" t="s">
        <v>530</v>
      </c>
      <c r="V294" s="80"/>
      <c r="W294" s="82" t="s">
        <v>562</v>
      </c>
      <c r="X294" s="82" t="s">
        <v>563</v>
      </c>
      <c r="Y294" s="85" t="s">
        <v>531</v>
      </c>
      <c r="Z294" s="86" t="s">
        <v>532</v>
      </c>
      <c r="AA294" s="86" t="s">
        <v>19</v>
      </c>
      <c r="AB294" s="86" t="s">
        <v>19</v>
      </c>
      <c r="AC294" s="87">
        <v>0</v>
      </c>
      <c r="AD294" s="88">
        <f t="shared" si="57"/>
        <v>-1</v>
      </c>
      <c r="AF294" s="54">
        <v>101324</v>
      </c>
      <c r="AQ294" s="80">
        <f>D294</f>
        <v>-1</v>
      </c>
      <c r="AR294" s="80"/>
    </row>
    <row r="295" spans="1:44" ht="14.4">
      <c r="A295" s="70">
        <v>101325</v>
      </c>
      <c r="B295" s="78" t="str">
        <f>VLOOKUP(A295,'TB for financial'!A:B,2,0)</f>
        <v>EMPLOYEES ACH/EFT REVERSAL</v>
      </c>
      <c r="D295" s="79">
        <f>VLOOKUP(A295,'TB for financial'!A:F,6,0)</f>
        <v>0</v>
      </c>
      <c r="E295" s="80"/>
      <c r="F295" s="79">
        <f>VLOOKUP(A295,'TB for financial'!A:K,11,0)</f>
        <v>0</v>
      </c>
      <c r="G295" s="80"/>
      <c r="H295" s="81">
        <f t="shared" si="53"/>
        <v>0</v>
      </c>
      <c r="I295" s="81">
        <v>0</v>
      </c>
      <c r="J295" s="81">
        <f t="shared" si="54"/>
        <v>0</v>
      </c>
      <c r="K295" s="80"/>
      <c r="L295" s="82">
        <f t="shared" si="55"/>
        <v>0</v>
      </c>
      <c r="M295" s="82">
        <v>0</v>
      </c>
      <c r="N295" s="82">
        <f t="shared" si="56"/>
        <v>0</v>
      </c>
      <c r="O295" s="83"/>
      <c r="P295"/>
      <c r="Q295"/>
      <c r="R295"/>
      <c r="S295"/>
      <c r="U295" s="84" t="s">
        <v>530</v>
      </c>
      <c r="V295" s="80"/>
      <c r="W295" s="82" t="s">
        <v>562</v>
      </c>
      <c r="X295" s="82" t="s">
        <v>563</v>
      </c>
      <c r="Y295" s="85" t="s">
        <v>531</v>
      </c>
      <c r="Z295" s="86" t="s">
        <v>532</v>
      </c>
      <c r="AA295" s="86" t="s">
        <v>19</v>
      </c>
      <c r="AB295" s="86" t="s">
        <v>19</v>
      </c>
      <c r="AC295" s="87">
        <v>0</v>
      </c>
      <c r="AD295" s="88">
        <f t="shared" si="57"/>
        <v>0</v>
      </c>
      <c r="AF295" s="54">
        <v>101325</v>
      </c>
      <c r="AQ295" s="80"/>
      <c r="AR295" s="80"/>
    </row>
    <row r="296" spans="1:44" ht="14.4">
      <c r="A296" s="70">
        <v>101326</v>
      </c>
      <c r="B296" s="78" t="str">
        <f>VLOOKUP(A296,'TB for financial'!A:B,2,0)</f>
        <v>Insurance Claims Receivable</v>
      </c>
      <c r="D296" s="79">
        <f>VLOOKUP(A296,'TB for financial'!A:F,6,0)</f>
        <v>0</v>
      </c>
      <c r="E296" s="80"/>
      <c r="F296" s="79">
        <f>VLOOKUP(A296,'TB for financial'!A:K,11,0)</f>
        <v>0</v>
      </c>
      <c r="G296" s="80"/>
      <c r="H296" s="81">
        <f t="shared" si="53"/>
        <v>0</v>
      </c>
      <c r="I296" s="81">
        <v>0</v>
      </c>
      <c r="J296" s="81">
        <f t="shared" si="54"/>
        <v>0</v>
      </c>
      <c r="K296" s="80"/>
      <c r="L296" s="82">
        <f t="shared" si="55"/>
        <v>0</v>
      </c>
      <c r="M296" s="82">
        <v>0</v>
      </c>
      <c r="N296" s="82">
        <f t="shared" si="56"/>
        <v>0</v>
      </c>
      <c r="O296" s="83"/>
      <c r="P296"/>
      <c r="Q296"/>
      <c r="R296"/>
      <c r="S296"/>
      <c r="U296" s="84" t="s">
        <v>530</v>
      </c>
      <c r="V296" s="80"/>
      <c r="W296" s="82" t="s">
        <v>562</v>
      </c>
      <c r="X296" s="82" t="s">
        <v>563</v>
      </c>
      <c r="Y296" s="85" t="s">
        <v>531</v>
      </c>
      <c r="Z296" s="86" t="s">
        <v>532</v>
      </c>
      <c r="AA296" s="86" t="s">
        <v>19</v>
      </c>
      <c r="AB296" s="86" t="s">
        <v>19</v>
      </c>
      <c r="AC296" s="87">
        <v>0</v>
      </c>
      <c r="AD296" s="88">
        <f t="shared" si="57"/>
        <v>0</v>
      </c>
      <c r="AF296" s="54">
        <v>101326</v>
      </c>
      <c r="AQ296" s="80"/>
      <c r="AR296" s="80"/>
    </row>
    <row r="297" spans="1:44" ht="14.4">
      <c r="A297" s="70">
        <v>101330</v>
      </c>
      <c r="B297" s="78" t="str">
        <f>VLOOKUP(A297,'TB for financial'!A:B,2,0)</f>
        <v>Recv from Terminated Employees</v>
      </c>
      <c r="D297" s="79">
        <f>VLOOKUP(A297,'TB for financial'!A:F,6,0)</f>
        <v>0</v>
      </c>
      <c r="E297" s="80"/>
      <c r="F297" s="79">
        <f>VLOOKUP(A297,'TB for financial'!A:K,11,0)</f>
        <v>0</v>
      </c>
      <c r="G297" s="80"/>
      <c r="H297" s="81">
        <f t="shared" si="53"/>
        <v>0</v>
      </c>
      <c r="I297" s="81">
        <v>0</v>
      </c>
      <c r="J297" s="81">
        <f t="shared" si="54"/>
        <v>0</v>
      </c>
      <c r="K297" s="80"/>
      <c r="L297" s="82">
        <f t="shared" si="55"/>
        <v>0</v>
      </c>
      <c r="M297" s="82">
        <v>0</v>
      </c>
      <c r="N297" s="82">
        <f t="shared" si="56"/>
        <v>0</v>
      </c>
      <c r="O297" s="83"/>
      <c r="P297"/>
      <c r="Q297"/>
      <c r="R297"/>
      <c r="S297"/>
      <c r="U297" s="84" t="s">
        <v>530</v>
      </c>
      <c r="V297" s="80"/>
      <c r="W297" s="82" t="s">
        <v>562</v>
      </c>
      <c r="X297" s="82" t="s">
        <v>563</v>
      </c>
      <c r="Y297" s="85" t="s">
        <v>531</v>
      </c>
      <c r="Z297" s="86" t="s">
        <v>532</v>
      </c>
      <c r="AA297" s="86" t="s">
        <v>19</v>
      </c>
      <c r="AB297" s="86" t="s">
        <v>19</v>
      </c>
      <c r="AC297" s="87">
        <v>0</v>
      </c>
      <c r="AD297" s="88">
        <f t="shared" si="57"/>
        <v>0</v>
      </c>
      <c r="AF297" s="54">
        <v>101330</v>
      </c>
      <c r="AQ297" s="80"/>
      <c r="AR297" s="80"/>
    </row>
    <row r="298" spans="1:44" ht="14.4">
      <c r="A298" s="70">
        <v>101335</v>
      </c>
      <c r="B298" s="78" t="str">
        <f>VLOOKUP(A298,'TB for financial'!A:B,2,0)</f>
        <v>Immigration Advances</v>
      </c>
      <c r="D298" s="79">
        <f>VLOOKUP(A298,'TB for financial'!A:F,6,0)</f>
        <v>0</v>
      </c>
      <c r="E298" s="80"/>
      <c r="F298" s="79">
        <f>VLOOKUP(A298,'TB for financial'!A:K,11,0)</f>
        <v>0</v>
      </c>
      <c r="G298" s="80"/>
      <c r="H298" s="81">
        <f t="shared" si="53"/>
        <v>0</v>
      </c>
      <c r="I298" s="81">
        <v>0</v>
      </c>
      <c r="J298" s="81">
        <f t="shared" si="54"/>
        <v>0</v>
      </c>
      <c r="K298" s="80"/>
      <c r="L298" s="82">
        <f t="shared" si="55"/>
        <v>0</v>
      </c>
      <c r="M298" s="82">
        <v>0</v>
      </c>
      <c r="N298" s="82">
        <f t="shared" si="56"/>
        <v>0</v>
      </c>
      <c r="O298" s="83"/>
      <c r="P298"/>
      <c r="Q298"/>
      <c r="R298"/>
      <c r="S298"/>
      <c r="U298" s="84" t="s">
        <v>530</v>
      </c>
      <c r="V298" s="80"/>
      <c r="W298" s="82" t="s">
        <v>562</v>
      </c>
      <c r="X298" s="82" t="s">
        <v>563</v>
      </c>
      <c r="Y298" s="85" t="s">
        <v>531</v>
      </c>
      <c r="Z298" s="86" t="s">
        <v>532</v>
      </c>
      <c r="AA298" s="86" t="s">
        <v>19</v>
      </c>
      <c r="AB298" s="86" t="s">
        <v>19</v>
      </c>
      <c r="AC298" s="87">
        <v>0</v>
      </c>
      <c r="AD298" s="88">
        <f t="shared" si="57"/>
        <v>0</v>
      </c>
      <c r="AF298" s="54">
        <v>101335</v>
      </c>
      <c r="AQ298" s="80"/>
      <c r="AR298" s="80"/>
    </row>
    <row r="299" spans="1:44" ht="14.4">
      <c r="A299" s="1373">
        <v>425000</v>
      </c>
      <c r="B299" s="78" t="str">
        <f>VLOOKUP(A299,'TB for financial'!A:B,2,0)</f>
        <v>ADVANCES ON SALARIES</v>
      </c>
      <c r="D299" s="122">
        <f>VLOOKUP(A299,'TB for financial'!A:F,6,0)</f>
        <v>-184778.60000000003</v>
      </c>
      <c r="E299" s="80"/>
      <c r="F299" s="79">
        <f>VLOOKUP(A299,'TB for financial'!A:K,11,0)</f>
        <v>0.3999999999650754</v>
      </c>
      <c r="G299" s="80"/>
      <c r="H299" s="122">
        <f>D299-I299</f>
        <v>-184778.60000000003</v>
      </c>
      <c r="I299" s="81">
        <v>0</v>
      </c>
      <c r="J299" s="81">
        <f t="shared" si="54"/>
        <v>0</v>
      </c>
      <c r="K299" s="80"/>
      <c r="L299" s="82">
        <f>F299-M299</f>
        <v>0.3999999999650754</v>
      </c>
      <c r="M299" s="82">
        <v>0</v>
      </c>
      <c r="N299" s="82">
        <f>+F299-L299-M299</f>
        <v>0</v>
      </c>
      <c r="O299" s="83"/>
      <c r="P299"/>
      <c r="Q299"/>
      <c r="R299"/>
      <c r="S299"/>
      <c r="U299" s="84" t="s">
        <v>530</v>
      </c>
      <c r="V299" s="80"/>
      <c r="W299" s="82" t="s">
        <v>562</v>
      </c>
      <c r="X299" s="82" t="s">
        <v>563</v>
      </c>
      <c r="Y299" s="85" t="s">
        <v>531</v>
      </c>
      <c r="Z299" s="86" t="s">
        <v>532</v>
      </c>
      <c r="AA299" s="86" t="s">
        <v>19</v>
      </c>
      <c r="AB299" s="86" t="s">
        <v>19</v>
      </c>
      <c r="AC299" s="87">
        <v>87685.4</v>
      </c>
      <c r="AD299" s="88">
        <f>+D299-AC299</f>
        <v>-272464</v>
      </c>
      <c r="AF299" s="54" t="s">
        <v>2536</v>
      </c>
      <c r="AQ299" s="80">
        <f>D299</f>
        <v>-184778.60000000003</v>
      </c>
      <c r="AR299" s="80"/>
    </row>
    <row r="300" spans="1:44" ht="14.4">
      <c r="A300" s="1373">
        <v>467010</v>
      </c>
      <c r="B300" s="78" t="str">
        <f>VLOOKUP(A300,'TB for financial'!A:B,2,0)</f>
        <v>OTHER ACCOUNTS IN DEBIT</v>
      </c>
      <c r="D300" s="122">
        <f>VLOOKUP(A300,'TB for financial'!A:F,6,0)</f>
        <v>6610544.7400000002</v>
      </c>
      <c r="E300" s="80"/>
      <c r="F300" s="79">
        <f>VLOOKUP(A300,'TB for financial'!A:K,11,0)</f>
        <v>6610544.7400000002</v>
      </c>
      <c r="G300" s="80"/>
      <c r="H300" s="122">
        <f>D300-I300</f>
        <v>6610544.7400000002</v>
      </c>
      <c r="I300" s="81">
        <v>0</v>
      </c>
      <c r="J300" s="81">
        <f t="shared" si="54"/>
        <v>0</v>
      </c>
      <c r="K300" s="80"/>
      <c r="L300" s="82">
        <f>F300-M300</f>
        <v>6610544.7400000002</v>
      </c>
      <c r="M300" s="82">
        <v>0</v>
      </c>
      <c r="N300" s="82">
        <f>+F300-L300-M300</f>
        <v>0</v>
      </c>
      <c r="O300" s="83"/>
      <c r="P300"/>
      <c r="Q300"/>
      <c r="R300"/>
      <c r="S300"/>
      <c r="U300" s="84" t="s">
        <v>530</v>
      </c>
      <c r="V300" s="80"/>
      <c r="W300" s="82" t="s">
        <v>562</v>
      </c>
      <c r="X300" s="82" t="s">
        <v>563</v>
      </c>
      <c r="Y300" s="85" t="s">
        <v>531</v>
      </c>
      <c r="Z300" s="86" t="s">
        <v>532</v>
      </c>
      <c r="AA300" s="86" t="s">
        <v>19</v>
      </c>
      <c r="AB300" s="86" t="s">
        <v>19</v>
      </c>
      <c r="AC300" s="87">
        <v>5071033.74</v>
      </c>
      <c r="AD300" s="88">
        <f>+D300-AC300</f>
        <v>1539511</v>
      </c>
      <c r="AF300" s="54" t="s">
        <v>2536</v>
      </c>
      <c r="AQ300" s="80">
        <f>D300</f>
        <v>6610544.7400000002</v>
      </c>
      <c r="AR300" s="80"/>
    </row>
    <row r="301" spans="1:44" ht="5.0999999999999996" customHeight="1">
      <c r="A301" s="70"/>
      <c r="B301" s="78"/>
      <c r="D301" s="79"/>
      <c r="E301" s="80"/>
      <c r="F301" s="79"/>
      <c r="G301" s="80"/>
      <c r="H301" s="81"/>
      <c r="I301" s="81"/>
      <c r="J301" s="81"/>
      <c r="K301" s="80"/>
      <c r="L301" s="82"/>
      <c r="M301" s="82">
        <v>0</v>
      </c>
      <c r="N301" s="82">
        <f t="shared" si="56"/>
        <v>0</v>
      </c>
      <c r="O301" s="83"/>
      <c r="P301"/>
      <c r="Q301"/>
      <c r="R301"/>
      <c r="S301"/>
      <c r="U301" s="84"/>
      <c r="V301" s="80"/>
      <c r="W301" s="82"/>
      <c r="X301" s="82"/>
      <c r="Y301" s="94"/>
      <c r="Z301" s="86"/>
      <c r="AA301" s="86"/>
      <c r="AB301" s="86"/>
      <c r="AQ301" s="80"/>
      <c r="AR301" s="80"/>
    </row>
    <row r="302" spans="1:44" ht="14.4">
      <c r="A302" s="70"/>
      <c r="B302" s="71" t="s">
        <v>230</v>
      </c>
      <c r="D302" s="1648">
        <f>SUM(D283:D301)</f>
        <v>6425765.1400000006</v>
      </c>
      <c r="E302" s="96"/>
      <c r="F302" s="139">
        <f>SUM(F283:F301)</f>
        <v>6610544.1400000006</v>
      </c>
      <c r="G302" s="80"/>
      <c r="H302" s="1648">
        <f>SUM(H283:H301)</f>
        <v>6425765.1400000006</v>
      </c>
      <c r="I302" s="140">
        <f>SUM(I283:I301)</f>
        <v>0</v>
      </c>
      <c r="J302" s="141">
        <f>SUM(J283:J301)</f>
        <v>0</v>
      </c>
      <c r="K302" s="80"/>
      <c r="L302" s="141">
        <f>SUM(L283:L301)</f>
        <v>6610544.1400000006</v>
      </c>
      <c r="M302" s="141">
        <f>SUM(M283:M301)</f>
        <v>0</v>
      </c>
      <c r="N302" s="141">
        <f>SUM(N283:N301)</f>
        <v>0</v>
      </c>
      <c r="O302" s="100"/>
      <c r="P302"/>
      <c r="Q302"/>
      <c r="R302"/>
      <c r="S302"/>
      <c r="U302" s="142"/>
      <c r="V302" s="80"/>
      <c r="W302" s="143"/>
      <c r="X302" s="143"/>
      <c r="Y302" s="94"/>
      <c r="Z302" s="86"/>
      <c r="AA302" s="86"/>
      <c r="AB302" s="86"/>
      <c r="AQ302" s="80"/>
      <c r="AR302" s="80"/>
    </row>
    <row r="303" spans="1:44" ht="5.0999999999999996" customHeight="1">
      <c r="A303" s="103"/>
      <c r="B303" s="104"/>
      <c r="D303" s="79"/>
      <c r="E303" s="80"/>
      <c r="F303" s="79"/>
      <c r="G303" s="80"/>
      <c r="H303" s="81"/>
      <c r="I303" s="81"/>
      <c r="J303" s="81"/>
      <c r="K303" s="80"/>
      <c r="L303" s="82"/>
      <c r="M303" s="82"/>
      <c r="N303" s="82"/>
      <c r="O303" s="83"/>
      <c r="P303"/>
      <c r="Q303"/>
      <c r="R303"/>
      <c r="S303"/>
      <c r="U303" s="84"/>
      <c r="V303" s="80"/>
      <c r="W303" s="82"/>
      <c r="X303" s="82"/>
      <c r="Y303" s="94"/>
      <c r="Z303" s="86"/>
      <c r="AA303" s="86"/>
      <c r="AB303" s="86"/>
      <c r="AQ303" s="80"/>
      <c r="AR303" s="80"/>
    </row>
    <row r="304" spans="1:44" ht="14.4">
      <c r="A304" s="70">
        <v>101399</v>
      </c>
      <c r="B304" s="78" t="str">
        <f>VLOOKUP(A304,'TB for financial'!A:B,2,0)</f>
        <v>Provisions - Doubtful Advances</v>
      </c>
      <c r="D304" s="79">
        <f>VLOOKUP(A304,'TB for financial'!A:F,6,0)</f>
        <v>0</v>
      </c>
      <c r="E304" s="80"/>
      <c r="F304" s="79">
        <f>VLOOKUP(A304,'TB for financial'!A:K,11,0)</f>
        <v>0</v>
      </c>
      <c r="G304" s="80"/>
      <c r="H304" s="81">
        <f>D304-I304</f>
        <v>0</v>
      </c>
      <c r="I304" s="81">
        <v>0</v>
      </c>
      <c r="J304" s="81">
        <f>+D304-H304-I304</f>
        <v>0</v>
      </c>
      <c r="K304" s="80"/>
      <c r="L304" s="82">
        <f>F304-M304</f>
        <v>0</v>
      </c>
      <c r="M304" s="82">
        <v>0</v>
      </c>
      <c r="N304" s="82">
        <f>+F304-L304-M304</f>
        <v>0</v>
      </c>
      <c r="O304" s="83"/>
      <c r="P304"/>
      <c r="Q304"/>
      <c r="R304"/>
      <c r="S304"/>
      <c r="U304" s="84" t="s">
        <v>530</v>
      </c>
      <c r="V304" s="80"/>
      <c r="W304" s="82" t="s">
        <v>562</v>
      </c>
      <c r="X304" s="82" t="s">
        <v>563</v>
      </c>
      <c r="Y304" s="85" t="s">
        <v>537</v>
      </c>
      <c r="Z304" s="86" t="s">
        <v>565</v>
      </c>
      <c r="AA304" s="86" t="s">
        <v>28</v>
      </c>
      <c r="AB304" s="86"/>
      <c r="AC304" s="87">
        <v>0</v>
      </c>
      <c r="AD304" s="88">
        <f>+D304-AC304</f>
        <v>0</v>
      </c>
      <c r="AF304" s="54">
        <v>101399</v>
      </c>
      <c r="AQ304" s="80"/>
      <c r="AR304" s="80"/>
    </row>
    <row r="305" spans="1:44" ht="14.4">
      <c r="A305" s="1373">
        <v>496700</v>
      </c>
      <c r="B305" s="78" t="str">
        <f>VLOOKUP(A305,'TB for financial'!A:B,2,0)</f>
        <v>PROVISION - SUNDRY DEBTORS</v>
      </c>
      <c r="D305" s="79">
        <f>VLOOKUP(A305,'TB for financial'!A:F,6,0)</f>
        <v>-1539511</v>
      </c>
      <c r="E305" s="80"/>
      <c r="F305" s="79">
        <f>VLOOKUP(A305,'TB for financial'!A:K,11,0)</f>
        <v>-1539511</v>
      </c>
      <c r="G305" s="80"/>
      <c r="H305" s="122">
        <f>D305-I305</f>
        <v>-1539511</v>
      </c>
      <c r="I305" s="81">
        <v>0</v>
      </c>
      <c r="J305" s="81">
        <f>+D305-H305-I305</f>
        <v>0</v>
      </c>
      <c r="K305" s="80"/>
      <c r="L305" s="82">
        <f>F305-M305</f>
        <v>-1539511</v>
      </c>
      <c r="M305" s="82">
        <v>0</v>
      </c>
      <c r="N305" s="82">
        <f>+F305-L305-M305</f>
        <v>0</v>
      </c>
      <c r="O305" s="83"/>
      <c r="P305"/>
      <c r="Q305"/>
      <c r="R305"/>
      <c r="S305"/>
      <c r="U305" s="84"/>
      <c r="V305" s="80"/>
      <c r="W305" s="82"/>
      <c r="X305" s="82"/>
      <c r="Y305" s="85" t="s">
        <v>537</v>
      </c>
      <c r="Z305" s="86" t="s">
        <v>565</v>
      </c>
      <c r="AA305" s="86" t="s">
        <v>28</v>
      </c>
      <c r="AB305" s="86"/>
      <c r="AC305" s="87">
        <v>0</v>
      </c>
      <c r="AD305" s="88">
        <f>+D305-AC305</f>
        <v>-1539511</v>
      </c>
      <c r="AF305" s="54" t="s">
        <v>2536</v>
      </c>
      <c r="AQ305" s="80">
        <f>D305</f>
        <v>-1539511</v>
      </c>
      <c r="AR305" s="80"/>
    </row>
    <row r="306" spans="1:44" ht="4.5" customHeight="1">
      <c r="A306" s="70"/>
      <c r="B306" s="78"/>
      <c r="D306" s="79"/>
      <c r="E306" s="80"/>
      <c r="F306" s="79"/>
      <c r="G306" s="80"/>
      <c r="H306" s="81"/>
      <c r="I306" s="81"/>
      <c r="J306" s="81"/>
      <c r="K306" s="80"/>
      <c r="L306" s="82"/>
      <c r="M306" s="82"/>
      <c r="N306" s="82"/>
      <c r="O306" s="83"/>
      <c r="P306"/>
      <c r="Q306"/>
      <c r="R306"/>
      <c r="S306"/>
      <c r="U306" s="84"/>
      <c r="V306" s="80"/>
      <c r="W306" s="82"/>
      <c r="X306" s="82"/>
      <c r="Y306" s="94"/>
      <c r="Z306" s="86"/>
      <c r="AA306" s="86"/>
      <c r="AB306" s="86"/>
      <c r="AQ306" s="80"/>
      <c r="AR306" s="80"/>
    </row>
    <row r="307" spans="1:44" ht="14.4">
      <c r="A307" s="70"/>
      <c r="B307" s="71" t="s">
        <v>567</v>
      </c>
      <c r="D307" s="138">
        <f>SUM(D304:D306)</f>
        <v>-1539511</v>
      </c>
      <c r="E307" s="96"/>
      <c r="F307" s="139">
        <f>SUM(F304:F306)</f>
        <v>-1539511</v>
      </c>
      <c r="G307" s="80"/>
      <c r="H307" s="141">
        <f>SUM(H304:H306)</f>
        <v>-1539511</v>
      </c>
      <c r="I307" s="141">
        <f>SUM(I304:I306)</f>
        <v>0</v>
      </c>
      <c r="J307" s="141">
        <f>SUM(J304:J306)</f>
        <v>0</v>
      </c>
      <c r="K307" s="80"/>
      <c r="L307" s="141">
        <f>SUM(L304:L306)</f>
        <v>-1539511</v>
      </c>
      <c r="M307" s="141">
        <f>SUM(M304:M306)</f>
        <v>0</v>
      </c>
      <c r="N307" s="141">
        <f>SUM(N304:N306)</f>
        <v>0</v>
      </c>
      <c r="O307" s="100"/>
      <c r="P307"/>
      <c r="Q307"/>
      <c r="R307"/>
      <c r="S307"/>
      <c r="U307" s="142"/>
      <c r="V307" s="80"/>
      <c r="W307" s="143"/>
      <c r="X307" s="143"/>
      <c r="Y307" s="94"/>
      <c r="Z307" s="86"/>
      <c r="AA307" s="86"/>
      <c r="AB307" s="86"/>
      <c r="AQ307" s="80"/>
      <c r="AR307" s="80"/>
    </row>
    <row r="308" spans="1:44" ht="14.4">
      <c r="A308" s="70"/>
      <c r="B308" s="78"/>
      <c r="D308" s="79"/>
      <c r="E308" s="80"/>
      <c r="F308" s="79"/>
      <c r="G308" s="80"/>
      <c r="H308" s="81"/>
      <c r="I308" s="81"/>
      <c r="J308" s="81"/>
      <c r="K308" s="80"/>
      <c r="L308" s="82"/>
      <c r="M308" s="82"/>
      <c r="N308" s="82"/>
      <c r="O308" s="83"/>
      <c r="P308"/>
      <c r="Q308"/>
      <c r="R308"/>
      <c r="S308"/>
      <c r="U308" s="84"/>
      <c r="V308" s="80"/>
      <c r="W308" s="82"/>
      <c r="X308" s="82"/>
      <c r="Y308" s="94"/>
      <c r="Z308" s="86"/>
      <c r="AA308" s="86"/>
      <c r="AB308" s="86"/>
      <c r="AQ308" s="80"/>
      <c r="AR308" s="80"/>
    </row>
    <row r="309" spans="1:44" ht="14.4">
      <c r="A309" s="103"/>
      <c r="B309" s="78"/>
      <c r="D309" s="79"/>
      <c r="E309" s="80"/>
      <c r="F309" s="79"/>
      <c r="G309" s="80"/>
      <c r="H309" s="81"/>
      <c r="I309" s="81"/>
      <c r="J309" s="81">
        <f t="shared" ref="J309:J326" si="58">+D309-H309-I309</f>
        <v>0</v>
      </c>
      <c r="K309" s="80"/>
      <c r="L309" s="82"/>
      <c r="M309" s="82"/>
      <c r="N309" s="82"/>
      <c r="O309" s="83"/>
      <c r="P309"/>
      <c r="Q309"/>
      <c r="R309"/>
      <c r="S309"/>
      <c r="U309" s="84"/>
      <c r="V309" s="80"/>
      <c r="W309" s="82"/>
      <c r="X309" s="82"/>
      <c r="Y309" s="94"/>
      <c r="Z309" s="86"/>
      <c r="AA309" s="86"/>
      <c r="AB309" s="86"/>
      <c r="AQ309" s="80"/>
      <c r="AR309" s="80"/>
    </row>
    <row r="310" spans="1:44" ht="14.4">
      <c r="A310" s="144" t="s">
        <v>2535</v>
      </c>
      <c r="B310" s="78" t="str">
        <f>VLOOKUP(A310,'TB for financial'!A:B,2,0)</f>
        <v>Advance Inter Company</v>
      </c>
      <c r="D310" s="79">
        <f>VLOOKUP(A310,'TB for financial'!A:F,6,0)</f>
        <v>1.0000000242143869E-2</v>
      </c>
      <c r="E310" s="80"/>
      <c r="F310" s="79">
        <f>VLOOKUP(A310,'TB for financial'!A:K,11,0)</f>
        <v>1.0000000242143869E-2</v>
      </c>
      <c r="G310" s="80"/>
      <c r="H310" s="81">
        <f t="shared" ref="H310:H325" si="59">D310-I310</f>
        <v>1.0000000242143869E-2</v>
      </c>
      <c r="I310" s="81">
        <v>0</v>
      </c>
      <c r="J310" s="81">
        <f t="shared" si="58"/>
        <v>0</v>
      </c>
      <c r="K310" s="80"/>
      <c r="L310" s="82">
        <f t="shared" ref="L310:L325" si="60">F310-M310</f>
        <v>1.0000000242143869E-2</v>
      </c>
      <c r="M310" s="82">
        <v>0</v>
      </c>
      <c r="N310" s="82">
        <f>+F310-L310-M310</f>
        <v>0</v>
      </c>
      <c r="O310" s="83"/>
      <c r="P310"/>
      <c r="Q310"/>
      <c r="R310"/>
      <c r="S310"/>
      <c r="U310" s="84" t="s">
        <v>530</v>
      </c>
      <c r="V310" s="80"/>
      <c r="W310" s="82" t="s">
        <v>562</v>
      </c>
      <c r="X310" s="82" t="s">
        <v>563</v>
      </c>
      <c r="Y310" s="85" t="s">
        <v>537</v>
      </c>
      <c r="Z310" s="86" t="s">
        <v>532</v>
      </c>
      <c r="AA310" s="86" t="s">
        <v>19</v>
      </c>
      <c r="AB310" s="86" t="s">
        <v>19</v>
      </c>
      <c r="AC310" s="87">
        <v>0</v>
      </c>
      <c r="AD310" s="88">
        <f t="shared" ref="AD310:AD325" si="61">+D310-AC310</f>
        <v>1.0000000242143869E-2</v>
      </c>
      <c r="AF310" s="54">
        <v>101300</v>
      </c>
      <c r="AQ310" s="80"/>
      <c r="AR310" s="80"/>
    </row>
    <row r="311" spans="1:44" ht="14.4">
      <c r="A311" s="89">
        <v>101367</v>
      </c>
      <c r="B311" s="78" t="str">
        <f>VLOOKUP(A311,'TB for financial'!A:B,2,0)</f>
        <v>Advance - TSSPL</v>
      </c>
      <c r="D311" s="79">
        <f>VLOOKUP(A311,'TB for financial'!A:F,6,0)</f>
        <v>0</v>
      </c>
      <c r="E311" s="80"/>
      <c r="F311" s="79">
        <f>VLOOKUP(A311,'TB for financial'!A:K,11,0)</f>
        <v>0</v>
      </c>
      <c r="G311" s="80"/>
      <c r="H311" s="81">
        <f t="shared" si="59"/>
        <v>0</v>
      </c>
      <c r="I311" s="81">
        <v>0</v>
      </c>
      <c r="J311" s="81">
        <f t="shared" si="58"/>
        <v>0</v>
      </c>
      <c r="K311" s="80"/>
      <c r="L311" s="82">
        <f t="shared" si="60"/>
        <v>0</v>
      </c>
      <c r="M311" s="82">
        <v>0</v>
      </c>
      <c r="N311" s="82">
        <f t="shared" ref="N311:N325" si="62">+F311-L311-M311</f>
        <v>0</v>
      </c>
      <c r="O311" s="83"/>
      <c r="P311"/>
      <c r="Q311"/>
      <c r="R311"/>
      <c r="S311"/>
      <c r="U311" s="84" t="s">
        <v>530</v>
      </c>
      <c r="V311" s="80"/>
      <c r="W311" s="82" t="s">
        <v>562</v>
      </c>
      <c r="X311" s="82" t="s">
        <v>563</v>
      </c>
      <c r="Y311" s="85" t="s">
        <v>537</v>
      </c>
      <c r="Z311" s="86" t="s">
        <v>532</v>
      </c>
      <c r="AA311" s="86" t="s">
        <v>19</v>
      </c>
      <c r="AB311" s="86" t="s">
        <v>19</v>
      </c>
      <c r="AC311" s="87">
        <v>0</v>
      </c>
      <c r="AD311" s="88">
        <f t="shared" si="61"/>
        <v>0</v>
      </c>
      <c r="AF311" s="54">
        <v>101367</v>
      </c>
      <c r="AQ311" s="80"/>
      <c r="AR311" s="80"/>
    </row>
    <row r="312" spans="1:44" ht="14.4">
      <c r="A312" s="89">
        <v>101342</v>
      </c>
      <c r="B312" s="78" t="str">
        <f>VLOOKUP(A312,'TB for financial'!A:B,2,0)</f>
        <v>Advance Syntel Philippines</v>
      </c>
      <c r="D312" s="79">
        <f>VLOOKUP(A312,'TB for financial'!A:F,6,0)</f>
        <v>0</v>
      </c>
      <c r="E312" s="80"/>
      <c r="F312" s="79">
        <f>VLOOKUP(A312,'TB for financial'!A:K,11,0)</f>
        <v>0</v>
      </c>
      <c r="G312" s="80"/>
      <c r="H312" s="81">
        <f t="shared" si="59"/>
        <v>0</v>
      </c>
      <c r="I312" s="81">
        <v>0</v>
      </c>
      <c r="J312" s="81">
        <f t="shared" si="58"/>
        <v>0</v>
      </c>
      <c r="K312" s="80"/>
      <c r="L312" s="82">
        <f t="shared" si="60"/>
        <v>0</v>
      </c>
      <c r="M312" s="82">
        <v>0</v>
      </c>
      <c r="N312" s="82">
        <f>+F312-L312-M312</f>
        <v>0</v>
      </c>
      <c r="O312" s="83"/>
      <c r="P312"/>
      <c r="Q312"/>
      <c r="R312"/>
      <c r="S312"/>
      <c r="U312" s="84" t="s">
        <v>530</v>
      </c>
      <c r="V312" s="80"/>
      <c r="W312" s="82" t="s">
        <v>562</v>
      </c>
      <c r="X312" s="82" t="s">
        <v>563</v>
      </c>
      <c r="Y312" s="85" t="s">
        <v>537</v>
      </c>
      <c r="Z312" s="86" t="s">
        <v>532</v>
      </c>
      <c r="AA312" s="86" t="s">
        <v>19</v>
      </c>
      <c r="AB312" s="86" t="s">
        <v>19</v>
      </c>
      <c r="AC312" s="87">
        <v>0</v>
      </c>
      <c r="AD312" s="88">
        <f t="shared" si="61"/>
        <v>0</v>
      </c>
      <c r="AF312" s="54">
        <v>101342</v>
      </c>
      <c r="AQ312" s="80"/>
      <c r="AR312" s="80"/>
    </row>
    <row r="313" spans="1:44" ht="14.4">
      <c r="A313" s="89">
        <v>101368</v>
      </c>
      <c r="B313" s="78" t="str">
        <f>VLOOKUP(A313,'TB for financial'!A:B,2,0)</f>
        <v>Advance - Syntel Canada</v>
      </c>
      <c r="D313" s="79">
        <f>VLOOKUP(A313,'TB for financial'!A:F,6,0)</f>
        <v>0</v>
      </c>
      <c r="E313" s="80"/>
      <c r="F313" s="79">
        <f>VLOOKUP(A313,'TB for financial'!A:K,11,0)</f>
        <v>0</v>
      </c>
      <c r="G313" s="80"/>
      <c r="H313" s="81">
        <f t="shared" si="59"/>
        <v>0</v>
      </c>
      <c r="I313" s="81">
        <v>0</v>
      </c>
      <c r="J313" s="81">
        <f t="shared" si="58"/>
        <v>0</v>
      </c>
      <c r="K313" s="80"/>
      <c r="L313" s="82">
        <f t="shared" si="60"/>
        <v>0</v>
      </c>
      <c r="M313" s="82">
        <v>0</v>
      </c>
      <c r="N313" s="82">
        <f t="shared" si="62"/>
        <v>0</v>
      </c>
      <c r="O313" s="83"/>
      <c r="P313"/>
      <c r="Q313"/>
      <c r="R313"/>
      <c r="S313"/>
      <c r="U313" s="84" t="s">
        <v>530</v>
      </c>
      <c r="V313" s="80"/>
      <c r="W313" s="82" t="s">
        <v>562</v>
      </c>
      <c r="X313" s="82" t="s">
        <v>563</v>
      </c>
      <c r="Y313" s="85" t="s">
        <v>537</v>
      </c>
      <c r="Z313" s="86" t="s">
        <v>532</v>
      </c>
      <c r="AA313" s="86" t="s">
        <v>19</v>
      </c>
      <c r="AB313" s="86" t="s">
        <v>19</v>
      </c>
      <c r="AC313" s="87">
        <v>0</v>
      </c>
      <c r="AD313" s="88">
        <f t="shared" si="61"/>
        <v>0</v>
      </c>
      <c r="AF313" s="54">
        <v>101368</v>
      </c>
      <c r="AQ313" s="80"/>
      <c r="AR313" s="80"/>
    </row>
    <row r="314" spans="1:44" ht="14.4">
      <c r="A314" s="92">
        <v>101385</v>
      </c>
      <c r="B314" s="78" t="str">
        <f>VLOOKUP(A314,'TB for financial'!A:B,2,0)</f>
        <v>Advance - Syntel Australia</v>
      </c>
      <c r="D314" s="79">
        <f>VLOOKUP(A314,'TB for financial'!A:F,6,0)</f>
        <v>0</v>
      </c>
      <c r="E314" s="80"/>
      <c r="F314" s="79">
        <f>VLOOKUP(A314,'TB for financial'!A:K,11,0)</f>
        <v>0</v>
      </c>
      <c r="G314" s="80"/>
      <c r="H314" s="81">
        <f t="shared" si="59"/>
        <v>0</v>
      </c>
      <c r="I314" s="81">
        <v>0</v>
      </c>
      <c r="J314" s="81">
        <f t="shared" si="58"/>
        <v>0</v>
      </c>
      <c r="K314" s="80"/>
      <c r="L314" s="82">
        <f t="shared" si="60"/>
        <v>0</v>
      </c>
      <c r="M314" s="82">
        <v>0</v>
      </c>
      <c r="N314" s="82">
        <f t="shared" si="62"/>
        <v>0</v>
      </c>
      <c r="O314" s="83"/>
      <c r="P314"/>
      <c r="Q314"/>
      <c r="R314"/>
      <c r="S314"/>
      <c r="U314" s="84" t="s">
        <v>530</v>
      </c>
      <c r="V314" s="80"/>
      <c r="W314" s="82" t="s">
        <v>562</v>
      </c>
      <c r="X314" s="82" t="s">
        <v>563</v>
      </c>
      <c r="Y314" s="85" t="s">
        <v>537</v>
      </c>
      <c r="Z314" s="86" t="s">
        <v>532</v>
      </c>
      <c r="AA314" s="86" t="s">
        <v>19</v>
      </c>
      <c r="AB314" s="86" t="s">
        <v>19</v>
      </c>
      <c r="AC314" s="87">
        <v>0</v>
      </c>
      <c r="AD314" s="88">
        <f t="shared" si="61"/>
        <v>0</v>
      </c>
      <c r="AF314" s="54">
        <v>101385</v>
      </c>
      <c r="AQ314" s="80"/>
      <c r="AR314" s="80"/>
    </row>
    <row r="315" spans="1:44" ht="14.4">
      <c r="A315" s="70">
        <v>101388</v>
      </c>
      <c r="B315" s="78" t="str">
        <f>VLOOKUP(A315,'TB for financial'!A:B,2,0)</f>
        <v>Advance from Synt Bestshores</v>
      </c>
      <c r="D315" s="79">
        <f>VLOOKUP(A315,'TB for financial'!A:F,6,0)</f>
        <v>0</v>
      </c>
      <c r="E315" s="80"/>
      <c r="F315" s="79">
        <f>VLOOKUP(A315,'TB for financial'!A:K,11,0)</f>
        <v>0</v>
      </c>
      <c r="G315" s="80"/>
      <c r="H315" s="81">
        <f t="shared" si="59"/>
        <v>0</v>
      </c>
      <c r="I315" s="81">
        <v>0</v>
      </c>
      <c r="J315" s="81">
        <f t="shared" si="58"/>
        <v>0</v>
      </c>
      <c r="K315" s="80"/>
      <c r="L315" s="82">
        <f t="shared" si="60"/>
        <v>0</v>
      </c>
      <c r="M315" s="82">
        <v>0</v>
      </c>
      <c r="N315" s="82">
        <f t="shared" si="62"/>
        <v>0</v>
      </c>
      <c r="O315" s="83"/>
      <c r="P315"/>
      <c r="Q315"/>
      <c r="R315"/>
      <c r="S315"/>
      <c r="U315" s="84" t="s">
        <v>530</v>
      </c>
      <c r="V315" s="80"/>
      <c r="W315" s="82" t="s">
        <v>562</v>
      </c>
      <c r="X315" s="82" t="s">
        <v>563</v>
      </c>
      <c r="Y315" s="85" t="s">
        <v>537</v>
      </c>
      <c r="Z315" s="86" t="s">
        <v>532</v>
      </c>
      <c r="AA315" s="86" t="s">
        <v>19</v>
      </c>
      <c r="AB315" s="86" t="s">
        <v>19</v>
      </c>
      <c r="AC315" s="87">
        <v>0</v>
      </c>
      <c r="AD315" s="88">
        <f t="shared" si="61"/>
        <v>0</v>
      </c>
      <c r="AF315" s="54">
        <v>101388</v>
      </c>
      <c r="AQ315" s="80"/>
      <c r="AR315" s="80"/>
    </row>
    <row r="316" spans="1:44" ht="14.4">
      <c r="A316" s="70">
        <v>101389</v>
      </c>
      <c r="B316" s="78" t="str">
        <f>VLOOKUP(A316,'TB for financial'!A:B,2,0)</f>
        <v>Advnace Syntel Consulting</v>
      </c>
      <c r="D316" s="79">
        <f>VLOOKUP(A316,'TB for financial'!A:F,6,0)</f>
        <v>0</v>
      </c>
      <c r="E316" s="80"/>
      <c r="F316" s="79">
        <f>VLOOKUP(A316,'TB for financial'!A:K,11,0)</f>
        <v>0</v>
      </c>
      <c r="G316" s="80"/>
      <c r="H316" s="81">
        <f t="shared" si="59"/>
        <v>0</v>
      </c>
      <c r="I316" s="81">
        <v>0</v>
      </c>
      <c r="J316" s="81">
        <f t="shared" si="58"/>
        <v>0</v>
      </c>
      <c r="K316" s="80"/>
      <c r="L316" s="82">
        <f t="shared" si="60"/>
        <v>0</v>
      </c>
      <c r="M316" s="82">
        <v>0</v>
      </c>
      <c r="N316" s="82">
        <f t="shared" si="62"/>
        <v>0</v>
      </c>
      <c r="O316" s="83"/>
      <c r="P316"/>
      <c r="Q316"/>
      <c r="R316"/>
      <c r="S316"/>
      <c r="U316" s="84" t="s">
        <v>530</v>
      </c>
      <c r="V316" s="80"/>
      <c r="W316" s="82" t="s">
        <v>562</v>
      </c>
      <c r="X316" s="82" t="s">
        <v>563</v>
      </c>
      <c r="Y316" s="85" t="s">
        <v>537</v>
      </c>
      <c r="Z316" s="86" t="s">
        <v>532</v>
      </c>
      <c r="AA316" s="86" t="s">
        <v>19</v>
      </c>
      <c r="AB316" s="86" t="s">
        <v>19</v>
      </c>
      <c r="AC316" s="87">
        <v>0</v>
      </c>
      <c r="AD316" s="88">
        <f t="shared" si="61"/>
        <v>0</v>
      </c>
      <c r="AF316" s="54">
        <v>101389</v>
      </c>
      <c r="AQ316" s="80"/>
      <c r="AR316" s="80"/>
    </row>
    <row r="317" spans="1:44" ht="14.4">
      <c r="A317" s="70">
        <v>101391</v>
      </c>
      <c r="B317" s="78" t="str">
        <f>VLOOKUP(A317,'TB for financial'!A:B,2,0)</f>
        <v>Advance - Syntel Internat. P L</v>
      </c>
      <c r="D317" s="79">
        <f>VLOOKUP(A317,'TB for financial'!A:F,6,0)</f>
        <v>0</v>
      </c>
      <c r="E317" s="80"/>
      <c r="F317" s="79">
        <f>VLOOKUP(A317,'TB for financial'!A:K,11,0)</f>
        <v>0</v>
      </c>
      <c r="G317" s="80"/>
      <c r="H317" s="81">
        <f t="shared" si="59"/>
        <v>0</v>
      </c>
      <c r="I317" s="81">
        <v>0</v>
      </c>
      <c r="J317" s="81">
        <f t="shared" si="58"/>
        <v>0</v>
      </c>
      <c r="K317" s="80"/>
      <c r="L317" s="82">
        <f t="shared" si="60"/>
        <v>0</v>
      </c>
      <c r="M317" s="82">
        <v>0</v>
      </c>
      <c r="N317" s="82">
        <f t="shared" si="62"/>
        <v>0</v>
      </c>
      <c r="O317" s="83"/>
      <c r="P317"/>
      <c r="Q317"/>
      <c r="R317"/>
      <c r="S317"/>
      <c r="U317" s="84" t="s">
        <v>530</v>
      </c>
      <c r="V317" s="80"/>
      <c r="W317" s="82" t="s">
        <v>562</v>
      </c>
      <c r="X317" s="82" t="s">
        <v>563</v>
      </c>
      <c r="Y317" s="85" t="s">
        <v>537</v>
      </c>
      <c r="Z317" s="86" t="s">
        <v>532</v>
      </c>
      <c r="AA317" s="86" t="s">
        <v>19</v>
      </c>
      <c r="AB317" s="86" t="s">
        <v>19</v>
      </c>
      <c r="AC317" s="87">
        <v>0</v>
      </c>
      <c r="AD317" s="88">
        <f t="shared" si="61"/>
        <v>0</v>
      </c>
      <c r="AF317" s="54">
        <v>101391</v>
      </c>
      <c r="AQ317" s="80"/>
      <c r="AR317" s="80"/>
    </row>
    <row r="318" spans="1:44" ht="14.4">
      <c r="A318" s="70">
        <v>101392</v>
      </c>
      <c r="B318" s="78" t="str">
        <f>VLOOKUP(A318,'TB for financial'!A:B,2,0)</f>
        <v>Advance - Syntel Sourcing P L</v>
      </c>
      <c r="D318" s="79">
        <f>VLOOKUP(A318,'TB for financial'!A:F,6,0)</f>
        <v>0</v>
      </c>
      <c r="E318" s="80"/>
      <c r="F318" s="79">
        <f>VLOOKUP(A318,'TB for financial'!A:K,11,0)</f>
        <v>0</v>
      </c>
      <c r="G318" s="80"/>
      <c r="H318" s="81">
        <f t="shared" si="59"/>
        <v>0</v>
      </c>
      <c r="I318" s="81">
        <v>0</v>
      </c>
      <c r="J318" s="81">
        <f t="shared" si="58"/>
        <v>0</v>
      </c>
      <c r="K318" s="80"/>
      <c r="L318" s="82">
        <f t="shared" si="60"/>
        <v>0</v>
      </c>
      <c r="M318" s="82">
        <v>0</v>
      </c>
      <c r="N318" s="82">
        <f t="shared" si="62"/>
        <v>0</v>
      </c>
      <c r="O318" s="83"/>
      <c r="P318"/>
      <c r="Q318"/>
      <c r="R318"/>
      <c r="S318"/>
      <c r="U318" s="84" t="s">
        <v>530</v>
      </c>
      <c r="V318" s="80"/>
      <c r="W318" s="82" t="s">
        <v>562</v>
      </c>
      <c r="X318" s="82" t="s">
        <v>563</v>
      </c>
      <c r="Y318" s="85" t="s">
        <v>537</v>
      </c>
      <c r="Z318" s="86" t="s">
        <v>532</v>
      </c>
      <c r="AA318" s="86" t="s">
        <v>19</v>
      </c>
      <c r="AB318" s="86" t="s">
        <v>19</v>
      </c>
      <c r="AC318" s="87">
        <v>0</v>
      </c>
      <c r="AD318" s="88">
        <f t="shared" si="61"/>
        <v>0</v>
      </c>
      <c r="AF318" s="54">
        <v>101392</v>
      </c>
      <c r="AQ318" s="80"/>
      <c r="AR318" s="80"/>
    </row>
    <row r="319" spans="1:44" ht="14.4">
      <c r="A319" s="70">
        <v>101393</v>
      </c>
      <c r="B319" s="78" t="str">
        <f>VLOOKUP(A319,'TB for financial'!A:B,2,0)</f>
        <v>Advance - Syntel Inc.</v>
      </c>
      <c r="D319" s="79">
        <f>VLOOKUP(A319,'TB for financial'!A:F,6,0)</f>
        <v>0.24729999946430326</v>
      </c>
      <c r="E319" s="80"/>
      <c r="F319" s="79">
        <f>VLOOKUP(A319,'TB for financial'!A:K,11,0)</f>
        <v>0.24729999946430326</v>
      </c>
      <c r="G319" s="80"/>
      <c r="H319" s="81">
        <f t="shared" si="59"/>
        <v>0.24729999946430326</v>
      </c>
      <c r="I319" s="81">
        <v>0</v>
      </c>
      <c r="J319" s="81">
        <f t="shared" si="58"/>
        <v>0</v>
      </c>
      <c r="K319" s="80"/>
      <c r="L319" s="82">
        <f t="shared" si="60"/>
        <v>0.24729999946430326</v>
      </c>
      <c r="M319" s="82">
        <v>0</v>
      </c>
      <c r="N319" s="82">
        <f t="shared" si="62"/>
        <v>0</v>
      </c>
      <c r="O319" s="83"/>
      <c r="P319"/>
      <c r="Q319"/>
      <c r="R319"/>
      <c r="S319"/>
      <c r="U319" s="84" t="s">
        <v>530</v>
      </c>
      <c r="V319" s="80"/>
      <c r="W319" s="82" t="s">
        <v>562</v>
      </c>
      <c r="X319" s="82" t="s">
        <v>563</v>
      </c>
      <c r="Y319" s="85" t="s">
        <v>537</v>
      </c>
      <c r="Z319" s="86" t="s">
        <v>532</v>
      </c>
      <c r="AA319" s="86" t="s">
        <v>19</v>
      </c>
      <c r="AB319" s="86" t="s">
        <v>19</v>
      </c>
      <c r="AC319" s="87">
        <v>0</v>
      </c>
      <c r="AD319" s="88">
        <f t="shared" si="61"/>
        <v>0.24729999946430326</v>
      </c>
      <c r="AF319" s="54">
        <v>101393</v>
      </c>
      <c r="AQ319" s="80"/>
      <c r="AR319" s="80"/>
    </row>
    <row r="320" spans="1:44" ht="14.4">
      <c r="A320" s="70">
        <v>101394</v>
      </c>
      <c r="B320" s="78" t="str">
        <f>VLOOKUP(A320,'TB for financial'!A:B,2,0)</f>
        <v>Advance - Syntel Europe</v>
      </c>
      <c r="D320" s="79">
        <f>VLOOKUP(A320,'TB for financial'!A:F,6,0)</f>
        <v>0</v>
      </c>
      <c r="E320" s="80"/>
      <c r="F320" s="79">
        <f>VLOOKUP(A320,'TB for financial'!A:K,11,0)</f>
        <v>0</v>
      </c>
      <c r="G320" s="80"/>
      <c r="H320" s="81">
        <f t="shared" si="59"/>
        <v>0</v>
      </c>
      <c r="I320" s="81">
        <v>0</v>
      </c>
      <c r="J320" s="81">
        <f t="shared" si="58"/>
        <v>0</v>
      </c>
      <c r="K320" s="80"/>
      <c r="L320" s="82">
        <f t="shared" si="60"/>
        <v>0</v>
      </c>
      <c r="M320" s="82">
        <v>0</v>
      </c>
      <c r="N320" s="82">
        <f t="shared" si="62"/>
        <v>0</v>
      </c>
      <c r="O320" s="83"/>
      <c r="P320"/>
      <c r="Q320"/>
      <c r="R320"/>
      <c r="S320"/>
      <c r="U320" s="84" t="s">
        <v>530</v>
      </c>
      <c r="V320" s="80"/>
      <c r="W320" s="82" t="s">
        <v>562</v>
      </c>
      <c r="X320" s="82" t="s">
        <v>563</v>
      </c>
      <c r="Y320" s="85" t="s">
        <v>537</v>
      </c>
      <c r="Z320" s="86" t="s">
        <v>532</v>
      </c>
      <c r="AA320" s="86" t="s">
        <v>19</v>
      </c>
      <c r="AB320" s="86" t="s">
        <v>19</v>
      </c>
      <c r="AC320" s="87">
        <v>0</v>
      </c>
      <c r="AD320" s="88">
        <f t="shared" si="61"/>
        <v>0</v>
      </c>
      <c r="AF320" s="54">
        <v>101394</v>
      </c>
      <c r="AQ320" s="80"/>
      <c r="AR320" s="80"/>
    </row>
    <row r="321" spans="1:44" ht="14.4">
      <c r="A321" s="70">
        <v>101395</v>
      </c>
      <c r="B321" s="78" t="str">
        <f>VLOOKUP(A321,'TB for financial'!A:B,2,0)</f>
        <v>Advance - Syntel Singapore</v>
      </c>
      <c r="D321" s="79">
        <f>VLOOKUP(A321,'TB for financial'!A:F,6,0)</f>
        <v>0</v>
      </c>
      <c r="E321" s="80"/>
      <c r="F321" s="79">
        <f>VLOOKUP(A321,'TB for financial'!A:K,11,0)</f>
        <v>0</v>
      </c>
      <c r="G321" s="80"/>
      <c r="H321" s="81">
        <f t="shared" si="59"/>
        <v>0</v>
      </c>
      <c r="I321" s="81">
        <v>0</v>
      </c>
      <c r="J321" s="81">
        <f t="shared" si="58"/>
        <v>0</v>
      </c>
      <c r="K321" s="80"/>
      <c r="L321" s="82">
        <f t="shared" si="60"/>
        <v>0</v>
      </c>
      <c r="M321" s="82">
        <v>0</v>
      </c>
      <c r="N321" s="82">
        <f t="shared" si="62"/>
        <v>0</v>
      </c>
      <c r="O321" s="83"/>
      <c r="P321"/>
      <c r="Q321"/>
      <c r="R321"/>
      <c r="S321"/>
      <c r="U321" s="84" t="s">
        <v>530</v>
      </c>
      <c r="V321" s="80"/>
      <c r="W321" s="82" t="s">
        <v>562</v>
      </c>
      <c r="X321" s="82" t="s">
        <v>563</v>
      </c>
      <c r="Y321" s="85" t="s">
        <v>537</v>
      </c>
      <c r="Z321" s="86" t="s">
        <v>532</v>
      </c>
      <c r="AA321" s="86" t="s">
        <v>19</v>
      </c>
      <c r="AB321" s="86" t="s">
        <v>19</v>
      </c>
      <c r="AC321" s="87">
        <v>0</v>
      </c>
      <c r="AD321" s="88">
        <f t="shared" si="61"/>
        <v>0</v>
      </c>
      <c r="AF321" s="54">
        <v>101395</v>
      </c>
      <c r="AQ321" s="80"/>
      <c r="AR321" s="80"/>
    </row>
    <row r="322" spans="1:44" ht="14.4">
      <c r="A322" s="70">
        <v>101396</v>
      </c>
      <c r="B322" s="78" t="str">
        <f>VLOOKUP(A322,'TB for financial'!A:B,2,0)</f>
        <v>Advance - Syntel Germany</v>
      </c>
      <c r="D322" s="79">
        <f>VLOOKUP(A322,'TB for financial'!A:F,6,0)</f>
        <v>0</v>
      </c>
      <c r="E322" s="80"/>
      <c r="F322" s="79">
        <f>VLOOKUP(A322,'TB for financial'!A:K,11,0)</f>
        <v>0</v>
      </c>
      <c r="G322" s="80"/>
      <c r="H322" s="81">
        <f t="shared" si="59"/>
        <v>0</v>
      </c>
      <c r="I322" s="81">
        <v>0</v>
      </c>
      <c r="J322" s="81">
        <f t="shared" si="58"/>
        <v>0</v>
      </c>
      <c r="K322" s="80"/>
      <c r="L322" s="82">
        <f t="shared" si="60"/>
        <v>0</v>
      </c>
      <c r="M322" s="82">
        <v>0</v>
      </c>
      <c r="N322" s="82">
        <f t="shared" si="62"/>
        <v>0</v>
      </c>
      <c r="O322" s="83"/>
      <c r="P322"/>
      <c r="Q322"/>
      <c r="R322"/>
      <c r="S322"/>
      <c r="U322" s="84" t="s">
        <v>530</v>
      </c>
      <c r="V322" s="80"/>
      <c r="W322" s="82" t="s">
        <v>562</v>
      </c>
      <c r="X322" s="82" t="s">
        <v>563</v>
      </c>
      <c r="Y322" s="85" t="s">
        <v>537</v>
      </c>
      <c r="Z322" s="86" t="s">
        <v>532</v>
      </c>
      <c r="AA322" s="86" t="s">
        <v>19</v>
      </c>
      <c r="AB322" s="86" t="s">
        <v>19</v>
      </c>
      <c r="AC322" s="87">
        <v>0</v>
      </c>
      <c r="AD322" s="88">
        <f t="shared" si="61"/>
        <v>0</v>
      </c>
      <c r="AF322" s="54">
        <v>101396</v>
      </c>
      <c r="AQ322" s="80"/>
      <c r="AR322" s="80"/>
    </row>
    <row r="323" spans="1:44" ht="14.4">
      <c r="A323" s="70">
        <v>101397</v>
      </c>
      <c r="B323" s="78" t="str">
        <f>VLOOKUP(A323,'TB for financial'!A:B,2,0)</f>
        <v>Advance - Syntel Delaware</v>
      </c>
      <c r="D323" s="79">
        <f>VLOOKUP(A323,'TB for financial'!A:F,6,0)</f>
        <v>0</v>
      </c>
      <c r="E323" s="80"/>
      <c r="F323" s="79">
        <f>VLOOKUP(A323,'TB for financial'!A:K,11,0)</f>
        <v>0</v>
      </c>
      <c r="G323" s="80"/>
      <c r="H323" s="81">
        <f t="shared" si="59"/>
        <v>0</v>
      </c>
      <c r="I323" s="81">
        <v>0</v>
      </c>
      <c r="J323" s="81">
        <f t="shared" si="58"/>
        <v>0</v>
      </c>
      <c r="K323" s="80"/>
      <c r="L323" s="82">
        <f t="shared" si="60"/>
        <v>0</v>
      </c>
      <c r="M323" s="82">
        <v>0</v>
      </c>
      <c r="N323" s="82">
        <f t="shared" si="62"/>
        <v>0</v>
      </c>
      <c r="O323" s="83"/>
      <c r="P323"/>
      <c r="Q323"/>
      <c r="R323"/>
      <c r="S323"/>
      <c r="U323" s="84" t="s">
        <v>530</v>
      </c>
      <c r="V323" s="80"/>
      <c r="W323" s="82" t="s">
        <v>562</v>
      </c>
      <c r="X323" s="82" t="s">
        <v>563</v>
      </c>
      <c r="Y323" s="85" t="s">
        <v>537</v>
      </c>
      <c r="Z323" s="86" t="s">
        <v>532</v>
      </c>
      <c r="AA323" s="86" t="s">
        <v>19</v>
      </c>
      <c r="AB323" s="86" t="s">
        <v>19</v>
      </c>
      <c r="AC323" s="87">
        <v>0</v>
      </c>
      <c r="AD323" s="88">
        <f t="shared" si="61"/>
        <v>0</v>
      </c>
      <c r="AF323" s="54">
        <v>101397</v>
      </c>
      <c r="AQ323" s="80"/>
      <c r="AR323" s="80"/>
    </row>
    <row r="324" spans="1:44" ht="14.4">
      <c r="A324" s="70">
        <v>101398</v>
      </c>
      <c r="B324" s="78" t="str">
        <f>VLOOKUP(A324,'TB for financial'!A:B,2,0)</f>
        <v>Advance - Syntel Global P L</v>
      </c>
      <c r="D324" s="79">
        <f>VLOOKUP(A324,'TB for financial'!A:F,6,0)</f>
        <v>0</v>
      </c>
      <c r="E324" s="80"/>
      <c r="F324" s="79">
        <f>VLOOKUP(A324,'TB for financial'!A:K,11,0)</f>
        <v>0</v>
      </c>
      <c r="G324" s="80"/>
      <c r="H324" s="81">
        <f t="shared" si="59"/>
        <v>0</v>
      </c>
      <c r="I324" s="81">
        <v>0</v>
      </c>
      <c r="J324" s="81">
        <f t="shared" si="58"/>
        <v>0</v>
      </c>
      <c r="K324" s="80"/>
      <c r="L324" s="82">
        <f t="shared" si="60"/>
        <v>0</v>
      </c>
      <c r="M324" s="82">
        <v>0</v>
      </c>
      <c r="N324" s="82">
        <f t="shared" si="62"/>
        <v>0</v>
      </c>
      <c r="O324" s="83"/>
      <c r="P324"/>
      <c r="Q324"/>
      <c r="R324"/>
      <c r="S324"/>
      <c r="U324" s="84" t="s">
        <v>530</v>
      </c>
      <c r="V324" s="80"/>
      <c r="W324" s="82" t="s">
        <v>562</v>
      </c>
      <c r="X324" s="82" t="s">
        <v>563</v>
      </c>
      <c r="Y324" s="85" t="s">
        <v>537</v>
      </c>
      <c r="Z324" s="86" t="s">
        <v>532</v>
      </c>
      <c r="AA324" s="86" t="s">
        <v>19</v>
      </c>
      <c r="AB324" s="86" t="s">
        <v>19</v>
      </c>
      <c r="AC324" s="87">
        <v>0</v>
      </c>
      <c r="AD324" s="88">
        <f t="shared" si="61"/>
        <v>0</v>
      </c>
      <c r="AF324" s="54">
        <v>101398</v>
      </c>
      <c r="AQ324" s="80"/>
      <c r="AR324" s="80"/>
    </row>
    <row r="325" spans="1:44" ht="14.4">
      <c r="A325" s="1374">
        <v>451099</v>
      </c>
      <c r="B325" s="78" t="str">
        <f>VLOOKUP(A325,'TB for financial'!A:B,2,0)</f>
        <v>C/A Atos Syntel Inc. (US)</v>
      </c>
      <c r="D325" s="79">
        <f>VLOOKUP(A325,'TB for financial'!A:F,6,0)</f>
        <v>709508.52000000793</v>
      </c>
      <c r="E325" s="80"/>
      <c r="F325" s="79">
        <f>VLOOKUP(A325,'TB for financial'!A:K,11,0)</f>
        <v>693308.52000000793</v>
      </c>
      <c r="G325" s="80"/>
      <c r="H325" s="122">
        <f t="shared" si="59"/>
        <v>709508.52000000793</v>
      </c>
      <c r="I325" s="81">
        <v>0</v>
      </c>
      <c r="J325" s="81">
        <f t="shared" si="58"/>
        <v>0</v>
      </c>
      <c r="K325" s="80"/>
      <c r="L325" s="82">
        <f t="shared" si="60"/>
        <v>693308.52000000793</v>
      </c>
      <c r="M325" s="82">
        <v>0</v>
      </c>
      <c r="N325" s="82">
        <f t="shared" si="62"/>
        <v>0</v>
      </c>
      <c r="O325" s="83"/>
      <c r="P325" s="672"/>
      <c r="Q325"/>
      <c r="R325"/>
      <c r="S325"/>
      <c r="U325" s="84"/>
      <c r="V325" s="80"/>
      <c r="W325" s="82"/>
      <c r="X325" s="82"/>
      <c r="Y325" s="85" t="s">
        <v>537</v>
      </c>
      <c r="Z325" s="86" t="s">
        <v>532</v>
      </c>
      <c r="AA325" s="86" t="s">
        <v>19</v>
      </c>
      <c r="AB325" s="86" t="s">
        <v>19</v>
      </c>
      <c r="AC325" s="87">
        <v>11736.29</v>
      </c>
      <c r="AD325" s="88">
        <f t="shared" si="61"/>
        <v>697772.2300000079</v>
      </c>
      <c r="AF325" s="54" t="s">
        <v>2536</v>
      </c>
      <c r="AQ325" s="80">
        <f>D325</f>
        <v>709508.52000000793</v>
      </c>
      <c r="AR325" s="80"/>
    </row>
    <row r="326" spans="1:44" ht="24">
      <c r="A326" s="1374">
        <v>4550000</v>
      </c>
      <c r="B326" s="78" t="str">
        <f>VLOOKUP(A326,'TB for financial'!A:B,2,0)</f>
        <v>Intercompany current accounts liabilities</v>
      </c>
      <c r="D326" s="79">
        <f>VLOOKUP(A326,'TB for financial'!A:F,6,0)</f>
        <v>1.0000000125728548E-2</v>
      </c>
      <c r="E326" s="80"/>
      <c r="F326" s="79">
        <f>VLOOKUP(A326,'TB for financial'!A:K,11,0)</f>
        <v>1.0000000125728548E-2</v>
      </c>
      <c r="G326" s="80"/>
      <c r="H326" s="81">
        <f>D326-I326</f>
        <v>1.0000000125728548E-2</v>
      </c>
      <c r="I326" s="81">
        <v>0</v>
      </c>
      <c r="J326" s="81">
        <f t="shared" si="58"/>
        <v>0</v>
      </c>
      <c r="K326" s="80"/>
      <c r="L326" s="82">
        <f>F326-M326</f>
        <v>1.0000000125728548E-2</v>
      </c>
      <c r="M326" s="82">
        <v>0</v>
      </c>
      <c r="N326" s="82">
        <f>+F326-L326-M326</f>
        <v>0</v>
      </c>
      <c r="O326" s="83"/>
      <c r="P326"/>
      <c r="Q326"/>
      <c r="R326"/>
      <c r="S326"/>
      <c r="U326" s="84"/>
      <c r="V326" s="80"/>
      <c r="W326" s="82"/>
      <c r="X326" s="82"/>
      <c r="Y326" s="85" t="s">
        <v>537</v>
      </c>
      <c r="Z326" s="86" t="s">
        <v>532</v>
      </c>
      <c r="AA326" s="86" t="s">
        <v>19</v>
      </c>
      <c r="AB326" s="86" t="s">
        <v>19</v>
      </c>
      <c r="AC326" s="87">
        <v>0</v>
      </c>
      <c r="AD326" s="88">
        <f>+D326-AC326</f>
        <v>1.0000000125728548E-2</v>
      </c>
      <c r="AF326" s="54" t="s">
        <v>2536</v>
      </c>
      <c r="AQ326" s="80">
        <f>D326</f>
        <v>1.0000000125728548E-2</v>
      </c>
      <c r="AR326" s="80"/>
    </row>
    <row r="327" spans="1:44" ht="4.5" customHeight="1">
      <c r="A327" s="70"/>
      <c r="B327" s="78"/>
      <c r="D327" s="145"/>
      <c r="E327" s="146"/>
      <c r="F327" s="145"/>
      <c r="G327" s="80"/>
      <c r="H327" s="116"/>
      <c r="I327" s="81"/>
      <c r="J327" s="81"/>
      <c r="K327" s="80"/>
      <c r="L327" s="82"/>
      <c r="M327" s="82"/>
      <c r="N327" s="82"/>
      <c r="O327" s="83"/>
      <c r="P327"/>
      <c r="Q327"/>
      <c r="R327"/>
      <c r="S327"/>
      <c r="U327" s="84"/>
      <c r="V327" s="80"/>
      <c r="W327" s="82"/>
      <c r="X327" s="82"/>
      <c r="Y327" s="94"/>
      <c r="Z327" s="86"/>
      <c r="AA327" s="86"/>
      <c r="AB327" s="86"/>
      <c r="AQ327" s="80"/>
      <c r="AR327" s="80"/>
    </row>
    <row r="328" spans="1:44" ht="14.4">
      <c r="A328" s="103"/>
      <c r="B328" s="71" t="s">
        <v>568</v>
      </c>
      <c r="D328" s="1648">
        <f>SUM(D310:D327)</f>
        <v>709508.78730000777</v>
      </c>
      <c r="E328" s="96"/>
      <c r="F328" s="139">
        <f>SUM(F310:F327)</f>
        <v>693308.78730000777</v>
      </c>
      <c r="G328" s="80"/>
      <c r="H328" s="1648">
        <f>SUM(H310:H327)</f>
        <v>709508.78730000777</v>
      </c>
      <c r="I328" s="141">
        <f>SUM(I310:I327)</f>
        <v>0</v>
      </c>
      <c r="J328" s="141">
        <f>SUM(J310:J327)</f>
        <v>0</v>
      </c>
      <c r="K328" s="80"/>
      <c r="L328" s="141">
        <f>SUM(L310:L327)</f>
        <v>693308.78730000777</v>
      </c>
      <c r="M328" s="141">
        <f>SUM(M310:M327)</f>
        <v>0</v>
      </c>
      <c r="N328" s="141">
        <f>SUM(N310:N327)</f>
        <v>0</v>
      </c>
      <c r="O328" s="100"/>
      <c r="P328"/>
      <c r="Q328"/>
      <c r="R328"/>
      <c r="S328"/>
      <c r="U328" s="142"/>
      <c r="V328" s="80"/>
      <c r="W328" s="143"/>
      <c r="X328" s="143"/>
      <c r="Y328" s="94"/>
      <c r="Z328" s="86"/>
      <c r="AA328" s="86"/>
      <c r="AB328" s="86"/>
      <c r="AQ328" s="80"/>
      <c r="AR328" s="80"/>
    </row>
    <row r="329" spans="1:44" ht="14.4">
      <c r="A329" s="70"/>
      <c r="B329" s="78"/>
      <c r="D329" s="79"/>
      <c r="E329" s="80"/>
      <c r="F329" s="79"/>
      <c r="G329" s="80"/>
      <c r="H329" s="116"/>
      <c r="I329" s="81"/>
      <c r="J329" s="81"/>
      <c r="K329" s="80"/>
      <c r="L329" s="82"/>
      <c r="M329" s="82"/>
      <c r="N329" s="82"/>
      <c r="O329" s="83"/>
      <c r="P329"/>
      <c r="Q329"/>
      <c r="R329"/>
      <c r="S329"/>
      <c r="U329" s="84"/>
      <c r="V329" s="80"/>
      <c r="W329" s="82"/>
      <c r="X329" s="82"/>
      <c r="Y329" s="94"/>
      <c r="Z329" s="86"/>
      <c r="AA329" s="86"/>
      <c r="AB329" s="86"/>
      <c r="AQ329" s="80"/>
      <c r="AR329" s="80"/>
    </row>
    <row r="330" spans="1:44" ht="14.4">
      <c r="A330" s="70">
        <v>101363</v>
      </c>
      <c r="B330" s="147" t="str">
        <f>VLOOKUP(A330,'TB for financial'!A:B,2,0)</f>
        <v>Recover from Synt Switzerland</v>
      </c>
      <c r="D330" s="79">
        <f>VLOOKUP(A330,'TB for financial'!A:F,6,0)</f>
        <v>0</v>
      </c>
      <c r="E330" s="80"/>
      <c r="F330" s="79">
        <f>VLOOKUP(A330,'TB for financial'!A:K,11,0)</f>
        <v>0</v>
      </c>
      <c r="G330" s="80"/>
      <c r="H330" s="81">
        <f t="shared" ref="H330:H353" si="63">D330-I330</f>
        <v>0</v>
      </c>
      <c r="I330" s="81">
        <v>0</v>
      </c>
      <c r="J330" s="81">
        <f>+D330-H330-I330</f>
        <v>0</v>
      </c>
      <c r="K330" s="80"/>
      <c r="L330" s="82">
        <f t="shared" ref="L330:L353" si="64">F330-M330</f>
        <v>0</v>
      </c>
      <c r="M330" s="82">
        <v>0</v>
      </c>
      <c r="N330" s="82">
        <f t="shared" ref="N330:N353" si="65">+F330-L330-M330</f>
        <v>0</v>
      </c>
      <c r="O330" s="83"/>
      <c r="P330"/>
      <c r="Q330"/>
      <c r="R330"/>
      <c r="S330"/>
      <c r="U330" s="84" t="s">
        <v>530</v>
      </c>
      <c r="V330" s="80"/>
      <c r="W330" s="82" t="s">
        <v>562</v>
      </c>
      <c r="X330" s="82" t="s">
        <v>563</v>
      </c>
      <c r="Y330" s="85" t="s">
        <v>537</v>
      </c>
      <c r="Z330" s="86" t="s">
        <v>532</v>
      </c>
      <c r="AA330" s="86" t="s">
        <v>19</v>
      </c>
      <c r="AB330" s="86" t="s">
        <v>19</v>
      </c>
      <c r="AC330" s="87">
        <v>0</v>
      </c>
      <c r="AD330" s="88">
        <f t="shared" ref="AD330:AD353" si="66">+D330-AC330</f>
        <v>0</v>
      </c>
      <c r="AF330" s="54">
        <v>101363</v>
      </c>
      <c r="AQ330" s="80"/>
      <c r="AR330" s="80"/>
    </row>
    <row r="331" spans="1:44" ht="14.4">
      <c r="A331" s="89">
        <v>101369</v>
      </c>
      <c r="B331" s="78" t="str">
        <f>VLOOKUP(A331,'TB for financial'!A:B,2,0)</f>
        <v>Recoverable from Syntel Canada</v>
      </c>
      <c r="D331" s="79">
        <f>VLOOKUP(A331,'TB for financial'!A:F,6,0)</f>
        <v>0</v>
      </c>
      <c r="E331" s="80"/>
      <c r="F331" s="79">
        <f>VLOOKUP(A331,'TB for financial'!A:K,11,0)</f>
        <v>0</v>
      </c>
      <c r="G331" s="80"/>
      <c r="H331" s="81">
        <f t="shared" si="63"/>
        <v>0</v>
      </c>
      <c r="I331" s="81">
        <v>0</v>
      </c>
      <c r="J331" s="81">
        <f t="shared" ref="J331:J353" si="67">+D331-H331-I331</f>
        <v>0</v>
      </c>
      <c r="K331" s="80"/>
      <c r="L331" s="82">
        <f t="shared" si="64"/>
        <v>0</v>
      </c>
      <c r="M331" s="82">
        <v>0</v>
      </c>
      <c r="N331" s="82">
        <f t="shared" si="65"/>
        <v>0</v>
      </c>
      <c r="O331" s="83"/>
      <c r="P331"/>
      <c r="Q331"/>
      <c r="R331"/>
      <c r="S331"/>
      <c r="U331" s="84" t="s">
        <v>530</v>
      </c>
      <c r="V331" s="80"/>
      <c r="W331" s="82" t="s">
        <v>562</v>
      </c>
      <c r="X331" s="82" t="s">
        <v>563</v>
      </c>
      <c r="Y331" s="85" t="s">
        <v>537</v>
      </c>
      <c r="Z331" s="86" t="s">
        <v>532</v>
      </c>
      <c r="AA331" s="86" t="s">
        <v>19</v>
      </c>
      <c r="AB331" s="86" t="s">
        <v>19</v>
      </c>
      <c r="AC331" s="87">
        <v>0</v>
      </c>
      <c r="AD331" s="88">
        <f t="shared" si="66"/>
        <v>0</v>
      </c>
      <c r="AF331" s="54">
        <v>101369</v>
      </c>
      <c r="AQ331" s="80"/>
      <c r="AR331" s="80"/>
    </row>
    <row r="332" spans="1:44" ht="14.4">
      <c r="A332" s="89">
        <v>101366</v>
      </c>
      <c r="B332" s="78" t="str">
        <f>VLOOKUP(A332,'TB for financial'!A:B,2,0)</f>
        <v>Recoverable from TSSPL</v>
      </c>
      <c r="D332" s="79">
        <f>VLOOKUP(A332,'TB for financial'!A:F,6,0)</f>
        <v>0</v>
      </c>
      <c r="E332" s="80"/>
      <c r="F332" s="79">
        <f>VLOOKUP(A332,'TB for financial'!A:K,11,0)</f>
        <v>0</v>
      </c>
      <c r="G332" s="80"/>
      <c r="H332" s="81">
        <f t="shared" si="63"/>
        <v>0</v>
      </c>
      <c r="I332" s="81">
        <v>0</v>
      </c>
      <c r="J332" s="81">
        <f>+D332-H332-I332</f>
        <v>0</v>
      </c>
      <c r="K332" s="80"/>
      <c r="L332" s="82">
        <f t="shared" si="64"/>
        <v>0</v>
      </c>
      <c r="M332" s="82">
        <v>0</v>
      </c>
      <c r="N332" s="82">
        <f t="shared" si="65"/>
        <v>0</v>
      </c>
      <c r="O332" s="83"/>
      <c r="P332"/>
      <c r="Q332"/>
      <c r="R332"/>
      <c r="S332"/>
      <c r="U332" s="84" t="s">
        <v>530</v>
      </c>
      <c r="V332" s="80"/>
      <c r="W332" s="82" t="s">
        <v>562</v>
      </c>
      <c r="X332" s="82" t="s">
        <v>563</v>
      </c>
      <c r="Y332" s="85" t="s">
        <v>537</v>
      </c>
      <c r="Z332" s="86" t="s">
        <v>532</v>
      </c>
      <c r="AA332" s="86" t="s">
        <v>19</v>
      </c>
      <c r="AB332" s="86" t="s">
        <v>19</v>
      </c>
      <c r="AC332" s="87">
        <v>0</v>
      </c>
      <c r="AD332" s="88">
        <f t="shared" si="66"/>
        <v>0</v>
      </c>
      <c r="AF332" s="54">
        <v>101366</v>
      </c>
      <c r="AQ332" s="80"/>
      <c r="AR332" s="80"/>
    </row>
    <row r="333" spans="1:44" ht="14.4">
      <c r="A333" s="70">
        <v>101371</v>
      </c>
      <c r="B333" s="78" t="str">
        <f>VLOOKUP(A333,'TB for financial'!A:B,2,0)</f>
        <v>Recoverable from Europe</v>
      </c>
      <c r="D333" s="79">
        <f>VLOOKUP(A333,'TB for financial'!A:F,6,0)</f>
        <v>0</v>
      </c>
      <c r="E333" s="80"/>
      <c r="F333" s="79">
        <f>VLOOKUP(A333,'TB for financial'!A:K,11,0)</f>
        <v>0</v>
      </c>
      <c r="G333" s="80"/>
      <c r="H333" s="81">
        <f t="shared" si="63"/>
        <v>0</v>
      </c>
      <c r="I333" s="81">
        <v>0</v>
      </c>
      <c r="J333" s="81">
        <f t="shared" si="67"/>
        <v>0</v>
      </c>
      <c r="K333" s="80"/>
      <c r="L333" s="82">
        <f t="shared" si="64"/>
        <v>0</v>
      </c>
      <c r="M333" s="82">
        <v>0</v>
      </c>
      <c r="N333" s="82">
        <f t="shared" si="65"/>
        <v>0</v>
      </c>
      <c r="O333" s="83"/>
      <c r="P333"/>
      <c r="Q333"/>
      <c r="R333"/>
      <c r="S333"/>
      <c r="U333" s="84" t="s">
        <v>530</v>
      </c>
      <c r="V333" s="80"/>
      <c r="W333" s="82" t="s">
        <v>562</v>
      </c>
      <c r="X333" s="82" t="s">
        <v>563</v>
      </c>
      <c r="Y333" s="85" t="s">
        <v>537</v>
      </c>
      <c r="Z333" s="86" t="s">
        <v>532</v>
      </c>
      <c r="AA333" s="86" t="s">
        <v>19</v>
      </c>
      <c r="AB333" s="86" t="s">
        <v>19</v>
      </c>
      <c r="AC333" s="87">
        <v>0</v>
      </c>
      <c r="AD333" s="88">
        <f t="shared" si="66"/>
        <v>0</v>
      </c>
      <c r="AF333" s="54">
        <v>101371</v>
      </c>
      <c r="AQ333" s="80"/>
      <c r="AR333" s="80"/>
    </row>
    <row r="334" spans="1:44" ht="14.4">
      <c r="A334" s="70">
        <v>101372</v>
      </c>
      <c r="B334" s="78" t="str">
        <f>VLOOKUP(A334,'TB for financial'!A:B,2,0)</f>
        <v>Recoverable from Singapore</v>
      </c>
      <c r="D334" s="79">
        <f>VLOOKUP(A334,'TB for financial'!A:F,6,0)</f>
        <v>0</v>
      </c>
      <c r="E334" s="80"/>
      <c r="F334" s="79">
        <f>VLOOKUP(A334,'TB for financial'!A:K,11,0)</f>
        <v>0</v>
      </c>
      <c r="G334" s="80"/>
      <c r="H334" s="81">
        <f t="shared" si="63"/>
        <v>0</v>
      </c>
      <c r="I334" s="81">
        <v>0</v>
      </c>
      <c r="J334" s="81">
        <f t="shared" si="67"/>
        <v>0</v>
      </c>
      <c r="K334" s="80"/>
      <c r="L334" s="82">
        <f t="shared" si="64"/>
        <v>0</v>
      </c>
      <c r="M334" s="82">
        <v>0</v>
      </c>
      <c r="N334" s="82">
        <f t="shared" si="65"/>
        <v>0</v>
      </c>
      <c r="O334" s="83"/>
      <c r="P334"/>
      <c r="Q334"/>
      <c r="R334"/>
      <c r="S334"/>
      <c r="U334" s="84" t="s">
        <v>530</v>
      </c>
      <c r="V334" s="80"/>
      <c r="W334" s="82" t="s">
        <v>562</v>
      </c>
      <c r="X334" s="82" t="s">
        <v>563</v>
      </c>
      <c r="Y334" s="85" t="s">
        <v>537</v>
      </c>
      <c r="Z334" s="86" t="s">
        <v>532</v>
      </c>
      <c r="AA334" s="86" t="s">
        <v>19</v>
      </c>
      <c r="AB334" s="86" t="s">
        <v>19</v>
      </c>
      <c r="AC334" s="87">
        <v>0</v>
      </c>
      <c r="AD334" s="88">
        <f t="shared" si="66"/>
        <v>0</v>
      </c>
      <c r="AF334" s="54">
        <v>101372</v>
      </c>
      <c r="AQ334" s="80"/>
      <c r="AR334" s="80"/>
    </row>
    <row r="335" spans="1:44" ht="14.4">
      <c r="A335" s="70">
        <v>101373</v>
      </c>
      <c r="B335" s="78" t="str">
        <f>VLOOKUP(A335,'TB for financial'!A:B,2,0)</f>
        <v>Recoverable from Syntel Germany</v>
      </c>
      <c r="D335" s="79">
        <f>VLOOKUP(A335,'TB for financial'!A:F,6,0)</f>
        <v>0</v>
      </c>
      <c r="E335" s="80"/>
      <c r="F335" s="79">
        <f>VLOOKUP(A335,'TB for financial'!A:K,11,0)</f>
        <v>0</v>
      </c>
      <c r="G335" s="80"/>
      <c r="H335" s="81">
        <f t="shared" si="63"/>
        <v>0</v>
      </c>
      <c r="I335" s="81">
        <v>0</v>
      </c>
      <c r="J335" s="81">
        <f t="shared" si="67"/>
        <v>0</v>
      </c>
      <c r="K335" s="80"/>
      <c r="L335" s="82">
        <f t="shared" si="64"/>
        <v>0</v>
      </c>
      <c r="M335" s="82">
        <v>0</v>
      </c>
      <c r="N335" s="82">
        <f t="shared" si="65"/>
        <v>0</v>
      </c>
      <c r="O335" s="83"/>
      <c r="P335"/>
      <c r="Q335"/>
      <c r="R335"/>
      <c r="S335"/>
      <c r="U335" s="84" t="s">
        <v>530</v>
      </c>
      <c r="V335" s="80"/>
      <c r="W335" s="82" t="s">
        <v>562</v>
      </c>
      <c r="X335" s="82" t="s">
        <v>563</v>
      </c>
      <c r="Y335" s="85" t="s">
        <v>537</v>
      </c>
      <c r="Z335" s="86" t="s">
        <v>532</v>
      </c>
      <c r="AA335" s="86" t="s">
        <v>19</v>
      </c>
      <c r="AB335" s="86" t="s">
        <v>19</v>
      </c>
      <c r="AC335" s="87">
        <v>0</v>
      </c>
      <c r="AD335" s="88">
        <f t="shared" si="66"/>
        <v>0</v>
      </c>
      <c r="AF335" s="54">
        <v>101373</v>
      </c>
      <c r="AQ335" s="80"/>
      <c r="AR335" s="80"/>
    </row>
    <row r="336" spans="1:44" ht="14.4">
      <c r="A336" s="70">
        <v>101374</v>
      </c>
      <c r="B336" s="78" t="str">
        <f>VLOOKUP(A336,'TB for financial'!A:B,2,0)</f>
        <v>Recoverable from Syntel Inc.</v>
      </c>
      <c r="D336" s="79">
        <f>VLOOKUP(A336,'TB for financial'!A:F,6,0)</f>
        <v>0</v>
      </c>
      <c r="E336" s="80"/>
      <c r="F336" s="79">
        <f>VLOOKUP(A336,'TB for financial'!A:K,11,0)</f>
        <v>0</v>
      </c>
      <c r="G336" s="80"/>
      <c r="H336" s="81">
        <f t="shared" si="63"/>
        <v>0</v>
      </c>
      <c r="I336" s="81">
        <v>0</v>
      </c>
      <c r="J336" s="81">
        <f t="shared" si="67"/>
        <v>0</v>
      </c>
      <c r="K336" s="80"/>
      <c r="L336" s="82">
        <f t="shared" si="64"/>
        <v>0</v>
      </c>
      <c r="M336" s="82">
        <v>0</v>
      </c>
      <c r="N336" s="82">
        <f t="shared" si="65"/>
        <v>0</v>
      </c>
      <c r="O336" s="83"/>
      <c r="P336"/>
      <c r="Q336"/>
      <c r="R336"/>
      <c r="S336"/>
      <c r="U336" s="84" t="s">
        <v>530</v>
      </c>
      <c r="V336" s="80"/>
      <c r="W336" s="82" t="s">
        <v>562</v>
      </c>
      <c r="X336" s="82" t="s">
        <v>563</v>
      </c>
      <c r="Y336" s="85" t="s">
        <v>537</v>
      </c>
      <c r="Z336" s="86" t="s">
        <v>532</v>
      </c>
      <c r="AA336" s="86" t="s">
        <v>19</v>
      </c>
      <c r="AB336" s="86" t="s">
        <v>19</v>
      </c>
      <c r="AC336" s="87">
        <v>0</v>
      </c>
      <c r="AD336" s="88">
        <f t="shared" si="66"/>
        <v>0</v>
      </c>
      <c r="AF336" s="54">
        <v>101374</v>
      </c>
      <c r="AQ336" s="80"/>
      <c r="AR336" s="80"/>
    </row>
    <row r="337" spans="1:44" ht="14.4">
      <c r="A337" s="92">
        <v>101376</v>
      </c>
      <c r="B337" s="78" t="str">
        <f>VLOOKUP(A337,'TB for financial'!A:B,2,0)</f>
        <v>Recoverable SIL</v>
      </c>
      <c r="D337" s="79">
        <f>-VLOOKUP(A337,'TB for financial'!A:F,6,0)</f>
        <v>0</v>
      </c>
      <c r="E337" s="80"/>
      <c r="F337" s="79">
        <f>-VLOOKUP(A337,'TB for financial'!A:K,11,0)</f>
        <v>0</v>
      </c>
      <c r="G337" s="80"/>
      <c r="H337" s="81">
        <f t="shared" si="63"/>
        <v>0</v>
      </c>
      <c r="I337" s="81">
        <v>0</v>
      </c>
      <c r="J337" s="81">
        <f t="shared" si="67"/>
        <v>0</v>
      </c>
      <c r="K337" s="80"/>
      <c r="L337" s="82">
        <f t="shared" si="64"/>
        <v>0</v>
      </c>
      <c r="M337" s="82">
        <v>0</v>
      </c>
      <c r="N337" s="82">
        <f t="shared" si="65"/>
        <v>0</v>
      </c>
      <c r="O337" s="83"/>
      <c r="P337"/>
      <c r="Q337"/>
      <c r="R337"/>
      <c r="S337"/>
      <c r="U337" s="84" t="s">
        <v>530</v>
      </c>
      <c r="V337" s="80"/>
      <c r="W337" s="82" t="s">
        <v>562</v>
      </c>
      <c r="X337" s="82" t="s">
        <v>563</v>
      </c>
      <c r="Y337" s="85" t="s">
        <v>45</v>
      </c>
      <c r="Z337" s="86" t="s">
        <v>569</v>
      </c>
      <c r="AA337" s="86" t="s">
        <v>47</v>
      </c>
      <c r="AB337" s="86" t="s">
        <v>43</v>
      </c>
      <c r="AC337" s="87">
        <v>0</v>
      </c>
      <c r="AD337" s="88">
        <f t="shared" si="66"/>
        <v>0</v>
      </c>
      <c r="AF337" s="54">
        <v>101376</v>
      </c>
      <c r="AQ337" s="80"/>
      <c r="AR337" s="80"/>
    </row>
    <row r="338" spans="1:44" ht="14.4">
      <c r="A338" s="70">
        <v>101377</v>
      </c>
      <c r="B338" s="1065" t="s">
        <v>938</v>
      </c>
      <c r="D338" s="79">
        <f>VLOOKUP(A338,'TB for financial'!A:F,6,0)</f>
        <v>0</v>
      </c>
      <c r="E338" s="80"/>
      <c r="F338" s="79">
        <f>VLOOKUP(A338,'TB for financial'!A:K,11,0)</f>
        <v>0</v>
      </c>
      <c r="G338" s="80"/>
      <c r="H338" s="81">
        <f t="shared" si="63"/>
        <v>0</v>
      </c>
      <c r="I338" s="81">
        <v>0</v>
      </c>
      <c r="J338" s="81">
        <f t="shared" si="67"/>
        <v>0</v>
      </c>
      <c r="K338" s="80"/>
      <c r="L338" s="82">
        <f t="shared" si="64"/>
        <v>0</v>
      </c>
      <c r="M338" s="82">
        <v>0</v>
      </c>
      <c r="N338" s="82">
        <f t="shared" si="65"/>
        <v>0</v>
      </c>
      <c r="O338" s="83"/>
      <c r="P338"/>
      <c r="Q338"/>
      <c r="R338"/>
      <c r="S338"/>
      <c r="U338" s="84" t="s">
        <v>530</v>
      </c>
      <c r="V338" s="80"/>
      <c r="W338" s="82" t="s">
        <v>562</v>
      </c>
      <c r="X338" s="82" t="s">
        <v>563</v>
      </c>
      <c r="Y338" s="85" t="s">
        <v>537</v>
      </c>
      <c r="Z338" s="86" t="s">
        <v>532</v>
      </c>
      <c r="AA338" s="86" t="s">
        <v>19</v>
      </c>
      <c r="AB338" s="86" t="s">
        <v>19</v>
      </c>
      <c r="AC338" s="87">
        <v>0</v>
      </c>
      <c r="AD338" s="88">
        <f t="shared" si="66"/>
        <v>0</v>
      </c>
      <c r="AF338" s="54">
        <v>101377</v>
      </c>
      <c r="AQ338" s="80"/>
      <c r="AR338" s="80"/>
    </row>
    <row r="339" spans="1:44" ht="14.4">
      <c r="A339" s="70">
        <v>101378</v>
      </c>
      <c r="B339" s="78" t="str">
        <f>VLOOKUP(A339,'TB for financial'!A:B,2,0)</f>
        <v>Recoverable from Synt Sourcing</v>
      </c>
      <c r="D339" s="79">
        <f>VLOOKUP(A339,'TB for financial'!A:F,6,0)</f>
        <v>0</v>
      </c>
      <c r="E339" s="80"/>
      <c r="F339" s="79">
        <f>VLOOKUP(A339,'TB for financial'!A:K,11,0)</f>
        <v>0</v>
      </c>
      <c r="G339" s="80"/>
      <c r="H339" s="81">
        <f t="shared" si="63"/>
        <v>0</v>
      </c>
      <c r="I339" s="81">
        <v>0</v>
      </c>
      <c r="J339" s="81">
        <f t="shared" si="67"/>
        <v>0</v>
      </c>
      <c r="K339" s="80"/>
      <c r="L339" s="82">
        <f t="shared" si="64"/>
        <v>0</v>
      </c>
      <c r="M339" s="82">
        <v>0</v>
      </c>
      <c r="N339" s="82">
        <f t="shared" si="65"/>
        <v>0</v>
      </c>
      <c r="O339" s="83"/>
      <c r="P339"/>
      <c r="Q339"/>
      <c r="R339"/>
      <c r="S339"/>
      <c r="U339" s="84" t="s">
        <v>530</v>
      </c>
      <c r="V339" s="80"/>
      <c r="W339" s="82" t="s">
        <v>562</v>
      </c>
      <c r="X339" s="82" t="s">
        <v>563</v>
      </c>
      <c r="Y339" s="85" t="s">
        <v>537</v>
      </c>
      <c r="Z339" s="86" t="s">
        <v>532</v>
      </c>
      <c r="AA339" s="86" t="s">
        <v>19</v>
      </c>
      <c r="AB339" s="86" t="s">
        <v>19</v>
      </c>
      <c r="AC339" s="87">
        <v>0</v>
      </c>
      <c r="AD339" s="88">
        <f t="shared" si="66"/>
        <v>0</v>
      </c>
      <c r="AF339" s="54">
        <v>101378</v>
      </c>
      <c r="AQ339" s="80"/>
      <c r="AR339" s="80"/>
    </row>
    <row r="340" spans="1:44" ht="14.4">
      <c r="A340" s="70">
        <v>101379</v>
      </c>
      <c r="B340" s="78" t="str">
        <f>VLOOKUP(A340,'TB for financial'!A:B,2,0)</f>
        <v>Recoverable from Synt Bestshor</v>
      </c>
      <c r="D340" s="79">
        <f>VLOOKUP(A340,'TB for financial'!A:F,6,0)</f>
        <v>0</v>
      </c>
      <c r="E340" s="80"/>
      <c r="F340" s="79">
        <f>VLOOKUP(A340,'TB for financial'!A:K,11,0)</f>
        <v>0</v>
      </c>
      <c r="G340" s="80"/>
      <c r="H340" s="81">
        <f t="shared" si="63"/>
        <v>0</v>
      </c>
      <c r="I340" s="81">
        <v>0</v>
      </c>
      <c r="J340" s="81">
        <f t="shared" si="67"/>
        <v>0</v>
      </c>
      <c r="K340" s="80"/>
      <c r="L340" s="82">
        <f t="shared" si="64"/>
        <v>0</v>
      </c>
      <c r="M340" s="82">
        <v>0</v>
      </c>
      <c r="N340" s="82">
        <f t="shared" si="65"/>
        <v>0</v>
      </c>
      <c r="O340" s="83"/>
      <c r="P340"/>
      <c r="Q340"/>
      <c r="R340"/>
      <c r="S340"/>
      <c r="U340" s="84" t="s">
        <v>530</v>
      </c>
      <c r="V340" s="80"/>
      <c r="W340" s="82" t="s">
        <v>562</v>
      </c>
      <c r="X340" s="82" t="s">
        <v>563</v>
      </c>
      <c r="Y340" s="85" t="s">
        <v>537</v>
      </c>
      <c r="Z340" s="86" t="s">
        <v>532</v>
      </c>
      <c r="AA340" s="86" t="s">
        <v>19</v>
      </c>
      <c r="AB340" s="86" t="s">
        <v>19</v>
      </c>
      <c r="AC340" s="87">
        <v>0</v>
      </c>
      <c r="AD340" s="88">
        <f t="shared" si="66"/>
        <v>0</v>
      </c>
      <c r="AF340" s="54">
        <v>101379</v>
      </c>
      <c r="AQ340" s="80"/>
      <c r="AR340" s="80"/>
    </row>
    <row r="341" spans="1:44" ht="14.4">
      <c r="A341" s="70">
        <v>101380</v>
      </c>
      <c r="B341" s="78" t="str">
        <f>VLOOKUP(A341,'TB for financial'!A:B,2,0)</f>
        <v>Recoverable from Synt Global</v>
      </c>
      <c r="D341" s="79">
        <f>VLOOKUP(A341,'TB for financial'!A:F,6,0)</f>
        <v>0</v>
      </c>
      <c r="E341" s="80"/>
      <c r="F341" s="79">
        <f>VLOOKUP(A341,'TB for financial'!A:K,11,0)</f>
        <v>0</v>
      </c>
      <c r="G341" s="80"/>
      <c r="H341" s="81">
        <f t="shared" si="63"/>
        <v>0</v>
      </c>
      <c r="I341" s="81">
        <v>0</v>
      </c>
      <c r="J341" s="81">
        <f t="shared" si="67"/>
        <v>0</v>
      </c>
      <c r="K341" s="80"/>
      <c r="L341" s="82">
        <f t="shared" si="64"/>
        <v>0</v>
      </c>
      <c r="M341" s="82">
        <v>0</v>
      </c>
      <c r="N341" s="82">
        <f t="shared" si="65"/>
        <v>0</v>
      </c>
      <c r="O341" s="83"/>
      <c r="P341"/>
      <c r="Q341"/>
      <c r="R341"/>
      <c r="S341"/>
      <c r="U341" s="84" t="s">
        <v>530</v>
      </c>
      <c r="V341" s="80"/>
      <c r="W341" s="82" t="s">
        <v>562</v>
      </c>
      <c r="X341" s="82" t="s">
        <v>563</v>
      </c>
      <c r="Y341" s="85" t="s">
        <v>537</v>
      </c>
      <c r="Z341" s="86" t="s">
        <v>532</v>
      </c>
      <c r="AA341" s="86" t="s">
        <v>19</v>
      </c>
      <c r="AB341" s="86" t="s">
        <v>19</v>
      </c>
      <c r="AC341" s="87">
        <v>0</v>
      </c>
      <c r="AD341" s="88">
        <f t="shared" si="66"/>
        <v>0</v>
      </c>
      <c r="AF341" s="54">
        <v>101380</v>
      </c>
      <c r="AQ341" s="80"/>
      <c r="AR341" s="80"/>
    </row>
    <row r="342" spans="1:44" ht="24">
      <c r="A342" s="70">
        <v>101381</v>
      </c>
      <c r="B342" s="78" t="str">
        <f>VLOOKUP(A342,'TB for financial'!A:B,2,0)</f>
        <v>Recoverable from Syntel Consulting</v>
      </c>
      <c r="D342" s="79">
        <f>VLOOKUP(A342,'TB for financial'!A:F,6,0)</f>
        <v>0</v>
      </c>
      <c r="E342" s="80"/>
      <c r="F342" s="79">
        <f>VLOOKUP(A342,'TB for financial'!A:K,11,0)</f>
        <v>0</v>
      </c>
      <c r="G342" s="80"/>
      <c r="H342" s="81">
        <f t="shared" si="63"/>
        <v>0</v>
      </c>
      <c r="I342" s="81">
        <v>0</v>
      </c>
      <c r="J342" s="81">
        <f t="shared" si="67"/>
        <v>0</v>
      </c>
      <c r="K342" s="80"/>
      <c r="L342" s="82">
        <f t="shared" si="64"/>
        <v>0</v>
      </c>
      <c r="M342" s="82">
        <v>0</v>
      </c>
      <c r="N342" s="82">
        <f t="shared" si="65"/>
        <v>0</v>
      </c>
      <c r="O342" s="83"/>
      <c r="P342"/>
      <c r="Q342"/>
      <c r="R342"/>
      <c r="S342"/>
      <c r="U342" s="84" t="s">
        <v>530</v>
      </c>
      <c r="V342" s="80"/>
      <c r="W342" s="82" t="s">
        <v>562</v>
      </c>
      <c r="X342" s="82" t="s">
        <v>563</v>
      </c>
      <c r="Y342" s="85" t="s">
        <v>537</v>
      </c>
      <c r="Z342" s="86" t="s">
        <v>532</v>
      </c>
      <c r="AA342" s="86" t="s">
        <v>19</v>
      </c>
      <c r="AB342" s="86" t="s">
        <v>19</v>
      </c>
      <c r="AC342" s="87">
        <v>0</v>
      </c>
      <c r="AD342" s="88">
        <f t="shared" si="66"/>
        <v>0</v>
      </c>
      <c r="AF342" s="54">
        <v>101381</v>
      </c>
      <c r="AQ342" s="80"/>
      <c r="AR342" s="80"/>
    </row>
    <row r="343" spans="1:44" ht="14.4">
      <c r="A343" s="70">
        <v>101382</v>
      </c>
      <c r="B343" s="78" t="str">
        <f>VLOOKUP(A343,'TB for financial'!A:B,2,0)</f>
        <v>Recoverable from Syntel Intern</v>
      </c>
      <c r="D343" s="79">
        <f>VLOOKUP(A343,'TB for financial'!A:F,6,0)</f>
        <v>0</v>
      </c>
      <c r="E343" s="80"/>
      <c r="F343" s="79">
        <f>VLOOKUP(A343,'TB for financial'!A:K,11,0)</f>
        <v>0</v>
      </c>
      <c r="G343" s="80"/>
      <c r="H343" s="81">
        <f t="shared" si="63"/>
        <v>0</v>
      </c>
      <c r="I343" s="81">
        <v>0</v>
      </c>
      <c r="J343" s="81">
        <f t="shared" si="67"/>
        <v>0</v>
      </c>
      <c r="K343" s="80"/>
      <c r="L343" s="82">
        <f t="shared" si="64"/>
        <v>0</v>
      </c>
      <c r="M343" s="82">
        <v>0</v>
      </c>
      <c r="N343" s="82">
        <f t="shared" si="65"/>
        <v>0</v>
      </c>
      <c r="O343" s="83"/>
      <c r="P343"/>
      <c r="Q343"/>
      <c r="R343"/>
      <c r="S343"/>
      <c r="U343" s="84" t="s">
        <v>530</v>
      </c>
      <c r="V343" s="80"/>
      <c r="W343" s="82" t="s">
        <v>562</v>
      </c>
      <c r="X343" s="82" t="s">
        <v>563</v>
      </c>
      <c r="Y343" s="85" t="s">
        <v>537</v>
      </c>
      <c r="Z343" s="86" t="s">
        <v>532</v>
      </c>
      <c r="AA343" s="86" t="s">
        <v>19</v>
      </c>
      <c r="AB343" s="86" t="s">
        <v>19</v>
      </c>
      <c r="AC343" s="87">
        <v>0</v>
      </c>
      <c r="AD343" s="88">
        <f t="shared" si="66"/>
        <v>0</v>
      </c>
      <c r="AF343" s="54">
        <v>101382</v>
      </c>
      <c r="AQ343" s="80"/>
      <c r="AR343" s="80"/>
    </row>
    <row r="344" spans="1:44" ht="14.4">
      <c r="A344" s="144">
        <v>101341</v>
      </c>
      <c r="B344" s="78" t="str">
        <f>VLOOKUP(A344,'TB for financial'!A:B,2,0)</f>
        <v>Recoverable fr Syn Philippine</v>
      </c>
      <c r="D344" s="79">
        <f>VLOOKUP(A344,'TB for financial'!A:F,6,0)</f>
        <v>0</v>
      </c>
      <c r="E344" s="80"/>
      <c r="F344" s="79">
        <f>VLOOKUP(A344,'TB for financial'!A:K,11,0)</f>
        <v>0</v>
      </c>
      <c r="G344" s="80"/>
      <c r="H344" s="81">
        <f t="shared" si="63"/>
        <v>0</v>
      </c>
      <c r="I344" s="81">
        <v>0</v>
      </c>
      <c r="J344" s="81">
        <f t="shared" si="67"/>
        <v>0</v>
      </c>
      <c r="K344" s="80"/>
      <c r="L344" s="82">
        <f t="shared" si="64"/>
        <v>0</v>
      </c>
      <c r="M344" s="82">
        <v>0</v>
      </c>
      <c r="N344" s="82">
        <f t="shared" si="65"/>
        <v>0</v>
      </c>
      <c r="O344" s="83"/>
      <c r="P344"/>
      <c r="Q344"/>
      <c r="R344"/>
      <c r="S344"/>
      <c r="U344" s="84" t="s">
        <v>530</v>
      </c>
      <c r="V344" s="80"/>
      <c r="W344" s="82" t="s">
        <v>562</v>
      </c>
      <c r="X344" s="82" t="s">
        <v>563</v>
      </c>
      <c r="Y344" s="85" t="s">
        <v>537</v>
      </c>
      <c r="Z344" s="86" t="s">
        <v>532</v>
      </c>
      <c r="AA344" s="86" t="s">
        <v>19</v>
      </c>
      <c r="AB344" s="86" t="s">
        <v>19</v>
      </c>
      <c r="AC344" s="87">
        <v>0</v>
      </c>
      <c r="AD344" s="88">
        <f t="shared" si="66"/>
        <v>0</v>
      </c>
      <c r="AF344" s="54">
        <v>101341</v>
      </c>
      <c r="AQ344" s="80"/>
      <c r="AR344" s="80"/>
    </row>
    <row r="345" spans="1:44" ht="14.4">
      <c r="A345" s="144">
        <v>101400</v>
      </c>
      <c r="B345" s="78" t="str">
        <f>VLOOKUP(A345,'TB for financial'!A:B,2,0)</f>
        <v>Recoverable fr Syn Netherland</v>
      </c>
      <c r="D345" s="79">
        <f>VLOOKUP(A345,'TB for financial'!A:F,6,0)</f>
        <v>0</v>
      </c>
      <c r="E345" s="80"/>
      <c r="F345" s="79">
        <f>VLOOKUP(A345,'TB for financial'!A:K,11,0)</f>
        <v>0</v>
      </c>
      <c r="G345" s="80"/>
      <c r="H345" s="81">
        <f t="shared" si="63"/>
        <v>0</v>
      </c>
      <c r="I345" s="81">
        <v>0</v>
      </c>
      <c r="J345" s="81">
        <f t="shared" si="67"/>
        <v>0</v>
      </c>
      <c r="K345" s="80"/>
      <c r="L345" s="82">
        <f t="shared" si="64"/>
        <v>0</v>
      </c>
      <c r="M345" s="82">
        <v>0</v>
      </c>
      <c r="N345" s="82">
        <f t="shared" si="65"/>
        <v>0</v>
      </c>
      <c r="O345" s="83"/>
      <c r="P345"/>
      <c r="Q345"/>
      <c r="R345"/>
      <c r="S345"/>
      <c r="U345" s="84" t="s">
        <v>530</v>
      </c>
      <c r="V345" s="80"/>
      <c r="W345" s="82" t="s">
        <v>562</v>
      </c>
      <c r="X345" s="82" t="s">
        <v>563</v>
      </c>
      <c r="Y345" s="85" t="s">
        <v>537</v>
      </c>
      <c r="Z345" s="86" t="s">
        <v>532</v>
      </c>
      <c r="AA345" s="86" t="s">
        <v>19</v>
      </c>
      <c r="AB345" s="86" t="s">
        <v>19</v>
      </c>
      <c r="AC345" s="87">
        <v>0</v>
      </c>
      <c r="AD345" s="88">
        <f t="shared" si="66"/>
        <v>0</v>
      </c>
      <c r="AF345" s="54">
        <v>101400</v>
      </c>
      <c r="AQ345" s="80"/>
      <c r="AR345" s="80"/>
    </row>
    <row r="346" spans="1:44" ht="14.4">
      <c r="A346" s="144">
        <v>101362</v>
      </c>
      <c r="B346" s="78" t="str">
        <f>VLOOKUP(A346,'TB for financial'!A:B,2,0)</f>
        <v>TDS Refund receivable</v>
      </c>
      <c r="D346" s="79">
        <f>VLOOKUP(A346,'TB for financial'!A:F,6,0)</f>
        <v>0</v>
      </c>
      <c r="E346" s="80"/>
      <c r="F346" s="79">
        <f>VLOOKUP(A346,'TB for financial'!A:K,11,0)</f>
        <v>0</v>
      </c>
      <c r="G346" s="80"/>
      <c r="H346" s="81">
        <f t="shared" si="63"/>
        <v>0</v>
      </c>
      <c r="I346" s="81">
        <v>0</v>
      </c>
      <c r="J346" s="81">
        <f t="shared" si="67"/>
        <v>0</v>
      </c>
      <c r="K346" s="80"/>
      <c r="L346" s="82">
        <f t="shared" si="64"/>
        <v>0</v>
      </c>
      <c r="M346" s="82">
        <v>0</v>
      </c>
      <c r="N346" s="82">
        <f t="shared" si="65"/>
        <v>0</v>
      </c>
      <c r="O346" s="83"/>
      <c r="P346"/>
      <c r="Q346"/>
      <c r="R346"/>
      <c r="S346"/>
      <c r="U346" s="84" t="s">
        <v>530</v>
      </c>
      <c r="V346" s="80"/>
      <c r="W346" s="82" t="s">
        <v>562</v>
      </c>
      <c r="X346" s="82" t="s">
        <v>563</v>
      </c>
      <c r="Y346" s="85" t="s">
        <v>537</v>
      </c>
      <c r="Z346" s="86" t="s">
        <v>532</v>
      </c>
      <c r="AA346" s="86" t="s">
        <v>19</v>
      </c>
      <c r="AB346" s="86" t="s">
        <v>19</v>
      </c>
      <c r="AC346" s="87">
        <v>0</v>
      </c>
      <c r="AD346" s="88">
        <f t="shared" si="66"/>
        <v>0</v>
      </c>
      <c r="AF346" s="54">
        <v>101362</v>
      </c>
      <c r="AQ346" s="80"/>
      <c r="AR346" s="80"/>
    </row>
    <row r="347" spans="1:44" ht="14.4">
      <c r="A347" s="70">
        <v>101383</v>
      </c>
      <c r="B347" s="78" t="str">
        <f>VLOOKUP(A347,'TB for financial'!A:B,2,0)</f>
        <v>Recover from Direct Customer</v>
      </c>
      <c r="D347" s="79">
        <f>VLOOKUP(A347,'TB for financial'!A:F,6,0)</f>
        <v>-1.4551915228366852E-11</v>
      </c>
      <c r="E347" s="80"/>
      <c r="F347" s="79">
        <f>VLOOKUP(A347,'TB for financial'!A:K,11,0)</f>
        <v>-1.4551915228366852E-11</v>
      </c>
      <c r="G347" s="80"/>
      <c r="H347" s="81">
        <f t="shared" si="63"/>
        <v>-1.4551915228366852E-11</v>
      </c>
      <c r="I347" s="81">
        <v>0</v>
      </c>
      <c r="J347" s="81">
        <f t="shared" si="67"/>
        <v>0</v>
      </c>
      <c r="K347" s="80"/>
      <c r="L347" s="82">
        <f t="shared" si="64"/>
        <v>-1.4551915228366852E-11</v>
      </c>
      <c r="M347" s="82">
        <v>0</v>
      </c>
      <c r="N347" s="82">
        <f t="shared" si="65"/>
        <v>0</v>
      </c>
      <c r="O347" s="83"/>
      <c r="P347"/>
      <c r="Q347"/>
      <c r="R347"/>
      <c r="S347"/>
      <c r="U347" s="84" t="s">
        <v>530</v>
      </c>
      <c r="V347" s="80"/>
      <c r="W347" s="82" t="s">
        <v>562</v>
      </c>
      <c r="X347" s="82" t="s">
        <v>563</v>
      </c>
      <c r="Y347" s="85" t="s">
        <v>537</v>
      </c>
      <c r="Z347" s="86" t="s">
        <v>532</v>
      </c>
      <c r="AA347" s="86" t="s">
        <v>19</v>
      </c>
      <c r="AB347" s="86" t="s">
        <v>19</v>
      </c>
      <c r="AC347" s="87">
        <v>0</v>
      </c>
      <c r="AD347" s="88">
        <f t="shared" si="66"/>
        <v>-1.4551915228366852E-11</v>
      </c>
      <c r="AF347" s="54">
        <v>101383</v>
      </c>
      <c r="AQ347" s="80"/>
      <c r="AR347" s="80"/>
    </row>
    <row r="348" spans="1:44" ht="14.4">
      <c r="A348" s="92">
        <v>101384</v>
      </c>
      <c r="B348" s="78" t="str">
        <f>VLOOKUP(A348,'TB for financial'!A:B,2,0)</f>
        <v>Recoverabl Fm Syntel Australia</v>
      </c>
      <c r="D348" s="79">
        <f>VLOOKUP(A348,'TB for financial'!A:F,6,0)</f>
        <v>0</v>
      </c>
      <c r="E348" s="80"/>
      <c r="F348" s="79">
        <f>VLOOKUP(A348,'TB for financial'!A:K,11,0)</f>
        <v>0</v>
      </c>
      <c r="G348" s="80"/>
      <c r="H348" s="81">
        <f t="shared" si="63"/>
        <v>0</v>
      </c>
      <c r="I348" s="81">
        <v>0</v>
      </c>
      <c r="J348" s="81">
        <f t="shared" si="67"/>
        <v>0</v>
      </c>
      <c r="K348" s="80"/>
      <c r="L348" s="82">
        <f t="shared" si="64"/>
        <v>0</v>
      </c>
      <c r="M348" s="82">
        <v>0</v>
      </c>
      <c r="N348" s="82">
        <f t="shared" si="65"/>
        <v>0</v>
      </c>
      <c r="O348" s="83"/>
      <c r="P348"/>
      <c r="Q348"/>
      <c r="R348"/>
      <c r="S348"/>
      <c r="U348" s="84" t="s">
        <v>530</v>
      </c>
      <c r="V348" s="80"/>
      <c r="W348" s="82" t="s">
        <v>562</v>
      </c>
      <c r="X348" s="82" t="s">
        <v>563</v>
      </c>
      <c r="Y348" s="85" t="s">
        <v>537</v>
      </c>
      <c r="Z348" s="86" t="s">
        <v>532</v>
      </c>
      <c r="AA348" s="86" t="s">
        <v>19</v>
      </c>
      <c r="AB348" s="86" t="s">
        <v>19</v>
      </c>
      <c r="AC348" s="87">
        <v>0</v>
      </c>
      <c r="AD348" s="88">
        <f t="shared" si="66"/>
        <v>0</v>
      </c>
      <c r="AF348" s="54">
        <v>101384</v>
      </c>
      <c r="AQ348" s="80"/>
      <c r="AR348" s="80"/>
    </row>
    <row r="349" spans="1:44" ht="14.4">
      <c r="A349" s="70">
        <v>101386</v>
      </c>
      <c r="B349" s="78" t="str">
        <f>VLOOKUP(A349,'TB for financial'!A:B,2,0)</f>
        <v>Advance to Direct Customers</v>
      </c>
      <c r="D349" s="79">
        <f>VLOOKUP(A349,'TB for financial'!A:F,6,0)</f>
        <v>1.9740388088393956E-3</v>
      </c>
      <c r="E349" s="80"/>
      <c r="F349" s="79">
        <f>VLOOKUP(A349,'TB for financial'!A:K,11,0)</f>
        <v>1.9740388088393956E-3</v>
      </c>
      <c r="G349" s="80"/>
      <c r="H349" s="81">
        <f t="shared" si="63"/>
        <v>1.9740388088393956E-3</v>
      </c>
      <c r="I349" s="81">
        <v>0</v>
      </c>
      <c r="J349" s="81">
        <f t="shared" si="67"/>
        <v>0</v>
      </c>
      <c r="K349" s="80"/>
      <c r="L349" s="82">
        <f t="shared" si="64"/>
        <v>1.9740388088393956E-3</v>
      </c>
      <c r="M349" s="82">
        <v>0</v>
      </c>
      <c r="N349" s="82">
        <f t="shared" si="65"/>
        <v>0</v>
      </c>
      <c r="O349" s="83"/>
      <c r="P349"/>
      <c r="Q349"/>
      <c r="R349"/>
      <c r="S349"/>
      <c r="U349" s="84" t="s">
        <v>530</v>
      </c>
      <c r="V349" s="80"/>
      <c r="W349" s="82" t="s">
        <v>562</v>
      </c>
      <c r="X349" s="82" t="s">
        <v>563</v>
      </c>
      <c r="Y349" s="85" t="s">
        <v>537</v>
      </c>
      <c r="Z349" s="86" t="s">
        <v>532</v>
      </c>
      <c r="AA349" s="86" t="s">
        <v>19</v>
      </c>
      <c r="AB349" s="86" t="s">
        <v>19</v>
      </c>
      <c r="AC349" s="87">
        <v>0</v>
      </c>
      <c r="AD349" s="88">
        <f t="shared" si="66"/>
        <v>1.9740388088393956E-3</v>
      </c>
      <c r="AF349" s="54">
        <v>101386</v>
      </c>
      <c r="AQ349" s="80"/>
      <c r="AR349" s="80"/>
    </row>
    <row r="350" spans="1:44" ht="14.4">
      <c r="A350" s="70">
        <v>101387</v>
      </c>
      <c r="B350" s="78" t="str">
        <f>VLOOKUP(A350,'TB for financial'!A:B,2,0)</f>
        <v>Advance  - Syntel Limited</v>
      </c>
      <c r="D350" s="79">
        <f>VLOOKUP(A350,'TB for financial'!A:F,6,0)</f>
        <v>0</v>
      </c>
      <c r="E350" s="80"/>
      <c r="F350" s="79">
        <f>VLOOKUP(A350,'TB for financial'!A:K,11,0)</f>
        <v>0</v>
      </c>
      <c r="G350" s="80"/>
      <c r="H350" s="81">
        <f t="shared" si="63"/>
        <v>0</v>
      </c>
      <c r="I350" s="81">
        <v>0</v>
      </c>
      <c r="J350" s="81">
        <f t="shared" si="67"/>
        <v>0</v>
      </c>
      <c r="K350" s="80"/>
      <c r="L350" s="82">
        <f t="shared" si="64"/>
        <v>0</v>
      </c>
      <c r="M350" s="82">
        <v>0</v>
      </c>
      <c r="N350" s="82">
        <f t="shared" si="65"/>
        <v>0</v>
      </c>
      <c r="O350" s="83"/>
      <c r="P350"/>
      <c r="Q350"/>
      <c r="R350"/>
      <c r="S350"/>
      <c r="U350" s="84"/>
      <c r="V350" s="80"/>
      <c r="W350" s="82"/>
      <c r="X350" s="82"/>
      <c r="Y350" s="85" t="s">
        <v>537</v>
      </c>
      <c r="Z350" s="86" t="s">
        <v>532</v>
      </c>
      <c r="AA350" s="86" t="s">
        <v>19</v>
      </c>
      <c r="AB350" s="86" t="s">
        <v>19</v>
      </c>
      <c r="AC350" s="87">
        <v>0</v>
      </c>
      <c r="AD350" s="88">
        <f t="shared" si="66"/>
        <v>0</v>
      </c>
      <c r="AF350" s="54">
        <v>101387</v>
      </c>
      <c r="AQ350" s="80"/>
      <c r="AR350" s="80"/>
    </row>
    <row r="351" spans="1:44" ht="14.4">
      <c r="A351" s="103">
        <v>101390</v>
      </c>
      <c r="B351" s="78" t="str">
        <f>VLOOKUP(A351,'TB for financial'!A:B,2,0)</f>
        <v>Other Misc Advances</v>
      </c>
      <c r="D351" s="162">
        <f>VLOOKUP(A351,'TB for financial'!A:F,6,0)</f>
        <v>0</v>
      </c>
      <c r="E351" s="80"/>
      <c r="F351" s="79">
        <f>VLOOKUP(A351,'TB for financial'!A:K,11,0)</f>
        <v>0</v>
      </c>
      <c r="G351" s="80"/>
      <c r="H351" s="162">
        <f t="shared" si="63"/>
        <v>0</v>
      </c>
      <c r="I351" s="81">
        <v>0</v>
      </c>
      <c r="J351" s="81">
        <f t="shared" si="67"/>
        <v>0</v>
      </c>
      <c r="K351" s="80"/>
      <c r="L351" s="82">
        <f t="shared" si="64"/>
        <v>0</v>
      </c>
      <c r="M351" s="82">
        <v>0</v>
      </c>
      <c r="N351" s="82">
        <f t="shared" si="65"/>
        <v>0</v>
      </c>
      <c r="O351" s="83"/>
      <c r="P351"/>
      <c r="Q351"/>
      <c r="R351"/>
      <c r="S351"/>
      <c r="U351" s="84" t="s">
        <v>530</v>
      </c>
      <c r="V351" s="80"/>
      <c r="W351" s="82" t="s">
        <v>562</v>
      </c>
      <c r="X351" s="82" t="s">
        <v>563</v>
      </c>
      <c r="Y351" s="85" t="s">
        <v>537</v>
      </c>
      <c r="Z351" s="86" t="s">
        <v>565</v>
      </c>
      <c r="AA351" s="86" t="s">
        <v>28</v>
      </c>
      <c r="AB351" s="86" t="s">
        <v>21</v>
      </c>
      <c r="AC351" s="87">
        <v>0</v>
      </c>
      <c r="AD351" s="88">
        <f t="shared" si="66"/>
        <v>0</v>
      </c>
      <c r="AF351" s="54">
        <v>101390</v>
      </c>
      <c r="AQ351" s="80"/>
      <c r="AR351" s="80"/>
    </row>
    <row r="352" spans="1:44" ht="14.4">
      <c r="A352" s="91">
        <v>101789</v>
      </c>
      <c r="B352" s="78" t="str">
        <f>VLOOKUP(A352,'TB for financial'!A:B,2,0)</f>
        <v>Derivative Assets</v>
      </c>
      <c r="D352" s="79">
        <f>VLOOKUP(A352,'TB for financial'!A:F,6,0)</f>
        <v>0</v>
      </c>
      <c r="E352" s="80"/>
      <c r="F352" s="79">
        <f>VLOOKUP(A352,'TB for financial'!A:K,11,0)</f>
        <v>0</v>
      </c>
      <c r="G352" s="80"/>
      <c r="H352" s="81">
        <f t="shared" si="63"/>
        <v>0</v>
      </c>
      <c r="I352" s="81">
        <v>0</v>
      </c>
      <c r="J352" s="81">
        <f t="shared" si="67"/>
        <v>0</v>
      </c>
      <c r="K352" s="80"/>
      <c r="L352" s="82">
        <f t="shared" si="64"/>
        <v>0</v>
      </c>
      <c r="M352" s="82">
        <v>0</v>
      </c>
      <c r="N352" s="82">
        <f t="shared" si="65"/>
        <v>0</v>
      </c>
      <c r="O352" s="83"/>
      <c r="P352"/>
      <c r="Q352"/>
      <c r="R352"/>
      <c r="S352"/>
      <c r="U352" s="84" t="s">
        <v>530</v>
      </c>
      <c r="V352" s="80"/>
      <c r="W352" s="82" t="s">
        <v>562</v>
      </c>
      <c r="X352" s="82" t="s">
        <v>563</v>
      </c>
      <c r="Y352" s="85" t="s">
        <v>537</v>
      </c>
      <c r="Z352" s="86" t="s">
        <v>532</v>
      </c>
      <c r="AA352" s="86" t="s">
        <v>19</v>
      </c>
      <c r="AB352" s="86" t="s">
        <v>19</v>
      </c>
      <c r="AC352" s="87">
        <v>0</v>
      </c>
      <c r="AD352" s="88">
        <f t="shared" si="66"/>
        <v>0</v>
      </c>
      <c r="AF352" s="54">
        <v>101789</v>
      </c>
      <c r="AQ352" s="80"/>
      <c r="AR352" s="80"/>
    </row>
    <row r="353" spans="1:44" ht="14.4">
      <c r="A353" s="103">
        <v>101785</v>
      </c>
      <c r="B353" s="78" t="str">
        <f>VLOOKUP(A353,'TB for financial'!A:B,2,0)</f>
        <v>Line of Credit-New2usa.com</v>
      </c>
      <c r="D353" s="79">
        <f>VLOOKUP(A353,'TB for financial'!A:F,6,0)</f>
        <v>0</v>
      </c>
      <c r="E353" s="80"/>
      <c r="F353" s="79">
        <f>VLOOKUP(A353,'TB for financial'!A:K,11,0)</f>
        <v>0</v>
      </c>
      <c r="G353" s="80"/>
      <c r="H353" s="81">
        <f t="shared" si="63"/>
        <v>0</v>
      </c>
      <c r="I353" s="81">
        <v>0</v>
      </c>
      <c r="J353" s="81">
        <f t="shared" si="67"/>
        <v>0</v>
      </c>
      <c r="K353" s="80"/>
      <c r="L353" s="82">
        <f t="shared" si="64"/>
        <v>0</v>
      </c>
      <c r="M353" s="82">
        <v>0</v>
      </c>
      <c r="N353" s="82">
        <f t="shared" si="65"/>
        <v>0</v>
      </c>
      <c r="O353" s="83"/>
      <c r="P353"/>
      <c r="Q353"/>
      <c r="R353"/>
      <c r="S353"/>
      <c r="U353" s="84" t="s">
        <v>530</v>
      </c>
      <c r="V353" s="80"/>
      <c r="W353" s="82" t="s">
        <v>562</v>
      </c>
      <c r="X353" s="82" t="s">
        <v>563</v>
      </c>
      <c r="Y353" s="85" t="s">
        <v>537</v>
      </c>
      <c r="Z353" s="86" t="s">
        <v>532</v>
      </c>
      <c r="AA353" s="86" t="s">
        <v>19</v>
      </c>
      <c r="AB353" s="86" t="s">
        <v>19</v>
      </c>
      <c r="AC353" s="87">
        <v>0</v>
      </c>
      <c r="AD353" s="88">
        <f t="shared" si="66"/>
        <v>0</v>
      </c>
      <c r="AF353" s="54">
        <v>101785</v>
      </c>
      <c r="AQ353" s="80"/>
      <c r="AR353" s="80"/>
    </row>
    <row r="354" spans="1:44" ht="14.4">
      <c r="A354" s="1374">
        <v>444550</v>
      </c>
      <c r="B354" s="78" t="str">
        <f>VLOOKUP(A354,'TB for financial'!A:B,2,0)</f>
        <v>WCT TDS Recoverable-HPCL</v>
      </c>
      <c r="D354" s="122">
        <f>VLOOKUP(A354,'TB for financial'!A:F,6,0)</f>
        <v>182830</v>
      </c>
      <c r="E354" s="80"/>
      <c r="F354" s="79">
        <f>VLOOKUP(A354,'TB for financial'!A:K,11,0)</f>
        <v>182830</v>
      </c>
      <c r="G354" s="80"/>
      <c r="H354" s="122">
        <f>D354-I354</f>
        <v>182830</v>
      </c>
      <c r="I354" s="81">
        <v>0</v>
      </c>
      <c r="J354" s="81">
        <f>+D354-H354-I354</f>
        <v>0</v>
      </c>
      <c r="K354" s="80"/>
      <c r="L354" s="82">
        <f>F354-M354</f>
        <v>182830</v>
      </c>
      <c r="M354" s="82">
        <v>0</v>
      </c>
      <c r="N354" s="82">
        <f>+F354-L354-M354</f>
        <v>0</v>
      </c>
      <c r="O354" s="83"/>
      <c r="P354"/>
      <c r="Q354"/>
      <c r="R354"/>
      <c r="S354"/>
      <c r="U354" s="84" t="s">
        <v>530</v>
      </c>
      <c r="V354" s="80"/>
      <c r="W354" s="82" t="s">
        <v>562</v>
      </c>
      <c r="X354" s="82" t="s">
        <v>563</v>
      </c>
      <c r="Y354" s="85" t="s">
        <v>537</v>
      </c>
      <c r="Z354" s="86" t="s">
        <v>532</v>
      </c>
      <c r="AA354" s="86" t="s">
        <v>19</v>
      </c>
      <c r="AB354" s="86" t="s">
        <v>19</v>
      </c>
      <c r="AC354" s="87">
        <v>182830</v>
      </c>
      <c r="AD354" s="88">
        <f>+D354-AC354</f>
        <v>0</v>
      </c>
      <c r="AF354" s="54" t="s">
        <v>2536</v>
      </c>
      <c r="AQ354" s="80">
        <f>D354</f>
        <v>182830</v>
      </c>
      <c r="AR354" s="80"/>
    </row>
    <row r="355" spans="1:44" ht="14.4">
      <c r="A355" s="1374">
        <v>451115</v>
      </c>
      <c r="B355" s="78" t="str">
        <f>VLOOKUP(A355,'TB for financial'!A:B,2,0)</f>
        <v>C/A Syntel Pvt Ltd</v>
      </c>
      <c r="D355" s="162">
        <f>VLOOKUP(A355,'TB for financial'!A:F,6,0)</f>
        <v>-1017231</v>
      </c>
      <c r="E355" s="80"/>
      <c r="F355" s="79">
        <f>VLOOKUP(A355,'TB for financial'!A:K,11,0)</f>
        <v>-1017231</v>
      </c>
      <c r="G355" s="80"/>
      <c r="H355" s="162">
        <f>D355-I355</f>
        <v>-1017231</v>
      </c>
      <c r="I355" s="81">
        <v>0</v>
      </c>
      <c r="J355" s="81">
        <f>+D355-H355-I355</f>
        <v>0</v>
      </c>
      <c r="K355" s="80"/>
      <c r="L355" s="82">
        <f>F355-M355</f>
        <v>-1017231</v>
      </c>
      <c r="M355" s="82">
        <v>0</v>
      </c>
      <c r="N355" s="82">
        <f>+F355-L355-M355</f>
        <v>0</v>
      </c>
      <c r="O355" s="83"/>
      <c r="P355"/>
      <c r="Q355"/>
      <c r="R355"/>
      <c r="S355"/>
      <c r="U355" s="84" t="s">
        <v>530</v>
      </c>
      <c r="V355" s="80"/>
      <c r="W355" s="82" t="s">
        <v>562</v>
      </c>
      <c r="X355" s="82" t="s">
        <v>563</v>
      </c>
      <c r="Y355" s="85" t="s">
        <v>537</v>
      </c>
      <c r="Z355" s="86" t="s">
        <v>532</v>
      </c>
      <c r="AA355" s="86" t="s">
        <v>19</v>
      </c>
      <c r="AB355" s="86" t="s">
        <v>19</v>
      </c>
      <c r="AC355" s="87">
        <v>-171373</v>
      </c>
      <c r="AD355" s="88">
        <f>+D355-AC355</f>
        <v>-845858</v>
      </c>
      <c r="AF355" s="54" t="s">
        <v>2536</v>
      </c>
      <c r="AQ355" s="80">
        <f>D355</f>
        <v>-1017231</v>
      </c>
      <c r="AR355" s="80"/>
    </row>
    <row r="356" spans="1:44" ht="4.5" customHeight="1">
      <c r="A356" s="103"/>
      <c r="B356" s="78"/>
      <c r="D356" s="79"/>
      <c r="E356" s="80"/>
      <c r="F356" s="79"/>
      <c r="G356" s="80"/>
      <c r="H356" s="79"/>
      <c r="I356" s="79"/>
      <c r="J356" s="79"/>
      <c r="K356" s="80"/>
      <c r="L356" s="79"/>
      <c r="M356" s="79"/>
      <c r="N356" s="79"/>
      <c r="O356" s="80"/>
      <c r="P356"/>
      <c r="Q356"/>
      <c r="R356"/>
      <c r="S356"/>
      <c r="U356" s="85"/>
      <c r="V356" s="80"/>
      <c r="W356" s="79"/>
      <c r="X356" s="79"/>
      <c r="Y356" s="85"/>
      <c r="Z356" s="86"/>
      <c r="AA356" s="86"/>
      <c r="AB356" s="86"/>
      <c r="AQ356" s="80"/>
      <c r="AR356" s="80"/>
    </row>
    <row r="357" spans="1:44" ht="14.4">
      <c r="A357" s="103"/>
      <c r="B357" s="71" t="s">
        <v>570</v>
      </c>
      <c r="D357" s="1648">
        <f>SUM(D330:D356)</f>
        <v>-834400.99802596122</v>
      </c>
      <c r="E357" s="96"/>
      <c r="F357" s="139">
        <f>SUM(F330:F356)</f>
        <v>-834400.99802596122</v>
      </c>
      <c r="G357" s="80"/>
      <c r="H357" s="1648">
        <f>SUM(H330:H356)</f>
        <v>-834400.99802596122</v>
      </c>
      <c r="I357" s="141">
        <f>SUM(I330:I356)</f>
        <v>0</v>
      </c>
      <c r="J357" s="141">
        <f>SUM(J330:J356)</f>
        <v>0</v>
      </c>
      <c r="K357" s="80"/>
      <c r="L357" s="141">
        <f>SUM(L330:L356)</f>
        <v>-834400.99802596122</v>
      </c>
      <c r="M357" s="141">
        <f>SUM(M330:M356)</f>
        <v>0</v>
      </c>
      <c r="N357" s="141">
        <f>SUM(N330:N356)</f>
        <v>0</v>
      </c>
      <c r="O357" s="100"/>
      <c r="P357"/>
      <c r="Q357"/>
      <c r="R357"/>
      <c r="S357"/>
      <c r="U357" s="142"/>
      <c r="V357" s="80"/>
      <c r="W357" s="143"/>
      <c r="X357" s="143"/>
      <c r="Y357" s="94"/>
      <c r="Z357" s="86"/>
      <c r="AA357" s="86"/>
      <c r="AB357" s="86"/>
      <c r="AQ357" s="80"/>
      <c r="AR357" s="80"/>
    </row>
    <row r="358" spans="1:44" ht="14.4">
      <c r="A358" s="103"/>
      <c r="B358" s="78"/>
      <c r="D358" s="79"/>
      <c r="E358" s="80"/>
      <c r="F358" s="79"/>
      <c r="G358" s="80"/>
      <c r="H358" s="79"/>
      <c r="I358" s="79"/>
      <c r="J358" s="79"/>
      <c r="K358" s="80"/>
      <c r="L358" s="79"/>
      <c r="M358" s="79"/>
      <c r="N358" s="79"/>
      <c r="O358" s="80"/>
      <c r="P358"/>
      <c r="Q358"/>
      <c r="R358"/>
      <c r="S358"/>
      <c r="U358" s="85"/>
      <c r="V358" s="80"/>
      <c r="W358" s="79"/>
      <c r="X358" s="79"/>
      <c r="Y358" s="85"/>
      <c r="Z358" s="86"/>
      <c r="AA358" s="86"/>
      <c r="AB358" s="86"/>
      <c r="AQ358" s="80"/>
      <c r="AR358" s="80"/>
    </row>
    <row r="359" spans="1:44" ht="14.4">
      <c r="A359" s="103"/>
      <c r="B359" s="78"/>
      <c r="D359" s="79"/>
      <c r="E359" s="80"/>
      <c r="F359" s="79"/>
      <c r="G359" s="80"/>
      <c r="H359" s="79"/>
      <c r="I359" s="79"/>
      <c r="J359" s="79"/>
      <c r="K359" s="80"/>
      <c r="L359" s="79"/>
      <c r="M359" s="79"/>
      <c r="N359" s="79"/>
      <c r="O359" s="80"/>
      <c r="P359"/>
      <c r="Q359"/>
      <c r="R359"/>
      <c r="S359"/>
      <c r="U359" s="85"/>
      <c r="V359" s="80"/>
      <c r="W359" s="79"/>
      <c r="X359" s="79"/>
      <c r="Y359" s="85"/>
      <c r="Z359" s="86"/>
      <c r="AA359" s="86"/>
      <c r="AB359" s="86"/>
      <c r="AQ359" s="80"/>
      <c r="AR359" s="80"/>
    </row>
    <row r="360" spans="1:44" ht="14.4">
      <c r="A360" s="70">
        <v>101336</v>
      </c>
      <c r="B360" s="78" t="str">
        <f>VLOOKUP(A360,'TB for financial'!A:B,2,0)</f>
        <v>Visa Fees Advances - USA</v>
      </c>
      <c r="D360" s="79">
        <f>VLOOKUP(A360,'TB for financial'!A:F,6,0)</f>
        <v>0</v>
      </c>
      <c r="E360" s="80"/>
      <c r="F360" s="79">
        <f>VLOOKUP(A360,'TB for financial'!A:K,11,0)</f>
        <v>0</v>
      </c>
      <c r="G360" s="80"/>
      <c r="H360" s="81">
        <f t="shared" ref="H360:H370" si="68">D360-I360</f>
        <v>0</v>
      </c>
      <c r="I360" s="81">
        <v>0</v>
      </c>
      <c r="J360" s="81">
        <f t="shared" ref="J360:J370" si="69">+D360-H360-I360</f>
        <v>0</v>
      </c>
      <c r="K360" s="80"/>
      <c r="L360" s="82">
        <f t="shared" ref="L360:L370" si="70">F360-M360</f>
        <v>0</v>
      </c>
      <c r="M360" s="82">
        <v>0</v>
      </c>
      <c r="N360" s="82">
        <f t="shared" ref="N360:N370" si="71">+F360-L360-M360</f>
        <v>0</v>
      </c>
      <c r="O360" s="83"/>
      <c r="P360"/>
      <c r="Q360"/>
      <c r="R360"/>
      <c r="S360"/>
      <c r="U360" s="84" t="s">
        <v>530</v>
      </c>
      <c r="V360" s="80"/>
      <c r="W360" s="82" t="s">
        <v>562</v>
      </c>
      <c r="X360" s="82" t="s">
        <v>563</v>
      </c>
      <c r="Y360" s="85" t="s">
        <v>537</v>
      </c>
      <c r="Z360" s="86" t="s">
        <v>565</v>
      </c>
      <c r="AA360" s="86" t="s">
        <v>28</v>
      </c>
      <c r="AB360" s="86" t="s">
        <v>21</v>
      </c>
      <c r="AC360" s="87">
        <v>0</v>
      </c>
      <c r="AD360" s="88">
        <f t="shared" ref="AD360:AD370" si="72">+D360-AC360</f>
        <v>0</v>
      </c>
      <c r="AF360" s="54">
        <v>101336</v>
      </c>
      <c r="AQ360" s="80"/>
      <c r="AR360" s="80"/>
    </row>
    <row r="361" spans="1:44" ht="14.4">
      <c r="A361" s="70">
        <v>101337</v>
      </c>
      <c r="B361" s="78" t="str">
        <f>VLOOKUP(A361,'TB for financial'!A:B,2,0)</f>
        <v>Visa Fees Advances - UK</v>
      </c>
      <c r="D361" s="79">
        <f>VLOOKUP(A361,'TB for financial'!A:F,6,0)</f>
        <v>0</v>
      </c>
      <c r="E361" s="80"/>
      <c r="F361" s="79">
        <f>VLOOKUP(A361,'TB for financial'!A:K,11,0)</f>
        <v>0</v>
      </c>
      <c r="G361" s="80"/>
      <c r="H361" s="81">
        <f t="shared" si="68"/>
        <v>0</v>
      </c>
      <c r="I361" s="81">
        <v>0</v>
      </c>
      <c r="J361" s="81">
        <f t="shared" si="69"/>
        <v>0</v>
      </c>
      <c r="K361" s="80"/>
      <c r="L361" s="82">
        <f t="shared" si="70"/>
        <v>0</v>
      </c>
      <c r="M361" s="82">
        <v>0</v>
      </c>
      <c r="N361" s="82">
        <f t="shared" si="71"/>
        <v>0</v>
      </c>
      <c r="O361" s="83"/>
      <c r="P361"/>
      <c r="Q361"/>
      <c r="R361"/>
      <c r="S361"/>
      <c r="U361" s="84" t="s">
        <v>530</v>
      </c>
      <c r="V361" s="80"/>
      <c r="W361" s="82" t="s">
        <v>562</v>
      </c>
      <c r="X361" s="82" t="s">
        <v>563</v>
      </c>
      <c r="Y361" s="85" t="s">
        <v>537</v>
      </c>
      <c r="Z361" s="86" t="s">
        <v>565</v>
      </c>
      <c r="AA361" s="86" t="s">
        <v>28</v>
      </c>
      <c r="AB361" s="86" t="s">
        <v>21</v>
      </c>
      <c r="AC361" s="87">
        <v>0</v>
      </c>
      <c r="AD361" s="88">
        <f t="shared" si="72"/>
        <v>0</v>
      </c>
      <c r="AF361" s="54">
        <v>101337</v>
      </c>
      <c r="AQ361" s="80"/>
      <c r="AR361" s="80"/>
    </row>
    <row r="362" spans="1:44" ht="14.4">
      <c r="A362" s="70">
        <v>101338</v>
      </c>
      <c r="B362" s="78" t="str">
        <f>VLOOKUP(A362,'TB for financial'!A:B,2,0)</f>
        <v>Visa Fees Advances - Germany</v>
      </c>
      <c r="D362" s="79">
        <f>VLOOKUP(A362,'TB for financial'!A:F,6,0)</f>
        <v>0</v>
      </c>
      <c r="E362" s="80"/>
      <c r="F362" s="79">
        <f>VLOOKUP(A362,'TB for financial'!A:K,11,0)</f>
        <v>0</v>
      </c>
      <c r="G362" s="80"/>
      <c r="H362" s="81">
        <f t="shared" si="68"/>
        <v>0</v>
      </c>
      <c r="I362" s="81">
        <v>0</v>
      </c>
      <c r="J362" s="81">
        <f t="shared" si="69"/>
        <v>0</v>
      </c>
      <c r="K362" s="80"/>
      <c r="L362" s="82">
        <f t="shared" si="70"/>
        <v>0</v>
      </c>
      <c r="M362" s="82">
        <v>0</v>
      </c>
      <c r="N362" s="82">
        <f t="shared" si="71"/>
        <v>0</v>
      </c>
      <c r="O362" s="83"/>
      <c r="P362"/>
      <c r="Q362"/>
      <c r="R362"/>
      <c r="S362"/>
      <c r="U362" s="84" t="s">
        <v>530</v>
      </c>
      <c r="V362" s="80"/>
      <c r="W362" s="82" t="s">
        <v>562</v>
      </c>
      <c r="X362" s="82" t="s">
        <v>563</v>
      </c>
      <c r="Y362" s="85" t="s">
        <v>537</v>
      </c>
      <c r="Z362" s="86" t="s">
        <v>565</v>
      </c>
      <c r="AA362" s="86" t="s">
        <v>28</v>
      </c>
      <c r="AB362" s="86" t="s">
        <v>21</v>
      </c>
      <c r="AC362" s="87">
        <v>0</v>
      </c>
      <c r="AD362" s="88">
        <f t="shared" si="72"/>
        <v>0</v>
      </c>
      <c r="AF362" s="54">
        <v>101338</v>
      </c>
      <c r="AQ362" s="80"/>
      <c r="AR362" s="80"/>
    </row>
    <row r="363" spans="1:44" ht="14.4">
      <c r="A363" s="70">
        <v>101339</v>
      </c>
      <c r="B363" s="78" t="str">
        <f>VLOOKUP(A363,'TB for financial'!A:B,2,0)</f>
        <v>Visa Fees Advances - Others</v>
      </c>
      <c r="D363" s="79">
        <f>VLOOKUP(A363,'TB for financial'!A:F,6,0)</f>
        <v>0</v>
      </c>
      <c r="E363" s="80"/>
      <c r="F363" s="79">
        <f>VLOOKUP(A363,'TB for financial'!A:K,11,0)</f>
        <v>0</v>
      </c>
      <c r="G363" s="80"/>
      <c r="H363" s="81">
        <f t="shared" si="68"/>
        <v>0</v>
      </c>
      <c r="I363" s="81">
        <v>0</v>
      </c>
      <c r="J363" s="81">
        <f t="shared" si="69"/>
        <v>0</v>
      </c>
      <c r="K363" s="80"/>
      <c r="L363" s="82">
        <f t="shared" si="70"/>
        <v>0</v>
      </c>
      <c r="M363" s="82">
        <v>0</v>
      </c>
      <c r="N363" s="82">
        <f t="shared" si="71"/>
        <v>0</v>
      </c>
      <c r="O363" s="83"/>
      <c r="P363"/>
      <c r="Q363"/>
      <c r="R363"/>
      <c r="S363"/>
      <c r="U363" s="84" t="s">
        <v>530</v>
      </c>
      <c r="V363" s="80"/>
      <c r="W363" s="82" t="s">
        <v>562</v>
      </c>
      <c r="X363" s="82" t="s">
        <v>563</v>
      </c>
      <c r="Y363" s="85" t="s">
        <v>537</v>
      </c>
      <c r="Z363" s="86" t="s">
        <v>565</v>
      </c>
      <c r="AA363" s="86" t="s">
        <v>28</v>
      </c>
      <c r="AB363" s="86" t="s">
        <v>21</v>
      </c>
      <c r="AC363" s="87">
        <v>0</v>
      </c>
      <c r="AD363" s="88">
        <f t="shared" si="72"/>
        <v>0</v>
      </c>
      <c r="AF363" s="54">
        <v>101339</v>
      </c>
      <c r="AQ363" s="80"/>
      <c r="AR363" s="80"/>
    </row>
    <row r="364" spans="1:44" ht="14.4">
      <c r="A364" s="70">
        <v>101340</v>
      </c>
      <c r="B364" s="78" t="str">
        <f>VLOOKUP(A364,'TB for financial'!A:B,2,0)</f>
        <v>Sub-Contractor's Advance</v>
      </c>
      <c r="D364" s="79">
        <f>VLOOKUP(A364,'TB for financial'!A:F,6,0)</f>
        <v>0</v>
      </c>
      <c r="E364" s="80"/>
      <c r="F364" s="79">
        <f>VLOOKUP(A364,'TB for financial'!A:K,11,0)</f>
        <v>0</v>
      </c>
      <c r="G364" s="80"/>
      <c r="H364" s="81">
        <f t="shared" si="68"/>
        <v>0</v>
      </c>
      <c r="I364" s="81">
        <v>0</v>
      </c>
      <c r="J364" s="81">
        <f t="shared" si="69"/>
        <v>0</v>
      </c>
      <c r="K364" s="80"/>
      <c r="L364" s="82">
        <f t="shared" si="70"/>
        <v>0</v>
      </c>
      <c r="M364" s="82">
        <v>0</v>
      </c>
      <c r="N364" s="82">
        <f t="shared" si="71"/>
        <v>0</v>
      </c>
      <c r="O364" s="83"/>
      <c r="P364"/>
      <c r="Q364"/>
      <c r="R364"/>
      <c r="S364"/>
      <c r="U364" s="84" t="s">
        <v>530</v>
      </c>
      <c r="V364" s="80"/>
      <c r="W364" s="82" t="s">
        <v>562</v>
      </c>
      <c r="X364" s="82" t="s">
        <v>563</v>
      </c>
      <c r="Y364" s="85" t="s">
        <v>537</v>
      </c>
      <c r="Z364" s="86" t="s">
        <v>565</v>
      </c>
      <c r="AA364" s="86" t="s">
        <v>28</v>
      </c>
      <c r="AB364" s="86" t="s">
        <v>21</v>
      </c>
      <c r="AC364" s="87">
        <v>0</v>
      </c>
      <c r="AD364" s="88">
        <f t="shared" si="72"/>
        <v>0</v>
      </c>
      <c r="AF364" s="54">
        <v>101340</v>
      </c>
      <c r="AQ364" s="80"/>
      <c r="AR364" s="80"/>
    </row>
    <row r="365" spans="1:44" ht="14.4">
      <c r="A365" s="70">
        <v>101360</v>
      </c>
      <c r="B365" s="78" t="str">
        <f>VLOOKUP(A365,'TB for financial'!A:B,2,0)</f>
        <v>Stock Options Suspense - Earni</v>
      </c>
      <c r="D365" s="79">
        <f>VLOOKUP(A365,'TB for financial'!A:F,6,0)</f>
        <v>0</v>
      </c>
      <c r="E365" s="80"/>
      <c r="F365" s="79">
        <f>VLOOKUP(A365,'TB for financial'!A:K,11,0)</f>
        <v>0</v>
      </c>
      <c r="G365" s="80"/>
      <c r="H365" s="81">
        <f t="shared" si="68"/>
        <v>0</v>
      </c>
      <c r="I365" s="81">
        <v>0</v>
      </c>
      <c r="J365" s="81">
        <f t="shared" si="69"/>
        <v>0</v>
      </c>
      <c r="K365" s="80"/>
      <c r="L365" s="82">
        <f t="shared" si="70"/>
        <v>0</v>
      </c>
      <c r="M365" s="82">
        <v>0</v>
      </c>
      <c r="N365" s="82">
        <f t="shared" si="71"/>
        <v>0</v>
      </c>
      <c r="O365" s="83"/>
      <c r="P365"/>
      <c r="Q365"/>
      <c r="R365"/>
      <c r="S365"/>
      <c r="U365" s="84" t="s">
        <v>530</v>
      </c>
      <c r="V365" s="80"/>
      <c r="W365" s="82" t="s">
        <v>562</v>
      </c>
      <c r="X365" s="82" t="s">
        <v>563</v>
      </c>
      <c r="Y365" s="85" t="s">
        <v>537</v>
      </c>
      <c r="Z365" s="86" t="s">
        <v>565</v>
      </c>
      <c r="AA365" s="86" t="s">
        <v>28</v>
      </c>
      <c r="AB365" s="86" t="s">
        <v>21</v>
      </c>
      <c r="AC365" s="87">
        <v>0</v>
      </c>
      <c r="AD365" s="88">
        <f t="shared" si="72"/>
        <v>0</v>
      </c>
      <c r="AF365" s="54">
        <v>101360</v>
      </c>
      <c r="AQ365" s="80"/>
      <c r="AR365" s="80"/>
    </row>
    <row r="366" spans="1:44" ht="14.4">
      <c r="A366" s="70">
        <v>101361</v>
      </c>
      <c r="B366" s="78" t="str">
        <f>VLOOKUP(A366,'TB for financial'!A:B,2,0)</f>
        <v>Stock Options Suspense - Deduc</v>
      </c>
      <c r="D366" s="79">
        <f>VLOOKUP(A366,'TB for financial'!A:F,6,0)</f>
        <v>0</v>
      </c>
      <c r="E366" s="80"/>
      <c r="F366" s="79">
        <f>VLOOKUP(A366,'TB for financial'!A:K,11,0)</f>
        <v>0</v>
      </c>
      <c r="G366" s="80"/>
      <c r="H366" s="81">
        <f t="shared" si="68"/>
        <v>0</v>
      </c>
      <c r="I366" s="81">
        <v>0</v>
      </c>
      <c r="J366" s="81">
        <f t="shared" si="69"/>
        <v>0</v>
      </c>
      <c r="K366" s="80"/>
      <c r="L366" s="82">
        <f t="shared" si="70"/>
        <v>0</v>
      </c>
      <c r="M366" s="82">
        <v>0</v>
      </c>
      <c r="N366" s="82">
        <f t="shared" si="71"/>
        <v>0</v>
      </c>
      <c r="O366" s="83"/>
      <c r="P366"/>
      <c r="Q366"/>
      <c r="R366"/>
      <c r="S366"/>
      <c r="U366" s="84" t="s">
        <v>530</v>
      </c>
      <c r="V366" s="80"/>
      <c r="W366" s="82" t="s">
        <v>562</v>
      </c>
      <c r="X366" s="82" t="s">
        <v>563</v>
      </c>
      <c r="Y366" s="85" t="s">
        <v>537</v>
      </c>
      <c r="Z366" s="86" t="s">
        <v>565</v>
      </c>
      <c r="AA366" s="86" t="s">
        <v>28</v>
      </c>
      <c r="AB366" s="86" t="s">
        <v>21</v>
      </c>
      <c r="AC366" s="87">
        <v>0</v>
      </c>
      <c r="AD366" s="88">
        <f t="shared" si="72"/>
        <v>0</v>
      </c>
      <c r="AF366" s="54">
        <v>101361</v>
      </c>
      <c r="AQ366" s="80"/>
      <c r="AR366" s="80"/>
    </row>
    <row r="367" spans="1:44" ht="14.4">
      <c r="A367" s="103">
        <v>101370</v>
      </c>
      <c r="B367" s="78" t="str">
        <f>VLOOKUP(A367,'TB for financial'!A:B,2,0)</f>
        <v>Officer Advances</v>
      </c>
      <c r="D367" s="79">
        <f>VLOOKUP(A367,'TB for financial'!A:F,6,0)</f>
        <v>0</v>
      </c>
      <c r="E367" s="80"/>
      <c r="F367" s="79">
        <f>VLOOKUP(A367,'TB for financial'!A:K,11,0)</f>
        <v>0</v>
      </c>
      <c r="G367" s="80"/>
      <c r="H367" s="81">
        <f t="shared" si="68"/>
        <v>0</v>
      </c>
      <c r="I367" s="81">
        <v>0</v>
      </c>
      <c r="J367" s="81">
        <f t="shared" si="69"/>
        <v>0</v>
      </c>
      <c r="K367" s="80"/>
      <c r="L367" s="82">
        <f t="shared" si="70"/>
        <v>0</v>
      </c>
      <c r="M367" s="82">
        <v>0</v>
      </c>
      <c r="N367" s="82">
        <f t="shared" si="71"/>
        <v>0</v>
      </c>
      <c r="O367" s="83"/>
      <c r="P367"/>
      <c r="Q367"/>
      <c r="R367"/>
      <c r="S367"/>
      <c r="U367" s="84" t="s">
        <v>530</v>
      </c>
      <c r="V367" s="80"/>
      <c r="W367" s="82" t="s">
        <v>562</v>
      </c>
      <c r="X367" s="82" t="s">
        <v>563</v>
      </c>
      <c r="Y367" s="85" t="s">
        <v>537</v>
      </c>
      <c r="Z367" s="86" t="s">
        <v>565</v>
      </c>
      <c r="AA367" s="86" t="s">
        <v>28</v>
      </c>
      <c r="AB367" s="86" t="s">
        <v>21</v>
      </c>
      <c r="AC367" s="87">
        <v>0</v>
      </c>
      <c r="AD367" s="88">
        <f t="shared" si="72"/>
        <v>0</v>
      </c>
      <c r="AF367" s="54">
        <v>101370</v>
      </c>
      <c r="AQ367" s="80"/>
      <c r="AR367" s="80"/>
    </row>
    <row r="368" spans="1:44" ht="14.4">
      <c r="A368" s="70">
        <v>101475</v>
      </c>
      <c r="B368" s="78" t="str">
        <f>VLOOKUP(A368,'TB for financial'!A:B,2,0)</f>
        <v>Prepaid Other</v>
      </c>
      <c r="D368" s="79">
        <f>-VLOOKUP(A368,'TB for financial'!A:F,6,0)</f>
        <v>0</v>
      </c>
      <c r="E368" s="80"/>
      <c r="F368" s="79">
        <f>-VLOOKUP(A368,'TB for financial'!A:K,11,0)</f>
        <v>0</v>
      </c>
      <c r="G368" s="80"/>
      <c r="H368" s="81">
        <f t="shared" si="68"/>
        <v>0</v>
      </c>
      <c r="I368" s="81">
        <v>0</v>
      </c>
      <c r="J368" s="81">
        <f t="shared" si="69"/>
        <v>0</v>
      </c>
      <c r="K368" s="80"/>
      <c r="L368" s="82">
        <f t="shared" si="70"/>
        <v>0</v>
      </c>
      <c r="M368" s="82">
        <v>0</v>
      </c>
      <c r="N368" s="82">
        <f t="shared" si="71"/>
        <v>0</v>
      </c>
      <c r="O368" s="83"/>
      <c r="P368"/>
      <c r="Q368"/>
      <c r="R368"/>
      <c r="S368"/>
      <c r="U368" s="84" t="s">
        <v>530</v>
      </c>
      <c r="V368" s="80"/>
      <c r="W368" s="82" t="s">
        <v>562</v>
      </c>
      <c r="X368" s="82" t="s">
        <v>563</v>
      </c>
      <c r="Y368" s="85" t="s">
        <v>571</v>
      </c>
      <c r="Z368" s="86" t="s">
        <v>572</v>
      </c>
      <c r="AA368" s="86" t="s">
        <v>46</v>
      </c>
      <c r="AB368" s="86" t="s">
        <v>46</v>
      </c>
      <c r="AC368" s="87">
        <v>0</v>
      </c>
      <c r="AD368" s="88">
        <f t="shared" si="72"/>
        <v>0</v>
      </c>
      <c r="AF368" s="54">
        <v>101475</v>
      </c>
      <c r="AQ368" s="80"/>
      <c r="AR368" s="80"/>
    </row>
    <row r="369" spans="1:44" ht="14.4">
      <c r="A369" s="70">
        <v>101202</v>
      </c>
      <c r="B369" s="78" t="str">
        <f>VLOOKUP(A369,'TB for financial'!A:B,2,0)</f>
        <v>Deferred Cost-WIP</v>
      </c>
      <c r="D369" s="79">
        <f>VLOOKUP(A369,'TB for financial'!A:F,6,0)</f>
        <v>0</v>
      </c>
      <c r="E369" s="80"/>
      <c r="F369" s="79">
        <f>VLOOKUP(A369,'TB for financial'!A:K,11,0)</f>
        <v>0</v>
      </c>
      <c r="G369" s="80"/>
      <c r="H369" s="81">
        <f t="shared" si="68"/>
        <v>0</v>
      </c>
      <c r="I369" s="81">
        <v>0</v>
      </c>
      <c r="J369" s="81">
        <f t="shared" si="69"/>
        <v>0</v>
      </c>
      <c r="K369" s="80"/>
      <c r="L369" s="82">
        <f t="shared" si="70"/>
        <v>0</v>
      </c>
      <c r="M369" s="82">
        <v>0</v>
      </c>
      <c r="N369" s="82">
        <f t="shared" si="71"/>
        <v>0</v>
      </c>
      <c r="O369" s="83"/>
      <c r="P369"/>
      <c r="Q369"/>
      <c r="R369"/>
      <c r="S369"/>
      <c r="U369" s="84" t="s">
        <v>530</v>
      </c>
      <c r="V369" s="80"/>
      <c r="W369" s="82" t="s">
        <v>562</v>
      </c>
      <c r="X369" s="82" t="s">
        <v>563</v>
      </c>
      <c r="Y369" s="85" t="s">
        <v>537</v>
      </c>
      <c r="Z369" s="86" t="s">
        <v>565</v>
      </c>
      <c r="AA369" s="86" t="s">
        <v>28</v>
      </c>
      <c r="AB369" s="86" t="s">
        <v>21</v>
      </c>
      <c r="AC369" s="87">
        <v>0</v>
      </c>
      <c r="AD369" s="88">
        <f t="shared" si="72"/>
        <v>0</v>
      </c>
      <c r="AF369" s="54">
        <v>101202</v>
      </c>
      <c r="AQ369" s="80"/>
      <c r="AR369" s="80"/>
    </row>
    <row r="370" spans="1:44" ht="14.4">
      <c r="A370" s="103">
        <v>101795</v>
      </c>
      <c r="B370" s="78" t="str">
        <f>VLOOKUP(A370,'TB for financial'!A:B,2,0)</f>
        <v>Preliminary Expenses</v>
      </c>
      <c r="D370" s="79">
        <f>VLOOKUP(A370,'TB for financial'!A:F,6,0)</f>
        <v>0</v>
      </c>
      <c r="E370" s="80"/>
      <c r="F370" s="79">
        <f>VLOOKUP(A370,'TB for financial'!A:K,11,0)</f>
        <v>0</v>
      </c>
      <c r="G370" s="80"/>
      <c r="H370" s="81">
        <f t="shared" si="68"/>
        <v>0</v>
      </c>
      <c r="I370" s="81">
        <v>0</v>
      </c>
      <c r="J370" s="81">
        <f t="shared" si="69"/>
        <v>0</v>
      </c>
      <c r="K370" s="80"/>
      <c r="L370" s="82">
        <f t="shared" si="70"/>
        <v>0</v>
      </c>
      <c r="M370" s="82">
        <v>0</v>
      </c>
      <c r="N370" s="82">
        <f t="shared" si="71"/>
        <v>0</v>
      </c>
      <c r="O370" s="83"/>
      <c r="P370"/>
      <c r="Q370"/>
      <c r="R370"/>
      <c r="S370"/>
      <c r="U370" s="84" t="s">
        <v>530</v>
      </c>
      <c r="V370" s="80"/>
      <c r="W370" s="82" t="s">
        <v>562</v>
      </c>
      <c r="X370" s="82" t="s">
        <v>563</v>
      </c>
      <c r="Y370" s="85" t="s">
        <v>537</v>
      </c>
      <c r="Z370" s="86" t="s">
        <v>565</v>
      </c>
      <c r="AA370" s="86" t="s">
        <v>28</v>
      </c>
      <c r="AB370" s="86" t="s">
        <v>21</v>
      </c>
      <c r="AC370" s="87">
        <v>0</v>
      </c>
      <c r="AD370" s="88">
        <f t="shared" si="72"/>
        <v>0</v>
      </c>
      <c r="AF370" s="54">
        <v>101795</v>
      </c>
      <c r="AQ370" s="80"/>
      <c r="AR370" s="80"/>
    </row>
    <row r="371" spans="1:44" ht="5.0999999999999996" customHeight="1">
      <c r="A371" s="103"/>
      <c r="B371" s="104"/>
      <c r="D371" s="79"/>
      <c r="E371" s="80"/>
      <c r="F371" s="79"/>
      <c r="G371" s="80"/>
      <c r="H371" s="81"/>
      <c r="I371" s="81"/>
      <c r="J371" s="81"/>
      <c r="K371" s="80"/>
      <c r="L371" s="82"/>
      <c r="M371" s="82">
        <v>0</v>
      </c>
      <c r="N371" s="82">
        <f>+F371-L371-M371</f>
        <v>0</v>
      </c>
      <c r="O371" s="83"/>
      <c r="P371"/>
      <c r="Q371"/>
      <c r="R371"/>
      <c r="S371"/>
      <c r="U371" s="84"/>
      <c r="V371" s="80"/>
      <c r="W371" s="82"/>
      <c r="X371" s="82"/>
      <c r="Y371" s="94"/>
      <c r="Z371" s="86"/>
      <c r="AA371" s="86"/>
      <c r="AB371" s="86"/>
      <c r="AQ371" s="80"/>
      <c r="AR371" s="80"/>
    </row>
    <row r="372" spans="1:44" ht="14.4">
      <c r="A372" s="103"/>
      <c r="B372" s="71" t="s">
        <v>570</v>
      </c>
      <c r="D372" s="138">
        <f>SUM(D360:D371)</f>
        <v>0</v>
      </c>
      <c r="E372" s="96"/>
      <c r="F372" s="139">
        <f>SUM(F360:F371)</f>
        <v>0</v>
      </c>
      <c r="G372" s="80"/>
      <c r="H372" s="140">
        <f>SUM(H360:H371)</f>
        <v>0</v>
      </c>
      <c r="I372" s="141">
        <f>SUM(I360:I371)</f>
        <v>0</v>
      </c>
      <c r="J372" s="141">
        <f>SUM(J360:J371)</f>
        <v>0</v>
      </c>
      <c r="K372" s="80"/>
      <c r="L372" s="141">
        <f>SUM(L360:L371)</f>
        <v>0</v>
      </c>
      <c r="M372" s="141">
        <f>SUM(M360:M371)</f>
        <v>0</v>
      </c>
      <c r="N372" s="141">
        <f>SUM(N360:N371)</f>
        <v>0</v>
      </c>
      <c r="O372" s="100"/>
      <c r="P372"/>
      <c r="Q372"/>
      <c r="R372"/>
      <c r="S372"/>
      <c r="U372" s="142"/>
      <c r="V372" s="80"/>
      <c r="W372" s="143"/>
      <c r="X372" s="143"/>
      <c r="Y372" s="94"/>
      <c r="Z372" s="86"/>
      <c r="AA372" s="86"/>
      <c r="AB372" s="86"/>
      <c r="AQ372" s="80"/>
      <c r="AR372" s="80"/>
    </row>
    <row r="373" spans="1:44" ht="4.5" customHeight="1">
      <c r="A373" s="70"/>
      <c r="B373" s="78"/>
      <c r="D373" s="79"/>
      <c r="E373" s="80"/>
      <c r="F373" s="79"/>
      <c r="G373" s="80"/>
      <c r="H373" s="81"/>
      <c r="I373" s="81"/>
      <c r="J373" s="81"/>
      <c r="K373" s="80"/>
      <c r="L373" s="81"/>
      <c r="M373" s="81"/>
      <c r="N373" s="82">
        <f>+F373-L373-M373</f>
        <v>0</v>
      </c>
      <c r="O373" s="83"/>
      <c r="P373"/>
      <c r="Q373"/>
      <c r="R373"/>
      <c r="S373"/>
      <c r="U373" s="84"/>
      <c r="V373" s="80"/>
      <c r="W373" s="82"/>
      <c r="X373" s="82"/>
      <c r="Y373" s="94"/>
      <c r="Z373" s="86"/>
      <c r="AA373" s="86"/>
      <c r="AB373" s="86"/>
      <c r="AQ373" s="80"/>
      <c r="AR373" s="80"/>
    </row>
    <row r="374" spans="1:44" ht="11.25" customHeight="1">
      <c r="A374" s="70"/>
      <c r="B374" s="78"/>
      <c r="D374" s="79"/>
      <c r="E374" s="80"/>
      <c r="F374" s="79"/>
      <c r="G374" s="80"/>
      <c r="H374" s="81"/>
      <c r="I374" s="81"/>
      <c r="J374" s="81"/>
      <c r="K374" s="80"/>
      <c r="L374" s="81"/>
      <c r="M374" s="81"/>
      <c r="N374" s="82"/>
      <c r="O374" s="83"/>
      <c r="P374"/>
      <c r="Q374"/>
      <c r="R374"/>
      <c r="S374"/>
      <c r="U374" s="84"/>
      <c r="V374" s="80"/>
      <c r="W374" s="82"/>
      <c r="X374" s="82"/>
      <c r="Y374" s="94"/>
      <c r="Z374" s="86"/>
      <c r="AA374" s="86"/>
      <c r="AB374" s="86"/>
      <c r="AQ374" s="80"/>
      <c r="AR374" s="80"/>
    </row>
    <row r="375" spans="1:44" ht="9.75" customHeight="1">
      <c r="A375" s="70"/>
      <c r="B375" s="78"/>
      <c r="D375" s="79"/>
      <c r="E375" s="80"/>
      <c r="F375" s="79"/>
      <c r="G375" s="80"/>
      <c r="H375" s="81"/>
      <c r="I375" s="81"/>
      <c r="J375" s="81"/>
      <c r="K375" s="80"/>
      <c r="L375" s="81"/>
      <c r="M375" s="81"/>
      <c r="N375" s="82"/>
      <c r="O375" s="83"/>
      <c r="P375"/>
      <c r="Q375"/>
      <c r="R375"/>
      <c r="S375"/>
      <c r="U375" s="84"/>
      <c r="V375" s="80"/>
      <c r="W375" s="82"/>
      <c r="X375" s="82"/>
      <c r="Y375" s="94"/>
      <c r="Z375" s="86"/>
      <c r="AA375" s="86"/>
      <c r="AB375" s="86"/>
      <c r="AQ375" s="80"/>
      <c r="AR375" s="80"/>
    </row>
    <row r="376" spans="1:44" ht="14.4">
      <c r="A376" s="89">
        <v>101798</v>
      </c>
      <c r="B376" s="78" t="str">
        <f>VLOOKUP(A376,'TB for financial'!A:B,2,0)</f>
        <v>Min Alt Tax Credit entitlement</v>
      </c>
      <c r="D376" s="79">
        <f>VLOOKUP(A376,'TB for financial'!A:F,6,0)*0</f>
        <v>0</v>
      </c>
      <c r="E376" s="80"/>
      <c r="F376" s="79">
        <f>VLOOKUP(A376,'TB for financial'!A:K,11,0)*0</f>
        <v>0</v>
      </c>
      <c r="G376" s="80"/>
      <c r="H376" s="81">
        <f>D376-I376</f>
        <v>0</v>
      </c>
      <c r="I376" s="81">
        <f>+D376</f>
        <v>0</v>
      </c>
      <c r="J376" s="81">
        <f>+D376-H376-I376</f>
        <v>0</v>
      </c>
      <c r="K376" s="80"/>
      <c r="L376" s="82">
        <f>F376-M376</f>
        <v>0</v>
      </c>
      <c r="M376" s="82">
        <f>8099779.45935312*0</f>
        <v>0</v>
      </c>
      <c r="N376" s="82">
        <f>+F376-L376-M376</f>
        <v>0</v>
      </c>
      <c r="O376" s="83"/>
      <c r="P376"/>
      <c r="Q376"/>
      <c r="R376"/>
      <c r="S376"/>
      <c r="U376" s="84" t="s">
        <v>535</v>
      </c>
      <c r="V376" s="80"/>
      <c r="W376" s="82" t="s">
        <v>562</v>
      </c>
      <c r="X376" s="82" t="s">
        <v>563</v>
      </c>
      <c r="Y376" s="85" t="s">
        <v>537</v>
      </c>
      <c r="Z376" s="86" t="s">
        <v>565</v>
      </c>
      <c r="AA376" s="86" t="s">
        <v>28</v>
      </c>
      <c r="AB376" s="86" t="s">
        <v>21</v>
      </c>
      <c r="AC376" s="87">
        <v>0</v>
      </c>
      <c r="AD376" s="88">
        <f>+D376-AC376</f>
        <v>0</v>
      </c>
      <c r="AF376" s="54">
        <v>101798</v>
      </c>
      <c r="AQ376" s="80"/>
      <c r="AR376" s="80"/>
    </row>
    <row r="377" spans="1:44" ht="14.4">
      <c r="A377" s="85"/>
      <c r="B377" s="71"/>
      <c r="D377" s="115"/>
      <c r="E377" s="96"/>
      <c r="F377" s="115"/>
      <c r="G377" s="80"/>
      <c r="H377" s="81">
        <v>0</v>
      </c>
      <c r="I377" s="148">
        <f>D377-H377</f>
        <v>0</v>
      </c>
      <c r="J377" s="116"/>
      <c r="K377" s="80"/>
      <c r="L377" s="116"/>
      <c r="M377" s="116"/>
      <c r="N377" s="116"/>
      <c r="O377" s="100"/>
      <c r="P377"/>
      <c r="Q377"/>
      <c r="R377"/>
      <c r="S377"/>
      <c r="U377" s="117"/>
      <c r="V377" s="80"/>
      <c r="W377" s="118"/>
      <c r="X377" s="118"/>
      <c r="Y377" s="94"/>
      <c r="Z377" s="86"/>
      <c r="AA377" s="86"/>
      <c r="AB377" s="86"/>
      <c r="AQ377" s="80"/>
      <c r="AR377" s="80"/>
    </row>
    <row r="378" spans="1:44" ht="14.4">
      <c r="A378" s="103">
        <v>101797</v>
      </c>
      <c r="B378" s="78" t="str">
        <f>VLOOKUP(A378,'TB for financial'!A:B,2,0)</f>
        <v>VAT Recoverable ( Chennai)</v>
      </c>
      <c r="D378" s="79">
        <f>VLOOKUP(A378,'TB for financial'!A:F,6,0)</f>
        <v>0</v>
      </c>
      <c r="E378" s="80"/>
      <c r="F378" s="79">
        <f>VLOOKUP(A378,'TB for financial'!A:K,11,0)</f>
        <v>0</v>
      </c>
      <c r="G378" s="80"/>
      <c r="H378" s="81">
        <f t="shared" ref="H378:H406" si="73">D378-I378</f>
        <v>0</v>
      </c>
      <c r="I378" s="81">
        <v>0</v>
      </c>
      <c r="J378" s="81">
        <f t="shared" ref="J378:J406" si="74">+D378-H378-I378</f>
        <v>0</v>
      </c>
      <c r="K378" s="80"/>
      <c r="L378" s="82">
        <f t="shared" ref="L378:L406" si="75">F378-M378</f>
        <v>0</v>
      </c>
      <c r="M378" s="82">
        <v>0</v>
      </c>
      <c r="N378" s="82">
        <f t="shared" ref="N378:N386" si="76">+F378-L378-M378</f>
        <v>0</v>
      </c>
      <c r="O378" s="83"/>
      <c r="P378"/>
      <c r="Q378"/>
      <c r="R378"/>
      <c r="S378"/>
      <c r="U378" s="84" t="s">
        <v>530</v>
      </c>
      <c r="V378" s="80"/>
      <c r="W378" s="82" t="s">
        <v>562</v>
      </c>
      <c r="X378" s="82" t="s">
        <v>563</v>
      </c>
      <c r="Y378" s="85" t="s">
        <v>537</v>
      </c>
      <c r="Z378" s="86" t="s">
        <v>565</v>
      </c>
      <c r="AA378" s="86" t="s">
        <v>28</v>
      </c>
      <c r="AB378" s="86" t="s">
        <v>21</v>
      </c>
      <c r="AC378" s="87">
        <v>0</v>
      </c>
      <c r="AD378" s="88">
        <f t="shared" ref="AD378:AD406" si="77">+D378-AC378</f>
        <v>0</v>
      </c>
      <c r="AF378" s="54">
        <v>101797</v>
      </c>
      <c r="AQ378" s="80"/>
      <c r="AR378" s="80"/>
    </row>
    <row r="379" spans="1:44" ht="14.4">
      <c r="A379" s="103">
        <v>101794</v>
      </c>
      <c r="B379" s="78" t="str">
        <f>VLOOKUP(A379,'TB for financial'!A:B,2,0)</f>
        <v>Sales Tax Recoverable</v>
      </c>
      <c r="D379" s="79">
        <f>VLOOKUP(A379,'TB for financial'!A:F,6,0)</f>
        <v>0</v>
      </c>
      <c r="E379" s="80"/>
      <c r="F379" s="79">
        <f>VLOOKUP(A379,'TB for financial'!A:K,11,0)</f>
        <v>0</v>
      </c>
      <c r="G379" s="80"/>
      <c r="H379" s="81">
        <f t="shared" si="73"/>
        <v>0</v>
      </c>
      <c r="I379" s="81">
        <v>0</v>
      </c>
      <c r="J379" s="81">
        <f t="shared" si="74"/>
        <v>0</v>
      </c>
      <c r="K379" s="80"/>
      <c r="L379" s="82">
        <f t="shared" si="75"/>
        <v>0</v>
      </c>
      <c r="M379" s="82">
        <v>0</v>
      </c>
      <c r="N379" s="82">
        <f t="shared" si="76"/>
        <v>0</v>
      </c>
      <c r="O379" s="83"/>
      <c r="P379"/>
      <c r="Q379"/>
      <c r="R379"/>
      <c r="S379"/>
      <c r="U379" s="84" t="s">
        <v>530</v>
      </c>
      <c r="V379" s="80"/>
      <c r="W379" s="82" t="s">
        <v>562</v>
      </c>
      <c r="X379" s="82" t="s">
        <v>563</v>
      </c>
      <c r="Y379" s="85" t="s">
        <v>537</v>
      </c>
      <c r="Z379" s="86" t="s">
        <v>565</v>
      </c>
      <c r="AA379" s="86" t="s">
        <v>28</v>
      </c>
      <c r="AB379" s="86" t="s">
        <v>21</v>
      </c>
      <c r="AC379" s="87">
        <v>0</v>
      </c>
      <c r="AD379" s="88">
        <f t="shared" si="77"/>
        <v>0</v>
      </c>
      <c r="AF379" s="54">
        <v>101794</v>
      </c>
      <c r="AQ379" s="80"/>
      <c r="AR379" s="80"/>
    </row>
    <row r="380" spans="1:44" ht="14.4">
      <c r="A380" s="89">
        <v>101799</v>
      </c>
      <c r="B380" s="78" t="str">
        <f>VLOOKUP(A380,'TB for financial'!A:B,2,0)</f>
        <v>S&amp;H Educational Cess Recover</v>
      </c>
      <c r="D380" s="79">
        <f>VLOOKUP(A380,'TB for financial'!A:F,6,0)</f>
        <v>2.4000000012165401E-3</v>
      </c>
      <c r="E380" s="80"/>
      <c r="F380" s="79">
        <f>VLOOKUP(A380,'TB for financial'!A:K,11,0)</f>
        <v>2.4000000012165401E-3</v>
      </c>
      <c r="G380" s="80"/>
      <c r="H380" s="81">
        <f t="shared" si="73"/>
        <v>2.4000000012165401E-3</v>
      </c>
      <c r="I380" s="81">
        <v>0</v>
      </c>
      <c r="J380" s="81">
        <f t="shared" si="74"/>
        <v>0</v>
      </c>
      <c r="K380" s="80"/>
      <c r="L380" s="82">
        <f t="shared" si="75"/>
        <v>2.4000000012165401E-3</v>
      </c>
      <c r="M380" s="82">
        <v>0</v>
      </c>
      <c r="N380" s="82">
        <f t="shared" si="76"/>
        <v>0</v>
      </c>
      <c r="O380" s="83"/>
      <c r="P380"/>
      <c r="Q380"/>
      <c r="R380"/>
      <c r="S380"/>
      <c r="U380" s="84" t="s">
        <v>535</v>
      </c>
      <c r="V380" s="80"/>
      <c r="W380" s="82" t="s">
        <v>562</v>
      </c>
      <c r="X380" s="82" t="s">
        <v>563</v>
      </c>
      <c r="Y380" s="85" t="s">
        <v>537</v>
      </c>
      <c r="Z380" s="86" t="s">
        <v>565</v>
      </c>
      <c r="AA380" s="86" t="s">
        <v>28</v>
      </c>
      <c r="AB380" s="86" t="s">
        <v>21</v>
      </c>
      <c r="AC380" s="87">
        <v>0</v>
      </c>
      <c r="AD380" s="88">
        <f t="shared" si="77"/>
        <v>2.4000000012165401E-3</v>
      </c>
      <c r="AF380" s="54">
        <v>101799</v>
      </c>
      <c r="AQ380" s="80"/>
      <c r="AR380" s="80"/>
    </row>
    <row r="381" spans="1:44" ht="14.4">
      <c r="A381" s="89">
        <v>101788</v>
      </c>
      <c r="B381" s="78" t="str">
        <f>VLOOKUP(A381,'TB for financial'!A:B,2,0)</f>
        <v>Educational Cess Recoverable</v>
      </c>
      <c r="D381" s="79">
        <f>VLOOKUP(A381,'TB for financial'!A:F,6,0)</f>
        <v>-5.1999999996041879E-3</v>
      </c>
      <c r="E381" s="80"/>
      <c r="F381" s="79">
        <f>VLOOKUP(A381,'TB for financial'!A:K,11,0)</f>
        <v>-5.1999999996041879E-3</v>
      </c>
      <c r="G381" s="80"/>
      <c r="H381" s="81">
        <f t="shared" si="73"/>
        <v>-5.1999999996041879E-3</v>
      </c>
      <c r="I381" s="81">
        <v>0</v>
      </c>
      <c r="J381" s="81">
        <f t="shared" si="74"/>
        <v>0</v>
      </c>
      <c r="K381" s="80"/>
      <c r="L381" s="82">
        <f t="shared" si="75"/>
        <v>-5.1999999996041879E-3</v>
      </c>
      <c r="M381" s="82">
        <v>0</v>
      </c>
      <c r="N381" s="82">
        <f t="shared" si="76"/>
        <v>0</v>
      </c>
      <c r="O381" s="83"/>
      <c r="P381"/>
      <c r="Q381"/>
      <c r="R381"/>
      <c r="S381"/>
      <c r="U381" s="84" t="s">
        <v>535</v>
      </c>
      <c r="V381" s="80"/>
      <c r="W381" s="82" t="s">
        <v>562</v>
      </c>
      <c r="X381" s="82" t="s">
        <v>563</v>
      </c>
      <c r="Y381" s="85" t="s">
        <v>537</v>
      </c>
      <c r="Z381" s="86" t="s">
        <v>565</v>
      </c>
      <c r="AA381" s="86" t="s">
        <v>28</v>
      </c>
      <c r="AB381" s="86" t="s">
        <v>21</v>
      </c>
      <c r="AC381" s="87">
        <v>0</v>
      </c>
      <c r="AD381" s="88">
        <f t="shared" si="77"/>
        <v>-5.1999999996041879E-3</v>
      </c>
      <c r="AF381" s="54">
        <v>101788</v>
      </c>
      <c r="AQ381" s="80"/>
      <c r="AR381" s="80"/>
    </row>
    <row r="382" spans="1:44" ht="14.4">
      <c r="A382" s="89">
        <v>101796</v>
      </c>
      <c r="B382" s="78" t="str">
        <f>VLOOKUP(A382,'TB for financial'!A:B,2,0)</f>
        <v>Octroi Recoverable</v>
      </c>
      <c r="D382" s="79">
        <f>VLOOKUP(A382,'TB for financial'!A:F,6,0)</f>
        <v>0</v>
      </c>
      <c r="E382" s="80"/>
      <c r="F382" s="79">
        <f>VLOOKUP(A382,'TB for financial'!A:K,11,0)</f>
        <v>0</v>
      </c>
      <c r="G382" s="80"/>
      <c r="H382" s="81">
        <f t="shared" si="73"/>
        <v>0</v>
      </c>
      <c r="I382" s="122"/>
      <c r="J382" s="81">
        <f t="shared" si="74"/>
        <v>0</v>
      </c>
      <c r="K382" s="80"/>
      <c r="L382" s="82">
        <f t="shared" si="75"/>
        <v>0</v>
      </c>
      <c r="M382" s="82">
        <v>0</v>
      </c>
      <c r="N382" s="82">
        <f t="shared" si="76"/>
        <v>0</v>
      </c>
      <c r="O382" s="83"/>
      <c r="P382"/>
      <c r="Q382"/>
      <c r="R382"/>
      <c r="S382"/>
      <c r="U382" s="84" t="s">
        <v>535</v>
      </c>
      <c r="V382" s="80"/>
      <c r="W382" s="82" t="s">
        <v>562</v>
      </c>
      <c r="X382" s="82" t="s">
        <v>563</v>
      </c>
      <c r="Y382" s="85" t="s">
        <v>537</v>
      </c>
      <c r="Z382" s="86" t="s">
        <v>565</v>
      </c>
      <c r="AA382" s="86" t="s">
        <v>28</v>
      </c>
      <c r="AB382" s="86" t="s">
        <v>21</v>
      </c>
      <c r="AC382" s="87">
        <v>0</v>
      </c>
      <c r="AD382" s="88">
        <f t="shared" si="77"/>
        <v>0</v>
      </c>
      <c r="AF382" s="54">
        <v>101796</v>
      </c>
      <c r="AQ382" s="80"/>
      <c r="AR382" s="80"/>
    </row>
    <row r="383" spans="1:44" ht="14.4">
      <c r="A383" s="103">
        <v>101791</v>
      </c>
      <c r="B383" s="78" t="str">
        <f>VLOOKUP(A383,'TB for financial'!A:B,2,0)</f>
        <v>CST Refundable</v>
      </c>
      <c r="D383" s="79">
        <f>VLOOKUP(A383,'TB for financial'!A:F,6,0)</f>
        <v>0</v>
      </c>
      <c r="E383" s="80"/>
      <c r="F383" s="79">
        <f>VLOOKUP(A383,'TB for financial'!A:K,11,0)</f>
        <v>0</v>
      </c>
      <c r="G383" s="80"/>
      <c r="H383" s="81">
        <f t="shared" si="73"/>
        <v>0</v>
      </c>
      <c r="I383" s="81">
        <v>0</v>
      </c>
      <c r="J383" s="81">
        <f t="shared" si="74"/>
        <v>0</v>
      </c>
      <c r="K383" s="80"/>
      <c r="L383" s="82">
        <f t="shared" si="75"/>
        <v>0</v>
      </c>
      <c r="M383" s="82">
        <v>0</v>
      </c>
      <c r="N383" s="82">
        <f t="shared" si="76"/>
        <v>0</v>
      </c>
      <c r="O383" s="83"/>
      <c r="P383"/>
      <c r="Q383"/>
      <c r="R383"/>
      <c r="S383"/>
      <c r="U383" s="84" t="s">
        <v>535</v>
      </c>
      <c r="V383" s="80"/>
      <c r="W383" s="82" t="s">
        <v>562</v>
      </c>
      <c r="X383" s="82" t="s">
        <v>563</v>
      </c>
      <c r="Y383" s="85" t="s">
        <v>537</v>
      </c>
      <c r="Z383" s="86" t="s">
        <v>565</v>
      </c>
      <c r="AA383" s="86" t="s">
        <v>28</v>
      </c>
      <c r="AB383" s="86" t="s">
        <v>21</v>
      </c>
      <c r="AC383" s="87">
        <v>0</v>
      </c>
      <c r="AD383" s="88">
        <f t="shared" si="77"/>
        <v>0</v>
      </c>
      <c r="AF383" s="54">
        <v>101791</v>
      </c>
      <c r="AQ383" s="80"/>
      <c r="AR383" s="80"/>
    </row>
    <row r="384" spans="1:44" ht="14.4">
      <c r="A384" s="103">
        <v>101792</v>
      </c>
      <c r="B384" s="78" t="str">
        <f>VLOOKUP(A384,'TB for financial'!A:B,2,0)</f>
        <v>Vat recoverable</v>
      </c>
      <c r="D384" s="79">
        <f>VLOOKUP(A384,'TB for financial'!A:F,6,0)</f>
        <v>0</v>
      </c>
      <c r="E384" s="80"/>
      <c r="F384" s="79">
        <f>VLOOKUP(A384,'TB for financial'!A:K,11,0)</f>
        <v>0</v>
      </c>
      <c r="G384" s="80"/>
      <c r="H384" s="81">
        <f t="shared" si="73"/>
        <v>0</v>
      </c>
      <c r="I384" s="81">
        <v>0</v>
      </c>
      <c r="J384" s="81">
        <f t="shared" si="74"/>
        <v>0</v>
      </c>
      <c r="K384" s="80"/>
      <c r="L384" s="82">
        <f t="shared" si="75"/>
        <v>0</v>
      </c>
      <c r="M384" s="82">
        <v>0</v>
      </c>
      <c r="N384" s="82">
        <f t="shared" si="76"/>
        <v>0</v>
      </c>
      <c r="O384" s="83"/>
      <c r="P384"/>
      <c r="Q384"/>
      <c r="R384"/>
      <c r="S384"/>
      <c r="U384" s="84" t="s">
        <v>535</v>
      </c>
      <c r="V384" s="80"/>
      <c r="W384" s="82" t="s">
        <v>562</v>
      </c>
      <c r="X384" s="82" t="s">
        <v>563</v>
      </c>
      <c r="Y384" s="85" t="s">
        <v>537</v>
      </c>
      <c r="Z384" s="86" t="s">
        <v>565</v>
      </c>
      <c r="AA384" s="86" t="s">
        <v>28</v>
      </c>
      <c r="AB384" s="86" t="s">
        <v>21</v>
      </c>
      <c r="AC384" s="87">
        <v>0</v>
      </c>
      <c r="AD384" s="88">
        <f t="shared" si="77"/>
        <v>0</v>
      </c>
      <c r="AF384" s="54">
        <v>101792</v>
      </c>
      <c r="AQ384" s="80"/>
      <c r="AR384" s="80"/>
    </row>
    <row r="385" spans="1:44" ht="14.4">
      <c r="A385" s="103">
        <v>101800</v>
      </c>
      <c r="B385" s="78" t="str">
        <f>VLOOKUP(A385,'TB for financial'!A:B,2,0)</f>
        <v>DEPB/DBK Claims Receivable</v>
      </c>
      <c r="D385" s="79">
        <f>VLOOKUP(A385,'TB for financial'!A:F,6,0)</f>
        <v>0</v>
      </c>
      <c r="E385" s="80"/>
      <c r="F385" s="79">
        <f>VLOOKUP(A385,'TB for financial'!A:K,11,0)</f>
        <v>0</v>
      </c>
      <c r="G385" s="80"/>
      <c r="H385" s="81">
        <f t="shared" si="73"/>
        <v>0</v>
      </c>
      <c r="I385" s="81">
        <v>0</v>
      </c>
      <c r="J385" s="81">
        <f t="shared" si="74"/>
        <v>0</v>
      </c>
      <c r="K385" s="80"/>
      <c r="L385" s="82">
        <f t="shared" si="75"/>
        <v>0</v>
      </c>
      <c r="M385" s="82">
        <v>0</v>
      </c>
      <c r="N385" s="82">
        <f t="shared" si="76"/>
        <v>0</v>
      </c>
      <c r="O385" s="83"/>
      <c r="P385"/>
      <c r="Q385"/>
      <c r="R385"/>
      <c r="S385"/>
      <c r="U385" s="84"/>
      <c r="V385" s="80"/>
      <c r="W385" s="82"/>
      <c r="X385" s="82"/>
      <c r="Y385" s="85" t="s">
        <v>537</v>
      </c>
      <c r="Z385" s="86" t="s">
        <v>565</v>
      </c>
      <c r="AA385" s="86" t="s">
        <v>28</v>
      </c>
      <c r="AB385" s="86" t="s">
        <v>21</v>
      </c>
      <c r="AC385" s="87">
        <v>0</v>
      </c>
      <c r="AD385" s="88">
        <f t="shared" si="77"/>
        <v>0</v>
      </c>
      <c r="AF385" s="54">
        <v>101800</v>
      </c>
      <c r="AQ385" s="80"/>
      <c r="AR385" s="80"/>
    </row>
    <row r="386" spans="1:44" ht="14.4">
      <c r="A386" s="103">
        <v>101801</v>
      </c>
      <c r="B386" s="78" t="str">
        <f>VLOOKUP(A386,'TB for financial'!A:B,2,0)</f>
        <v>Service Tax Recoverable - SEZ</v>
      </c>
      <c r="D386" s="79">
        <f>VLOOKUP(A386,'TB for financial'!A:F,6,0)</f>
        <v>0.15219999942928553</v>
      </c>
      <c r="E386" s="80"/>
      <c r="F386" s="79">
        <f>VLOOKUP(A386,'TB for financial'!A:K,11,0)</f>
        <v>0.15219999942928553</v>
      </c>
      <c r="G386" s="80"/>
      <c r="H386" s="81">
        <f t="shared" si="73"/>
        <v>0.15219999942928553</v>
      </c>
      <c r="I386" s="81">
        <v>0</v>
      </c>
      <c r="J386" s="81">
        <f t="shared" si="74"/>
        <v>0</v>
      </c>
      <c r="K386" s="80"/>
      <c r="L386" s="82">
        <f t="shared" si="75"/>
        <v>0.15219999942928553</v>
      </c>
      <c r="M386" s="82">
        <v>0</v>
      </c>
      <c r="N386" s="82">
        <f t="shared" si="76"/>
        <v>0</v>
      </c>
      <c r="O386" s="83"/>
      <c r="P386"/>
      <c r="Q386"/>
      <c r="R386"/>
      <c r="S386"/>
      <c r="U386" s="84" t="s">
        <v>535</v>
      </c>
      <c r="V386" s="80"/>
      <c r="W386" s="82" t="s">
        <v>562</v>
      </c>
      <c r="X386" s="82" t="s">
        <v>563</v>
      </c>
      <c r="Y386" s="85" t="s">
        <v>537</v>
      </c>
      <c r="Z386" s="86" t="s">
        <v>565</v>
      </c>
      <c r="AA386" s="86" t="s">
        <v>28</v>
      </c>
      <c r="AB386" s="86" t="s">
        <v>21</v>
      </c>
      <c r="AC386" s="87">
        <v>0</v>
      </c>
      <c r="AD386" s="88">
        <f t="shared" si="77"/>
        <v>0.15219999942928553</v>
      </c>
      <c r="AF386" s="54">
        <v>101801</v>
      </c>
      <c r="AQ386" s="80"/>
      <c r="AR386" s="80"/>
    </row>
    <row r="387" spans="1:44" ht="14.4">
      <c r="A387" s="149">
        <v>101803</v>
      </c>
      <c r="B387" s="78" t="str">
        <f>VLOOKUP(A387,'TB for financial'!A:B,2,0)</f>
        <v>VAT Recoverable-SEZ purchase</v>
      </c>
      <c r="D387" s="79">
        <f>VLOOKUP(A387,'TB for financial'!A:F,6,0)</f>
        <v>0</v>
      </c>
      <c r="E387" s="80"/>
      <c r="F387" s="79">
        <f>VLOOKUP(A387,'TB for financial'!A:K,11,0)</f>
        <v>0</v>
      </c>
      <c r="G387" s="80"/>
      <c r="H387" s="81">
        <f t="shared" si="73"/>
        <v>0</v>
      </c>
      <c r="I387" s="81">
        <v>0</v>
      </c>
      <c r="J387" s="81">
        <f t="shared" si="74"/>
        <v>0</v>
      </c>
      <c r="K387" s="80"/>
      <c r="L387" s="82">
        <f t="shared" si="75"/>
        <v>0</v>
      </c>
      <c r="M387" s="82">
        <v>0</v>
      </c>
      <c r="N387" s="82">
        <f>+F387-L387-M387</f>
        <v>0</v>
      </c>
      <c r="O387" s="83"/>
      <c r="P387"/>
      <c r="Q387"/>
      <c r="R387"/>
      <c r="S387"/>
      <c r="U387" s="84" t="s">
        <v>530</v>
      </c>
      <c r="V387" s="80"/>
      <c r="W387" s="82" t="s">
        <v>562</v>
      </c>
      <c r="X387" s="82" t="s">
        <v>563</v>
      </c>
      <c r="Y387" s="85" t="s">
        <v>537</v>
      </c>
      <c r="Z387" s="86" t="s">
        <v>565</v>
      </c>
      <c r="AA387" s="86" t="s">
        <v>28</v>
      </c>
      <c r="AB387" s="86" t="s">
        <v>21</v>
      </c>
      <c r="AC387" s="87">
        <v>0</v>
      </c>
      <c r="AD387" s="88">
        <f t="shared" si="77"/>
        <v>0</v>
      </c>
      <c r="AF387" s="54">
        <v>101803</v>
      </c>
      <c r="AQ387" s="80"/>
      <c r="AR387" s="80"/>
    </row>
    <row r="388" spans="1:44" ht="14.4">
      <c r="A388" s="149">
        <v>101804</v>
      </c>
      <c r="B388" s="78" t="str">
        <f>VLOOKUP(A388,'TB for financial'!A:B,2,0)</f>
        <v>VAT Recoverable-STPI purchase</v>
      </c>
      <c r="D388" s="79">
        <f>VLOOKUP(A388,'TB for financial'!A:F,6,0)</f>
        <v>0</v>
      </c>
      <c r="E388" s="80"/>
      <c r="F388" s="79">
        <f>VLOOKUP(A388,'TB for financial'!A:K,11,0)</f>
        <v>0</v>
      </c>
      <c r="G388" s="80"/>
      <c r="H388" s="81">
        <f t="shared" si="73"/>
        <v>0</v>
      </c>
      <c r="I388" s="81">
        <v>0</v>
      </c>
      <c r="J388" s="81">
        <f t="shared" si="74"/>
        <v>0</v>
      </c>
      <c r="K388" s="80"/>
      <c r="L388" s="82">
        <f t="shared" si="75"/>
        <v>0</v>
      </c>
      <c r="M388" s="82">
        <v>0</v>
      </c>
      <c r="N388" s="82">
        <f>+F388-L388-M388</f>
        <v>0</v>
      </c>
      <c r="O388" s="83"/>
      <c r="P388"/>
      <c r="Q388"/>
      <c r="R388"/>
      <c r="S388"/>
      <c r="U388" s="84" t="s">
        <v>530</v>
      </c>
      <c r="V388" s="80"/>
      <c r="W388" s="82" t="s">
        <v>562</v>
      </c>
      <c r="X388" s="82" t="s">
        <v>563</v>
      </c>
      <c r="Y388" s="85" t="s">
        <v>537</v>
      </c>
      <c r="Z388" s="86" t="s">
        <v>565</v>
      </c>
      <c r="AA388" s="86" t="s">
        <v>28</v>
      </c>
      <c r="AB388" s="86" t="s">
        <v>21</v>
      </c>
      <c r="AC388" s="87">
        <v>0</v>
      </c>
      <c r="AD388" s="88">
        <f t="shared" si="77"/>
        <v>0</v>
      </c>
      <c r="AF388" s="54">
        <v>101804</v>
      </c>
      <c r="AQ388" s="80"/>
      <c r="AR388" s="80"/>
    </row>
    <row r="389" spans="1:44" ht="14.4">
      <c r="A389" s="149">
        <v>101751</v>
      </c>
      <c r="B389" s="78" t="str">
        <f>VLOOKUP(A389,'TB for financial'!A:B,2,0)</f>
        <v>Service Tax Refundable</v>
      </c>
      <c r="D389" s="79">
        <f>VLOOKUP(A389,'TB for financial'!A:F,6,0)</f>
        <v>0</v>
      </c>
      <c r="E389" s="80"/>
      <c r="F389" s="79">
        <f>VLOOKUP(A389,'TB for financial'!A:K,11,0)</f>
        <v>0</v>
      </c>
      <c r="G389" s="80"/>
      <c r="H389" s="81">
        <f t="shared" si="73"/>
        <v>0</v>
      </c>
      <c r="I389" s="81">
        <v>0</v>
      </c>
      <c r="J389" s="81">
        <f t="shared" si="74"/>
        <v>0</v>
      </c>
      <c r="K389" s="80"/>
      <c r="L389" s="82">
        <f t="shared" si="75"/>
        <v>0</v>
      </c>
      <c r="M389" s="82">
        <v>0</v>
      </c>
      <c r="N389" s="82">
        <f t="shared" ref="N389:N406" si="78">+F389-L389-M389</f>
        <v>0</v>
      </c>
      <c r="O389" s="83"/>
      <c r="P389"/>
      <c r="Q389"/>
      <c r="R389"/>
      <c r="S389"/>
      <c r="U389" s="84" t="s">
        <v>535</v>
      </c>
      <c r="V389" s="80"/>
      <c r="W389" s="82" t="s">
        <v>562</v>
      </c>
      <c r="X389" s="82" t="s">
        <v>563</v>
      </c>
      <c r="Y389" s="85" t="s">
        <v>537</v>
      </c>
      <c r="Z389" s="86" t="s">
        <v>565</v>
      </c>
      <c r="AA389" s="86" t="s">
        <v>28</v>
      </c>
      <c r="AB389" s="86" t="s">
        <v>21</v>
      </c>
      <c r="AC389" s="87">
        <v>0</v>
      </c>
      <c r="AD389" s="88">
        <f t="shared" si="77"/>
        <v>0</v>
      </c>
      <c r="AF389" s="54">
        <v>101751</v>
      </c>
      <c r="AQ389" s="80"/>
      <c r="AR389" s="80"/>
    </row>
    <row r="390" spans="1:44" ht="14.4">
      <c r="A390" s="70">
        <v>205114</v>
      </c>
      <c r="B390" s="78" t="str">
        <f>VLOOKUP(A390,'TB for financial'!A:B,2,0)</f>
        <v>Service Tax Payable</v>
      </c>
      <c r="D390" s="79">
        <f>VLOOKUP(A390,'TB for financial'!A:F,6,0)</f>
        <v>0</v>
      </c>
      <c r="E390" s="80"/>
      <c r="F390" s="79">
        <f>VLOOKUP(A390,'TB for financial'!A:K,11,0)</f>
        <v>0</v>
      </c>
      <c r="G390" s="80"/>
      <c r="H390" s="81">
        <f t="shared" si="73"/>
        <v>0</v>
      </c>
      <c r="I390" s="81">
        <v>0</v>
      </c>
      <c r="J390" s="81">
        <f t="shared" si="74"/>
        <v>0</v>
      </c>
      <c r="K390" s="80"/>
      <c r="L390" s="82">
        <f t="shared" si="75"/>
        <v>0</v>
      </c>
      <c r="M390" s="82">
        <v>0</v>
      </c>
      <c r="N390" s="82">
        <f t="shared" si="78"/>
        <v>0</v>
      </c>
      <c r="O390" s="83"/>
      <c r="P390"/>
      <c r="Q390"/>
      <c r="R390"/>
      <c r="S390"/>
      <c r="U390" s="84" t="s">
        <v>535</v>
      </c>
      <c r="V390" s="80"/>
      <c r="W390" s="82" t="s">
        <v>562</v>
      </c>
      <c r="X390" s="82" t="s">
        <v>563</v>
      </c>
      <c r="Y390" s="85" t="s">
        <v>537</v>
      </c>
      <c r="Z390" s="86" t="s">
        <v>565</v>
      </c>
      <c r="AA390" s="86" t="s">
        <v>28</v>
      </c>
      <c r="AB390" s="86" t="s">
        <v>21</v>
      </c>
      <c r="AC390" s="87">
        <v>0</v>
      </c>
      <c r="AD390" s="88">
        <f t="shared" si="77"/>
        <v>0</v>
      </c>
      <c r="AF390" s="54">
        <v>205114</v>
      </c>
      <c r="AQ390" s="80"/>
      <c r="AR390" s="80"/>
    </row>
    <row r="391" spans="1:44" ht="14.4">
      <c r="A391" s="70">
        <v>206038</v>
      </c>
      <c r="B391" s="78" t="str">
        <f>VLOOKUP(A391,'TB for financial'!A:B,2,0)</f>
        <v>Service Tax Payable</v>
      </c>
      <c r="D391" s="79">
        <f>VLOOKUP(A391,'TB for financial'!A:F,6,0)</f>
        <v>0</v>
      </c>
      <c r="E391" s="80"/>
      <c r="F391" s="79">
        <f>VLOOKUP(A391,'TB for financial'!A:K,11,0)</f>
        <v>0</v>
      </c>
      <c r="G391" s="80"/>
      <c r="H391" s="81">
        <f t="shared" si="73"/>
        <v>0</v>
      </c>
      <c r="I391" s="81">
        <v>0</v>
      </c>
      <c r="J391" s="81">
        <f t="shared" si="74"/>
        <v>0</v>
      </c>
      <c r="K391" s="80"/>
      <c r="L391" s="82">
        <f t="shared" si="75"/>
        <v>0</v>
      </c>
      <c r="M391" s="82">
        <v>0</v>
      </c>
      <c r="N391" s="82">
        <f t="shared" si="78"/>
        <v>0</v>
      </c>
      <c r="O391" s="83"/>
      <c r="P391"/>
      <c r="Q391"/>
      <c r="R391"/>
      <c r="S391"/>
      <c r="U391" s="84" t="s">
        <v>535</v>
      </c>
      <c r="V391" s="80"/>
      <c r="W391" s="82" t="s">
        <v>562</v>
      </c>
      <c r="X391" s="82" t="s">
        <v>563</v>
      </c>
      <c r="Y391" s="85" t="s">
        <v>537</v>
      </c>
      <c r="Z391" s="86" t="s">
        <v>565</v>
      </c>
      <c r="AA391" s="86" t="s">
        <v>28</v>
      </c>
      <c r="AB391" s="86" t="s">
        <v>21</v>
      </c>
      <c r="AC391" s="87">
        <v>0</v>
      </c>
      <c r="AD391" s="88">
        <f t="shared" si="77"/>
        <v>0</v>
      </c>
      <c r="AF391" s="54">
        <v>206038</v>
      </c>
      <c r="AQ391" s="80"/>
      <c r="AR391" s="80"/>
    </row>
    <row r="392" spans="1:44" ht="14.4">
      <c r="A392" s="103">
        <v>101793</v>
      </c>
      <c r="B392" s="78" t="str">
        <f>VLOOKUP(A392,'TB for financial'!A:B,2,0)</f>
        <v>Service Tax Recoverable</v>
      </c>
      <c r="D392" s="79">
        <f>VLOOKUP(A392,'TB for financial'!A:F,6,0)</f>
        <v>0</v>
      </c>
      <c r="E392" s="80"/>
      <c r="F392" s="79">
        <f>VLOOKUP(A392,'TB for financial'!A:K,11,0)</f>
        <v>0</v>
      </c>
      <c r="G392" s="80"/>
      <c r="H392" s="81">
        <f t="shared" si="73"/>
        <v>0</v>
      </c>
      <c r="I392" s="81">
        <v>0</v>
      </c>
      <c r="J392" s="81">
        <f t="shared" si="74"/>
        <v>0</v>
      </c>
      <c r="K392" s="80"/>
      <c r="L392" s="82">
        <f t="shared" si="75"/>
        <v>0</v>
      </c>
      <c r="M392" s="82">
        <v>0</v>
      </c>
      <c r="N392" s="82">
        <f t="shared" si="78"/>
        <v>0</v>
      </c>
      <c r="O392" s="83"/>
      <c r="P392"/>
      <c r="Q392"/>
      <c r="R392"/>
      <c r="S392"/>
      <c r="U392" s="84" t="s">
        <v>535</v>
      </c>
      <c r="V392" s="80"/>
      <c r="W392" s="82" t="s">
        <v>562</v>
      </c>
      <c r="X392" s="82" t="s">
        <v>563</v>
      </c>
      <c r="Y392" s="85" t="s">
        <v>537</v>
      </c>
      <c r="Z392" s="86" t="s">
        <v>565</v>
      </c>
      <c r="AA392" s="86" t="s">
        <v>28</v>
      </c>
      <c r="AB392" s="86" t="s">
        <v>21</v>
      </c>
      <c r="AC392" s="87">
        <v>0</v>
      </c>
      <c r="AD392" s="88">
        <f t="shared" si="77"/>
        <v>0</v>
      </c>
      <c r="AF392" s="54">
        <v>101793</v>
      </c>
      <c r="AQ392" s="80"/>
      <c r="AR392" s="80"/>
    </row>
    <row r="393" spans="1:44" ht="14.4">
      <c r="A393" s="103">
        <v>101365</v>
      </c>
      <c r="B393" s="78" t="str">
        <f>VLOOKUP(A393,'TB for financial'!A:B,2,0)</f>
        <v>Service Tax Accrual Account</v>
      </c>
      <c r="D393" s="79">
        <f>VLOOKUP(A393,'TB for financial'!A:F,6,0)</f>
        <v>0</v>
      </c>
      <c r="E393" s="80"/>
      <c r="F393" s="79">
        <f>VLOOKUP(A393,'TB for financial'!A:K,11,0)</f>
        <v>0</v>
      </c>
      <c r="G393" s="80"/>
      <c r="H393" s="81">
        <f t="shared" si="73"/>
        <v>0</v>
      </c>
      <c r="I393" s="81">
        <v>0</v>
      </c>
      <c r="J393" s="81">
        <f t="shared" si="74"/>
        <v>0</v>
      </c>
      <c r="K393" s="80"/>
      <c r="L393" s="82">
        <f t="shared" si="75"/>
        <v>0</v>
      </c>
      <c r="M393" s="82">
        <v>0</v>
      </c>
      <c r="N393" s="82">
        <f t="shared" si="78"/>
        <v>0</v>
      </c>
      <c r="O393" s="83"/>
      <c r="P393"/>
      <c r="Q393"/>
      <c r="R393"/>
      <c r="S393"/>
      <c r="U393" s="84"/>
      <c r="V393" s="80"/>
      <c r="W393" s="82"/>
      <c r="X393" s="82"/>
      <c r="Y393" s="85" t="s">
        <v>537</v>
      </c>
      <c r="Z393" s="86" t="s">
        <v>565</v>
      </c>
      <c r="AA393" s="86" t="s">
        <v>28</v>
      </c>
      <c r="AB393" s="86" t="s">
        <v>21</v>
      </c>
      <c r="AC393" s="87">
        <v>0</v>
      </c>
      <c r="AD393" s="88">
        <f t="shared" si="77"/>
        <v>0</v>
      </c>
      <c r="AF393" s="54">
        <v>101365</v>
      </c>
      <c r="AQ393" s="80"/>
      <c r="AR393" s="80"/>
    </row>
    <row r="394" spans="1:44" ht="14.4">
      <c r="A394" s="144">
        <v>101807</v>
      </c>
      <c r="B394" s="150" t="str">
        <f>VLOOKUP(A394,'TB for financial'!A:B,2,0)</f>
        <v>Swacch Bharat Cess</v>
      </c>
      <c r="D394" s="79">
        <f>VLOOKUP(A394,'TB for financial'!A:F,6,0)</f>
        <v>0</v>
      </c>
      <c r="E394" s="80"/>
      <c r="F394" s="79">
        <f>VLOOKUP(A394,'TB for financial'!A:K,11,0)</f>
        <v>0</v>
      </c>
      <c r="G394" s="80"/>
      <c r="H394" s="81">
        <f t="shared" si="73"/>
        <v>0</v>
      </c>
      <c r="I394" s="81">
        <v>0</v>
      </c>
      <c r="J394" s="81">
        <f t="shared" si="74"/>
        <v>0</v>
      </c>
      <c r="K394" s="80"/>
      <c r="L394" s="82">
        <f t="shared" si="75"/>
        <v>0</v>
      </c>
      <c r="M394" s="82">
        <v>0</v>
      </c>
      <c r="N394" s="82">
        <f t="shared" si="78"/>
        <v>0</v>
      </c>
      <c r="O394" s="83"/>
      <c r="P394"/>
      <c r="Q394"/>
      <c r="R394"/>
      <c r="S394"/>
      <c r="U394" s="84" t="s">
        <v>535</v>
      </c>
      <c r="V394" s="80"/>
      <c r="W394" s="82" t="s">
        <v>562</v>
      </c>
      <c r="X394" s="82" t="s">
        <v>563</v>
      </c>
      <c r="Y394" s="85" t="s">
        <v>537</v>
      </c>
      <c r="Z394" s="86" t="s">
        <v>565</v>
      </c>
      <c r="AA394" s="86" t="s">
        <v>28</v>
      </c>
      <c r="AB394" s="86" t="s">
        <v>21</v>
      </c>
      <c r="AC394" s="87">
        <v>0</v>
      </c>
      <c r="AD394" s="88">
        <f t="shared" si="77"/>
        <v>0</v>
      </c>
      <c r="AF394" s="54">
        <v>101807</v>
      </c>
      <c r="AQ394" s="80"/>
      <c r="AR394" s="80"/>
    </row>
    <row r="395" spans="1:44" ht="14.4">
      <c r="A395" s="144">
        <v>205120</v>
      </c>
      <c r="B395" s="150" t="str">
        <f>VLOOKUP(A395,'TB for financial'!A:B,2,0)</f>
        <v>Swacch Bharat Cess Payable</v>
      </c>
      <c r="D395" s="79">
        <f>VLOOKUP(A395,'TB for financial'!A:F,6,0)</f>
        <v>0</v>
      </c>
      <c r="E395" s="80"/>
      <c r="F395" s="79">
        <f>VLOOKUP(A395,'TB for financial'!A:K,11,0)</f>
        <v>0</v>
      </c>
      <c r="G395" s="80"/>
      <c r="H395" s="81">
        <f t="shared" si="73"/>
        <v>0</v>
      </c>
      <c r="I395" s="81">
        <v>0</v>
      </c>
      <c r="J395" s="81">
        <f t="shared" si="74"/>
        <v>0</v>
      </c>
      <c r="K395" s="80"/>
      <c r="L395" s="82">
        <f t="shared" si="75"/>
        <v>0</v>
      </c>
      <c r="M395" s="82">
        <v>0</v>
      </c>
      <c r="N395" s="82">
        <f t="shared" si="78"/>
        <v>0</v>
      </c>
      <c r="O395" s="83"/>
      <c r="P395"/>
      <c r="Q395"/>
      <c r="R395"/>
      <c r="S395"/>
      <c r="U395" s="84" t="s">
        <v>535</v>
      </c>
      <c r="V395" s="80"/>
      <c r="W395" s="82" t="s">
        <v>562</v>
      </c>
      <c r="X395" s="82" t="s">
        <v>563</v>
      </c>
      <c r="Y395" s="85" t="s">
        <v>537</v>
      </c>
      <c r="Z395" s="86" t="s">
        <v>565</v>
      </c>
      <c r="AA395" s="86" t="s">
        <v>28</v>
      </c>
      <c r="AB395" s="86" t="s">
        <v>21</v>
      </c>
      <c r="AC395" s="87">
        <v>0</v>
      </c>
      <c r="AD395" s="88">
        <f t="shared" si="77"/>
        <v>0</v>
      </c>
      <c r="AF395" s="54">
        <v>205120</v>
      </c>
      <c r="AQ395" s="80"/>
      <c r="AR395" s="80"/>
    </row>
    <row r="396" spans="1:44" ht="14.4">
      <c r="A396" s="144">
        <v>101809</v>
      </c>
      <c r="B396" s="78" t="str">
        <f>VLOOKUP(A396,'TB for financial'!A:B,2,0)</f>
        <v>Krishi Kalyan Cess Recoverable</v>
      </c>
      <c r="D396" s="79">
        <f>VLOOKUP(A396,'TB for financial'!A:F,6,0)</f>
        <v>0</v>
      </c>
      <c r="E396" s="80"/>
      <c r="F396" s="79">
        <f>VLOOKUP(A396,'TB for financial'!A:K,11,0)</f>
        <v>0</v>
      </c>
      <c r="G396" s="80"/>
      <c r="H396" s="81">
        <f t="shared" si="73"/>
        <v>0</v>
      </c>
      <c r="I396" s="81">
        <v>0</v>
      </c>
      <c r="J396" s="81">
        <f t="shared" si="74"/>
        <v>0</v>
      </c>
      <c r="K396" s="80"/>
      <c r="L396" s="82">
        <f t="shared" si="75"/>
        <v>0</v>
      </c>
      <c r="M396" s="82">
        <v>0</v>
      </c>
      <c r="N396" s="82">
        <f t="shared" si="78"/>
        <v>0</v>
      </c>
      <c r="O396" s="83"/>
      <c r="P396"/>
      <c r="Q396"/>
      <c r="R396"/>
      <c r="S396"/>
      <c r="U396" s="84" t="s">
        <v>535</v>
      </c>
      <c r="V396" s="80"/>
      <c r="W396" s="82" t="s">
        <v>562</v>
      </c>
      <c r="X396" s="82" t="s">
        <v>563</v>
      </c>
      <c r="Y396" s="85" t="s">
        <v>537</v>
      </c>
      <c r="Z396" s="86" t="s">
        <v>565</v>
      </c>
      <c r="AA396" s="86" t="s">
        <v>28</v>
      </c>
      <c r="AB396" s="86" t="s">
        <v>21</v>
      </c>
      <c r="AC396" s="87">
        <v>0</v>
      </c>
      <c r="AD396" s="88">
        <f t="shared" si="77"/>
        <v>0</v>
      </c>
      <c r="AF396" s="54">
        <v>101809</v>
      </c>
      <c r="AQ396" s="80"/>
      <c r="AR396" s="80"/>
    </row>
    <row r="397" spans="1:44" ht="14.4">
      <c r="A397" s="144">
        <v>205128</v>
      </c>
      <c r="B397" s="78" t="str">
        <f>VLOOKUP(A397,'TB for financial'!A:B,2,0)</f>
        <v>Krishi Kalyan Cess Payable</v>
      </c>
      <c r="D397" s="79">
        <f>VLOOKUP(A397,'TB for financial'!A:F,6,0)</f>
        <v>0</v>
      </c>
      <c r="E397" s="80"/>
      <c r="F397" s="79">
        <f>VLOOKUP(A397,'TB for financial'!A:K,11,0)</f>
        <v>0</v>
      </c>
      <c r="G397" s="80"/>
      <c r="H397" s="81">
        <f t="shared" si="73"/>
        <v>0</v>
      </c>
      <c r="I397" s="81">
        <v>0</v>
      </c>
      <c r="J397" s="81">
        <f t="shared" si="74"/>
        <v>0</v>
      </c>
      <c r="K397" s="80"/>
      <c r="L397" s="82">
        <f t="shared" si="75"/>
        <v>0</v>
      </c>
      <c r="M397" s="82">
        <v>0</v>
      </c>
      <c r="N397" s="82">
        <f t="shared" si="78"/>
        <v>0</v>
      </c>
      <c r="O397" s="83"/>
      <c r="P397"/>
      <c r="Q397"/>
      <c r="R397"/>
      <c r="S397"/>
      <c r="U397" s="84" t="s">
        <v>535</v>
      </c>
      <c r="V397" s="80"/>
      <c r="W397" s="82" t="s">
        <v>562</v>
      </c>
      <c r="X397" s="82" t="s">
        <v>563</v>
      </c>
      <c r="Y397" s="85" t="s">
        <v>537</v>
      </c>
      <c r="Z397" s="86" t="s">
        <v>565</v>
      </c>
      <c r="AA397" s="86" t="s">
        <v>28</v>
      </c>
      <c r="AB397" s="86" t="s">
        <v>21</v>
      </c>
      <c r="AC397" s="87">
        <v>0</v>
      </c>
      <c r="AD397" s="88">
        <f t="shared" si="77"/>
        <v>0</v>
      </c>
      <c r="AF397" s="54">
        <v>205128</v>
      </c>
      <c r="AQ397" s="80"/>
      <c r="AR397" s="80"/>
    </row>
    <row r="398" spans="1:44" ht="14.4">
      <c r="A398" s="144">
        <v>101701</v>
      </c>
      <c r="B398" s="78" t="str">
        <f>VLOOKUP(A398,'TB for financial'!A:B,2,0)</f>
        <v>MAH. SEZ - SGST Recoverable</v>
      </c>
      <c r="D398" s="79">
        <f>VLOOKUP(A398,'TB for financial'!A:F,6,0)</f>
        <v>0</v>
      </c>
      <c r="E398" s="80"/>
      <c r="F398" s="79">
        <f>VLOOKUP(A398,'TB for financial'!A:K,11,0)</f>
        <v>0</v>
      </c>
      <c r="G398" s="80"/>
      <c r="H398" s="81">
        <f t="shared" si="73"/>
        <v>0</v>
      </c>
      <c r="I398" s="81">
        <v>0</v>
      </c>
      <c r="J398" s="81">
        <f t="shared" si="74"/>
        <v>0</v>
      </c>
      <c r="K398" s="80"/>
      <c r="L398" s="82">
        <f t="shared" si="75"/>
        <v>0</v>
      </c>
      <c r="M398" s="82">
        <v>0</v>
      </c>
      <c r="N398" s="82">
        <f t="shared" si="78"/>
        <v>0</v>
      </c>
      <c r="O398" s="83"/>
      <c r="P398"/>
      <c r="Q398"/>
      <c r="R398"/>
      <c r="S398"/>
      <c r="U398" s="84"/>
      <c r="V398" s="80"/>
      <c r="W398" s="82"/>
      <c r="X398" s="82"/>
      <c r="Y398" s="85" t="s">
        <v>537</v>
      </c>
      <c r="Z398" s="86" t="s">
        <v>565</v>
      </c>
      <c r="AA398" s="86" t="s">
        <v>28</v>
      </c>
      <c r="AB398" s="86" t="s">
        <v>21</v>
      </c>
      <c r="AC398" s="87">
        <v>0</v>
      </c>
      <c r="AD398" s="88">
        <f t="shared" si="77"/>
        <v>0</v>
      </c>
      <c r="AF398" s="54">
        <v>101701</v>
      </c>
      <c r="AQ398" s="80"/>
      <c r="AR398" s="80"/>
    </row>
    <row r="399" spans="1:44" ht="14.4">
      <c r="A399" s="144">
        <v>101702</v>
      </c>
      <c r="B399" s="78" t="str">
        <f>VLOOKUP(A399,'TB for financial'!A:B,2,0)</f>
        <v>MAH. SEZ - CGST Recoverable</v>
      </c>
      <c r="D399" s="79">
        <f>VLOOKUP(A399,'TB for financial'!A:F,6,0)</f>
        <v>0</v>
      </c>
      <c r="E399" s="80"/>
      <c r="F399" s="79">
        <f>VLOOKUP(A399,'TB for financial'!A:K,11,0)</f>
        <v>0</v>
      </c>
      <c r="G399" s="80"/>
      <c r="H399" s="81">
        <f t="shared" si="73"/>
        <v>0</v>
      </c>
      <c r="I399" s="81">
        <v>0</v>
      </c>
      <c r="J399" s="81">
        <f t="shared" si="74"/>
        <v>0</v>
      </c>
      <c r="K399" s="80"/>
      <c r="L399" s="82">
        <f t="shared" si="75"/>
        <v>0</v>
      </c>
      <c r="M399" s="82">
        <v>0</v>
      </c>
      <c r="N399" s="82">
        <f t="shared" si="78"/>
        <v>0</v>
      </c>
      <c r="O399" s="83"/>
      <c r="P399"/>
      <c r="Q399"/>
      <c r="R399"/>
      <c r="S399"/>
      <c r="U399" s="84"/>
      <c r="V399" s="80"/>
      <c r="W399" s="82"/>
      <c r="X399" s="82"/>
      <c r="Y399" s="85" t="s">
        <v>537</v>
      </c>
      <c r="Z399" s="86" t="s">
        <v>565</v>
      </c>
      <c r="AA399" s="86" t="s">
        <v>28</v>
      </c>
      <c r="AB399" s="86" t="s">
        <v>21</v>
      </c>
      <c r="AC399" s="87">
        <v>0</v>
      </c>
      <c r="AD399" s="88">
        <f t="shared" si="77"/>
        <v>0</v>
      </c>
      <c r="AF399" s="54">
        <v>101702</v>
      </c>
      <c r="AQ399" s="80"/>
      <c r="AR399" s="80"/>
    </row>
    <row r="400" spans="1:44" ht="14.4">
      <c r="A400" s="144">
        <v>101703</v>
      </c>
      <c r="B400" s="78" t="str">
        <f>VLOOKUP(A400,'TB for financial'!A:B,2,0)</f>
        <v>MAH. SEZ - IGST Recoverable</v>
      </c>
      <c r="D400" s="79">
        <f>VLOOKUP(A400,'TB for financial'!A:F,6,0)</f>
        <v>0</v>
      </c>
      <c r="E400" s="80"/>
      <c r="F400" s="79">
        <f>VLOOKUP(A400,'TB for financial'!A:K,11,0)</f>
        <v>0</v>
      </c>
      <c r="G400" s="80"/>
      <c r="H400" s="81">
        <f t="shared" si="73"/>
        <v>0</v>
      </c>
      <c r="I400" s="81">
        <v>0</v>
      </c>
      <c r="J400" s="81">
        <f t="shared" si="74"/>
        <v>0</v>
      </c>
      <c r="K400" s="80"/>
      <c r="L400" s="82">
        <f t="shared" si="75"/>
        <v>0</v>
      </c>
      <c r="M400" s="82">
        <v>0</v>
      </c>
      <c r="N400" s="82">
        <f t="shared" si="78"/>
        <v>0</v>
      </c>
      <c r="O400" s="83"/>
      <c r="P400"/>
      <c r="Q400"/>
      <c r="R400"/>
      <c r="S400"/>
      <c r="U400" s="84"/>
      <c r="V400" s="80"/>
      <c r="W400" s="82"/>
      <c r="X400" s="82"/>
      <c r="Y400" s="85" t="s">
        <v>537</v>
      </c>
      <c r="Z400" s="86" t="s">
        <v>565</v>
      </c>
      <c r="AA400" s="86" t="s">
        <v>28</v>
      </c>
      <c r="AB400" s="86" t="s">
        <v>21</v>
      </c>
      <c r="AC400" s="87">
        <v>0</v>
      </c>
      <c r="AD400" s="88">
        <f t="shared" si="77"/>
        <v>0</v>
      </c>
      <c r="AF400" s="54">
        <v>101703</v>
      </c>
      <c r="AQ400" s="80"/>
      <c r="AR400" s="80"/>
    </row>
    <row r="401" spans="1:44" ht="14.4">
      <c r="A401" s="144">
        <v>101704</v>
      </c>
      <c r="B401" s="78" t="str">
        <f>VLOOKUP(A401,'TB for financial'!A:B,2,0)</f>
        <v>MAH. NSEZ - SGST Recoverable</v>
      </c>
      <c r="D401" s="79">
        <f>VLOOKUP(A401,'TB for financial'!A:F,6,0)</f>
        <v>1</v>
      </c>
      <c r="E401" s="80"/>
      <c r="F401" s="79">
        <f>VLOOKUP(A401,'TB for financial'!A:K,11,0)</f>
        <v>1</v>
      </c>
      <c r="G401" s="80"/>
      <c r="H401" s="81">
        <f t="shared" si="73"/>
        <v>1</v>
      </c>
      <c r="I401" s="81">
        <v>0</v>
      </c>
      <c r="J401" s="81">
        <f t="shared" si="74"/>
        <v>0</v>
      </c>
      <c r="K401" s="80"/>
      <c r="L401" s="82">
        <f t="shared" si="75"/>
        <v>1</v>
      </c>
      <c r="M401" s="82">
        <v>0</v>
      </c>
      <c r="N401" s="82">
        <f t="shared" si="78"/>
        <v>0</v>
      </c>
      <c r="O401" s="83"/>
      <c r="P401"/>
      <c r="Q401"/>
      <c r="R401"/>
      <c r="S401"/>
      <c r="U401" s="84"/>
      <c r="V401" s="80"/>
      <c r="W401" s="82"/>
      <c r="X401" s="82"/>
      <c r="Y401" s="85" t="s">
        <v>537</v>
      </c>
      <c r="Z401" s="86" t="s">
        <v>565</v>
      </c>
      <c r="AA401" s="86" t="s">
        <v>28</v>
      </c>
      <c r="AB401" s="86" t="s">
        <v>21</v>
      </c>
      <c r="AC401" s="87">
        <v>0</v>
      </c>
      <c r="AD401" s="88">
        <f t="shared" si="77"/>
        <v>1</v>
      </c>
      <c r="AF401" s="54">
        <v>101704</v>
      </c>
      <c r="AQ401" s="80">
        <f>D401</f>
        <v>1</v>
      </c>
      <c r="AR401" s="80"/>
    </row>
    <row r="402" spans="1:44" ht="14.4">
      <c r="A402" s="144">
        <v>101705</v>
      </c>
      <c r="B402" s="78" t="str">
        <f>VLOOKUP(A402,'TB for financial'!A:B,2,0)</f>
        <v>MAH. NSEZ - CGST Recoverable</v>
      </c>
      <c r="D402" s="79">
        <f>VLOOKUP(A402,'TB for financial'!A:F,6,0)</f>
        <v>1</v>
      </c>
      <c r="E402" s="80"/>
      <c r="F402" s="79">
        <f>VLOOKUP(A402,'TB for financial'!A:K,11,0)</f>
        <v>1</v>
      </c>
      <c r="G402" s="80"/>
      <c r="H402" s="81">
        <f t="shared" si="73"/>
        <v>1</v>
      </c>
      <c r="I402" s="81">
        <v>0</v>
      </c>
      <c r="J402" s="81">
        <f t="shared" si="74"/>
        <v>0</v>
      </c>
      <c r="K402" s="80"/>
      <c r="L402" s="82">
        <f t="shared" si="75"/>
        <v>1</v>
      </c>
      <c r="M402" s="82">
        <v>0</v>
      </c>
      <c r="N402" s="82">
        <f t="shared" si="78"/>
        <v>0</v>
      </c>
      <c r="O402" s="83"/>
      <c r="P402"/>
      <c r="Q402"/>
      <c r="R402"/>
      <c r="S402"/>
      <c r="U402" s="84"/>
      <c r="V402" s="80"/>
      <c r="W402" s="82"/>
      <c r="X402" s="82"/>
      <c r="Y402" s="85" t="s">
        <v>537</v>
      </c>
      <c r="Z402" s="86" t="s">
        <v>565</v>
      </c>
      <c r="AA402" s="86" t="s">
        <v>28</v>
      </c>
      <c r="AB402" s="86" t="s">
        <v>21</v>
      </c>
      <c r="AC402" s="87">
        <v>0</v>
      </c>
      <c r="AD402" s="88">
        <f t="shared" si="77"/>
        <v>1</v>
      </c>
      <c r="AF402" s="54">
        <v>101705</v>
      </c>
      <c r="AQ402" s="80">
        <f t="shared" ref="AQ402:AQ421" si="79">D402</f>
        <v>1</v>
      </c>
      <c r="AR402" s="80"/>
    </row>
    <row r="403" spans="1:44" ht="14.4">
      <c r="A403" s="144">
        <v>205133</v>
      </c>
      <c r="B403" s="78" t="str">
        <f>VLOOKUP(A403,'TB for financial'!A:B,2,0)</f>
        <v>MAH. SEZ - IGST Payable</v>
      </c>
      <c r="D403" s="79">
        <f>VLOOKUP(A403,'TB for financial'!A:F,6,0)</f>
        <v>0</v>
      </c>
      <c r="E403" s="80"/>
      <c r="F403" s="79">
        <f>VLOOKUP(A403,'TB for financial'!A:K,11,0)</f>
        <v>0</v>
      </c>
      <c r="G403" s="80"/>
      <c r="H403" s="81">
        <f t="shared" si="73"/>
        <v>0</v>
      </c>
      <c r="I403" s="81">
        <v>0</v>
      </c>
      <c r="J403" s="81">
        <f t="shared" si="74"/>
        <v>0</v>
      </c>
      <c r="K403" s="80"/>
      <c r="L403" s="82">
        <f t="shared" si="75"/>
        <v>0</v>
      </c>
      <c r="M403" s="82">
        <v>0</v>
      </c>
      <c r="N403" s="82">
        <f t="shared" si="78"/>
        <v>0</v>
      </c>
      <c r="O403" s="83"/>
      <c r="P403"/>
      <c r="Q403"/>
      <c r="R403"/>
      <c r="S403"/>
      <c r="U403" s="84"/>
      <c r="V403" s="80"/>
      <c r="W403" s="82"/>
      <c r="X403" s="82"/>
      <c r="Y403" s="85" t="s">
        <v>537</v>
      </c>
      <c r="Z403" s="86" t="s">
        <v>565</v>
      </c>
      <c r="AA403" s="86" t="s">
        <v>28</v>
      </c>
      <c r="AB403" s="86" t="s">
        <v>21</v>
      </c>
      <c r="AC403" s="87">
        <v>0</v>
      </c>
      <c r="AD403" s="88">
        <f t="shared" si="77"/>
        <v>0</v>
      </c>
      <c r="AF403" s="54">
        <v>205133</v>
      </c>
      <c r="AQ403" s="80">
        <f t="shared" si="79"/>
        <v>0</v>
      </c>
      <c r="AR403" s="80"/>
    </row>
    <row r="404" spans="1:44" ht="14.4">
      <c r="A404" s="144">
        <v>205136</v>
      </c>
      <c r="B404" s="78" t="str">
        <f>VLOOKUP(A404,'TB for financial'!A:B,2,0)</f>
        <v>MAH. NSEZ - IGST Payable</v>
      </c>
      <c r="D404" s="79">
        <f>VLOOKUP(A404,'TB for financial'!A:F,6,0)</f>
        <v>0</v>
      </c>
      <c r="E404" s="80"/>
      <c r="F404" s="79">
        <f>VLOOKUP(A404,'TB for financial'!A:K,11,0)</f>
        <v>0</v>
      </c>
      <c r="G404" s="80"/>
      <c r="H404" s="81">
        <f t="shared" si="73"/>
        <v>0</v>
      </c>
      <c r="I404" s="81">
        <v>0</v>
      </c>
      <c r="J404" s="81">
        <f t="shared" si="74"/>
        <v>0</v>
      </c>
      <c r="K404" s="80"/>
      <c r="L404" s="82">
        <f t="shared" si="75"/>
        <v>0</v>
      </c>
      <c r="M404" s="82">
        <v>0</v>
      </c>
      <c r="N404" s="82">
        <f t="shared" si="78"/>
        <v>0</v>
      </c>
      <c r="O404" s="83"/>
      <c r="P404"/>
      <c r="Q404"/>
      <c r="R404"/>
      <c r="S404"/>
      <c r="U404" s="84"/>
      <c r="V404" s="80"/>
      <c r="W404" s="82"/>
      <c r="X404" s="82"/>
      <c r="Y404" s="85" t="s">
        <v>537</v>
      </c>
      <c r="Z404" s="86" t="s">
        <v>565</v>
      </c>
      <c r="AA404" s="86" t="s">
        <v>28</v>
      </c>
      <c r="AB404" s="86" t="s">
        <v>21</v>
      </c>
      <c r="AC404" s="87">
        <v>0</v>
      </c>
      <c r="AD404" s="88">
        <f t="shared" si="77"/>
        <v>0</v>
      </c>
      <c r="AF404" s="54">
        <v>205136</v>
      </c>
      <c r="AQ404" s="80">
        <f t="shared" si="79"/>
        <v>0</v>
      </c>
      <c r="AR404" s="80"/>
    </row>
    <row r="405" spans="1:44" ht="14.4">
      <c r="A405" s="144">
        <v>101750</v>
      </c>
      <c r="B405" s="78" t="str">
        <f>VLOOKUP(A405,'TB for financial'!A:B,2,0)</f>
        <v>Service Tax Recoverable - non</v>
      </c>
      <c r="D405" s="79">
        <f>VLOOKUP(A405,'TB for financial'!A:F,6,0)</f>
        <v>0</v>
      </c>
      <c r="E405" s="80"/>
      <c r="F405" s="79">
        <f>VLOOKUP(A405,'TB for financial'!A:K,11,0)</f>
        <v>0</v>
      </c>
      <c r="G405" s="80"/>
      <c r="H405" s="81">
        <f t="shared" si="73"/>
        <v>0</v>
      </c>
      <c r="I405" s="81">
        <v>0</v>
      </c>
      <c r="J405" s="81">
        <f t="shared" si="74"/>
        <v>0</v>
      </c>
      <c r="K405" s="80"/>
      <c r="L405" s="82">
        <f t="shared" si="75"/>
        <v>0</v>
      </c>
      <c r="M405" s="82">
        <v>0</v>
      </c>
      <c r="N405" s="82">
        <f t="shared" si="78"/>
        <v>0</v>
      </c>
      <c r="O405" s="83"/>
      <c r="P405"/>
      <c r="Q405"/>
      <c r="R405"/>
      <c r="S405"/>
      <c r="U405" s="84"/>
      <c r="V405" s="80"/>
      <c r="W405" s="82"/>
      <c r="X405" s="82"/>
      <c r="Y405" s="85" t="s">
        <v>537</v>
      </c>
      <c r="Z405" s="86" t="s">
        <v>565</v>
      </c>
      <c r="AA405" s="86" t="s">
        <v>28</v>
      </c>
      <c r="AB405" s="86" t="s">
        <v>21</v>
      </c>
      <c r="AC405" s="87">
        <v>0</v>
      </c>
      <c r="AD405" s="88">
        <f t="shared" si="77"/>
        <v>0</v>
      </c>
      <c r="AF405" s="54">
        <v>101750</v>
      </c>
      <c r="AQ405" s="80">
        <f t="shared" si="79"/>
        <v>0</v>
      </c>
      <c r="AR405" s="80"/>
    </row>
    <row r="406" spans="1:44" ht="14.4">
      <c r="A406" s="144">
        <v>101760</v>
      </c>
      <c r="B406" s="78" t="str">
        <f>VLOOKUP(A406,'TB for financial'!A:B,2,0)</f>
        <v>Service Tax Recoverable - non</v>
      </c>
      <c r="D406" s="79">
        <f>VLOOKUP(A406,'TB for financial'!A:F,6,0)</f>
        <v>0</v>
      </c>
      <c r="E406" s="80"/>
      <c r="F406" s="79">
        <f>VLOOKUP(A406,'TB for financial'!A:K,11,0)</f>
        <v>0</v>
      </c>
      <c r="G406" s="80"/>
      <c r="H406" s="81">
        <f t="shared" si="73"/>
        <v>0</v>
      </c>
      <c r="I406" s="81">
        <v>0</v>
      </c>
      <c r="J406" s="81">
        <f t="shared" si="74"/>
        <v>0</v>
      </c>
      <c r="K406" s="80"/>
      <c r="L406" s="82">
        <f t="shared" si="75"/>
        <v>0</v>
      </c>
      <c r="M406" s="82">
        <v>0</v>
      </c>
      <c r="N406" s="82">
        <f t="shared" si="78"/>
        <v>0</v>
      </c>
      <c r="O406" s="83"/>
      <c r="P406"/>
      <c r="Q406"/>
      <c r="R406"/>
      <c r="S406"/>
      <c r="U406" s="84"/>
      <c r="V406" s="80"/>
      <c r="W406" s="82"/>
      <c r="X406" s="82"/>
      <c r="Y406" s="85" t="s">
        <v>537</v>
      </c>
      <c r="Z406" s="86" t="s">
        <v>565</v>
      </c>
      <c r="AA406" s="86" t="s">
        <v>28</v>
      </c>
      <c r="AB406" s="86" t="s">
        <v>21</v>
      </c>
      <c r="AC406" s="87">
        <v>0</v>
      </c>
      <c r="AD406" s="88">
        <f t="shared" si="77"/>
        <v>0</v>
      </c>
      <c r="AF406" s="54">
        <v>101760</v>
      </c>
      <c r="AQ406" s="80">
        <f t="shared" si="79"/>
        <v>0</v>
      </c>
      <c r="AR406" s="80"/>
    </row>
    <row r="407" spans="1:44" ht="14.4">
      <c r="A407" s="1378">
        <v>445614</v>
      </c>
      <c r="B407" s="78" t="str">
        <f>VLOOKUP(A407,'TB for financial'!A:B,2,0)</f>
        <v>Service Tax Recoverable - SEZ</v>
      </c>
      <c r="D407" s="122">
        <f>VLOOKUP(A407,'TB for financial'!A:F,6,0)</f>
        <v>932963</v>
      </c>
      <c r="E407" s="80"/>
      <c r="F407" s="79">
        <f>VLOOKUP(A407,'TB for financial'!A:K,11,0)</f>
        <v>932963</v>
      </c>
      <c r="G407" s="80"/>
      <c r="H407" s="81">
        <f t="shared" ref="H407:H421" si="80">D407-I407</f>
        <v>0</v>
      </c>
      <c r="I407" s="122">
        <v>932963</v>
      </c>
      <c r="J407" s="81">
        <f t="shared" ref="J407:J421" si="81">+D407-H407-I407</f>
        <v>0</v>
      </c>
      <c r="K407" s="80"/>
      <c r="L407" s="82">
        <f t="shared" ref="L407:L421" si="82">F407-M407</f>
        <v>0</v>
      </c>
      <c r="M407" s="82">
        <v>932963</v>
      </c>
      <c r="N407" s="82">
        <f t="shared" ref="N407:N421" si="83">+F407-L407-M407</f>
        <v>0</v>
      </c>
      <c r="O407" s="83"/>
      <c r="P407"/>
      <c r="Q407"/>
      <c r="R407"/>
      <c r="S407"/>
      <c r="U407" s="84"/>
      <c r="V407" s="80"/>
      <c r="W407" s="82"/>
      <c r="X407" s="82"/>
      <c r="Y407" s="85" t="s">
        <v>537</v>
      </c>
      <c r="Z407" s="86" t="s">
        <v>565</v>
      </c>
      <c r="AA407" s="86" t="s">
        <v>28</v>
      </c>
      <c r="AB407" s="86" t="s">
        <v>21</v>
      </c>
      <c r="AC407" s="87">
        <v>585629</v>
      </c>
      <c r="AD407" s="88">
        <f t="shared" ref="AD407:AD421" si="84">+D407-AC407</f>
        <v>347334</v>
      </c>
      <c r="AF407" s="54" t="s">
        <v>2536</v>
      </c>
      <c r="AQ407" s="80">
        <f t="shared" si="79"/>
        <v>932963</v>
      </c>
      <c r="AR407" s="80"/>
    </row>
    <row r="408" spans="1:44" ht="14.4">
      <c r="A408" s="1378">
        <v>445616</v>
      </c>
      <c r="B408" s="78" t="str">
        <f>VLOOKUP(A408,'TB for financial'!A:B,2,0)</f>
        <v>VAT Recoverable-SEZ purchase</v>
      </c>
      <c r="D408" s="122">
        <f>VLOOKUP(A408,'TB for financial'!A:F,6,0)</f>
        <v>223</v>
      </c>
      <c r="E408" s="80"/>
      <c r="F408" s="79">
        <f>VLOOKUP(A408,'TB for financial'!A:K,11,0)</f>
        <v>223</v>
      </c>
      <c r="G408" s="80"/>
      <c r="H408" s="122">
        <f t="shared" si="80"/>
        <v>223</v>
      </c>
      <c r="I408" s="81">
        <v>0</v>
      </c>
      <c r="J408" s="81">
        <f t="shared" si="81"/>
        <v>0</v>
      </c>
      <c r="K408" s="80"/>
      <c r="L408" s="82">
        <f t="shared" si="82"/>
        <v>223</v>
      </c>
      <c r="M408" s="82">
        <v>0</v>
      </c>
      <c r="N408" s="82">
        <f t="shared" si="83"/>
        <v>0</v>
      </c>
      <c r="O408" s="83"/>
      <c r="P408"/>
      <c r="Q408"/>
      <c r="R408"/>
      <c r="S408"/>
      <c r="U408" s="84"/>
      <c r="V408" s="80"/>
      <c r="W408" s="82"/>
      <c r="X408" s="82"/>
      <c r="Y408" s="85" t="s">
        <v>537</v>
      </c>
      <c r="Z408" s="86" t="s">
        <v>565</v>
      </c>
      <c r="AA408" s="86" t="s">
        <v>28</v>
      </c>
      <c r="AB408" s="86" t="s">
        <v>21</v>
      </c>
      <c r="AC408" s="87">
        <v>0</v>
      </c>
      <c r="AD408" s="88">
        <f t="shared" si="84"/>
        <v>223</v>
      </c>
      <c r="AF408" s="54" t="s">
        <v>2536</v>
      </c>
      <c r="AQ408" s="80">
        <f t="shared" si="79"/>
        <v>223</v>
      </c>
      <c r="AR408" s="80"/>
    </row>
    <row r="409" spans="1:44" ht="14.4">
      <c r="A409" s="1378">
        <v>445780</v>
      </c>
      <c r="B409" s="78" t="str">
        <f>VLOOKUP(A409,'TB for financial'!A:B,2,0)</f>
        <v>MAH. SEZ - IGST Payable</v>
      </c>
      <c r="D409" s="122">
        <f>VLOOKUP(A409,'TB for financial'!A:F,6,0)</f>
        <v>41275.340000000004</v>
      </c>
      <c r="E409" s="80"/>
      <c r="F409" s="79">
        <f>VLOOKUP(A409,'TB for financial'!A:K,11,0)</f>
        <v>41275.340000000004</v>
      </c>
      <c r="G409" s="80"/>
      <c r="H409" s="122">
        <f t="shared" si="80"/>
        <v>41275.340000000004</v>
      </c>
      <c r="I409" s="81">
        <v>0</v>
      </c>
      <c r="J409" s="81">
        <f t="shared" si="81"/>
        <v>0</v>
      </c>
      <c r="K409" s="80"/>
      <c r="L409" s="82">
        <f t="shared" si="82"/>
        <v>41275.340000000004</v>
      </c>
      <c r="M409" s="82">
        <v>0</v>
      </c>
      <c r="N409" s="82">
        <f t="shared" si="83"/>
        <v>0</v>
      </c>
      <c r="O409" s="83"/>
      <c r="P409"/>
      <c r="Q409"/>
      <c r="R409"/>
      <c r="S409"/>
      <c r="U409" s="84"/>
      <c r="V409" s="80"/>
      <c r="W409" s="82"/>
      <c r="X409" s="82"/>
      <c r="Y409" s="85" t="s">
        <v>537</v>
      </c>
      <c r="Z409" s="86" t="s">
        <v>565</v>
      </c>
      <c r="AA409" s="86" t="s">
        <v>28</v>
      </c>
      <c r="AB409" s="86" t="s">
        <v>21</v>
      </c>
      <c r="AC409" s="87">
        <v>58719.34</v>
      </c>
      <c r="AD409" s="88">
        <f t="shared" si="84"/>
        <v>-17443.999999999993</v>
      </c>
      <c r="AF409" s="54" t="s">
        <v>2536</v>
      </c>
      <c r="AQ409" s="80">
        <f t="shared" si="79"/>
        <v>41275.340000000004</v>
      </c>
      <c r="AR409" s="80"/>
    </row>
    <row r="410" spans="1:44" ht="24">
      <c r="A410" s="1378">
        <v>445882</v>
      </c>
      <c r="B410" s="78" t="str">
        <f>VLOOKUP(A410,'TB for financial'!A:B,2,0)</f>
        <v>SERVICE TAX INPUT CREDIT AVAILED</v>
      </c>
      <c r="D410" s="122">
        <f>VLOOKUP(A410,'TB for financial'!A:F,6,0)</f>
        <v>5421844.3000000007</v>
      </c>
      <c r="E410" s="80"/>
      <c r="F410" s="79">
        <f>VLOOKUP(A410,'TB for financial'!A:K,11,0)</f>
        <v>5421844.3000000007</v>
      </c>
      <c r="G410" s="80"/>
      <c r="H410" s="81">
        <f t="shared" si="80"/>
        <v>0</v>
      </c>
      <c r="I410" s="122">
        <v>5421844.3000000007</v>
      </c>
      <c r="J410" s="81">
        <f t="shared" si="81"/>
        <v>0</v>
      </c>
      <c r="K410" s="80"/>
      <c r="L410" s="82">
        <f t="shared" si="82"/>
        <v>0.30000000074505806</v>
      </c>
      <c r="M410" s="82">
        <v>5421844</v>
      </c>
      <c r="N410" s="82">
        <f t="shared" si="83"/>
        <v>0</v>
      </c>
      <c r="O410" s="83"/>
      <c r="P410"/>
      <c r="Q410"/>
      <c r="R410"/>
      <c r="S410"/>
      <c r="U410" s="84"/>
      <c r="V410" s="80"/>
      <c r="W410" s="82"/>
      <c r="X410" s="82"/>
      <c r="Y410" s="85" t="s">
        <v>537</v>
      </c>
      <c r="Z410" s="86" t="s">
        <v>565</v>
      </c>
      <c r="AA410" s="86" t="s">
        <v>28</v>
      </c>
      <c r="AB410" s="86" t="s">
        <v>21</v>
      </c>
      <c r="AC410" s="87">
        <v>5421844.2999999998</v>
      </c>
      <c r="AD410" s="88">
        <f t="shared" si="84"/>
        <v>0</v>
      </c>
      <c r="AF410" s="54" t="s">
        <v>2536</v>
      </c>
      <c r="AQ410" s="80">
        <f t="shared" si="79"/>
        <v>5421844.3000000007</v>
      </c>
      <c r="AR410" s="80"/>
    </row>
    <row r="411" spans="1:44" ht="24">
      <c r="A411" s="1378">
        <v>445885</v>
      </c>
      <c r="B411" s="78" t="str">
        <f>VLOOKUP(A411,'TB for financial'!A:B,2,0)</f>
        <v>Service Tax Input Credit - Swachh Bharat Cess</v>
      </c>
      <c r="D411" s="122">
        <f>VLOOKUP(A411,'TB for financial'!A:F,6,0)</f>
        <v>2550.8099999999977</v>
      </c>
      <c r="E411" s="80"/>
      <c r="F411" s="79">
        <f>VLOOKUP(A411,'TB for financial'!A:K,11,0)</f>
        <v>2550.8099999999977</v>
      </c>
      <c r="G411" s="80"/>
      <c r="H411" s="122">
        <f t="shared" si="80"/>
        <v>2550.8099999999977</v>
      </c>
      <c r="I411" s="81">
        <v>0</v>
      </c>
      <c r="J411" s="81">
        <f t="shared" si="81"/>
        <v>0</v>
      </c>
      <c r="K411" s="80"/>
      <c r="L411" s="82">
        <f t="shared" si="82"/>
        <v>2550.8099999999977</v>
      </c>
      <c r="M411" s="82">
        <v>0</v>
      </c>
      <c r="N411" s="82">
        <f t="shared" si="83"/>
        <v>0</v>
      </c>
      <c r="O411" s="83"/>
      <c r="P411"/>
      <c r="Q411"/>
      <c r="R411"/>
      <c r="S411"/>
      <c r="U411" s="84"/>
      <c r="V411" s="80"/>
      <c r="W411" s="82"/>
      <c r="X411" s="82"/>
      <c r="Y411" s="85" t="s">
        <v>537</v>
      </c>
      <c r="Z411" s="86" t="s">
        <v>565</v>
      </c>
      <c r="AA411" s="86" t="s">
        <v>28</v>
      </c>
      <c r="AB411" s="86" t="s">
        <v>21</v>
      </c>
      <c r="AC411" s="87">
        <v>0</v>
      </c>
      <c r="AD411" s="88">
        <f t="shared" si="84"/>
        <v>2550.8099999999977</v>
      </c>
      <c r="AF411" s="54" t="s">
        <v>2536</v>
      </c>
      <c r="AQ411" s="80">
        <f t="shared" si="79"/>
        <v>2550.8099999999977</v>
      </c>
      <c r="AR411" s="80"/>
    </row>
    <row r="412" spans="1:44" ht="24">
      <c r="A412" s="1378">
        <v>445886</v>
      </c>
      <c r="B412" s="78" t="str">
        <f>VLOOKUP(A412,'TB for financial'!A:B,2,0)</f>
        <v>Service Tax Payable - Swachh Bharat Cess</v>
      </c>
      <c r="D412" s="122">
        <f>VLOOKUP(A412,'TB for financial'!A:F,6,0)</f>
        <v>-3390.0800000000004</v>
      </c>
      <c r="E412" s="80"/>
      <c r="F412" s="79">
        <f>VLOOKUP(A412,'TB for financial'!A:K,11,0)</f>
        <v>-3390.0800000000004</v>
      </c>
      <c r="G412" s="80"/>
      <c r="H412" s="122">
        <f>D412-I412</f>
        <v>-3390.0800000000004</v>
      </c>
      <c r="I412" s="81">
        <v>0</v>
      </c>
      <c r="J412" s="81">
        <f>+D412-H412-I412</f>
        <v>0</v>
      </c>
      <c r="K412" s="80"/>
      <c r="L412" s="82">
        <f>F412-M412</f>
        <v>-3390.0800000000004</v>
      </c>
      <c r="M412" s="82">
        <v>0</v>
      </c>
      <c r="N412" s="82">
        <f>+F412-L412-M412</f>
        <v>0</v>
      </c>
      <c r="O412" s="83"/>
      <c r="P412"/>
      <c r="Q412"/>
      <c r="R412"/>
      <c r="S412"/>
      <c r="U412" s="84"/>
      <c r="V412" s="80"/>
      <c r="W412" s="82"/>
      <c r="X412" s="82"/>
      <c r="Y412" s="85" t="s">
        <v>537</v>
      </c>
      <c r="Z412" s="86" t="s">
        <v>565</v>
      </c>
      <c r="AA412" s="86" t="s">
        <v>28</v>
      </c>
      <c r="AB412" s="86" t="s">
        <v>21</v>
      </c>
      <c r="AC412" s="87">
        <v>0</v>
      </c>
      <c r="AD412" s="88">
        <f>+D412-AC412</f>
        <v>-3390.0800000000004</v>
      </c>
      <c r="AF412" s="54" t="s">
        <v>2536</v>
      </c>
      <c r="AQ412" s="80">
        <f t="shared" si="79"/>
        <v>-3390.0800000000004</v>
      </c>
      <c r="AR412" s="80"/>
    </row>
    <row r="413" spans="1:44" ht="24">
      <c r="A413" s="1378">
        <v>445888</v>
      </c>
      <c r="B413" s="78" t="str">
        <f>VLOOKUP(A413,'TB for financial'!A:B,2,0)</f>
        <v>Krishi Kalyan Cess of 0.5% ST Payable</v>
      </c>
      <c r="D413" s="122">
        <f>VLOOKUP(A413,'TB for financial'!A:F,6,0)</f>
        <v>13382.400000000001</v>
      </c>
      <c r="E413" s="80"/>
      <c r="F413" s="79">
        <f>VLOOKUP(A413,'TB for financial'!A:K,11,0)</f>
        <v>13382.400000000001</v>
      </c>
      <c r="G413" s="80"/>
      <c r="H413" s="122">
        <f>D413-I413</f>
        <v>13382.400000000001</v>
      </c>
      <c r="I413" s="81">
        <v>0</v>
      </c>
      <c r="J413" s="81">
        <f>+D413-H413-I413</f>
        <v>0</v>
      </c>
      <c r="K413" s="80"/>
      <c r="L413" s="82">
        <f>F413-M413</f>
        <v>13382.400000000001</v>
      </c>
      <c r="M413" s="82">
        <v>0</v>
      </c>
      <c r="N413" s="82">
        <f>+F413-L413-M413</f>
        <v>0</v>
      </c>
      <c r="O413" s="83"/>
      <c r="P413"/>
      <c r="Q413"/>
      <c r="R413"/>
      <c r="S413"/>
      <c r="U413" s="84"/>
      <c r="V413" s="80"/>
      <c r="W413" s="82"/>
      <c r="X413" s="82"/>
      <c r="Y413" s="85" t="s">
        <v>537</v>
      </c>
      <c r="Z413" s="86" t="s">
        <v>565</v>
      </c>
      <c r="AA413" s="86" t="s">
        <v>28</v>
      </c>
      <c r="AB413" s="86" t="s">
        <v>21</v>
      </c>
      <c r="AC413" s="87">
        <v>0</v>
      </c>
      <c r="AD413" s="88">
        <f>+D413-AC413</f>
        <v>13382.400000000001</v>
      </c>
      <c r="AF413" s="54" t="s">
        <v>2536</v>
      </c>
      <c r="AQ413" s="80">
        <f t="shared" si="79"/>
        <v>13382.400000000001</v>
      </c>
      <c r="AR413" s="80"/>
    </row>
    <row r="414" spans="1:44" ht="14.4">
      <c r="A414" s="1378">
        <v>445889</v>
      </c>
      <c r="B414" s="78" t="s">
        <v>2846</v>
      </c>
      <c r="D414" s="122">
        <f>VLOOKUP(A414,'TB for financial'!A:F,6,0)</f>
        <v>9003.24</v>
      </c>
      <c r="E414" s="80"/>
      <c r="F414" s="79">
        <f>VLOOKUP(A414,'TB for financial'!A:K,11,0)</f>
        <v>3.24</v>
      </c>
      <c r="G414" s="80"/>
      <c r="H414" s="122">
        <f>D414-I414</f>
        <v>9003.24</v>
      </c>
      <c r="I414" s="81"/>
      <c r="J414" s="81"/>
      <c r="K414" s="80"/>
      <c r="L414" s="82">
        <f>F414-M414</f>
        <v>3.24</v>
      </c>
      <c r="M414" s="82"/>
      <c r="N414" s="82"/>
      <c r="O414" s="83"/>
      <c r="P414"/>
      <c r="Q414"/>
      <c r="R414"/>
      <c r="S414"/>
      <c r="U414" s="84"/>
      <c r="V414" s="80"/>
      <c r="W414" s="82"/>
      <c r="X414" s="82"/>
      <c r="Y414" s="85"/>
      <c r="Z414" s="86"/>
      <c r="AA414" s="86"/>
      <c r="AB414" s="86"/>
      <c r="AC414" s="87"/>
      <c r="AD414" s="88"/>
      <c r="AQ414" s="80">
        <f t="shared" si="79"/>
        <v>9003.24</v>
      </c>
      <c r="AR414" s="80"/>
    </row>
    <row r="415" spans="1:44" ht="14.4">
      <c r="A415" s="1378">
        <v>445890</v>
      </c>
      <c r="B415" s="78" t="s">
        <v>2847</v>
      </c>
      <c r="D415" s="122">
        <f>VLOOKUP(A415,'TB for financial'!A:F,6,0)</f>
        <v>9003.24</v>
      </c>
      <c r="E415" s="80"/>
      <c r="F415" s="79">
        <f>VLOOKUP(A415,'TB for financial'!A:K,11,0)</f>
        <v>3.24</v>
      </c>
      <c r="G415" s="80"/>
      <c r="H415" s="122">
        <f>D415-I415</f>
        <v>9003.24</v>
      </c>
      <c r="I415" s="81"/>
      <c r="J415" s="81"/>
      <c r="K415" s="80"/>
      <c r="L415" s="82">
        <f>F415-M415</f>
        <v>3.24</v>
      </c>
      <c r="M415" s="82"/>
      <c r="N415" s="82"/>
      <c r="O415" s="83"/>
      <c r="P415"/>
      <c r="Q415"/>
      <c r="R415"/>
      <c r="S415"/>
      <c r="U415" s="84"/>
      <c r="V415" s="80"/>
      <c r="W415" s="82"/>
      <c r="X415" s="82"/>
      <c r="Y415" s="85"/>
      <c r="Z415" s="86"/>
      <c r="AA415" s="86"/>
      <c r="AB415" s="86"/>
      <c r="AC415" s="87"/>
      <c r="AD415" s="88"/>
      <c r="AQ415" s="80">
        <f t="shared" si="79"/>
        <v>9003.24</v>
      </c>
      <c r="AR415" s="80"/>
    </row>
    <row r="416" spans="1:44" ht="14.4">
      <c r="A416" s="1378">
        <v>445891</v>
      </c>
      <c r="B416" s="78" t="str">
        <f>VLOOKUP(A416,'TB for financial'!A:B,2,0)</f>
        <v>Input IGST Availed</v>
      </c>
      <c r="D416" s="122">
        <f>VLOOKUP(A416,'TB for financial'!A:F,6,0)</f>
        <v>14976</v>
      </c>
      <c r="E416" s="80"/>
      <c r="F416" s="79">
        <f>VLOOKUP(A416,'TB for financial'!A:K,11,0)</f>
        <v>11952</v>
      </c>
      <c r="G416" s="80"/>
      <c r="H416" s="122">
        <f>D416-I416</f>
        <v>14976</v>
      </c>
      <c r="I416" s="81">
        <v>0</v>
      </c>
      <c r="J416" s="81">
        <f>+D416-H416-I416</f>
        <v>0</v>
      </c>
      <c r="K416" s="80"/>
      <c r="L416" s="82">
        <f>F416-M416</f>
        <v>11952</v>
      </c>
      <c r="M416" s="82">
        <v>0</v>
      </c>
      <c r="N416" s="82">
        <f>+F416-L416-M416</f>
        <v>0</v>
      </c>
      <c r="O416" s="83"/>
      <c r="P416"/>
      <c r="Q416"/>
      <c r="R416"/>
      <c r="S416"/>
      <c r="U416" s="84"/>
      <c r="V416" s="80"/>
      <c r="W416" s="82"/>
      <c r="X416" s="82"/>
      <c r="Y416" s="85" t="s">
        <v>537</v>
      </c>
      <c r="Z416" s="86" t="s">
        <v>565</v>
      </c>
      <c r="AA416" s="86" t="s">
        <v>28</v>
      </c>
      <c r="AB416" s="86" t="s">
        <v>21</v>
      </c>
      <c r="AC416" s="87">
        <v>2880</v>
      </c>
      <c r="AD416" s="88">
        <f>+D416-AC416</f>
        <v>12096</v>
      </c>
      <c r="AF416" s="54" t="s">
        <v>2536</v>
      </c>
      <c r="AQ416" s="80">
        <f t="shared" si="79"/>
        <v>14976</v>
      </c>
      <c r="AR416" s="80"/>
    </row>
    <row r="417" spans="1:44" ht="14.4">
      <c r="A417" s="1378">
        <v>445916</v>
      </c>
      <c r="B417" s="78" t="str">
        <f>VLOOKUP(A417,'TB for financial'!A:B,2,0)</f>
        <v>Service Tax Payable</v>
      </c>
      <c r="D417" s="122">
        <f>VLOOKUP(A417,'TB for financial'!A:F,6,0)</f>
        <v>-123099.47000000003</v>
      </c>
      <c r="E417" s="80"/>
      <c r="F417" s="79">
        <f>VLOOKUP(A417,'TB for financial'!A:K,11,0)</f>
        <v>-123099.47000000003</v>
      </c>
      <c r="G417" s="80"/>
      <c r="H417" s="81">
        <f t="shared" si="80"/>
        <v>0</v>
      </c>
      <c r="I417" s="122">
        <v>-123099.47000000003</v>
      </c>
      <c r="J417" s="81">
        <f t="shared" si="81"/>
        <v>0</v>
      </c>
      <c r="K417" s="80"/>
      <c r="L417" s="82">
        <f t="shared" si="82"/>
        <v>0</v>
      </c>
      <c r="M417" s="82">
        <v>-123099.47000000003</v>
      </c>
      <c r="N417" s="82">
        <f t="shared" si="83"/>
        <v>0</v>
      </c>
      <c r="O417" s="83"/>
      <c r="P417"/>
      <c r="Q417"/>
      <c r="R417"/>
      <c r="S417"/>
      <c r="U417" s="84"/>
      <c r="V417" s="80"/>
      <c r="W417" s="82"/>
      <c r="X417" s="82"/>
      <c r="Y417" s="85" t="s">
        <v>537</v>
      </c>
      <c r="Z417" s="86" t="s">
        <v>565</v>
      </c>
      <c r="AA417" s="86" t="s">
        <v>28</v>
      </c>
      <c r="AB417" s="86" t="s">
        <v>21</v>
      </c>
      <c r="AC417" s="87">
        <v>0</v>
      </c>
      <c r="AD417" s="88">
        <f t="shared" si="84"/>
        <v>-123099.47000000003</v>
      </c>
      <c r="AF417" s="54" t="s">
        <v>2536</v>
      </c>
      <c r="AQ417" s="80">
        <f t="shared" si="79"/>
        <v>-123099.47000000003</v>
      </c>
      <c r="AR417" s="80"/>
    </row>
    <row r="418" spans="1:44" ht="14.4">
      <c r="A418" s="1378">
        <v>445960</v>
      </c>
      <c r="B418" s="78" t="str">
        <f>VLOOKUP(A418,'TB for financial'!A:B,2,0)</f>
        <v>MAH. SEZ - CGST Recoverable</v>
      </c>
      <c r="D418" s="122">
        <f>VLOOKUP(A418,'TB for financial'!A:F,6,0)</f>
        <v>0.25</v>
      </c>
      <c r="E418" s="80"/>
      <c r="F418" s="79">
        <f>VLOOKUP(A418,'TB for financial'!A:K,11,0)</f>
        <v>5502.25</v>
      </c>
      <c r="G418" s="80"/>
      <c r="H418" s="122">
        <f t="shared" si="80"/>
        <v>0.25</v>
      </c>
      <c r="I418" s="81">
        <v>0</v>
      </c>
      <c r="J418" s="81">
        <f t="shared" si="81"/>
        <v>0</v>
      </c>
      <c r="K418" s="80"/>
      <c r="L418" s="82">
        <f t="shared" si="82"/>
        <v>5502.25</v>
      </c>
      <c r="M418" s="82">
        <v>0</v>
      </c>
      <c r="N418" s="82">
        <f t="shared" si="83"/>
        <v>0</v>
      </c>
      <c r="O418" s="83"/>
      <c r="P418"/>
      <c r="Q418"/>
      <c r="R418"/>
      <c r="S418"/>
      <c r="U418" s="84"/>
      <c r="V418" s="80"/>
      <c r="W418" s="82"/>
      <c r="X418" s="82"/>
      <c r="Y418" s="85" t="s">
        <v>537</v>
      </c>
      <c r="Z418" s="86" t="s">
        <v>565</v>
      </c>
      <c r="AA418" s="86" t="s">
        <v>28</v>
      </c>
      <c r="AB418" s="86" t="s">
        <v>21</v>
      </c>
      <c r="AC418" s="87">
        <v>5502.25</v>
      </c>
      <c r="AD418" s="88">
        <f t="shared" si="84"/>
        <v>-5502</v>
      </c>
      <c r="AF418" s="54" t="s">
        <v>2536</v>
      </c>
      <c r="AQ418" s="80">
        <f t="shared" si="79"/>
        <v>0.25</v>
      </c>
      <c r="AR418" s="80"/>
    </row>
    <row r="419" spans="1:44" ht="14.4">
      <c r="A419" s="1378">
        <v>445970</v>
      </c>
      <c r="B419" s="78" t="str">
        <f>VLOOKUP(A419,'TB for financial'!A:B,2,0)</f>
        <v>MAH. SEZ - SGST Recoverable</v>
      </c>
      <c r="D419" s="122">
        <f>VLOOKUP(A419,'TB for financial'!A:F,6,0)</f>
        <v>0.26000000000021828</v>
      </c>
      <c r="E419" s="80"/>
      <c r="F419" s="79">
        <f>VLOOKUP(A419,'TB for financial'!A:K,11,0)</f>
        <v>5502.26</v>
      </c>
      <c r="G419" s="80"/>
      <c r="H419" s="122">
        <f t="shared" si="80"/>
        <v>0.26000000000021828</v>
      </c>
      <c r="I419" s="81">
        <v>0</v>
      </c>
      <c r="J419" s="81">
        <f t="shared" si="81"/>
        <v>0</v>
      </c>
      <c r="K419" s="80"/>
      <c r="L419" s="82">
        <f t="shared" si="82"/>
        <v>5502.26</v>
      </c>
      <c r="M419" s="82">
        <v>0</v>
      </c>
      <c r="N419" s="82">
        <f t="shared" si="83"/>
        <v>0</v>
      </c>
      <c r="O419" s="83"/>
      <c r="P419"/>
      <c r="Q419"/>
      <c r="R419"/>
      <c r="S419"/>
      <c r="U419" s="84"/>
      <c r="V419" s="80"/>
      <c r="W419" s="82"/>
      <c r="X419" s="82"/>
      <c r="Y419" s="85" t="s">
        <v>537</v>
      </c>
      <c r="Z419" s="86" t="s">
        <v>565</v>
      </c>
      <c r="AA419" s="86" t="s">
        <v>28</v>
      </c>
      <c r="AB419" s="86" t="s">
        <v>21</v>
      </c>
      <c r="AC419" s="87">
        <v>5502.26</v>
      </c>
      <c r="AD419" s="88">
        <f t="shared" si="84"/>
        <v>-5502</v>
      </c>
      <c r="AF419" s="54" t="s">
        <v>2536</v>
      </c>
      <c r="AQ419" s="80">
        <f t="shared" si="79"/>
        <v>0.26000000000021828</v>
      </c>
      <c r="AR419" s="80"/>
    </row>
    <row r="420" spans="1:44" ht="14.4">
      <c r="A420" s="1378">
        <v>445980</v>
      </c>
      <c r="B420" s="78" t="str">
        <f>VLOOKUP(A420,'TB for financial'!A:B,2,0)</f>
        <v>MAH. SEZ - IGST Recoverable</v>
      </c>
      <c r="D420" s="122">
        <f>VLOOKUP(A420,'TB for financial'!A:F,6,0)</f>
        <v>3286.9400000000032</v>
      </c>
      <c r="E420" s="80"/>
      <c r="F420" s="79">
        <f>VLOOKUP(A420,'TB for financial'!A:K,11,0)</f>
        <v>3286.9400000000032</v>
      </c>
      <c r="G420" s="80"/>
      <c r="H420" s="122">
        <f t="shared" si="80"/>
        <v>3286.9400000000032</v>
      </c>
      <c r="I420" s="81">
        <v>0</v>
      </c>
      <c r="J420" s="81">
        <f t="shared" si="81"/>
        <v>0</v>
      </c>
      <c r="K420" s="80"/>
      <c r="L420" s="82">
        <f t="shared" si="82"/>
        <v>3286.9400000000032</v>
      </c>
      <c r="M420" s="82">
        <v>0</v>
      </c>
      <c r="N420" s="82">
        <f t="shared" si="83"/>
        <v>0</v>
      </c>
      <c r="O420" s="83"/>
      <c r="P420"/>
      <c r="Q420"/>
      <c r="R420"/>
      <c r="S420"/>
      <c r="U420" s="84"/>
      <c r="V420" s="80"/>
      <c r="W420" s="82"/>
      <c r="X420" s="82"/>
      <c r="Y420" s="85" t="s">
        <v>537</v>
      </c>
      <c r="Z420" s="86" t="s">
        <v>565</v>
      </c>
      <c r="AA420" s="86" t="s">
        <v>28</v>
      </c>
      <c r="AB420" s="86" t="s">
        <v>21</v>
      </c>
      <c r="AC420" s="87">
        <v>3286.94</v>
      </c>
      <c r="AD420" s="88">
        <f t="shared" si="84"/>
        <v>0</v>
      </c>
      <c r="AF420" s="54" t="s">
        <v>2536</v>
      </c>
      <c r="AQ420" s="80">
        <f t="shared" si="79"/>
        <v>3286.9400000000032</v>
      </c>
      <c r="AR420" s="80"/>
    </row>
    <row r="421" spans="1:44" ht="14.4">
      <c r="A421" s="1378">
        <v>4459160</v>
      </c>
      <c r="B421" s="78" t="str">
        <f>VLOOKUP(A421,'TB for financial'!A:B,2,0)</f>
        <v>STAMP DUTY PAYABLE</v>
      </c>
      <c r="D421" s="122">
        <f>VLOOKUP(A421,'TB for financial'!A:F,6,0)</f>
        <v>399960</v>
      </c>
      <c r="E421" s="80"/>
      <c r="F421" s="79">
        <f>VLOOKUP(A421,'TB for financial'!A:K,11,0)</f>
        <v>399960</v>
      </c>
      <c r="G421" s="80"/>
      <c r="H421" s="122">
        <f t="shared" si="80"/>
        <v>0</v>
      </c>
      <c r="I421" s="81">
        <v>399960</v>
      </c>
      <c r="J421" s="81">
        <f t="shared" si="81"/>
        <v>0</v>
      </c>
      <c r="K421" s="80"/>
      <c r="L421" s="82">
        <f t="shared" si="82"/>
        <v>0</v>
      </c>
      <c r="M421" s="82">
        <v>399960</v>
      </c>
      <c r="N421" s="82">
        <f t="shared" si="83"/>
        <v>0</v>
      </c>
      <c r="O421" s="83"/>
      <c r="P421"/>
      <c r="Q421"/>
      <c r="R421"/>
      <c r="S421"/>
      <c r="U421" s="84"/>
      <c r="V421" s="80"/>
      <c r="W421" s="82"/>
      <c r="X421" s="82"/>
      <c r="Y421" s="85" t="s">
        <v>537</v>
      </c>
      <c r="Z421" s="86" t="s">
        <v>565</v>
      </c>
      <c r="AA421" s="86" t="s">
        <v>28</v>
      </c>
      <c r="AB421" s="86" t="s">
        <v>21</v>
      </c>
      <c r="AC421" s="87">
        <v>0</v>
      </c>
      <c r="AD421" s="88">
        <f t="shared" si="84"/>
        <v>399960</v>
      </c>
      <c r="AQ421" s="80">
        <f t="shared" si="79"/>
        <v>399960</v>
      </c>
      <c r="AR421" s="80"/>
    </row>
    <row r="422" spans="1:44" ht="5.0999999999999996" customHeight="1">
      <c r="A422" s="85"/>
      <c r="B422" s="71"/>
      <c r="D422" s="139"/>
      <c r="E422" s="96"/>
      <c r="F422" s="139"/>
      <c r="G422" s="80"/>
      <c r="H422" s="139"/>
      <c r="I422" s="139"/>
      <c r="J422" s="139"/>
      <c r="K422" s="80"/>
      <c r="L422" s="139"/>
      <c r="M422" s="151"/>
      <c r="N422" s="139"/>
      <c r="O422" s="96"/>
      <c r="P422"/>
      <c r="Q422"/>
      <c r="R422"/>
      <c r="S422"/>
      <c r="U422" s="152"/>
      <c r="V422" s="80"/>
      <c r="W422" s="139"/>
      <c r="X422" s="139"/>
      <c r="Y422" s="94"/>
      <c r="Z422" s="86"/>
      <c r="AA422" s="86"/>
      <c r="AB422" s="86"/>
      <c r="AQ422" s="80"/>
      <c r="AR422" s="80"/>
    </row>
    <row r="423" spans="1:44" ht="14.4">
      <c r="A423" s="85"/>
      <c r="B423" s="71" t="s">
        <v>234</v>
      </c>
      <c r="D423" s="1648">
        <f>SUM(D378:D422)</f>
        <v>6721981.3794000009</v>
      </c>
      <c r="E423" s="96"/>
      <c r="F423" s="138">
        <f>SUM(F378:F422)</f>
        <v>6711961.3794000009</v>
      </c>
      <c r="G423" s="80"/>
      <c r="H423" s="1648">
        <f>SUM(H378:H421)</f>
        <v>90313.549399999436</v>
      </c>
      <c r="I423" s="1649">
        <f>SUM(I378:I421)</f>
        <v>6631667.830000001</v>
      </c>
      <c r="J423" s="141">
        <f>SUM(J378:J421)</f>
        <v>0</v>
      </c>
      <c r="K423" s="80"/>
      <c r="L423" s="141">
        <f>SUM(L378:L421)</f>
        <v>80293.849400000166</v>
      </c>
      <c r="M423" s="153">
        <f>SUM(M378:M421)</f>
        <v>6631667.5300000003</v>
      </c>
      <c r="N423" s="141">
        <f>SUM(N378:N421)</f>
        <v>0</v>
      </c>
      <c r="O423" s="100"/>
      <c r="P423"/>
      <c r="Q423"/>
      <c r="R423"/>
      <c r="S423"/>
      <c r="U423" s="142"/>
      <c r="V423" s="80"/>
      <c r="W423" s="143"/>
      <c r="X423" s="143"/>
      <c r="Y423" s="94"/>
      <c r="Z423" s="86"/>
      <c r="AA423" s="86"/>
      <c r="AB423" s="86"/>
      <c r="AQ423" s="80"/>
      <c r="AR423" s="80"/>
    </row>
    <row r="424" spans="1:44" ht="5.25" customHeight="1">
      <c r="A424" s="85"/>
      <c r="B424" s="71"/>
      <c r="D424" s="115"/>
      <c r="E424" s="96"/>
      <c r="F424" s="115"/>
      <c r="G424" s="80"/>
      <c r="H424" s="115"/>
      <c r="I424" s="115"/>
      <c r="J424" s="115"/>
      <c r="K424" s="80"/>
      <c r="L424" s="115"/>
      <c r="M424" s="115"/>
      <c r="N424" s="115"/>
      <c r="O424" s="96"/>
      <c r="P424"/>
      <c r="Q424"/>
      <c r="R424"/>
      <c r="S424"/>
      <c r="U424" s="154"/>
      <c r="V424" s="80"/>
      <c r="W424" s="115"/>
      <c r="X424" s="115"/>
      <c r="Y424" s="94"/>
      <c r="Z424" s="86"/>
      <c r="AA424" s="86"/>
      <c r="AB424" s="86"/>
      <c r="AQ424" s="80"/>
      <c r="AR424" s="80"/>
    </row>
    <row r="425" spans="1:44" ht="14.4">
      <c r="A425" s="155">
        <v>101806</v>
      </c>
      <c r="B425" s="78" t="str">
        <f>VLOOKUP(A425,'TB for financial'!A:B,2,0)</f>
        <v>Prov doubtful VAT reco-SEZ BS</v>
      </c>
      <c r="D425" s="79">
        <f>VLOOKUP(A425,'TB for financial'!A:F,6,0)</f>
        <v>0</v>
      </c>
      <c r="E425" s="96"/>
      <c r="F425" s="79">
        <f>VLOOKUP(A425,'TB for financial'!A:K,11,0)</f>
        <v>0</v>
      </c>
      <c r="G425" s="80"/>
      <c r="H425" s="81">
        <f>D425-I425</f>
        <v>0</v>
      </c>
      <c r="I425" s="81">
        <v>0</v>
      </c>
      <c r="J425" s="81">
        <f>+D425-H425-I425</f>
        <v>0</v>
      </c>
      <c r="K425" s="80"/>
      <c r="L425" s="82">
        <f>F425-M425</f>
        <v>0</v>
      </c>
      <c r="M425" s="82">
        <v>0</v>
      </c>
      <c r="N425" s="82">
        <f>+F425-L425-M425</f>
        <v>0</v>
      </c>
      <c r="O425" s="83"/>
      <c r="P425"/>
      <c r="Q425"/>
      <c r="R425"/>
      <c r="S425"/>
      <c r="U425" s="84" t="s">
        <v>530</v>
      </c>
      <c r="V425" s="80"/>
      <c r="W425" s="82" t="s">
        <v>562</v>
      </c>
      <c r="X425" s="82" t="s">
        <v>563</v>
      </c>
      <c r="Y425" s="85" t="s">
        <v>537</v>
      </c>
      <c r="Z425" s="86" t="s">
        <v>565</v>
      </c>
      <c r="AA425" s="86" t="s">
        <v>28</v>
      </c>
      <c r="AB425" s="86" t="s">
        <v>21</v>
      </c>
      <c r="AC425" s="87">
        <v>0</v>
      </c>
      <c r="AD425" s="88">
        <f>+D425-AC425</f>
        <v>0</v>
      </c>
      <c r="AF425" s="54">
        <v>101806</v>
      </c>
      <c r="AQ425" s="80"/>
      <c r="AR425" s="80"/>
    </row>
    <row r="426" spans="1:44" ht="24">
      <c r="A426" s="155">
        <v>101802</v>
      </c>
      <c r="B426" s="78" t="str">
        <f>VLOOKUP(A426,'TB for financial'!A:B,2,0)</f>
        <v xml:space="preserve">Provision for doubtful Service tax recoverable </v>
      </c>
      <c r="D426" s="79">
        <f>VLOOKUP(A426,'TB for financial'!A:F,6,0)</f>
        <v>0</v>
      </c>
      <c r="E426" s="96"/>
      <c r="F426" s="79">
        <f>VLOOKUP(A426,'TB for financial'!A:K,11,0)</f>
        <v>0</v>
      </c>
      <c r="G426" s="80"/>
      <c r="H426" s="81">
        <f>D426-I426</f>
        <v>0</v>
      </c>
      <c r="I426" s="81">
        <v>0</v>
      </c>
      <c r="J426" s="81">
        <f>+D426-H426-I426</f>
        <v>0</v>
      </c>
      <c r="K426" s="80"/>
      <c r="L426" s="82">
        <f>F426-M426</f>
        <v>0</v>
      </c>
      <c r="M426" s="82">
        <v>0</v>
      </c>
      <c r="N426" s="82">
        <f>+F426-L426-M426</f>
        <v>0</v>
      </c>
      <c r="O426" s="83"/>
      <c r="P426"/>
      <c r="Q426"/>
      <c r="R426"/>
      <c r="S426"/>
      <c r="U426" s="84" t="s">
        <v>530</v>
      </c>
      <c r="V426" s="80"/>
      <c r="W426" s="82" t="s">
        <v>562</v>
      </c>
      <c r="X426" s="82" t="s">
        <v>563</v>
      </c>
      <c r="Y426" s="85" t="s">
        <v>537</v>
      </c>
      <c r="Z426" s="86" t="s">
        <v>565</v>
      </c>
      <c r="AA426" s="86" t="s">
        <v>28</v>
      </c>
      <c r="AB426" s="86" t="s">
        <v>21</v>
      </c>
      <c r="AC426" s="87">
        <v>0</v>
      </c>
      <c r="AD426" s="88">
        <f>+D426-AC426</f>
        <v>0</v>
      </c>
      <c r="AF426" s="54">
        <v>101802</v>
      </c>
      <c r="AQ426" s="80"/>
      <c r="AR426" s="80"/>
    </row>
    <row r="427" spans="1:44" ht="14.4">
      <c r="A427" s="155">
        <v>101808</v>
      </c>
      <c r="B427" s="78" t="str">
        <f>VLOOKUP(A427,'TB for financial'!A:B,2,0)</f>
        <v>Prov-Doubtful Octroi&amp;DEPB/DBK</v>
      </c>
      <c r="D427" s="79">
        <f>VLOOKUP(A427,'TB for financial'!A:F,6,0)</f>
        <v>0</v>
      </c>
      <c r="E427" s="96"/>
      <c r="F427" s="79">
        <f>VLOOKUP(A427,'TB for financial'!A:K,11,0)</f>
        <v>0</v>
      </c>
      <c r="G427" s="80"/>
      <c r="H427" s="81">
        <f>D427-I427</f>
        <v>0</v>
      </c>
      <c r="I427" s="122"/>
      <c r="J427" s="81">
        <f>+D427-H427-I427</f>
        <v>0</v>
      </c>
      <c r="K427" s="80"/>
      <c r="L427" s="82">
        <f>F427-M427</f>
        <v>399960</v>
      </c>
      <c r="M427" s="82">
        <v>-399960</v>
      </c>
      <c r="N427" s="82">
        <f>+F427-L427-M427</f>
        <v>0</v>
      </c>
      <c r="O427" s="83"/>
      <c r="P427"/>
      <c r="Q427"/>
      <c r="R427"/>
      <c r="S427"/>
      <c r="U427" s="84"/>
      <c r="V427" s="80"/>
      <c r="W427" s="82"/>
      <c r="X427" s="82"/>
      <c r="Y427" s="85" t="s">
        <v>537</v>
      </c>
      <c r="Z427" s="86" t="s">
        <v>565</v>
      </c>
      <c r="AA427" s="86" t="s">
        <v>28</v>
      </c>
      <c r="AB427" s="86" t="s">
        <v>21</v>
      </c>
      <c r="AC427" s="87">
        <v>0</v>
      </c>
      <c r="AD427" s="88">
        <f>+D427-AC427</f>
        <v>0</v>
      </c>
      <c r="AF427" s="54">
        <v>101808</v>
      </c>
      <c r="AQ427" s="80"/>
      <c r="AR427" s="80"/>
    </row>
    <row r="428" spans="1:44" ht="14.4">
      <c r="A428" s="155">
        <v>4458700</v>
      </c>
      <c r="B428" s="78" t="str">
        <f>VLOOKUP(A428,'TB for financial'!A:B,2,0)</f>
        <v>VAT Provision Account</v>
      </c>
      <c r="D428" s="122">
        <f>VLOOKUP(A428,'TB for financial'!A:F,6,0)</f>
        <v>-399960</v>
      </c>
      <c r="E428" s="96"/>
      <c r="F428" s="79">
        <f>VLOOKUP(A428,'TB for financial'!A:K,11,0)</f>
        <v>-399960</v>
      </c>
      <c r="G428" s="80"/>
      <c r="H428" s="81">
        <f>D428-I428</f>
        <v>0</v>
      </c>
      <c r="I428" s="122">
        <v>-399960</v>
      </c>
      <c r="J428" s="81">
        <f>+D428-H428-I428</f>
        <v>0</v>
      </c>
      <c r="K428" s="80"/>
      <c r="L428" s="82">
        <f>F428-M428</f>
        <v>0</v>
      </c>
      <c r="M428" s="82">
        <v>-399960</v>
      </c>
      <c r="N428" s="82">
        <f>+F428-L428-M428</f>
        <v>0</v>
      </c>
      <c r="O428" s="83"/>
      <c r="P428"/>
      <c r="Q428"/>
      <c r="R428"/>
      <c r="S428"/>
      <c r="U428" s="84"/>
      <c r="V428" s="80"/>
      <c r="W428" s="82"/>
      <c r="X428" s="82"/>
      <c r="Y428" s="85" t="s">
        <v>537</v>
      </c>
      <c r="Z428" s="86" t="s">
        <v>565</v>
      </c>
      <c r="AA428" s="86" t="s">
        <v>28</v>
      </c>
      <c r="AB428" s="86" t="s">
        <v>21</v>
      </c>
      <c r="AC428" s="87">
        <v>0</v>
      </c>
      <c r="AD428" s="88">
        <f>+D428-AC428</f>
        <v>-399960</v>
      </c>
      <c r="AQ428" s="80">
        <f>D428</f>
        <v>-399960</v>
      </c>
      <c r="AR428" s="80"/>
    </row>
    <row r="429" spans="1:44" ht="5.25" customHeight="1">
      <c r="A429" s="155"/>
      <c r="B429" s="78"/>
      <c r="D429" s="79"/>
      <c r="E429" s="96"/>
      <c r="F429" s="79"/>
      <c r="G429" s="80"/>
      <c r="H429" s="115"/>
      <c r="I429" s="115"/>
      <c r="J429" s="115"/>
      <c r="K429" s="80"/>
      <c r="L429" s="115"/>
      <c r="M429" s="115"/>
      <c r="N429" s="115"/>
      <c r="O429" s="96"/>
      <c r="P429"/>
      <c r="Q429"/>
      <c r="R429"/>
      <c r="S429"/>
      <c r="U429" s="154"/>
      <c r="V429" s="80"/>
      <c r="W429" s="115"/>
      <c r="X429" s="115"/>
      <c r="Y429" s="94"/>
      <c r="Z429" s="86"/>
      <c r="AA429" s="86"/>
      <c r="AB429" s="86"/>
      <c r="AQ429" s="80"/>
      <c r="AR429" s="80"/>
    </row>
    <row r="430" spans="1:44" ht="14.4">
      <c r="A430" s="85"/>
      <c r="B430" s="71" t="s">
        <v>573</v>
      </c>
      <c r="D430" s="138">
        <f>SUM(D425:D429)</f>
        <v>-399960</v>
      </c>
      <c r="E430" s="96"/>
      <c r="F430" s="138">
        <f>SUM(F425:F429)</f>
        <v>-399960</v>
      </c>
      <c r="G430" s="80"/>
      <c r="H430" s="156">
        <f>SUM(H425:H429)</f>
        <v>0</v>
      </c>
      <c r="I430" s="1648">
        <f>SUM(I425:I429)</f>
        <v>-399960</v>
      </c>
      <c r="J430" s="141">
        <f>SUM(J425:J429)</f>
        <v>0</v>
      </c>
      <c r="K430" s="80"/>
      <c r="L430" s="141">
        <f>SUM(L428:L429)</f>
        <v>0</v>
      </c>
      <c r="M430" s="141">
        <f>SUM(M428:M429)</f>
        <v>-399960</v>
      </c>
      <c r="N430" s="141">
        <f>SUM(N425:N429)</f>
        <v>0</v>
      </c>
      <c r="O430" s="100"/>
      <c r="P430"/>
      <c r="Q430"/>
      <c r="R430"/>
      <c r="S430"/>
      <c r="U430" s="142"/>
      <c r="V430" s="80"/>
      <c r="W430" s="143"/>
      <c r="X430" s="143"/>
      <c r="Y430" s="94"/>
      <c r="Z430" s="86"/>
      <c r="AA430" s="86"/>
      <c r="AB430" s="86"/>
      <c r="AQ430" s="80"/>
      <c r="AR430" s="80"/>
    </row>
    <row r="431" spans="1:44" ht="14.4">
      <c r="A431" s="85"/>
      <c r="B431" s="71"/>
      <c r="D431" s="115"/>
      <c r="E431" s="96"/>
      <c r="F431" s="115"/>
      <c r="G431" s="80"/>
      <c r="H431" s="115"/>
      <c r="I431" s="115"/>
      <c r="J431" s="115"/>
      <c r="K431" s="80"/>
      <c r="L431" s="115"/>
      <c r="M431" s="115"/>
      <c r="N431" s="115"/>
      <c r="O431" s="96"/>
      <c r="P431"/>
      <c r="Q431"/>
      <c r="R431"/>
      <c r="S431"/>
      <c r="U431" s="154"/>
      <c r="V431" s="80"/>
      <c r="W431" s="115"/>
      <c r="X431" s="115"/>
      <c r="Y431" s="94"/>
      <c r="Z431" s="86"/>
      <c r="AA431" s="86"/>
      <c r="AB431" s="86"/>
      <c r="AQ431" s="80"/>
      <c r="AR431" s="80"/>
    </row>
    <row r="432" spans="1:44" ht="14.4">
      <c r="A432" s="70">
        <v>101822</v>
      </c>
      <c r="B432" s="78" t="str">
        <f>VLOOKUP(A432,'TB for financial'!A:B,2,0)</f>
        <v>Deposits - Oriental - F Travel</v>
      </c>
      <c r="D432" s="79">
        <f>VLOOKUP(A432,'TB for financial'!A:F,6,0)</f>
        <v>0</v>
      </c>
      <c r="E432" s="80"/>
      <c r="F432" s="79">
        <f>VLOOKUP(A432,'TB for financial'!A:K,11,0)</f>
        <v>0</v>
      </c>
      <c r="G432" s="80"/>
      <c r="H432" s="81">
        <f t="shared" ref="H432:H443" si="85">D432-I432</f>
        <v>0</v>
      </c>
      <c r="I432" s="81">
        <v>0</v>
      </c>
      <c r="J432" s="81">
        <f t="shared" ref="J432:J443" si="86">+D432-H432-I432</f>
        <v>0</v>
      </c>
      <c r="K432" s="80"/>
      <c r="L432" s="82">
        <f t="shared" ref="L432:L443" si="87">F432-M432</f>
        <v>0</v>
      </c>
      <c r="M432" s="82">
        <v>0</v>
      </c>
      <c r="N432" s="82">
        <f t="shared" ref="N432:N439" si="88">+F432-L432-M432</f>
        <v>0</v>
      </c>
      <c r="O432" s="83"/>
      <c r="P432"/>
      <c r="Q432"/>
      <c r="R432"/>
      <c r="S432"/>
      <c r="U432" s="84" t="s">
        <v>535</v>
      </c>
      <c r="V432" s="80"/>
      <c r="W432" s="82" t="s">
        <v>562</v>
      </c>
      <c r="X432" s="82" t="s">
        <v>563</v>
      </c>
      <c r="Y432" s="85" t="s">
        <v>537</v>
      </c>
      <c r="Z432" s="86" t="s">
        <v>532</v>
      </c>
      <c r="AA432" s="86" t="s">
        <v>19</v>
      </c>
      <c r="AB432" s="86" t="s">
        <v>19</v>
      </c>
      <c r="AC432" s="87">
        <v>0</v>
      </c>
      <c r="AD432" s="88">
        <f t="shared" ref="AD432:AD443" si="89">+D432-AC432</f>
        <v>0</v>
      </c>
      <c r="AF432" s="54">
        <v>101822</v>
      </c>
      <c r="AQ432" s="80"/>
      <c r="AR432" s="80"/>
    </row>
    <row r="433" spans="1:44" ht="14.4">
      <c r="A433" s="70">
        <v>101823</v>
      </c>
      <c r="B433" s="78" t="str">
        <f>VLOOKUP(A433,'TB for financial'!A:B,2,0)</f>
        <v>Deposits - Oriental - Others</v>
      </c>
      <c r="D433" s="79">
        <f>VLOOKUP(A433,'TB for financial'!A:F,6,0)</f>
        <v>0</v>
      </c>
      <c r="E433" s="80"/>
      <c r="F433" s="79">
        <f>VLOOKUP(A433,'TB for financial'!A:K,11,0)</f>
        <v>0</v>
      </c>
      <c r="G433" s="80"/>
      <c r="H433" s="81">
        <f t="shared" si="85"/>
        <v>0</v>
      </c>
      <c r="I433" s="81">
        <v>0</v>
      </c>
      <c r="J433" s="81">
        <f t="shared" si="86"/>
        <v>0</v>
      </c>
      <c r="K433" s="80"/>
      <c r="L433" s="82">
        <f t="shared" si="87"/>
        <v>0</v>
      </c>
      <c r="M433" s="82">
        <v>0</v>
      </c>
      <c r="N433" s="82">
        <f t="shared" si="88"/>
        <v>0</v>
      </c>
      <c r="O433" s="83"/>
      <c r="P433"/>
      <c r="Q433"/>
      <c r="R433"/>
      <c r="S433"/>
      <c r="U433" s="84" t="s">
        <v>535</v>
      </c>
      <c r="V433" s="80"/>
      <c r="W433" s="82" t="s">
        <v>562</v>
      </c>
      <c r="X433" s="82" t="s">
        <v>563</v>
      </c>
      <c r="Y433" s="85" t="s">
        <v>537</v>
      </c>
      <c r="Z433" s="86" t="s">
        <v>532</v>
      </c>
      <c r="AA433" s="86" t="s">
        <v>19</v>
      </c>
      <c r="AB433" s="86" t="s">
        <v>19</v>
      </c>
      <c r="AC433" s="87">
        <v>0</v>
      </c>
      <c r="AD433" s="88">
        <f t="shared" si="89"/>
        <v>0</v>
      </c>
      <c r="AF433" s="54">
        <v>101823</v>
      </c>
      <c r="AQ433" s="80"/>
      <c r="AR433" s="80"/>
    </row>
    <row r="434" spans="1:44" ht="24">
      <c r="A434" s="70">
        <v>101830</v>
      </c>
      <c r="B434" s="78" t="str">
        <f>VLOOKUP(A434,'TB for financial'!A:B,2,0)</f>
        <v>Deposits - TATA AIG Overseas Insurance</v>
      </c>
      <c r="D434" s="79">
        <f>VLOOKUP(A434,'TB for financial'!A:F,6,0)</f>
        <v>0</v>
      </c>
      <c r="E434" s="80"/>
      <c r="F434" s="79">
        <f>VLOOKUP(A434,'TB for financial'!A:K,11,0)</f>
        <v>0</v>
      </c>
      <c r="G434" s="80"/>
      <c r="H434" s="81">
        <f t="shared" si="85"/>
        <v>0</v>
      </c>
      <c r="I434" s="81">
        <v>0</v>
      </c>
      <c r="J434" s="81">
        <f t="shared" si="86"/>
        <v>0</v>
      </c>
      <c r="K434" s="80"/>
      <c r="L434" s="82">
        <f t="shared" si="87"/>
        <v>0</v>
      </c>
      <c r="M434" s="82">
        <v>0</v>
      </c>
      <c r="N434" s="82">
        <f t="shared" si="88"/>
        <v>0</v>
      </c>
      <c r="O434" s="83"/>
      <c r="P434"/>
      <c r="Q434"/>
      <c r="R434"/>
      <c r="S434"/>
      <c r="U434" s="84" t="s">
        <v>535</v>
      </c>
      <c r="V434" s="80"/>
      <c r="W434" s="82" t="s">
        <v>562</v>
      </c>
      <c r="X434" s="82" t="s">
        <v>563</v>
      </c>
      <c r="Y434" s="85" t="s">
        <v>537</v>
      </c>
      <c r="Z434" s="86" t="s">
        <v>532</v>
      </c>
      <c r="AA434" s="86" t="s">
        <v>19</v>
      </c>
      <c r="AB434" s="86" t="s">
        <v>19</v>
      </c>
      <c r="AC434" s="87">
        <v>0</v>
      </c>
      <c r="AD434" s="88">
        <f t="shared" si="89"/>
        <v>0</v>
      </c>
      <c r="AF434" s="54">
        <v>101830</v>
      </c>
      <c r="AQ434" s="80"/>
      <c r="AR434" s="80"/>
    </row>
    <row r="435" spans="1:44" ht="14.4">
      <c r="A435" s="70">
        <v>101831</v>
      </c>
      <c r="B435" s="78" t="str">
        <f>VLOOKUP(A435,'TB for financial'!A:B,2,0)</f>
        <v>Deposits - Bajaj Allianz</v>
      </c>
      <c r="D435" s="79">
        <f>VLOOKUP(A435,'TB for financial'!A:F,6,0)</f>
        <v>0</v>
      </c>
      <c r="E435" s="80"/>
      <c r="F435" s="79">
        <f>VLOOKUP(A435,'TB for financial'!A:K,11,0)</f>
        <v>0</v>
      </c>
      <c r="G435" s="80"/>
      <c r="H435" s="81">
        <f t="shared" si="85"/>
        <v>0</v>
      </c>
      <c r="I435" s="81">
        <v>0</v>
      </c>
      <c r="J435" s="81">
        <f t="shared" si="86"/>
        <v>0</v>
      </c>
      <c r="K435" s="80"/>
      <c r="L435" s="82">
        <f t="shared" si="87"/>
        <v>0</v>
      </c>
      <c r="M435" s="82">
        <v>0</v>
      </c>
      <c r="N435" s="82">
        <f t="shared" si="88"/>
        <v>0</v>
      </c>
      <c r="O435" s="83"/>
      <c r="P435"/>
      <c r="Q435"/>
      <c r="R435"/>
      <c r="S435"/>
      <c r="U435" s="84" t="s">
        <v>535</v>
      </c>
      <c r="V435" s="80"/>
      <c r="W435" s="82" t="s">
        <v>562</v>
      </c>
      <c r="X435" s="82" t="s">
        <v>563</v>
      </c>
      <c r="Y435" s="85" t="s">
        <v>537</v>
      </c>
      <c r="Z435" s="86" t="s">
        <v>532</v>
      </c>
      <c r="AA435" s="86" t="s">
        <v>19</v>
      </c>
      <c r="AB435" s="86" t="s">
        <v>19</v>
      </c>
      <c r="AC435" s="87">
        <v>0</v>
      </c>
      <c r="AD435" s="88">
        <f t="shared" si="89"/>
        <v>0</v>
      </c>
      <c r="AF435" s="54">
        <v>101831</v>
      </c>
      <c r="AQ435" s="80"/>
      <c r="AR435" s="80"/>
    </row>
    <row r="436" spans="1:44" ht="14.4">
      <c r="A436" s="90">
        <v>101835</v>
      </c>
      <c r="B436" s="78" t="str">
        <f>VLOOKUP(A436,'TB for financial'!A:B,2,0)</f>
        <v>Deposit -Metlife</v>
      </c>
      <c r="D436" s="79">
        <f>VLOOKUP(A436,'TB for financial'!A:F,6,0)</f>
        <v>0</v>
      </c>
      <c r="E436" s="80"/>
      <c r="F436" s="79">
        <f>VLOOKUP(A436,'TB for financial'!A:K,11,0)</f>
        <v>0</v>
      </c>
      <c r="G436" s="80"/>
      <c r="H436" s="81">
        <f t="shared" si="85"/>
        <v>0</v>
      </c>
      <c r="I436" s="81">
        <v>0</v>
      </c>
      <c r="J436" s="81">
        <f t="shared" si="86"/>
        <v>0</v>
      </c>
      <c r="K436" s="80"/>
      <c r="L436" s="82">
        <f t="shared" si="87"/>
        <v>0</v>
      </c>
      <c r="M436" s="82">
        <v>0</v>
      </c>
      <c r="N436" s="82">
        <f t="shared" si="88"/>
        <v>0</v>
      </c>
      <c r="O436" s="83"/>
      <c r="P436"/>
      <c r="Q436"/>
      <c r="R436"/>
      <c r="S436"/>
      <c r="U436" s="84" t="s">
        <v>535</v>
      </c>
      <c r="V436" s="80"/>
      <c r="W436" s="82" t="s">
        <v>562</v>
      </c>
      <c r="X436" s="82" t="s">
        <v>563</v>
      </c>
      <c r="Y436" s="85" t="s">
        <v>537</v>
      </c>
      <c r="Z436" s="86" t="s">
        <v>532</v>
      </c>
      <c r="AA436" s="86" t="s">
        <v>19</v>
      </c>
      <c r="AB436" s="86" t="s">
        <v>19</v>
      </c>
      <c r="AC436" s="87">
        <v>0</v>
      </c>
      <c r="AD436" s="88">
        <f t="shared" si="89"/>
        <v>0</v>
      </c>
      <c r="AF436" s="54">
        <v>101835</v>
      </c>
      <c r="AQ436" s="80"/>
      <c r="AR436" s="80"/>
    </row>
    <row r="437" spans="1:44" ht="14.4">
      <c r="A437" s="90">
        <v>101836</v>
      </c>
      <c r="B437" s="78" t="str">
        <f>VLOOKUP(A437,'TB for financial'!A:B,2,0)</f>
        <v>Deposit - ICICI Lombard</v>
      </c>
      <c r="D437" s="79">
        <f>VLOOKUP(A437,'TB for financial'!A:F,6,0)</f>
        <v>0</v>
      </c>
      <c r="E437" s="80"/>
      <c r="F437" s="79">
        <f>VLOOKUP(A437,'TB for financial'!A:K,11,0)</f>
        <v>0</v>
      </c>
      <c r="G437" s="80"/>
      <c r="H437" s="81">
        <f t="shared" si="85"/>
        <v>0</v>
      </c>
      <c r="I437" s="81">
        <v>0</v>
      </c>
      <c r="J437" s="81">
        <f t="shared" si="86"/>
        <v>0</v>
      </c>
      <c r="K437" s="80"/>
      <c r="L437" s="82">
        <f t="shared" si="87"/>
        <v>0</v>
      </c>
      <c r="M437" s="82">
        <v>0</v>
      </c>
      <c r="N437" s="82">
        <f t="shared" si="88"/>
        <v>0</v>
      </c>
      <c r="O437" s="83"/>
      <c r="P437"/>
      <c r="Q437"/>
      <c r="R437"/>
      <c r="S437"/>
      <c r="U437" s="84" t="s">
        <v>535</v>
      </c>
      <c r="V437" s="80"/>
      <c r="W437" s="82" t="s">
        <v>562</v>
      </c>
      <c r="X437" s="82" t="s">
        <v>563</v>
      </c>
      <c r="Y437" s="85" t="s">
        <v>537</v>
      </c>
      <c r="Z437" s="86" t="s">
        <v>532</v>
      </c>
      <c r="AA437" s="86" t="s">
        <v>19</v>
      </c>
      <c r="AB437" s="86" t="s">
        <v>19</v>
      </c>
      <c r="AC437" s="87">
        <v>0</v>
      </c>
      <c r="AD437" s="88">
        <f t="shared" si="89"/>
        <v>0</v>
      </c>
      <c r="AF437" s="54">
        <v>101836</v>
      </c>
      <c r="AQ437" s="80"/>
      <c r="AR437" s="80"/>
    </row>
    <row r="438" spans="1:44" ht="14.4">
      <c r="A438" s="89">
        <v>101837</v>
      </c>
      <c r="B438" s="78" t="str">
        <f>VLOOKUP(A438,'TB for financial'!A:B,2,0)</f>
        <v>Deposit-HDFC ERGO General Ins</v>
      </c>
      <c r="D438" s="79">
        <f>VLOOKUP(A438,'TB for financial'!A:F,6,0)</f>
        <v>0</v>
      </c>
      <c r="E438" s="80"/>
      <c r="F438" s="79">
        <f>VLOOKUP(A438,'TB for financial'!A:K,11,0)</f>
        <v>0</v>
      </c>
      <c r="G438" s="80"/>
      <c r="H438" s="81">
        <f t="shared" si="85"/>
        <v>0</v>
      </c>
      <c r="I438" s="81">
        <v>0</v>
      </c>
      <c r="J438" s="81">
        <f t="shared" si="86"/>
        <v>0</v>
      </c>
      <c r="K438" s="80"/>
      <c r="L438" s="82">
        <f t="shared" si="87"/>
        <v>0</v>
      </c>
      <c r="M438" s="82">
        <v>0</v>
      </c>
      <c r="N438" s="82">
        <f t="shared" si="88"/>
        <v>0</v>
      </c>
      <c r="O438" s="83"/>
      <c r="P438"/>
      <c r="Q438"/>
      <c r="R438"/>
      <c r="S438"/>
      <c r="U438" s="84" t="s">
        <v>535</v>
      </c>
      <c r="V438" s="80"/>
      <c r="W438" s="82" t="s">
        <v>562</v>
      </c>
      <c r="X438" s="82" t="s">
        <v>563</v>
      </c>
      <c r="Y438" s="85" t="s">
        <v>537</v>
      </c>
      <c r="Z438" s="86" t="s">
        <v>532</v>
      </c>
      <c r="AA438" s="86" t="s">
        <v>19</v>
      </c>
      <c r="AB438" s="86" t="s">
        <v>19</v>
      </c>
      <c r="AC438" s="87">
        <v>0</v>
      </c>
      <c r="AD438" s="88">
        <f t="shared" si="89"/>
        <v>0</v>
      </c>
      <c r="AF438" s="54">
        <v>101837</v>
      </c>
      <c r="AQ438" s="80"/>
      <c r="AR438" s="80"/>
    </row>
    <row r="439" spans="1:44" ht="14.4">
      <c r="A439" s="89">
        <v>101838</v>
      </c>
      <c r="B439" s="78" t="str">
        <f>VLOOKUP(A439,'TB for financial'!A:B,2,0)</f>
        <v>Deposit The New India Assuranc</v>
      </c>
      <c r="D439" s="79">
        <f>VLOOKUP(A439,'TB for financial'!A:F,6,0)</f>
        <v>0</v>
      </c>
      <c r="E439" s="80"/>
      <c r="F439" s="79">
        <f>VLOOKUP(A439,'TB for financial'!A:K,11,0)</f>
        <v>0</v>
      </c>
      <c r="G439" s="80"/>
      <c r="H439" s="81">
        <f t="shared" si="85"/>
        <v>0</v>
      </c>
      <c r="I439" s="81">
        <v>0</v>
      </c>
      <c r="J439" s="81">
        <f t="shared" si="86"/>
        <v>0</v>
      </c>
      <c r="K439" s="80"/>
      <c r="L439" s="82">
        <f t="shared" si="87"/>
        <v>0</v>
      </c>
      <c r="M439" s="82">
        <v>0</v>
      </c>
      <c r="N439" s="82">
        <f t="shared" si="88"/>
        <v>0</v>
      </c>
      <c r="O439" s="83"/>
      <c r="P439"/>
      <c r="Q439"/>
      <c r="R439"/>
      <c r="S439"/>
      <c r="U439" s="84" t="s">
        <v>535</v>
      </c>
      <c r="V439" s="80"/>
      <c r="W439" s="82" t="s">
        <v>562</v>
      </c>
      <c r="X439" s="82" t="s">
        <v>563</v>
      </c>
      <c r="Y439" s="85" t="s">
        <v>537</v>
      </c>
      <c r="Z439" s="86" t="s">
        <v>532</v>
      </c>
      <c r="AA439" s="86" t="s">
        <v>19</v>
      </c>
      <c r="AB439" s="86" t="s">
        <v>19</v>
      </c>
      <c r="AC439" s="87">
        <v>0</v>
      </c>
      <c r="AD439" s="88">
        <f t="shared" si="89"/>
        <v>0</v>
      </c>
      <c r="AF439" s="54">
        <v>101838</v>
      </c>
      <c r="AQ439" s="80"/>
      <c r="AR439" s="80"/>
    </row>
    <row r="440" spans="1:44" ht="14.4">
      <c r="A440" s="89">
        <v>101839</v>
      </c>
      <c r="B440" s="78" t="str">
        <f>VLOOKUP(A440,'TB for financial'!A:B,2,0)</f>
        <v>Deposit-Futur Gener Life Insur</v>
      </c>
      <c r="D440" s="79">
        <f>VLOOKUP(A440,'TB for financial'!A:F,6,0)</f>
        <v>0</v>
      </c>
      <c r="E440" s="80"/>
      <c r="F440" s="79">
        <f>VLOOKUP(A440,'TB for financial'!A:K,11,0)</f>
        <v>0</v>
      </c>
      <c r="G440" s="80"/>
      <c r="H440" s="81">
        <f t="shared" si="85"/>
        <v>0</v>
      </c>
      <c r="I440" s="81">
        <v>0</v>
      </c>
      <c r="J440" s="81">
        <f t="shared" si="86"/>
        <v>0</v>
      </c>
      <c r="K440" s="80"/>
      <c r="L440" s="82">
        <f t="shared" si="87"/>
        <v>0</v>
      </c>
      <c r="M440" s="82">
        <v>0</v>
      </c>
      <c r="N440" s="82">
        <f>+F440-L440-M440</f>
        <v>0</v>
      </c>
      <c r="O440" s="83"/>
      <c r="P440"/>
      <c r="Q440"/>
      <c r="R440"/>
      <c r="S440"/>
      <c r="U440" s="84" t="s">
        <v>535</v>
      </c>
      <c r="V440" s="80"/>
      <c r="W440" s="82" t="s">
        <v>562</v>
      </c>
      <c r="X440" s="82" t="s">
        <v>563</v>
      </c>
      <c r="Y440" s="85" t="s">
        <v>537</v>
      </c>
      <c r="Z440" s="86" t="s">
        <v>532</v>
      </c>
      <c r="AA440" s="86" t="s">
        <v>19</v>
      </c>
      <c r="AB440" s="86" t="s">
        <v>19</v>
      </c>
      <c r="AC440" s="87">
        <v>0</v>
      </c>
      <c r="AD440" s="88">
        <f t="shared" si="89"/>
        <v>0</v>
      </c>
      <c r="AF440" s="54">
        <v>101839</v>
      </c>
      <c r="AQ440" s="80"/>
      <c r="AR440" s="80"/>
    </row>
    <row r="441" spans="1:44" ht="14.4">
      <c r="A441" s="89">
        <v>101852</v>
      </c>
      <c r="B441" s="78" t="str">
        <f>VLOOKUP(A441,'TB for financial'!A:B,2,0)</f>
        <v>Deposit - Kotak M Old Mut Life</v>
      </c>
      <c r="D441" s="79">
        <f>VLOOKUP(A441,'TB for financial'!A:F,6,0)</f>
        <v>0</v>
      </c>
      <c r="E441" s="80"/>
      <c r="F441" s="79">
        <f>VLOOKUP(A441,'TB for financial'!A:K,11,0)</f>
        <v>0</v>
      </c>
      <c r="G441" s="80"/>
      <c r="H441" s="81">
        <f t="shared" si="85"/>
        <v>0</v>
      </c>
      <c r="I441" s="81">
        <v>0</v>
      </c>
      <c r="J441" s="81">
        <f t="shared" si="86"/>
        <v>0</v>
      </c>
      <c r="K441" s="80"/>
      <c r="L441" s="82">
        <f t="shared" si="87"/>
        <v>0</v>
      </c>
      <c r="M441" s="82">
        <v>0</v>
      </c>
      <c r="N441" s="82">
        <f>+F441-L441-M441</f>
        <v>0</v>
      </c>
      <c r="O441" s="83"/>
      <c r="P441"/>
      <c r="Q441"/>
      <c r="R441"/>
      <c r="S441"/>
      <c r="U441" s="84" t="s">
        <v>535</v>
      </c>
      <c r="V441" s="80"/>
      <c r="W441" s="82" t="s">
        <v>562</v>
      </c>
      <c r="X441" s="82" t="s">
        <v>563</v>
      </c>
      <c r="Y441" s="85" t="s">
        <v>537</v>
      </c>
      <c r="Z441" s="86" t="s">
        <v>532</v>
      </c>
      <c r="AA441" s="86" t="s">
        <v>19</v>
      </c>
      <c r="AB441" s="86" t="s">
        <v>19</v>
      </c>
      <c r="AC441" s="87">
        <v>0</v>
      </c>
      <c r="AD441" s="88">
        <f t="shared" si="89"/>
        <v>0</v>
      </c>
      <c r="AF441" s="54">
        <v>101852</v>
      </c>
      <c r="AQ441" s="80"/>
      <c r="AR441" s="80"/>
    </row>
    <row r="442" spans="1:44" ht="14.4">
      <c r="A442" s="89">
        <v>101853</v>
      </c>
      <c r="B442" s="78" t="str">
        <f>VLOOKUP(A442,'TB for financial'!A:B,2,0)</f>
        <v>Deposit - United India Ins.</v>
      </c>
      <c r="D442" s="79">
        <f>VLOOKUP(A442,'TB for financial'!A:F,6,0)</f>
        <v>0</v>
      </c>
      <c r="E442" s="80"/>
      <c r="F442" s="79">
        <f>VLOOKUP(A442,'TB for financial'!A:K,11,0)</f>
        <v>0</v>
      </c>
      <c r="G442" s="80"/>
      <c r="H442" s="81">
        <f t="shared" si="85"/>
        <v>0</v>
      </c>
      <c r="I442" s="81">
        <v>0</v>
      </c>
      <c r="J442" s="81">
        <f t="shared" si="86"/>
        <v>0</v>
      </c>
      <c r="K442" s="80"/>
      <c r="L442" s="82">
        <f t="shared" si="87"/>
        <v>0</v>
      </c>
      <c r="M442" s="82">
        <v>0</v>
      </c>
      <c r="N442" s="82">
        <f>+F442-L442-M442</f>
        <v>0</v>
      </c>
      <c r="O442" s="83"/>
      <c r="P442"/>
      <c r="Q442"/>
      <c r="R442"/>
      <c r="S442"/>
      <c r="U442" s="84" t="s">
        <v>535</v>
      </c>
      <c r="V442" s="80"/>
      <c r="W442" s="82" t="s">
        <v>562</v>
      </c>
      <c r="X442" s="82" t="s">
        <v>563</v>
      </c>
      <c r="Y442" s="85" t="s">
        <v>537</v>
      </c>
      <c r="Z442" s="86" t="s">
        <v>532</v>
      </c>
      <c r="AA442" s="86" t="s">
        <v>19</v>
      </c>
      <c r="AB442" s="86" t="s">
        <v>19</v>
      </c>
      <c r="AC442" s="87">
        <v>0</v>
      </c>
      <c r="AD442" s="88">
        <f t="shared" si="89"/>
        <v>0</v>
      </c>
      <c r="AF442" s="54">
        <v>101853</v>
      </c>
      <c r="AQ442" s="80"/>
      <c r="AR442" s="80"/>
    </row>
    <row r="443" spans="1:44" ht="14.4">
      <c r="A443" s="89">
        <v>101858</v>
      </c>
      <c r="B443" s="78" t="str">
        <f>VLOOKUP(A443,'TB for financial'!A:B,2,0)</f>
        <v>Deposit-National India Insuran</v>
      </c>
      <c r="D443" s="79">
        <f>VLOOKUP(A443,'TB for financial'!A:F,6,0)</f>
        <v>0</v>
      </c>
      <c r="E443" s="80"/>
      <c r="F443" s="79">
        <f>VLOOKUP(A443,'TB for financial'!A:K,11,0)</f>
        <v>0</v>
      </c>
      <c r="G443" s="80"/>
      <c r="H443" s="81">
        <f t="shared" si="85"/>
        <v>0</v>
      </c>
      <c r="I443" s="81">
        <v>0</v>
      </c>
      <c r="J443" s="81">
        <f t="shared" si="86"/>
        <v>0</v>
      </c>
      <c r="K443" s="80"/>
      <c r="L443" s="82">
        <f t="shared" si="87"/>
        <v>0</v>
      </c>
      <c r="M443" s="82">
        <v>0</v>
      </c>
      <c r="N443" s="82">
        <f>+F443-L443-M443</f>
        <v>0</v>
      </c>
      <c r="O443" s="83"/>
      <c r="P443"/>
      <c r="Q443"/>
      <c r="R443"/>
      <c r="S443"/>
      <c r="U443" s="84"/>
      <c r="V443" s="80"/>
      <c r="W443" s="82"/>
      <c r="X443" s="82"/>
      <c r="Y443" s="85" t="s">
        <v>537</v>
      </c>
      <c r="Z443" s="86" t="s">
        <v>532</v>
      </c>
      <c r="AA443" s="86" t="s">
        <v>19</v>
      </c>
      <c r="AB443" s="86" t="s">
        <v>19</v>
      </c>
      <c r="AC443" s="87">
        <v>0</v>
      </c>
      <c r="AD443" s="88">
        <f t="shared" si="89"/>
        <v>0</v>
      </c>
      <c r="AF443" s="54">
        <v>101858</v>
      </c>
      <c r="AQ443" s="80"/>
      <c r="AR443" s="80"/>
    </row>
    <row r="444" spans="1:44" ht="14.4">
      <c r="A444" s="1375">
        <v>468701</v>
      </c>
      <c r="B444" s="78" t="str">
        <f>VLOOKUP(A444,'TB for financial'!A:B,2,0)</f>
        <v>General Deposits</v>
      </c>
      <c r="D444" s="79">
        <f>VLOOKUP(A444,'TB for financial'!A:F,6,0)</f>
        <v>15629.260000000007</v>
      </c>
      <c r="E444" s="80"/>
      <c r="F444" s="79">
        <f>VLOOKUP(A444,'TB for financial'!A:K,11,0)</f>
        <v>15629.260000000007</v>
      </c>
      <c r="G444" s="80"/>
      <c r="H444" s="122">
        <f>D444-I444</f>
        <v>15629.260000000007</v>
      </c>
      <c r="I444" s="81">
        <v>0</v>
      </c>
      <c r="J444" s="81">
        <f>+D444-H444-I444</f>
        <v>0</v>
      </c>
      <c r="K444" s="80"/>
      <c r="L444" s="82">
        <f>F444-M444</f>
        <v>15629.260000000007</v>
      </c>
      <c r="M444" s="82">
        <v>0</v>
      </c>
      <c r="N444" s="82">
        <f>+F444-L444-M444</f>
        <v>0</v>
      </c>
      <c r="O444" s="83"/>
      <c r="P444"/>
      <c r="Q444"/>
      <c r="R444"/>
      <c r="S444"/>
      <c r="U444" s="84"/>
      <c r="V444" s="80"/>
      <c r="W444" s="82"/>
      <c r="X444" s="82"/>
      <c r="Y444" s="85" t="s">
        <v>537</v>
      </c>
      <c r="Z444" s="86" t="s">
        <v>532</v>
      </c>
      <c r="AA444" s="86" t="s">
        <v>19</v>
      </c>
      <c r="AB444" s="86" t="s">
        <v>19</v>
      </c>
      <c r="AC444" s="87">
        <v>15629.26</v>
      </c>
      <c r="AD444" s="88">
        <f>+D444-AC444</f>
        <v>0</v>
      </c>
      <c r="AF444" s="54" t="s">
        <v>2536</v>
      </c>
      <c r="AQ444" s="80">
        <f>D444</f>
        <v>15629.260000000007</v>
      </c>
      <c r="AR444" s="80"/>
    </row>
    <row r="445" spans="1:44" ht="5.0999999999999996" customHeight="1">
      <c r="A445" s="70"/>
      <c r="B445" s="78"/>
      <c r="D445" s="79"/>
      <c r="E445" s="80"/>
      <c r="F445" s="79"/>
      <c r="G445" s="80"/>
      <c r="H445" s="81"/>
      <c r="I445" s="81"/>
      <c r="J445" s="81"/>
      <c r="K445" s="80"/>
      <c r="L445" s="82"/>
      <c r="M445" s="82"/>
      <c r="N445" s="82"/>
      <c r="O445" s="83"/>
      <c r="P445"/>
      <c r="Q445"/>
      <c r="R445"/>
      <c r="S445"/>
      <c r="U445" s="84"/>
      <c r="V445" s="80"/>
      <c r="W445" s="82"/>
      <c r="X445" s="82"/>
      <c r="Y445" s="94"/>
      <c r="Z445" s="86"/>
      <c r="AA445" s="86"/>
      <c r="AB445" s="86"/>
      <c r="AQ445" s="80"/>
      <c r="AR445" s="80"/>
    </row>
    <row r="446" spans="1:44" s="47" customFormat="1" ht="15" thickBot="1">
      <c r="A446" s="105"/>
      <c r="B446" s="71" t="s">
        <v>574</v>
      </c>
      <c r="C446" s="54"/>
      <c r="D446" s="1648">
        <f>SUM(D432:D445)</f>
        <v>15629.260000000007</v>
      </c>
      <c r="E446" s="96"/>
      <c r="F446" s="139">
        <f>SUM(F432:F445)</f>
        <v>15629.260000000007</v>
      </c>
      <c r="G446" s="96"/>
      <c r="H446" s="1646">
        <f>SUM(H432:H445)</f>
        <v>15629.260000000007</v>
      </c>
      <c r="I446" s="141">
        <f>SUM(I432:I445)</f>
        <v>0</v>
      </c>
      <c r="J446" s="141">
        <f>SUM(J432:J445)</f>
        <v>0</v>
      </c>
      <c r="K446" s="96"/>
      <c r="L446" s="141">
        <f>SUM(L432:L445)</f>
        <v>15629.260000000007</v>
      </c>
      <c r="M446" s="141">
        <f>SUM(M432:M445)</f>
        <v>0</v>
      </c>
      <c r="N446" s="141">
        <f>SUM(N432:N445)</f>
        <v>0</v>
      </c>
      <c r="O446" s="100"/>
      <c r="P446"/>
      <c r="Q446"/>
      <c r="R446"/>
      <c r="S446"/>
      <c r="U446" s="142"/>
      <c r="V446" s="96"/>
      <c r="W446" s="143"/>
      <c r="X446" s="143"/>
      <c r="Y446" s="94"/>
      <c r="Z446" s="86"/>
      <c r="AA446" s="86"/>
      <c r="AB446" s="86"/>
      <c r="AQ446" s="96"/>
      <c r="AR446" s="96"/>
    </row>
    <row r="447" spans="1:44" s="47" customFormat="1" ht="5.0999999999999996" customHeight="1" thickTop="1">
      <c r="A447" s="105"/>
      <c r="B447" s="71"/>
      <c r="C447" s="54"/>
      <c r="D447" s="115"/>
      <c r="E447" s="96"/>
      <c r="F447" s="115"/>
      <c r="G447" s="80"/>
      <c r="H447" s="116"/>
      <c r="I447" s="116"/>
      <c r="J447" s="116"/>
      <c r="K447" s="96"/>
      <c r="L447" s="118"/>
      <c r="M447" s="118"/>
      <c r="N447" s="118"/>
      <c r="O447" s="119"/>
      <c r="P447"/>
      <c r="Q447"/>
      <c r="R447"/>
      <c r="S447"/>
      <c r="U447" s="117"/>
      <c r="V447" s="80"/>
      <c r="W447" s="118"/>
      <c r="X447" s="118"/>
      <c r="Y447" s="94"/>
      <c r="Z447" s="86"/>
      <c r="AA447" s="86"/>
      <c r="AB447" s="86"/>
      <c r="AQ447" s="96"/>
      <c r="AR447" s="96"/>
    </row>
    <row r="448" spans="1:44" ht="5.0999999999999996" customHeight="1">
      <c r="A448" s="70"/>
      <c r="B448" s="78"/>
      <c r="D448" s="79"/>
      <c r="E448" s="80"/>
      <c r="F448" s="79"/>
      <c r="G448" s="80"/>
      <c r="H448" s="81"/>
      <c r="I448" s="81"/>
      <c r="J448" s="81"/>
      <c r="K448" s="80"/>
      <c r="L448" s="82"/>
      <c r="M448" s="82"/>
      <c r="N448" s="82"/>
      <c r="O448" s="83"/>
      <c r="P448"/>
      <c r="Q448"/>
      <c r="R448"/>
      <c r="S448"/>
      <c r="U448" s="84"/>
      <c r="V448" s="80"/>
      <c r="W448" s="82"/>
      <c r="X448" s="82"/>
      <c r="Y448" s="94"/>
      <c r="Z448" s="86"/>
      <c r="AA448" s="86"/>
      <c r="AB448" s="86"/>
      <c r="AQ448" s="80"/>
      <c r="AR448" s="80"/>
    </row>
    <row r="449" spans="1:44" ht="14.4">
      <c r="A449" s="70">
        <v>101851</v>
      </c>
      <c r="B449" s="78" t="str">
        <f>VLOOKUP(A449,'TB for financial'!A:B,2,0)</f>
        <v>Provision for Doubtful Deposits</v>
      </c>
      <c r="D449" s="79">
        <f>VLOOKUP(A449,'TB for financial'!A:F,6,0)</f>
        <v>0</v>
      </c>
      <c r="E449" s="80"/>
      <c r="F449" s="79">
        <f>VLOOKUP(A449,'TB for financial'!A:K,11,0)</f>
        <v>0</v>
      </c>
      <c r="G449" s="80"/>
      <c r="H449" s="81">
        <f>D449-I449</f>
        <v>0</v>
      </c>
      <c r="I449" s="81">
        <v>0</v>
      </c>
      <c r="J449" s="81">
        <f>+D449-H449-I449</f>
        <v>0</v>
      </c>
      <c r="K449" s="80"/>
      <c r="L449" s="82">
        <f>F449-M449</f>
        <v>0</v>
      </c>
      <c r="M449" s="82">
        <v>0</v>
      </c>
      <c r="N449" s="82">
        <f>+F449-L449-M449</f>
        <v>0</v>
      </c>
      <c r="O449" s="83"/>
      <c r="P449"/>
      <c r="Q449"/>
      <c r="R449"/>
      <c r="S449"/>
      <c r="U449" s="84" t="s">
        <v>539</v>
      </c>
      <c r="V449" s="80"/>
      <c r="W449" s="82" t="s">
        <v>562</v>
      </c>
      <c r="X449" s="82" t="s">
        <v>563</v>
      </c>
      <c r="Y449" s="85" t="s">
        <v>537</v>
      </c>
      <c r="Z449" s="86" t="s">
        <v>532</v>
      </c>
      <c r="AA449" s="86" t="s">
        <v>19</v>
      </c>
      <c r="AB449" s="86" t="s">
        <v>19</v>
      </c>
      <c r="AC449" s="87">
        <v>0</v>
      </c>
      <c r="AD449" s="88">
        <f>+D449-AC449</f>
        <v>0</v>
      </c>
      <c r="AF449" s="54">
        <v>101851</v>
      </c>
      <c r="AQ449" s="80"/>
      <c r="AR449" s="80"/>
    </row>
    <row r="450" spans="1:44" ht="5.0999999999999996" customHeight="1">
      <c r="A450" s="70"/>
      <c r="B450" s="78"/>
      <c r="D450" s="79"/>
      <c r="E450" s="80"/>
      <c r="F450" s="79"/>
      <c r="G450" s="80"/>
      <c r="H450" s="81"/>
      <c r="I450" s="81"/>
      <c r="J450" s="81"/>
      <c r="K450" s="80"/>
      <c r="L450" s="82"/>
      <c r="M450" s="82"/>
      <c r="N450" s="82"/>
      <c r="O450" s="83"/>
      <c r="P450"/>
      <c r="Q450"/>
      <c r="R450"/>
      <c r="S450"/>
      <c r="U450" s="84"/>
      <c r="V450" s="80"/>
      <c r="W450" s="82"/>
      <c r="X450" s="82"/>
      <c r="Y450" s="94"/>
      <c r="Z450" s="86"/>
      <c r="AA450" s="86"/>
      <c r="AB450" s="86"/>
      <c r="AQ450" s="80"/>
      <c r="AR450" s="80"/>
    </row>
    <row r="451" spans="1:44" ht="15" thickBot="1">
      <c r="A451" s="70"/>
      <c r="B451" s="71" t="s">
        <v>575</v>
      </c>
      <c r="D451" s="95">
        <f>SUM(D449:D450)</f>
        <v>0</v>
      </c>
      <c r="E451" s="96"/>
      <c r="F451" s="97">
        <f>SUM(F449:F450)</f>
        <v>0</v>
      </c>
      <c r="G451" s="80"/>
      <c r="H451" s="157">
        <f>SUM(H449:H450)</f>
        <v>0</v>
      </c>
      <c r="I451" s="98">
        <f>SUM(I449:I450)</f>
        <v>0</v>
      </c>
      <c r="J451" s="99">
        <f>SUM(J449:J450)</f>
        <v>0</v>
      </c>
      <c r="K451" s="80"/>
      <c r="L451" s="99">
        <f>SUM(L449:L450)</f>
        <v>0</v>
      </c>
      <c r="M451" s="99">
        <f>SUM(M449:M450)</f>
        <v>0</v>
      </c>
      <c r="N451" s="99">
        <f>SUM(N449:N450)</f>
        <v>0</v>
      </c>
      <c r="O451" s="100"/>
      <c r="P451"/>
      <c r="Q451"/>
      <c r="R451"/>
      <c r="S451"/>
      <c r="U451" s="101"/>
      <c r="V451" s="80"/>
      <c r="W451" s="102"/>
      <c r="X451" s="102"/>
      <c r="Y451" s="94"/>
      <c r="Z451" s="86"/>
      <c r="AA451" s="86"/>
      <c r="AB451" s="86"/>
      <c r="AQ451" s="80"/>
      <c r="AR451" s="80"/>
    </row>
    <row r="452" spans="1:44" ht="5.0999999999999996" customHeight="1" thickTop="1">
      <c r="A452" s="70"/>
      <c r="B452" s="71"/>
      <c r="D452" s="79"/>
      <c r="E452" s="80"/>
      <c r="F452" s="79"/>
      <c r="G452" s="80"/>
      <c r="H452" s="81"/>
      <c r="I452" s="81"/>
      <c r="J452" s="81"/>
      <c r="K452" s="80"/>
      <c r="L452" s="82"/>
      <c r="M452" s="82"/>
      <c r="N452" s="82"/>
      <c r="O452" s="83"/>
      <c r="P452"/>
      <c r="Q452"/>
      <c r="R452"/>
      <c r="S452"/>
      <c r="U452" s="84"/>
      <c r="V452" s="80"/>
      <c r="W452" s="82"/>
      <c r="X452" s="82"/>
      <c r="Y452" s="94"/>
      <c r="Z452" s="86"/>
      <c r="AA452" s="86"/>
      <c r="AB452" s="86"/>
      <c r="AQ452" s="80"/>
      <c r="AR452" s="80"/>
    </row>
    <row r="453" spans="1:44" ht="14.4">
      <c r="A453" s="70">
        <v>101816</v>
      </c>
      <c r="B453" s="78" t="str">
        <f>VLOOKUP(A453,'TB for financial'!A:B,2,0)</f>
        <v>Deposits - Office Premises</v>
      </c>
      <c r="D453" s="79">
        <f>VLOOKUP(A453,'TB for financial'!A:F,6,0)</f>
        <v>0</v>
      </c>
      <c r="E453" s="80"/>
      <c r="F453" s="79">
        <f>VLOOKUP(A453,'TB for financial'!A:K,11,0)</f>
        <v>0</v>
      </c>
      <c r="G453" s="80"/>
      <c r="H453" s="81">
        <f t="shared" ref="H453:H458" si="90">D453-I453</f>
        <v>0</v>
      </c>
      <c r="I453" s="81">
        <v>0</v>
      </c>
      <c r="J453" s="81">
        <f t="shared" ref="J453:J458" si="91">+D453-H453-I453</f>
        <v>0</v>
      </c>
      <c r="K453" s="80"/>
      <c r="L453" s="82">
        <f t="shared" ref="L453:L458" si="92">F453-M453</f>
        <v>0</v>
      </c>
      <c r="M453" s="82">
        <v>0</v>
      </c>
      <c r="N453" s="82">
        <f t="shared" ref="N453:N458" si="93">+F453-L453-M453</f>
        <v>0</v>
      </c>
      <c r="O453" s="83"/>
      <c r="P453"/>
      <c r="Q453"/>
      <c r="R453"/>
      <c r="S453"/>
      <c r="T453" s="54">
        <v>8122045</v>
      </c>
      <c r="U453" s="84" t="s">
        <v>535</v>
      </c>
      <c r="V453" s="80"/>
      <c r="W453" s="82" t="s">
        <v>562</v>
      </c>
      <c r="X453" s="82" t="s">
        <v>563</v>
      </c>
      <c r="Y453" s="85" t="s">
        <v>537</v>
      </c>
      <c r="Z453" s="86" t="s">
        <v>532</v>
      </c>
      <c r="AA453" s="86" t="s">
        <v>19</v>
      </c>
      <c r="AB453" s="86" t="s">
        <v>19</v>
      </c>
      <c r="AC453" s="87">
        <v>0</v>
      </c>
      <c r="AD453" s="88">
        <f t="shared" ref="AD453:AD458" si="94">+D453-AC453</f>
        <v>0</v>
      </c>
      <c r="AF453" s="54">
        <v>101816</v>
      </c>
      <c r="AQ453" s="80"/>
      <c r="AR453" s="80"/>
    </row>
    <row r="454" spans="1:44" ht="14.4">
      <c r="A454" s="70">
        <v>101817</v>
      </c>
      <c r="B454" s="78" t="str">
        <f>VLOOKUP(A454,'TB for financial'!A:B,2,0)</f>
        <v>Deposits - Guest House</v>
      </c>
      <c r="D454" s="79">
        <f>VLOOKUP(A454,'TB for financial'!A:F,6,0)</f>
        <v>0</v>
      </c>
      <c r="E454" s="80"/>
      <c r="F454" s="79">
        <f>VLOOKUP(A454,'TB for financial'!A:K,11,0)</f>
        <v>0</v>
      </c>
      <c r="G454" s="80"/>
      <c r="H454" s="81">
        <f t="shared" si="90"/>
        <v>0</v>
      </c>
      <c r="I454" s="81">
        <v>0</v>
      </c>
      <c r="J454" s="81">
        <f t="shared" si="91"/>
        <v>0</v>
      </c>
      <c r="K454" s="80"/>
      <c r="L454" s="82">
        <f t="shared" si="92"/>
        <v>0</v>
      </c>
      <c r="M454" s="82">
        <v>0</v>
      </c>
      <c r="N454" s="82">
        <f t="shared" si="93"/>
        <v>0</v>
      </c>
      <c r="O454" s="83"/>
      <c r="P454"/>
      <c r="Q454"/>
      <c r="R454"/>
      <c r="S454"/>
      <c r="U454" s="84" t="s">
        <v>535</v>
      </c>
      <c r="V454" s="80"/>
      <c r="W454" s="82" t="s">
        <v>562</v>
      </c>
      <c r="X454" s="82" t="s">
        <v>563</v>
      </c>
      <c r="Y454" s="85" t="s">
        <v>537</v>
      </c>
      <c r="Z454" s="86" t="s">
        <v>532</v>
      </c>
      <c r="AA454" s="86" t="s">
        <v>19</v>
      </c>
      <c r="AB454" s="86" t="s">
        <v>19</v>
      </c>
      <c r="AC454" s="87">
        <v>0</v>
      </c>
      <c r="AD454" s="88">
        <f t="shared" si="94"/>
        <v>0</v>
      </c>
      <c r="AF454" s="54">
        <v>101817</v>
      </c>
      <c r="AQ454" s="80"/>
      <c r="AR454" s="80"/>
    </row>
    <row r="455" spans="1:44" ht="14.4">
      <c r="A455" s="70">
        <v>101818</v>
      </c>
      <c r="B455" s="78" t="str">
        <f>VLOOKUP(A455,'TB for financial'!A:B,2,0)</f>
        <v>Deposits - Flat for Employees</v>
      </c>
      <c r="D455" s="79">
        <f>VLOOKUP(A455,'TB for financial'!A:F,6,0)</f>
        <v>0</v>
      </c>
      <c r="E455" s="80"/>
      <c r="F455" s="79">
        <f>VLOOKUP(A455,'TB for financial'!A:K,11,0)</f>
        <v>0</v>
      </c>
      <c r="G455" s="80"/>
      <c r="H455" s="81">
        <f t="shared" si="90"/>
        <v>0</v>
      </c>
      <c r="I455" s="81">
        <v>0</v>
      </c>
      <c r="J455" s="81">
        <f t="shared" si="91"/>
        <v>0</v>
      </c>
      <c r="K455" s="80"/>
      <c r="L455" s="82">
        <f t="shared" si="92"/>
        <v>0</v>
      </c>
      <c r="M455" s="82">
        <v>0</v>
      </c>
      <c r="N455" s="82">
        <f t="shared" si="93"/>
        <v>0</v>
      </c>
      <c r="O455" s="83"/>
      <c r="P455"/>
      <c r="Q455"/>
      <c r="R455"/>
      <c r="S455"/>
      <c r="U455" s="84" t="s">
        <v>535</v>
      </c>
      <c r="V455" s="80"/>
      <c r="W455" s="82" t="s">
        <v>562</v>
      </c>
      <c r="X455" s="82" t="s">
        <v>563</v>
      </c>
      <c r="Y455" s="85" t="s">
        <v>537</v>
      </c>
      <c r="Z455" s="86" t="s">
        <v>532</v>
      </c>
      <c r="AA455" s="86" t="s">
        <v>19</v>
      </c>
      <c r="AB455" s="86" t="s">
        <v>19</v>
      </c>
      <c r="AC455" s="87">
        <v>0</v>
      </c>
      <c r="AD455" s="88">
        <f t="shared" si="94"/>
        <v>0</v>
      </c>
      <c r="AF455" s="54">
        <v>101818</v>
      </c>
      <c r="AQ455" s="80"/>
      <c r="AR455" s="80"/>
    </row>
    <row r="456" spans="1:44" ht="14.4">
      <c r="A456" s="70">
        <v>101832</v>
      </c>
      <c r="B456" s="78" t="str">
        <f>VLOOKUP(A456,'TB for financial'!A:B,2,0)</f>
        <v>Deposits - Inter Company</v>
      </c>
      <c r="D456" s="79">
        <f>VLOOKUP(A456,'TB for financial'!A:F,6,0)</f>
        <v>0</v>
      </c>
      <c r="E456" s="80"/>
      <c r="F456" s="79">
        <f>VLOOKUP(A456,'TB for financial'!A:K,11,0)</f>
        <v>0</v>
      </c>
      <c r="G456" s="80"/>
      <c r="H456" s="81">
        <f t="shared" si="90"/>
        <v>0</v>
      </c>
      <c r="I456" s="81">
        <v>0</v>
      </c>
      <c r="J456" s="81">
        <f t="shared" si="91"/>
        <v>0</v>
      </c>
      <c r="K456" s="80"/>
      <c r="L456" s="82">
        <f t="shared" si="92"/>
        <v>0</v>
      </c>
      <c r="M456" s="82">
        <v>0</v>
      </c>
      <c r="N456" s="82">
        <f t="shared" si="93"/>
        <v>0</v>
      </c>
      <c r="O456" s="83"/>
      <c r="P456"/>
      <c r="Q456"/>
      <c r="R456"/>
      <c r="S456"/>
      <c r="U456" s="84" t="s">
        <v>535</v>
      </c>
      <c r="V456" s="80"/>
      <c r="W456" s="82" t="s">
        <v>562</v>
      </c>
      <c r="X456" s="82" t="s">
        <v>563</v>
      </c>
      <c r="Y456" s="85" t="s">
        <v>537</v>
      </c>
      <c r="Z456" s="86" t="s">
        <v>532</v>
      </c>
      <c r="AA456" s="86" t="s">
        <v>19</v>
      </c>
      <c r="AB456" s="86" t="s">
        <v>19</v>
      </c>
      <c r="AC456" s="87">
        <v>0</v>
      </c>
      <c r="AD456" s="88">
        <f t="shared" si="94"/>
        <v>0</v>
      </c>
      <c r="AF456" s="54">
        <v>101832</v>
      </c>
      <c r="AQ456" s="80"/>
      <c r="AR456" s="80"/>
    </row>
    <row r="457" spans="1:44" ht="14.4">
      <c r="A457" s="158">
        <v>101872</v>
      </c>
      <c r="B457" s="78" t="str">
        <f>VLOOKUP(A457,'TB for financial'!A:B,2,0)</f>
        <v>Prepaid rent - intrnl deposits</v>
      </c>
      <c r="D457" s="79">
        <f>VLOOKUP(A457,'TB for financial'!A:F,6,0)</f>
        <v>0</v>
      </c>
      <c r="E457" s="80"/>
      <c r="F457" s="79">
        <f>VLOOKUP(A457,'TB for financial'!A:K,11,0)</f>
        <v>0</v>
      </c>
      <c r="G457" s="80"/>
      <c r="H457" s="81">
        <f t="shared" si="90"/>
        <v>0</v>
      </c>
      <c r="I457" s="81">
        <v>0</v>
      </c>
      <c r="J457" s="81">
        <f t="shared" si="91"/>
        <v>0</v>
      </c>
      <c r="K457" s="80"/>
      <c r="L457" s="82">
        <f t="shared" si="92"/>
        <v>0</v>
      </c>
      <c r="M457" s="82">
        <v>0</v>
      </c>
      <c r="N457" s="82">
        <f t="shared" si="93"/>
        <v>0</v>
      </c>
      <c r="O457" s="83"/>
      <c r="P457"/>
      <c r="Q457"/>
      <c r="R457"/>
      <c r="S457"/>
      <c r="U457" s="84"/>
      <c r="V457" s="80"/>
      <c r="W457" s="82"/>
      <c r="X457" s="82"/>
      <c r="Y457" s="85" t="s">
        <v>537</v>
      </c>
      <c r="Z457" s="86" t="s">
        <v>532</v>
      </c>
      <c r="AA457" s="86" t="s">
        <v>19</v>
      </c>
      <c r="AB457" s="86" t="s">
        <v>19</v>
      </c>
      <c r="AC457" s="87">
        <v>0</v>
      </c>
      <c r="AD457" s="88">
        <f t="shared" si="94"/>
        <v>0</v>
      </c>
      <c r="AF457" s="54" t="s">
        <v>576</v>
      </c>
      <c r="AQ457" s="80"/>
      <c r="AR457" s="80"/>
    </row>
    <row r="458" spans="1:44" ht="14.4">
      <c r="A458" s="158">
        <v>101873</v>
      </c>
      <c r="B458" s="78" t="str">
        <f>VLOOKUP(A458,'TB for financial'!A:B,2,0)</f>
        <v>Deferred lease expense (IndAS)</v>
      </c>
      <c r="D458" s="79">
        <f>VLOOKUP(A458,'TB for financial'!A:F,6,0)</f>
        <v>0.5062559824436903</v>
      </c>
      <c r="E458" s="80"/>
      <c r="F458" s="79">
        <f>VLOOKUP(A458,'TB for financial'!A:K,11,0)</f>
        <v>0.5062559824436903</v>
      </c>
      <c r="G458" s="80"/>
      <c r="H458" s="81">
        <f t="shared" si="90"/>
        <v>0.5062559824436903</v>
      </c>
      <c r="I458" s="81">
        <v>0</v>
      </c>
      <c r="J458" s="81">
        <f t="shared" si="91"/>
        <v>0</v>
      </c>
      <c r="K458" s="80"/>
      <c r="L458" s="82">
        <f t="shared" si="92"/>
        <v>0.5062559824436903</v>
      </c>
      <c r="M458" s="82">
        <v>0</v>
      </c>
      <c r="N458" s="82">
        <f t="shared" si="93"/>
        <v>0</v>
      </c>
      <c r="O458" s="83"/>
      <c r="P458"/>
      <c r="Q458"/>
      <c r="R458"/>
      <c r="S458"/>
      <c r="U458" s="84" t="s">
        <v>535</v>
      </c>
      <c r="V458" s="80"/>
      <c r="W458" s="82" t="s">
        <v>562</v>
      </c>
      <c r="X458" s="82" t="s">
        <v>563</v>
      </c>
      <c r="Y458" s="85" t="s">
        <v>531</v>
      </c>
      <c r="Z458" s="86" t="s">
        <v>565</v>
      </c>
      <c r="AA458" s="86" t="s">
        <v>28</v>
      </c>
      <c r="AB458" s="86" t="s">
        <v>21</v>
      </c>
      <c r="AC458" s="87">
        <v>0</v>
      </c>
      <c r="AD458" s="88">
        <f t="shared" si="94"/>
        <v>0.5062559824436903</v>
      </c>
      <c r="AF458" s="54" t="s">
        <v>576</v>
      </c>
      <c r="AQ458" s="80">
        <f>D458</f>
        <v>0.5062559824436903</v>
      </c>
      <c r="AR458" s="80"/>
    </row>
    <row r="459" spans="1:44" ht="24">
      <c r="A459" s="1373">
        <v>411700</v>
      </c>
      <c r="B459" s="78" t="str">
        <f>VLOOKUP(A459,'TB for financial'!A:B,2,0)</f>
        <v>TRADE DEBTORS - GUARANTEE RETENTIONS</v>
      </c>
      <c r="D459" s="122">
        <f>VLOOKUP(A459,'TB for financial'!A:F,6,0)</f>
        <v>2944463.5449127988</v>
      </c>
      <c r="E459" s="80"/>
      <c r="F459" s="79">
        <f>VLOOKUP(A459,'TB for financial'!A:K,11,0)</f>
        <v>2602786.3991782027</v>
      </c>
      <c r="G459" s="80"/>
      <c r="H459" s="122">
        <f>D459-I459</f>
        <v>2944463.5449127988</v>
      </c>
      <c r="I459" s="122">
        <v>0</v>
      </c>
      <c r="J459" s="81">
        <f>+D459-H459-I459</f>
        <v>0</v>
      </c>
      <c r="K459" s="80"/>
      <c r="L459" s="82">
        <v>0</v>
      </c>
      <c r="M459" s="82">
        <v>2602786.3991782027</v>
      </c>
      <c r="N459" s="82">
        <f>+F459-L459-M459</f>
        <v>0</v>
      </c>
      <c r="O459" s="83"/>
      <c r="P459"/>
      <c r="Q459" s="672"/>
      <c r="R459"/>
      <c r="S459"/>
      <c r="U459" s="84" t="s">
        <v>535</v>
      </c>
      <c r="V459" s="80"/>
      <c r="W459" s="82" t="s">
        <v>562</v>
      </c>
      <c r="X459" s="82" t="s">
        <v>563</v>
      </c>
      <c r="Y459" s="85" t="s">
        <v>531</v>
      </c>
      <c r="Z459" s="86" t="s">
        <v>565</v>
      </c>
      <c r="AA459" s="86" t="s">
        <v>28</v>
      </c>
      <c r="AB459" s="86" t="s">
        <v>21</v>
      </c>
      <c r="AC459" s="87">
        <v>2885020</v>
      </c>
      <c r="AD459" s="88">
        <f>+D459-AC459</f>
        <v>59443.544912798796</v>
      </c>
      <c r="AF459" s="54" t="s">
        <v>2536</v>
      </c>
      <c r="AQ459" s="80">
        <f>D459</f>
        <v>2944463.5449127988</v>
      </c>
      <c r="AR459" s="80"/>
    </row>
    <row r="460" spans="1:44" ht="14.4">
      <c r="A460" s="1373">
        <v>481100</v>
      </c>
      <c r="B460" s="78" t="str">
        <f>VLOOKUP(A460,'TB for financial'!A:B,2,0)</f>
        <v>DEFERRED CHARGES</v>
      </c>
      <c r="D460" s="79">
        <f>VLOOKUP(A460,'TB for financial'!A:F,6,0)</f>
        <v>0</v>
      </c>
      <c r="E460" s="80"/>
      <c r="F460" s="79">
        <f>VLOOKUP(A460,'TB for financial'!A:K,11,0)</f>
        <v>0</v>
      </c>
      <c r="G460" s="80"/>
      <c r="H460" s="81">
        <f>D460-I460</f>
        <v>0</v>
      </c>
      <c r="I460" s="81">
        <v>0</v>
      </c>
      <c r="J460" s="81">
        <f>+D460-H460-I460</f>
        <v>0</v>
      </c>
      <c r="K460" s="80"/>
      <c r="L460" s="82">
        <f>F460-M460</f>
        <v>0</v>
      </c>
      <c r="M460" s="82">
        <v>0</v>
      </c>
      <c r="N460" s="82">
        <f>+F460-L460-M460</f>
        <v>0</v>
      </c>
      <c r="O460" s="83"/>
      <c r="P460"/>
      <c r="Q460"/>
      <c r="R460"/>
      <c r="S460"/>
      <c r="U460" s="84"/>
      <c r="V460" s="80"/>
      <c r="W460" s="82"/>
      <c r="X460" s="82"/>
      <c r="Y460" s="85" t="s">
        <v>531</v>
      </c>
      <c r="Z460" s="86" t="s">
        <v>565</v>
      </c>
      <c r="AA460" s="86" t="s">
        <v>28</v>
      </c>
      <c r="AB460" s="86" t="s">
        <v>21</v>
      </c>
      <c r="AC460" s="87">
        <v>0</v>
      </c>
      <c r="AD460" s="88">
        <f>+D460-AC460</f>
        <v>0</v>
      </c>
      <c r="AF460" s="54" t="s">
        <v>2536</v>
      </c>
      <c r="AQ460" s="80"/>
      <c r="AR460" s="80"/>
    </row>
    <row r="461" spans="1:44" ht="5.0999999999999996" customHeight="1">
      <c r="A461" s="70"/>
      <c r="B461" s="78"/>
      <c r="D461" s="79"/>
      <c r="E461" s="80"/>
      <c r="F461" s="79"/>
      <c r="G461" s="80"/>
      <c r="H461" s="81"/>
      <c r="I461" s="81"/>
      <c r="J461" s="81"/>
      <c r="K461" s="80"/>
      <c r="L461" s="82"/>
      <c r="M461" s="82"/>
      <c r="N461" s="82"/>
      <c r="O461" s="83"/>
      <c r="P461"/>
      <c r="Q461"/>
      <c r="R461"/>
      <c r="S461"/>
      <c r="U461" s="84"/>
      <c r="V461" s="80"/>
      <c r="W461" s="82"/>
      <c r="X461" s="82"/>
      <c r="Y461" s="94"/>
      <c r="Z461" s="86"/>
      <c r="AA461" s="86"/>
      <c r="AB461" s="86"/>
      <c r="AQ461" s="80"/>
      <c r="AR461" s="80"/>
    </row>
    <row r="462" spans="1:44" ht="15" thickBot="1">
      <c r="A462" s="70"/>
      <c r="B462" s="71" t="s">
        <v>577</v>
      </c>
      <c r="D462" s="1646">
        <f>SUM(D453:D461)</f>
        <v>2944464.0511687812</v>
      </c>
      <c r="E462" s="96"/>
      <c r="F462" s="97">
        <f>SUM(F453:F461)</f>
        <v>2602786.9054341852</v>
      </c>
      <c r="G462" s="80"/>
      <c r="H462" s="98">
        <f>SUM(H453:H461)</f>
        <v>2944464.0511687812</v>
      </c>
      <c r="I462" s="1646">
        <f>SUM(I453:I461)</f>
        <v>0</v>
      </c>
      <c r="J462" s="99">
        <f>SUM(J453:J461)</f>
        <v>0</v>
      </c>
      <c r="K462" s="80"/>
      <c r="L462" s="99">
        <f>SUM(L453:L461)</f>
        <v>0.5062559824436903</v>
      </c>
      <c r="M462" s="99">
        <f>SUM(M453:M461)</f>
        <v>2602786.3991782027</v>
      </c>
      <c r="N462" s="99">
        <f>SUM(N453:N461)</f>
        <v>0</v>
      </c>
      <c r="O462" s="100"/>
      <c r="P462"/>
      <c r="Q462"/>
      <c r="R462"/>
      <c r="S462"/>
      <c r="U462" s="101"/>
      <c r="V462" s="80"/>
      <c r="W462" s="102"/>
      <c r="X462" s="102"/>
      <c r="Y462" s="94"/>
      <c r="Z462" s="86"/>
      <c r="AA462" s="86"/>
      <c r="AB462" s="86"/>
      <c r="AQ462" s="80"/>
      <c r="AR462" s="80"/>
    </row>
    <row r="463" spans="1:44" ht="5.0999999999999996" customHeight="1" thickTop="1">
      <c r="A463" s="70"/>
      <c r="B463" s="71"/>
      <c r="D463" s="79"/>
      <c r="E463" s="80"/>
      <c r="F463" s="79"/>
      <c r="G463" s="80"/>
      <c r="H463" s="81"/>
      <c r="I463" s="81"/>
      <c r="J463" s="81"/>
      <c r="K463" s="80"/>
      <c r="L463" s="82"/>
      <c r="M463" s="82"/>
      <c r="N463" s="82"/>
      <c r="O463" s="83"/>
      <c r="P463"/>
      <c r="Q463"/>
      <c r="R463"/>
      <c r="S463"/>
      <c r="U463" s="84"/>
      <c r="V463" s="80"/>
      <c r="W463" s="82"/>
      <c r="X463" s="82"/>
      <c r="Y463" s="94"/>
      <c r="Z463" s="86"/>
      <c r="AA463" s="86"/>
      <c r="AB463" s="86"/>
      <c r="AQ463" s="80"/>
      <c r="AR463" s="80"/>
    </row>
    <row r="464" spans="1:44" ht="14.4">
      <c r="A464" s="70">
        <v>101160</v>
      </c>
      <c r="B464" s="78" t="str">
        <f>VLOOKUP(A464,'TB for financial'!A:B,2,0)</f>
        <v>Interest Receivable</v>
      </c>
      <c r="D464" s="79">
        <f>VLOOKUP(A464,'TB for financial'!A:F,6,0)</f>
        <v>0</v>
      </c>
      <c r="E464" s="80"/>
      <c r="F464" s="79">
        <f>VLOOKUP(A464,'TB for financial'!A:K,11,0)</f>
        <v>0</v>
      </c>
      <c r="G464" s="80"/>
      <c r="H464" s="81">
        <f>D464-I464</f>
        <v>0</v>
      </c>
      <c r="I464" s="81">
        <v>0</v>
      </c>
      <c r="J464" s="81">
        <f>+D464-H464-I464</f>
        <v>0</v>
      </c>
      <c r="K464" s="80"/>
      <c r="L464" s="82">
        <f>F464-M464</f>
        <v>0</v>
      </c>
      <c r="M464" s="82">
        <v>0</v>
      </c>
      <c r="N464" s="82">
        <f>+F464-L464-M464</f>
        <v>0</v>
      </c>
      <c r="O464" s="83"/>
      <c r="P464"/>
      <c r="Q464"/>
      <c r="R464"/>
      <c r="S464"/>
      <c r="U464" s="84" t="s">
        <v>535</v>
      </c>
      <c r="V464" s="80"/>
      <c r="W464" s="82" t="s">
        <v>28</v>
      </c>
      <c r="X464" s="82"/>
      <c r="Y464" s="85" t="s">
        <v>531</v>
      </c>
      <c r="Z464" s="86" t="s">
        <v>532</v>
      </c>
      <c r="AA464" s="86" t="s">
        <v>19</v>
      </c>
      <c r="AB464" s="86" t="s">
        <v>19</v>
      </c>
      <c r="AC464" s="87">
        <v>0</v>
      </c>
      <c r="AD464" s="88">
        <f>+D464-AC464</f>
        <v>0</v>
      </c>
      <c r="AF464" s="54">
        <v>101160</v>
      </c>
      <c r="AQ464" s="80"/>
      <c r="AR464" s="80"/>
    </row>
    <row r="465" spans="1:44" ht="14.4">
      <c r="A465" s="1373">
        <v>276840</v>
      </c>
      <c r="B465" s="78" t="str">
        <f>VLOOKUP(A465,'TB for financial'!A:B,2,0)</f>
        <v>ACCRUED INTEREST / LOANS</v>
      </c>
      <c r="D465" s="122">
        <f>VLOOKUP(A465,'TB for financial'!A:F,6,0)</f>
        <v>1868358.5626028562</v>
      </c>
      <c r="E465" s="80"/>
      <c r="F465" s="79">
        <f>VLOOKUP(A465,'TB for financial'!A:K,11,0)</f>
        <v>1580010.5300000021</v>
      </c>
      <c r="G465" s="80"/>
      <c r="H465" s="122">
        <f>D465-I465</f>
        <v>1868358.5626028562</v>
      </c>
      <c r="I465" s="81">
        <v>0</v>
      </c>
      <c r="J465" s="81">
        <f>+D465-H465-I465</f>
        <v>0</v>
      </c>
      <c r="K465" s="80"/>
      <c r="L465" s="82">
        <f>F465-M465</f>
        <v>1580010.5300000021</v>
      </c>
      <c r="M465" s="82">
        <v>0</v>
      </c>
      <c r="N465" s="82">
        <f>+F465-L465-M465</f>
        <v>0</v>
      </c>
      <c r="O465" s="83"/>
      <c r="P465"/>
      <c r="Q465"/>
      <c r="R465"/>
      <c r="S465"/>
      <c r="U465" s="84" t="s">
        <v>535</v>
      </c>
      <c r="V465" s="80"/>
      <c r="W465" s="82" t="s">
        <v>28</v>
      </c>
      <c r="X465" s="82"/>
      <c r="Y465" s="85" t="s">
        <v>531</v>
      </c>
      <c r="Z465" s="86" t="s">
        <v>532</v>
      </c>
      <c r="AA465" s="86" t="s">
        <v>19</v>
      </c>
      <c r="AB465" s="86" t="s">
        <v>19</v>
      </c>
      <c r="AC465" s="87">
        <v>1381029.69</v>
      </c>
      <c r="AD465" s="88">
        <f>+D465-AC465</f>
        <v>487328.87260285625</v>
      </c>
      <c r="AF465" s="54" t="s">
        <v>2536</v>
      </c>
      <c r="AQ465" s="80">
        <f>D465</f>
        <v>1868358.5626028562</v>
      </c>
      <c r="AR465" s="80"/>
    </row>
    <row r="466" spans="1:44" ht="5.0999999999999996" customHeight="1">
      <c r="A466" s="70"/>
      <c r="B466" s="78"/>
      <c r="D466" s="79"/>
      <c r="E466" s="80"/>
      <c r="F466" s="79"/>
      <c r="G466" s="80"/>
      <c r="H466" s="81"/>
      <c r="I466" s="81"/>
      <c r="J466" s="81"/>
      <c r="K466" s="80"/>
      <c r="L466" s="82"/>
      <c r="M466" s="82"/>
      <c r="N466" s="82"/>
      <c r="O466" s="83"/>
      <c r="P466"/>
      <c r="Q466"/>
      <c r="R466"/>
      <c r="S466"/>
      <c r="U466" s="84"/>
      <c r="V466" s="80"/>
      <c r="W466" s="82"/>
      <c r="X466" s="82"/>
      <c r="Y466" s="94"/>
      <c r="Z466" s="86"/>
      <c r="AA466" s="86"/>
      <c r="AB466" s="86"/>
      <c r="AQ466" s="80"/>
      <c r="AR466" s="80"/>
    </row>
    <row r="467" spans="1:44" ht="15" thickBot="1">
      <c r="A467" s="70"/>
      <c r="B467" s="71" t="s">
        <v>578</v>
      </c>
      <c r="D467" s="1646">
        <f>SUM(D464:D466)</f>
        <v>1868358.5626028562</v>
      </c>
      <c r="E467" s="96"/>
      <c r="F467" s="97">
        <f>SUM(F464:F466)</f>
        <v>1580010.5300000021</v>
      </c>
      <c r="G467" s="80"/>
      <c r="H467" s="1646">
        <f>SUM(H464:H466)</f>
        <v>1868358.5626028562</v>
      </c>
      <c r="I467" s="99">
        <f>SUM(I464:I466)</f>
        <v>0</v>
      </c>
      <c r="J467" s="99">
        <f>SUM(J464:J466)</f>
        <v>0</v>
      </c>
      <c r="K467" s="80"/>
      <c r="L467" s="99">
        <f>SUM(L464:L466)</f>
        <v>1580010.5300000021</v>
      </c>
      <c r="M467" s="99">
        <f>SUM(M464:M466)</f>
        <v>0</v>
      </c>
      <c r="N467" s="99">
        <f>SUM(N464:N466)</f>
        <v>0</v>
      </c>
      <c r="O467" s="100"/>
      <c r="P467"/>
      <c r="Q467"/>
      <c r="R467"/>
      <c r="S467"/>
      <c r="U467" s="101"/>
      <c r="V467" s="80"/>
      <c r="W467" s="102"/>
      <c r="X467" s="102"/>
      <c r="Y467" s="94"/>
      <c r="Z467" s="86"/>
      <c r="AA467" s="86"/>
      <c r="AB467" s="86"/>
      <c r="AQ467" s="80"/>
      <c r="AR467" s="80"/>
    </row>
    <row r="468" spans="1:44" ht="5.0999999999999996" customHeight="1" thickTop="1">
      <c r="A468" s="70"/>
      <c r="B468" s="78"/>
      <c r="D468" s="79"/>
      <c r="E468" s="80"/>
      <c r="F468" s="79"/>
      <c r="G468" s="80"/>
      <c r="H468" s="81"/>
      <c r="I468" s="81"/>
      <c r="J468" s="81"/>
      <c r="K468" s="80"/>
      <c r="L468" s="82"/>
      <c r="M468" s="82"/>
      <c r="N468" s="82"/>
      <c r="O468" s="83"/>
      <c r="P468"/>
      <c r="Q468"/>
      <c r="R468"/>
      <c r="S468"/>
      <c r="U468" s="84"/>
      <c r="V468" s="80"/>
      <c r="W468" s="82"/>
      <c r="X468" s="82"/>
      <c r="Y468" s="94"/>
      <c r="Z468" s="86"/>
      <c r="AA468" s="86"/>
      <c r="AB468" s="86"/>
      <c r="AQ468" s="80"/>
      <c r="AR468" s="80"/>
    </row>
    <row r="469" spans="1:44" ht="14.4">
      <c r="A469" s="70">
        <v>101150</v>
      </c>
      <c r="B469" s="78" t="str">
        <f>VLOOKUP(A469,'TB for financial'!A:B,2,0)</f>
        <v>Accounts Receivable Other</v>
      </c>
      <c r="D469" s="79">
        <f>VLOOKUP(A469,'TB for financial'!A:F,6,0)</f>
        <v>0</v>
      </c>
      <c r="E469" s="80"/>
      <c r="F469" s="79">
        <f>VLOOKUP(A469,'TB for financial'!A:K,11,0)</f>
        <v>0</v>
      </c>
      <c r="G469" s="80"/>
      <c r="H469" s="81">
        <f>D469-I469</f>
        <v>0</v>
      </c>
      <c r="I469" s="81">
        <v>0</v>
      </c>
      <c r="J469" s="81">
        <f>+D469-H469-I469</f>
        <v>0</v>
      </c>
      <c r="K469" s="80"/>
      <c r="L469" s="82">
        <f>F469-M469</f>
        <v>0</v>
      </c>
      <c r="M469" s="82">
        <v>0</v>
      </c>
      <c r="N469" s="82">
        <f>+F469-L469-M469</f>
        <v>0</v>
      </c>
      <c r="O469" s="83"/>
      <c r="P469"/>
      <c r="Q469"/>
      <c r="R469"/>
      <c r="S469"/>
      <c r="U469" s="84" t="s">
        <v>530</v>
      </c>
      <c r="V469" s="80"/>
      <c r="W469" s="82" t="s">
        <v>28</v>
      </c>
      <c r="X469" s="82" t="s">
        <v>201</v>
      </c>
      <c r="Y469" s="85" t="s">
        <v>531</v>
      </c>
      <c r="Z469" s="86" t="s">
        <v>532</v>
      </c>
      <c r="AA469" s="86" t="s">
        <v>19</v>
      </c>
      <c r="AB469" s="86" t="s">
        <v>19</v>
      </c>
      <c r="AC469" s="87">
        <v>0</v>
      </c>
      <c r="AD469" s="88">
        <f>+D469-AC469</f>
        <v>0</v>
      </c>
      <c r="AF469" s="54">
        <v>101150</v>
      </c>
      <c r="AQ469" s="80"/>
      <c r="AR469" s="80"/>
    </row>
    <row r="470" spans="1:44" ht="14.4">
      <c r="A470" s="159">
        <v>101065</v>
      </c>
      <c r="B470" s="78" t="str">
        <f>VLOOKUP(A470,'TB for financial'!A:B,2,0)</f>
        <v>Accounts Receivable - Accrued</v>
      </c>
      <c r="D470" s="79">
        <f>VLOOKUP(A470,'TB for financial'!A:F,6,0)</f>
        <v>1.0000014677643776E-2</v>
      </c>
      <c r="E470" s="80"/>
      <c r="F470" s="79">
        <f>VLOOKUP(A470,'TB for financial'!A:K,11,0)</f>
        <v>1.0000014677643776E-2</v>
      </c>
      <c r="G470" s="80"/>
      <c r="H470" s="81">
        <f>D470-I470</f>
        <v>1.0000014677643776E-2</v>
      </c>
      <c r="I470" s="81">
        <v>0</v>
      </c>
      <c r="J470" s="81">
        <f>+D470-H470-I470</f>
        <v>0</v>
      </c>
      <c r="K470" s="80"/>
      <c r="L470" s="82">
        <f>F470-M470</f>
        <v>1.0000014677643776E-2</v>
      </c>
      <c r="M470" s="82">
        <v>0</v>
      </c>
      <c r="N470" s="82">
        <f>+F470-L470-M470</f>
        <v>0</v>
      </c>
      <c r="O470" s="83"/>
      <c r="P470"/>
      <c r="Q470"/>
      <c r="R470"/>
      <c r="S470"/>
      <c r="U470" s="84" t="s">
        <v>535</v>
      </c>
      <c r="V470" s="80"/>
      <c r="W470" s="82" t="s">
        <v>28</v>
      </c>
      <c r="X470" s="82" t="s">
        <v>201</v>
      </c>
      <c r="Y470" s="85" t="s">
        <v>531</v>
      </c>
      <c r="Z470" s="86" t="s">
        <v>532</v>
      </c>
      <c r="AA470" s="86" t="s">
        <v>19</v>
      </c>
      <c r="AB470" s="86" t="s">
        <v>19</v>
      </c>
      <c r="AC470" s="87">
        <v>0</v>
      </c>
      <c r="AD470" s="88">
        <f>+D470-AC470</f>
        <v>1.0000014677643776E-2</v>
      </c>
      <c r="AF470" s="54">
        <v>101065</v>
      </c>
      <c r="AQ470" s="80"/>
      <c r="AR470" s="80"/>
    </row>
    <row r="471" spans="1:44" ht="24">
      <c r="A471" s="1373">
        <v>418150</v>
      </c>
      <c r="B471" s="78" t="str">
        <f>VLOOKUP(A471,'TB for financial'!A:B,2,0)</f>
        <v>TRADE DEBTORS - SALES INVOICE ACCRUALS</v>
      </c>
      <c r="D471" s="122">
        <f>VLOOKUP(A471,'TB for financial'!A:F,6,0)</f>
        <v>213964.00264928583</v>
      </c>
      <c r="E471" s="80"/>
      <c r="F471" s="79">
        <f>VLOOKUP(A471,'TB for financial'!A:K,11,0)</f>
        <v>59269.002649285831</v>
      </c>
      <c r="G471" s="80"/>
      <c r="H471" s="122">
        <f>D471-I471</f>
        <v>213964.00264928583</v>
      </c>
      <c r="I471" s="81">
        <v>0</v>
      </c>
      <c r="J471" s="81">
        <f>+D471-H471-I471</f>
        <v>0</v>
      </c>
      <c r="K471" s="80"/>
      <c r="L471" s="82">
        <f>F471-M471</f>
        <v>59269.002649285831</v>
      </c>
      <c r="M471" s="82">
        <v>0</v>
      </c>
      <c r="N471" s="82">
        <f>+F471-L471-M471</f>
        <v>0</v>
      </c>
      <c r="O471" s="83"/>
      <c r="P471"/>
      <c r="Q471"/>
      <c r="R471"/>
      <c r="S471"/>
      <c r="U471" s="84"/>
      <c r="V471" s="80"/>
      <c r="W471" s="82"/>
      <c r="X471" s="82"/>
      <c r="Y471" s="85" t="s">
        <v>531</v>
      </c>
      <c r="Z471" s="86" t="s">
        <v>532</v>
      </c>
      <c r="AA471" s="86" t="s">
        <v>19</v>
      </c>
      <c r="AB471" s="86" t="s">
        <v>19</v>
      </c>
      <c r="AC471" s="87">
        <v>98431</v>
      </c>
      <c r="AD471" s="88">
        <f>+D471-AC471</f>
        <v>115533.00264928583</v>
      </c>
      <c r="AF471" s="54" t="s">
        <v>2536</v>
      </c>
      <c r="AQ471" s="80">
        <f>+D471</f>
        <v>213964.00264928583</v>
      </c>
      <c r="AR471" s="80"/>
    </row>
    <row r="472" spans="1:44" ht="5.0999999999999996" customHeight="1">
      <c r="A472" s="159"/>
      <c r="B472" s="78"/>
      <c r="D472" s="79"/>
      <c r="E472" s="80"/>
      <c r="F472" s="79"/>
      <c r="G472" s="80"/>
      <c r="H472" s="81"/>
      <c r="I472" s="81"/>
      <c r="J472" s="81"/>
      <c r="K472" s="80"/>
      <c r="L472" s="82"/>
      <c r="M472" s="82"/>
      <c r="N472" s="82"/>
      <c r="O472" s="83"/>
      <c r="P472"/>
      <c r="Q472"/>
      <c r="R472"/>
      <c r="S472"/>
      <c r="U472" s="84"/>
      <c r="V472" s="80"/>
      <c r="W472" s="82"/>
      <c r="X472" s="82"/>
      <c r="Y472" s="94"/>
      <c r="Z472" s="86"/>
      <c r="AA472" s="86"/>
      <c r="AB472" s="86"/>
      <c r="AQ472" s="80"/>
      <c r="AR472" s="80"/>
    </row>
    <row r="473" spans="1:44" ht="15" thickBot="1">
      <c r="A473" s="159"/>
      <c r="B473" s="71" t="s">
        <v>228</v>
      </c>
      <c r="D473" s="1646">
        <f>SUM(D469:D472)</f>
        <v>213964.01264930051</v>
      </c>
      <c r="E473" s="80"/>
      <c r="F473" s="97">
        <f>SUM(F469:F472)</f>
        <v>59269.012649300508</v>
      </c>
      <c r="G473" s="80"/>
      <c r="H473" s="1646">
        <f>SUM(H469:H472)</f>
        <v>213964.01264930051</v>
      </c>
      <c r="I473" s="99">
        <f>SUM(I469:I472)</f>
        <v>0</v>
      </c>
      <c r="J473" s="99">
        <f>SUM(J469:J472)</f>
        <v>0</v>
      </c>
      <c r="K473" s="80"/>
      <c r="L473" s="99">
        <f>SUM(L469:L472)</f>
        <v>59269.012649300508</v>
      </c>
      <c r="M473" s="99">
        <f>SUM(M469:M472)</f>
        <v>0</v>
      </c>
      <c r="N473" s="99">
        <f>SUM(N469:N472)</f>
        <v>0</v>
      </c>
      <c r="O473" s="100"/>
      <c r="P473"/>
      <c r="Q473"/>
      <c r="R473"/>
      <c r="S473"/>
      <c r="U473" s="101"/>
      <c r="V473" s="80"/>
      <c r="W473" s="102"/>
      <c r="X473" s="102"/>
      <c r="Y473" s="94"/>
      <c r="Z473" s="86"/>
      <c r="AA473" s="86"/>
      <c r="AB473" s="86"/>
      <c r="AQ473" s="80"/>
      <c r="AR473" s="80"/>
    </row>
    <row r="474" spans="1:44" ht="5.0999999999999996" customHeight="1" thickTop="1">
      <c r="A474" s="159"/>
      <c r="B474" s="78"/>
      <c r="D474" s="79"/>
      <c r="E474" s="80"/>
      <c r="F474" s="79"/>
      <c r="G474" s="80"/>
      <c r="H474" s="81"/>
      <c r="I474" s="81"/>
      <c r="J474" s="81"/>
      <c r="K474" s="80"/>
      <c r="L474" s="82"/>
      <c r="M474" s="82"/>
      <c r="N474" s="82"/>
      <c r="O474" s="83"/>
      <c r="P474"/>
      <c r="Q474"/>
      <c r="R474"/>
      <c r="S474"/>
      <c r="U474" s="84"/>
      <c r="V474" s="80"/>
      <c r="W474" s="82"/>
      <c r="X474" s="82"/>
      <c r="Y474" s="94"/>
      <c r="Z474" s="86"/>
      <c r="AA474" s="86"/>
      <c r="AB474" s="86"/>
      <c r="AQ474" s="80"/>
      <c r="AR474" s="80"/>
    </row>
    <row r="475" spans="1:44" ht="14.4">
      <c r="A475" s="159"/>
      <c r="B475" s="78"/>
      <c r="D475" s="79"/>
      <c r="E475" s="80"/>
      <c r="F475" s="79"/>
      <c r="G475" s="80"/>
      <c r="H475" s="81"/>
      <c r="I475" s="81"/>
      <c r="J475" s="81"/>
      <c r="K475" s="80"/>
      <c r="L475" s="82"/>
      <c r="M475" s="82"/>
      <c r="N475" s="82"/>
      <c r="O475" s="83"/>
      <c r="P475"/>
      <c r="Q475"/>
      <c r="R475"/>
      <c r="S475"/>
      <c r="U475" s="84"/>
      <c r="V475" s="80"/>
      <c r="W475" s="82"/>
      <c r="X475" s="82"/>
      <c r="Y475" s="94"/>
      <c r="Z475" s="86"/>
      <c r="AA475" s="86"/>
      <c r="AB475" s="86"/>
      <c r="AQ475" s="80"/>
      <c r="AR475" s="80"/>
    </row>
    <row r="476" spans="1:44" ht="14.4">
      <c r="A476" s="89">
        <v>101200</v>
      </c>
      <c r="B476" s="49" t="str">
        <f>VLOOKUP(A476,'TB for financial'!A:B,2,0)</f>
        <v>Transition Cost Defferal</v>
      </c>
      <c r="D476" s="79">
        <f>VLOOKUP(A476,'TB for financial'!A:F,6,0)</f>
        <v>0</v>
      </c>
      <c r="E476" s="80"/>
      <c r="F476" s="79">
        <f>VLOOKUP(A476,'TB for financial'!A:K,11,0)</f>
        <v>0</v>
      </c>
      <c r="G476" s="80"/>
      <c r="H476" s="81">
        <f>D476-I476</f>
        <v>0</v>
      </c>
      <c r="I476" s="81">
        <v>0</v>
      </c>
      <c r="J476" s="81">
        <f>+D476-H476-I476</f>
        <v>0</v>
      </c>
      <c r="K476" s="80"/>
      <c r="L476" s="82">
        <f>F476-M476</f>
        <v>0</v>
      </c>
      <c r="M476" s="82">
        <v>0</v>
      </c>
      <c r="N476" s="82">
        <f>+F476-L476-M476</f>
        <v>0</v>
      </c>
      <c r="O476" s="83"/>
      <c r="P476"/>
      <c r="Q476"/>
      <c r="R476"/>
      <c r="S476"/>
      <c r="U476" s="84" t="s">
        <v>535</v>
      </c>
      <c r="V476" s="80"/>
      <c r="W476" s="82" t="s">
        <v>28</v>
      </c>
      <c r="X476" s="82" t="s">
        <v>201</v>
      </c>
      <c r="Y476" s="85" t="s">
        <v>531</v>
      </c>
      <c r="Z476" s="86" t="s">
        <v>565</v>
      </c>
      <c r="AA476" s="86" t="s">
        <v>28</v>
      </c>
      <c r="AB476" s="86" t="s">
        <v>21</v>
      </c>
      <c r="AC476" s="87">
        <v>0</v>
      </c>
      <c r="AD476" s="88">
        <f>+D476-AC476</f>
        <v>0</v>
      </c>
      <c r="AF476" s="54">
        <v>101200</v>
      </c>
      <c r="AQ476" s="80"/>
      <c r="AR476" s="80"/>
    </row>
    <row r="477" spans="1:44" ht="14.4">
      <c r="A477" s="159">
        <v>101201</v>
      </c>
      <c r="B477" s="78" t="str">
        <f>VLOOKUP(A477,'TB for financial'!A:B,2,0)</f>
        <v>No Sow- Cost Deferred</v>
      </c>
      <c r="D477" s="79">
        <f>VLOOKUP(A477,'TB for financial'!A:F,6,0)</f>
        <v>0</v>
      </c>
      <c r="E477" s="80"/>
      <c r="F477" s="79">
        <f>VLOOKUP(A477,'TB for financial'!A:K,11,0)</f>
        <v>0</v>
      </c>
      <c r="G477" s="80"/>
      <c r="H477" s="81">
        <f>D477-I477</f>
        <v>0</v>
      </c>
      <c r="I477" s="81">
        <v>0</v>
      </c>
      <c r="J477" s="81">
        <f>+D477-H477-I477</f>
        <v>0</v>
      </c>
      <c r="K477" s="80"/>
      <c r="L477" s="82">
        <f>F477-M477</f>
        <v>0</v>
      </c>
      <c r="M477" s="82">
        <v>0</v>
      </c>
      <c r="N477" s="82">
        <f>+F477-L477-M477</f>
        <v>0</v>
      </c>
      <c r="O477" s="83"/>
      <c r="P477"/>
      <c r="Q477"/>
      <c r="R477"/>
      <c r="S477"/>
      <c r="U477" s="84" t="s">
        <v>535</v>
      </c>
      <c r="V477" s="80"/>
      <c r="W477" s="82" t="s">
        <v>28</v>
      </c>
      <c r="X477" s="82" t="s">
        <v>201</v>
      </c>
      <c r="Y477" s="85" t="s">
        <v>531</v>
      </c>
      <c r="Z477" s="86" t="s">
        <v>565</v>
      </c>
      <c r="AA477" s="86" t="s">
        <v>28</v>
      </c>
      <c r="AB477" s="86" t="s">
        <v>21</v>
      </c>
      <c r="AC477" s="87">
        <v>0</v>
      </c>
      <c r="AD477" s="88">
        <f>+D477-AC477</f>
        <v>0</v>
      </c>
      <c r="AF477" s="54">
        <v>101201</v>
      </c>
      <c r="AQ477" s="80"/>
      <c r="AR477" s="80"/>
    </row>
    <row r="478" spans="1:44" ht="14.4">
      <c r="A478" s="159">
        <v>101495</v>
      </c>
      <c r="B478" s="78" t="str">
        <f>VLOOKUP(A478,'TB for financial'!A:B,2,0)</f>
        <v>Early Paymt Disc Def. - Int Co</v>
      </c>
      <c r="D478" s="79">
        <f>VLOOKUP(A478,'TB for financial'!A:F,6,0)</f>
        <v>0</v>
      </c>
      <c r="E478" s="80"/>
      <c r="F478" s="79">
        <f>VLOOKUP(A478,'TB for financial'!A:K,11,0)</f>
        <v>0</v>
      </c>
      <c r="G478" s="80"/>
      <c r="H478" s="81">
        <f>D478-I478</f>
        <v>0</v>
      </c>
      <c r="I478" s="81">
        <v>0</v>
      </c>
      <c r="J478" s="81">
        <f>+D478-H478-I478</f>
        <v>0</v>
      </c>
      <c r="K478" s="80"/>
      <c r="L478" s="82">
        <f>F478-M478</f>
        <v>0</v>
      </c>
      <c r="M478" s="82">
        <v>0</v>
      </c>
      <c r="N478" s="82">
        <f>+F478-L478-M478</f>
        <v>0</v>
      </c>
      <c r="O478" s="83"/>
      <c r="P478"/>
      <c r="Q478"/>
      <c r="R478"/>
      <c r="S478"/>
      <c r="U478" s="84" t="s">
        <v>530</v>
      </c>
      <c r="V478" s="80"/>
      <c r="W478" s="82" t="s">
        <v>28</v>
      </c>
      <c r="X478" s="82" t="s">
        <v>201</v>
      </c>
      <c r="Y478" s="85" t="s">
        <v>531</v>
      </c>
      <c r="Z478" s="86" t="s">
        <v>565</v>
      </c>
      <c r="AA478" s="86" t="s">
        <v>28</v>
      </c>
      <c r="AB478" s="86" t="s">
        <v>21</v>
      </c>
      <c r="AC478" s="87">
        <v>0</v>
      </c>
      <c r="AD478" s="88">
        <f>+D478-AC478</f>
        <v>0</v>
      </c>
      <c r="AF478" s="54">
        <v>101495</v>
      </c>
      <c r="AQ478" s="80"/>
      <c r="AR478" s="80"/>
    </row>
    <row r="479" spans="1:44" ht="4.5" customHeight="1">
      <c r="A479" s="159"/>
      <c r="B479" s="78"/>
      <c r="D479" s="79"/>
      <c r="E479" s="80"/>
      <c r="F479" s="79"/>
      <c r="G479" s="80"/>
      <c r="H479" s="81"/>
      <c r="I479" s="81"/>
      <c r="J479" s="81"/>
      <c r="K479" s="80"/>
      <c r="L479" s="82"/>
      <c r="M479" s="82"/>
      <c r="N479" s="82"/>
      <c r="O479" s="83"/>
      <c r="P479"/>
      <c r="Q479"/>
      <c r="R479"/>
      <c r="S479"/>
      <c r="U479" s="84"/>
      <c r="V479" s="80"/>
      <c r="W479" s="82"/>
      <c r="X479" s="82"/>
      <c r="Y479" s="94"/>
      <c r="Z479" s="86"/>
      <c r="AA479" s="86"/>
      <c r="AB479" s="86"/>
      <c r="AQ479" s="80"/>
      <c r="AR479" s="80"/>
    </row>
    <row r="480" spans="1:44" ht="15" thickBot="1">
      <c r="A480" s="159"/>
      <c r="B480" s="78" t="s">
        <v>579</v>
      </c>
      <c r="D480" s="95">
        <f>SUM(D476:D479)</f>
        <v>0</v>
      </c>
      <c r="E480" s="96"/>
      <c r="F480" s="97">
        <f>SUM(F476:F479)</f>
        <v>0</v>
      </c>
      <c r="G480" s="80"/>
      <c r="H480" s="99">
        <f>SUM(H476:H479)</f>
        <v>0</v>
      </c>
      <c r="I480" s="99">
        <f>SUM(I476:I479)</f>
        <v>0</v>
      </c>
      <c r="J480" s="99">
        <f>SUM(J476:J479)</f>
        <v>0</v>
      </c>
      <c r="K480" s="80"/>
      <c r="L480" s="99">
        <f>SUM(L476:L479)</f>
        <v>0</v>
      </c>
      <c r="M480" s="99">
        <f>SUM(M476:M479)</f>
        <v>0</v>
      </c>
      <c r="N480" s="99">
        <f>SUM(N476:N479)</f>
        <v>0</v>
      </c>
      <c r="O480" s="100"/>
      <c r="P480"/>
      <c r="Q480"/>
      <c r="R480"/>
      <c r="S480"/>
      <c r="U480" s="101"/>
      <c r="V480" s="80"/>
      <c r="W480" s="102"/>
      <c r="X480" s="102"/>
      <c r="Y480" s="94"/>
      <c r="Z480" s="86"/>
      <c r="AA480" s="86"/>
      <c r="AB480" s="86"/>
      <c r="AQ480" s="80"/>
      <c r="AR480" s="80"/>
    </row>
    <row r="481" spans="1:44" ht="15" thickTop="1">
      <c r="A481" s="159"/>
      <c r="B481" s="78"/>
      <c r="D481" s="79"/>
      <c r="E481" s="80"/>
      <c r="F481" s="79"/>
      <c r="G481" s="80"/>
      <c r="H481" s="81"/>
      <c r="I481" s="81"/>
      <c r="J481" s="81"/>
      <c r="K481" s="80"/>
      <c r="L481" s="82"/>
      <c r="M481" s="82"/>
      <c r="N481" s="82"/>
      <c r="O481" s="83"/>
      <c r="P481"/>
      <c r="Q481"/>
      <c r="R481"/>
      <c r="S481"/>
      <c r="U481" s="84"/>
      <c r="V481" s="80"/>
      <c r="W481" s="82"/>
      <c r="X481" s="82"/>
      <c r="Y481" s="94"/>
      <c r="Z481" s="86"/>
      <c r="AA481" s="86"/>
      <c r="AB481" s="86"/>
      <c r="AQ481" s="80"/>
      <c r="AR481" s="80"/>
    </row>
    <row r="482" spans="1:44" ht="14.4">
      <c r="A482" s="70">
        <v>101811</v>
      </c>
      <c r="B482" s="78" t="str">
        <f>VLOOKUP(A482,'TB for financial'!A:B,2,0)</f>
        <v>Deposits - Electricity</v>
      </c>
      <c r="D482" s="79">
        <f>VLOOKUP(A482,'TB for financial'!A:F,6,0)</f>
        <v>0</v>
      </c>
      <c r="E482" s="80"/>
      <c r="F482" s="79">
        <f>VLOOKUP(A482,'TB for financial'!A:K,11,0)</f>
        <v>0</v>
      </c>
      <c r="G482" s="80"/>
      <c r="H482" s="81">
        <f t="shared" ref="H482:H499" si="95">D482-I482</f>
        <v>0</v>
      </c>
      <c r="I482" s="81">
        <v>0</v>
      </c>
      <c r="J482" s="81">
        <f t="shared" ref="J482:J500" si="96">+D482-H482-I482</f>
        <v>0</v>
      </c>
      <c r="K482" s="80"/>
      <c r="L482" s="82">
        <f t="shared" ref="L482:L499" si="97">F482-M482</f>
        <v>0</v>
      </c>
      <c r="M482" s="82">
        <v>0</v>
      </c>
      <c r="N482" s="82">
        <f>+F482-L482-M482</f>
        <v>0</v>
      </c>
      <c r="O482" s="83"/>
      <c r="P482"/>
      <c r="Q482"/>
      <c r="R482"/>
      <c r="S482"/>
      <c r="T482" s="54">
        <v>1393192</v>
      </c>
      <c r="U482" s="84" t="s">
        <v>539</v>
      </c>
      <c r="V482" s="80"/>
      <c r="W482" s="82" t="s">
        <v>562</v>
      </c>
      <c r="X482" s="82" t="s">
        <v>563</v>
      </c>
      <c r="Y482" s="85" t="s">
        <v>537</v>
      </c>
      <c r="Z482" s="86" t="s">
        <v>532</v>
      </c>
      <c r="AA482" s="86" t="s">
        <v>19</v>
      </c>
      <c r="AB482" s="86" t="s">
        <v>19</v>
      </c>
      <c r="AC482" s="87">
        <v>0</v>
      </c>
      <c r="AD482" s="88">
        <f t="shared" ref="AD482:AD499" si="98">+D482-AC482</f>
        <v>0</v>
      </c>
      <c r="AF482" s="54">
        <v>101811</v>
      </c>
      <c r="AQ482" s="80"/>
      <c r="AR482" s="80"/>
    </row>
    <row r="483" spans="1:44" ht="14.4">
      <c r="A483" s="70">
        <v>101812</v>
      </c>
      <c r="B483" s="78" t="str">
        <f>VLOOKUP(A483,'TB for financial'!A:B,2,0)</f>
        <v>Deposits - Water meter</v>
      </c>
      <c r="D483" s="79">
        <f>VLOOKUP(A483,'TB for financial'!A:F,6,0)</f>
        <v>0</v>
      </c>
      <c r="E483" s="80"/>
      <c r="F483" s="79">
        <f>VLOOKUP(A483,'TB for financial'!A:K,11,0)</f>
        <v>0</v>
      </c>
      <c r="G483" s="80"/>
      <c r="H483" s="81">
        <f t="shared" si="95"/>
        <v>0</v>
      </c>
      <c r="I483" s="81">
        <v>0</v>
      </c>
      <c r="J483" s="81">
        <f t="shared" si="96"/>
        <v>0</v>
      </c>
      <c r="K483" s="80"/>
      <c r="L483" s="82">
        <f t="shared" si="97"/>
        <v>0</v>
      </c>
      <c r="M483" s="82">
        <v>0</v>
      </c>
      <c r="N483" s="82">
        <f>+F483-L483-M483</f>
        <v>0</v>
      </c>
      <c r="O483" s="83"/>
      <c r="P483"/>
      <c r="Q483"/>
      <c r="R483"/>
      <c r="S483"/>
      <c r="U483" s="84" t="s">
        <v>539</v>
      </c>
      <c r="V483" s="80"/>
      <c r="W483" s="82" t="s">
        <v>562</v>
      </c>
      <c r="X483" s="82" t="s">
        <v>563</v>
      </c>
      <c r="Y483" s="85" t="s">
        <v>537</v>
      </c>
      <c r="Z483" s="86" t="s">
        <v>532</v>
      </c>
      <c r="AA483" s="86" t="s">
        <v>19</v>
      </c>
      <c r="AB483" s="86" t="s">
        <v>19</v>
      </c>
      <c r="AC483" s="87">
        <v>0</v>
      </c>
      <c r="AD483" s="88">
        <f t="shared" si="98"/>
        <v>0</v>
      </c>
      <c r="AF483" s="54">
        <v>101812</v>
      </c>
      <c r="AQ483" s="80"/>
      <c r="AR483" s="80"/>
    </row>
    <row r="484" spans="1:44" ht="14.4">
      <c r="A484" s="70">
        <v>101813</v>
      </c>
      <c r="B484" s="78" t="str">
        <f>VLOOKUP(A484,'TB for financial'!A:B,2,0)</f>
        <v>Deposits - Telephone</v>
      </c>
      <c r="D484" s="79">
        <f>VLOOKUP(A484,'TB for financial'!A:F,6,0)</f>
        <v>0</v>
      </c>
      <c r="E484" s="80"/>
      <c r="F484" s="79">
        <f>VLOOKUP(A484,'TB for financial'!A:K,11,0)</f>
        <v>0</v>
      </c>
      <c r="G484" s="80"/>
      <c r="H484" s="81">
        <f t="shared" si="95"/>
        <v>0</v>
      </c>
      <c r="I484" s="81">
        <v>0</v>
      </c>
      <c r="J484" s="81">
        <f t="shared" si="96"/>
        <v>0</v>
      </c>
      <c r="K484" s="80"/>
      <c r="L484" s="82">
        <f t="shared" si="97"/>
        <v>0</v>
      </c>
      <c r="M484" s="82">
        <v>0</v>
      </c>
      <c r="N484" s="82">
        <f>+F484-L484-M484</f>
        <v>0</v>
      </c>
      <c r="O484" s="83"/>
      <c r="P484"/>
      <c r="Q484"/>
      <c r="R484"/>
      <c r="S484"/>
      <c r="U484" s="84" t="s">
        <v>539</v>
      </c>
      <c r="V484" s="80"/>
      <c r="W484" s="82" t="s">
        <v>562</v>
      </c>
      <c r="X484" s="82" t="s">
        <v>563</v>
      </c>
      <c r="Y484" s="85" t="s">
        <v>537</v>
      </c>
      <c r="Z484" s="86" t="s">
        <v>532</v>
      </c>
      <c r="AA484" s="86" t="s">
        <v>19</v>
      </c>
      <c r="AB484" s="86" t="s">
        <v>19</v>
      </c>
      <c r="AC484" s="87">
        <v>0</v>
      </c>
      <c r="AD484" s="88">
        <f t="shared" si="98"/>
        <v>0</v>
      </c>
      <c r="AF484" s="54">
        <v>101813</v>
      </c>
      <c r="AQ484" s="80"/>
      <c r="AR484" s="80"/>
    </row>
    <row r="485" spans="1:44" ht="14.4">
      <c r="A485" s="70">
        <v>101410</v>
      </c>
      <c r="B485" s="78" t="str">
        <f>VLOOKUP(A485,'TB for financial'!A:B,2,0)</f>
        <v>Deposit</v>
      </c>
      <c r="D485" s="79">
        <f>VLOOKUP(A485,'TB for financial'!A:F,6,0)</f>
        <v>0</v>
      </c>
      <c r="E485" s="80"/>
      <c r="F485" s="79">
        <f>VLOOKUP(A485,'TB for financial'!A:K,11,0)</f>
        <v>0</v>
      </c>
      <c r="G485" s="80"/>
      <c r="H485" s="81">
        <f t="shared" si="95"/>
        <v>0</v>
      </c>
      <c r="I485" s="81">
        <v>0</v>
      </c>
      <c r="J485" s="81">
        <f t="shared" si="96"/>
        <v>0</v>
      </c>
      <c r="K485" s="80"/>
      <c r="L485" s="82">
        <f t="shared" si="97"/>
        <v>0</v>
      </c>
      <c r="M485" s="82">
        <v>0</v>
      </c>
      <c r="N485" s="82">
        <f t="shared" ref="N485:N499" si="99">+F485-L485-M485</f>
        <v>0</v>
      </c>
      <c r="O485" s="83"/>
      <c r="P485"/>
      <c r="Q485"/>
      <c r="R485"/>
      <c r="S485"/>
      <c r="U485" s="84" t="s">
        <v>535</v>
      </c>
      <c r="V485" s="80"/>
      <c r="W485" s="82" t="s">
        <v>562</v>
      </c>
      <c r="X485" s="82" t="s">
        <v>563</v>
      </c>
      <c r="Y485" s="85" t="s">
        <v>537</v>
      </c>
      <c r="Z485" s="86" t="s">
        <v>532</v>
      </c>
      <c r="AA485" s="86" t="s">
        <v>19</v>
      </c>
      <c r="AB485" s="86" t="s">
        <v>19</v>
      </c>
      <c r="AC485" s="87">
        <v>0</v>
      </c>
      <c r="AD485" s="88">
        <f t="shared" si="98"/>
        <v>0</v>
      </c>
      <c r="AF485" s="54">
        <v>101410</v>
      </c>
      <c r="AQ485" s="80"/>
      <c r="AR485" s="80"/>
    </row>
    <row r="486" spans="1:44" ht="14.4">
      <c r="A486" s="70">
        <v>101814</v>
      </c>
      <c r="B486" s="78" t="str">
        <f>VLOOKUP(A486,'TB for financial'!A:B,2,0)</f>
        <v>Deposits - Cellphones</v>
      </c>
      <c r="D486" s="79">
        <f>VLOOKUP(A486,'TB for financial'!A:F,6,0)</f>
        <v>0</v>
      </c>
      <c r="E486" s="80"/>
      <c r="F486" s="79">
        <f>VLOOKUP(A486,'TB for financial'!A:K,11,0)</f>
        <v>0</v>
      </c>
      <c r="G486" s="80"/>
      <c r="H486" s="81">
        <f t="shared" si="95"/>
        <v>0</v>
      </c>
      <c r="I486" s="81">
        <v>0</v>
      </c>
      <c r="J486" s="81">
        <f t="shared" si="96"/>
        <v>0</v>
      </c>
      <c r="K486" s="80"/>
      <c r="L486" s="82">
        <f t="shared" si="97"/>
        <v>0</v>
      </c>
      <c r="M486" s="82">
        <v>0</v>
      </c>
      <c r="N486" s="82">
        <f t="shared" si="99"/>
        <v>0</v>
      </c>
      <c r="O486" s="83"/>
      <c r="P486"/>
      <c r="Q486"/>
      <c r="R486"/>
      <c r="S486"/>
      <c r="U486" s="84" t="s">
        <v>535</v>
      </c>
      <c r="V486" s="80"/>
      <c r="W486" s="82" t="s">
        <v>562</v>
      </c>
      <c r="X486" s="82" t="s">
        <v>563</v>
      </c>
      <c r="Y486" s="85" t="s">
        <v>537</v>
      </c>
      <c r="Z486" s="86" t="s">
        <v>532</v>
      </c>
      <c r="AA486" s="86" t="s">
        <v>19</v>
      </c>
      <c r="AB486" s="86" t="s">
        <v>19</v>
      </c>
      <c r="AC486" s="87">
        <v>0</v>
      </c>
      <c r="AD486" s="88">
        <f t="shared" si="98"/>
        <v>0</v>
      </c>
      <c r="AF486" s="54">
        <v>101814</v>
      </c>
      <c r="AQ486" s="80"/>
      <c r="AR486" s="80"/>
    </row>
    <row r="487" spans="1:44" ht="14.4">
      <c r="A487" s="70">
        <v>101815</v>
      </c>
      <c r="B487" s="78" t="str">
        <f>VLOOKUP(A487,'TB for financial'!A:B,2,0)</f>
        <v>Deposits - Satellite Link</v>
      </c>
      <c r="D487" s="79">
        <f>VLOOKUP(A487,'TB for financial'!A:F,6,0)</f>
        <v>0</v>
      </c>
      <c r="E487" s="80"/>
      <c r="F487" s="79">
        <f>VLOOKUP(A487,'TB for financial'!A:K,11,0)</f>
        <v>0</v>
      </c>
      <c r="G487" s="80"/>
      <c r="H487" s="81">
        <f t="shared" si="95"/>
        <v>0</v>
      </c>
      <c r="I487" s="81">
        <v>0</v>
      </c>
      <c r="J487" s="81">
        <f t="shared" si="96"/>
        <v>0</v>
      </c>
      <c r="K487" s="80"/>
      <c r="L487" s="82">
        <f t="shared" si="97"/>
        <v>0</v>
      </c>
      <c r="M487" s="82">
        <v>0</v>
      </c>
      <c r="N487" s="82">
        <f t="shared" si="99"/>
        <v>0</v>
      </c>
      <c r="O487" s="83"/>
      <c r="P487"/>
      <c r="Q487"/>
      <c r="R487"/>
      <c r="S487"/>
      <c r="U487" s="84" t="s">
        <v>535</v>
      </c>
      <c r="V487" s="80"/>
      <c r="W487" s="82" t="s">
        <v>562</v>
      </c>
      <c r="X487" s="82" t="s">
        <v>563</v>
      </c>
      <c r="Y487" s="85" t="s">
        <v>537</v>
      </c>
      <c r="Z487" s="86" t="s">
        <v>532</v>
      </c>
      <c r="AA487" s="86" t="s">
        <v>19</v>
      </c>
      <c r="AB487" s="86" t="s">
        <v>19</v>
      </c>
      <c r="AC487" s="87">
        <v>0</v>
      </c>
      <c r="AD487" s="88">
        <f t="shared" si="98"/>
        <v>0</v>
      </c>
      <c r="AF487" s="54">
        <v>101815</v>
      </c>
      <c r="AQ487" s="80"/>
      <c r="AR487" s="80"/>
    </row>
    <row r="488" spans="1:44" ht="14.4">
      <c r="A488" s="70">
        <v>101819</v>
      </c>
      <c r="B488" s="78" t="str">
        <f>VLOOKUP(A488,'TB for financial'!A:B,2,0)</f>
        <v>Deposits - Petrol Pumps</v>
      </c>
      <c r="D488" s="79">
        <f>VLOOKUP(A488,'TB for financial'!A:F,6,0)</f>
        <v>0</v>
      </c>
      <c r="E488" s="80"/>
      <c r="F488" s="79">
        <f>VLOOKUP(A488,'TB for financial'!A:K,11,0)</f>
        <v>0</v>
      </c>
      <c r="G488" s="80"/>
      <c r="H488" s="81">
        <f t="shared" si="95"/>
        <v>0</v>
      </c>
      <c r="I488" s="81">
        <v>0</v>
      </c>
      <c r="J488" s="81">
        <f t="shared" si="96"/>
        <v>0</v>
      </c>
      <c r="K488" s="80"/>
      <c r="L488" s="82">
        <f t="shared" si="97"/>
        <v>0</v>
      </c>
      <c r="M488" s="82">
        <v>0</v>
      </c>
      <c r="N488" s="82">
        <f t="shared" si="99"/>
        <v>0</v>
      </c>
      <c r="O488" s="83"/>
      <c r="P488"/>
      <c r="Q488"/>
      <c r="R488"/>
      <c r="S488"/>
      <c r="U488" s="84" t="s">
        <v>535</v>
      </c>
      <c r="V488" s="80"/>
      <c r="W488" s="82" t="s">
        <v>562</v>
      </c>
      <c r="X488" s="82" t="s">
        <v>563</v>
      </c>
      <c r="Y488" s="85" t="s">
        <v>537</v>
      </c>
      <c r="Z488" s="86" t="s">
        <v>532</v>
      </c>
      <c r="AA488" s="86" t="s">
        <v>19</v>
      </c>
      <c r="AB488" s="86" t="s">
        <v>19</v>
      </c>
      <c r="AC488" s="87">
        <v>0</v>
      </c>
      <c r="AD488" s="88">
        <f t="shared" si="98"/>
        <v>0</v>
      </c>
      <c r="AF488" s="54">
        <v>101819</v>
      </c>
      <c r="AQ488" s="80"/>
      <c r="AR488" s="80"/>
    </row>
    <row r="489" spans="1:44" ht="14.4">
      <c r="A489" s="70">
        <v>101820</v>
      </c>
      <c r="B489" s="78" t="str">
        <f>VLOOKUP(A489,'TB for financial'!A:B,2,0)</f>
        <v>Deposits - F &amp; F Hired</v>
      </c>
      <c r="D489" s="79">
        <f>VLOOKUP(A489,'TB for financial'!A:F,6,0)</f>
        <v>0</v>
      </c>
      <c r="E489" s="80"/>
      <c r="F489" s="79">
        <f>VLOOKUP(A489,'TB for financial'!A:K,11,0)</f>
        <v>0</v>
      </c>
      <c r="G489" s="80"/>
      <c r="H489" s="81">
        <f t="shared" si="95"/>
        <v>0</v>
      </c>
      <c r="I489" s="81">
        <v>0</v>
      </c>
      <c r="J489" s="81">
        <f t="shared" si="96"/>
        <v>0</v>
      </c>
      <c r="K489" s="80"/>
      <c r="L489" s="82">
        <f t="shared" si="97"/>
        <v>0</v>
      </c>
      <c r="M489" s="82">
        <v>0</v>
      </c>
      <c r="N489" s="82">
        <f t="shared" si="99"/>
        <v>0</v>
      </c>
      <c r="O489" s="83"/>
      <c r="P489"/>
      <c r="Q489"/>
      <c r="R489"/>
      <c r="S489"/>
      <c r="U489" s="84" t="s">
        <v>535</v>
      </c>
      <c r="V489" s="80"/>
      <c r="W489" s="82" t="s">
        <v>562</v>
      </c>
      <c r="X489" s="82" t="s">
        <v>563</v>
      </c>
      <c r="Y489" s="85" t="s">
        <v>537</v>
      </c>
      <c r="Z489" s="86" t="s">
        <v>532</v>
      </c>
      <c r="AA489" s="86" t="s">
        <v>19</v>
      </c>
      <c r="AB489" s="86" t="s">
        <v>19</v>
      </c>
      <c r="AC489" s="87">
        <v>0</v>
      </c>
      <c r="AD489" s="88">
        <f t="shared" si="98"/>
        <v>0</v>
      </c>
      <c r="AF489" s="54">
        <v>101820</v>
      </c>
      <c r="AQ489" s="80"/>
      <c r="AR489" s="80"/>
    </row>
    <row r="490" spans="1:44" ht="14.4">
      <c r="A490" s="70">
        <v>101821</v>
      </c>
      <c r="B490" s="78" t="str">
        <f>VLOOKUP(A490,'TB for financial'!A:B,2,0)</f>
        <v>Deposits - Plants Hired</v>
      </c>
      <c r="D490" s="79">
        <f>VLOOKUP(A490,'TB for financial'!A:F,6,0)</f>
        <v>0</v>
      </c>
      <c r="E490" s="80"/>
      <c r="F490" s="79">
        <f>VLOOKUP(A490,'TB for financial'!A:K,11,0)</f>
        <v>0</v>
      </c>
      <c r="G490" s="80"/>
      <c r="H490" s="81">
        <f t="shared" si="95"/>
        <v>0</v>
      </c>
      <c r="I490" s="81">
        <v>0</v>
      </c>
      <c r="J490" s="81">
        <f t="shared" si="96"/>
        <v>0</v>
      </c>
      <c r="K490" s="80"/>
      <c r="L490" s="82">
        <f t="shared" si="97"/>
        <v>0</v>
      </c>
      <c r="M490" s="82">
        <v>0</v>
      </c>
      <c r="N490" s="82">
        <f t="shared" si="99"/>
        <v>0</v>
      </c>
      <c r="O490" s="83"/>
      <c r="P490"/>
      <c r="Q490"/>
      <c r="R490"/>
      <c r="S490"/>
      <c r="U490" s="84" t="s">
        <v>535</v>
      </c>
      <c r="V490" s="80"/>
      <c r="W490" s="82" t="s">
        <v>562</v>
      </c>
      <c r="X490" s="82" t="s">
        <v>563</v>
      </c>
      <c r="Y490" s="85" t="s">
        <v>537</v>
      </c>
      <c r="Z490" s="86" t="s">
        <v>532</v>
      </c>
      <c r="AA490" s="86" t="s">
        <v>19</v>
      </c>
      <c r="AB490" s="86" t="s">
        <v>19</v>
      </c>
      <c r="AC490" s="87">
        <v>0</v>
      </c>
      <c r="AD490" s="88">
        <f t="shared" si="98"/>
        <v>0</v>
      </c>
      <c r="AF490" s="54">
        <v>101821</v>
      </c>
      <c r="AQ490" s="80"/>
      <c r="AR490" s="80"/>
    </row>
    <row r="491" spans="1:44" ht="14.4">
      <c r="A491" s="70">
        <v>101824</v>
      </c>
      <c r="B491" s="78" t="str">
        <f>VLOOKUP(A491,'TB for financial'!A:B,2,0)</f>
        <v>Deposits - Books</v>
      </c>
      <c r="D491" s="79">
        <f>VLOOKUP(A491,'TB for financial'!A:F,6,0)</f>
        <v>0</v>
      </c>
      <c r="E491" s="80"/>
      <c r="F491" s="79">
        <f>VLOOKUP(A491,'TB for financial'!A:K,11,0)</f>
        <v>0</v>
      </c>
      <c r="G491" s="80"/>
      <c r="H491" s="81">
        <f t="shared" si="95"/>
        <v>0</v>
      </c>
      <c r="I491" s="81">
        <v>0</v>
      </c>
      <c r="J491" s="81">
        <f t="shared" si="96"/>
        <v>0</v>
      </c>
      <c r="K491" s="80"/>
      <c r="L491" s="82">
        <f t="shared" si="97"/>
        <v>0</v>
      </c>
      <c r="M491" s="82">
        <v>0</v>
      </c>
      <c r="N491" s="82">
        <f t="shared" si="99"/>
        <v>0</v>
      </c>
      <c r="O491" s="83"/>
      <c r="P491"/>
      <c r="Q491"/>
      <c r="R491"/>
      <c r="S491"/>
      <c r="U491" s="84" t="s">
        <v>535</v>
      </c>
      <c r="V491" s="80"/>
      <c r="W491" s="82" t="s">
        <v>562</v>
      </c>
      <c r="X491" s="82" t="s">
        <v>563</v>
      </c>
      <c r="Y491" s="85" t="s">
        <v>537</v>
      </c>
      <c r="Z491" s="86" t="s">
        <v>532</v>
      </c>
      <c r="AA491" s="86" t="s">
        <v>19</v>
      </c>
      <c r="AB491" s="86" t="s">
        <v>19</v>
      </c>
      <c r="AC491" s="87">
        <v>0</v>
      </c>
      <c r="AD491" s="88">
        <f t="shared" si="98"/>
        <v>0</v>
      </c>
      <c r="AF491" s="54">
        <v>101824</v>
      </c>
      <c r="AQ491" s="80"/>
      <c r="AR491" s="80"/>
    </row>
    <row r="492" spans="1:44" ht="14.4">
      <c r="A492" s="70">
        <v>101825</v>
      </c>
      <c r="B492" s="78" t="str">
        <f>VLOOKUP(A492,'TB for financial'!A:B,2,0)</f>
        <v>Deposits - Hospitals</v>
      </c>
      <c r="D492" s="79">
        <f>VLOOKUP(A492,'TB for financial'!A:F,6,0)</f>
        <v>0</v>
      </c>
      <c r="E492" s="80"/>
      <c r="F492" s="79">
        <f>VLOOKUP(A492,'TB for financial'!A:K,11,0)</f>
        <v>0</v>
      </c>
      <c r="G492" s="80"/>
      <c r="H492" s="81">
        <f t="shared" si="95"/>
        <v>0</v>
      </c>
      <c r="I492" s="81">
        <v>0</v>
      </c>
      <c r="J492" s="81">
        <f t="shared" si="96"/>
        <v>0</v>
      </c>
      <c r="K492" s="80"/>
      <c r="L492" s="82">
        <f t="shared" si="97"/>
        <v>0</v>
      </c>
      <c r="M492" s="82">
        <v>0</v>
      </c>
      <c r="N492" s="82">
        <f t="shared" si="99"/>
        <v>0</v>
      </c>
      <c r="O492" s="83"/>
      <c r="P492"/>
      <c r="Q492"/>
      <c r="R492"/>
      <c r="S492"/>
      <c r="U492" s="84" t="s">
        <v>535</v>
      </c>
      <c r="V492" s="80"/>
      <c r="W492" s="82" t="s">
        <v>562</v>
      </c>
      <c r="X492" s="82" t="s">
        <v>563</v>
      </c>
      <c r="Y492" s="85" t="s">
        <v>537</v>
      </c>
      <c r="Z492" s="86" t="s">
        <v>532</v>
      </c>
      <c r="AA492" s="86" t="s">
        <v>19</v>
      </c>
      <c r="AB492" s="86" t="s">
        <v>19</v>
      </c>
      <c r="AC492" s="87">
        <v>0</v>
      </c>
      <c r="AD492" s="88">
        <f t="shared" si="98"/>
        <v>0</v>
      </c>
      <c r="AF492" s="54">
        <v>101825</v>
      </c>
      <c r="AQ492" s="80"/>
      <c r="AR492" s="80"/>
    </row>
    <row r="493" spans="1:44" ht="14.4">
      <c r="A493" s="70">
        <v>101826</v>
      </c>
      <c r="B493" s="78" t="str">
        <f>VLOOKUP(A493,'TB for financial'!A:B,2,0)</f>
        <v>Deposits - Membership</v>
      </c>
      <c r="D493" s="79">
        <f>VLOOKUP(A493,'TB for financial'!A:F,6,0)</f>
        <v>0</v>
      </c>
      <c r="E493" s="80"/>
      <c r="F493" s="79">
        <f>VLOOKUP(A493,'TB for financial'!A:K,11,0)</f>
        <v>0</v>
      </c>
      <c r="G493" s="80"/>
      <c r="H493" s="81">
        <f t="shared" si="95"/>
        <v>0</v>
      </c>
      <c r="I493" s="81">
        <v>0</v>
      </c>
      <c r="J493" s="81">
        <f t="shared" si="96"/>
        <v>0</v>
      </c>
      <c r="K493" s="80"/>
      <c r="L493" s="82">
        <f t="shared" si="97"/>
        <v>0</v>
      </c>
      <c r="M493" s="82">
        <v>0</v>
      </c>
      <c r="N493" s="82">
        <f t="shared" si="99"/>
        <v>0</v>
      </c>
      <c r="O493" s="83"/>
      <c r="P493"/>
      <c r="Q493"/>
      <c r="R493"/>
      <c r="S493"/>
      <c r="U493" s="84" t="s">
        <v>535</v>
      </c>
      <c r="V493" s="80"/>
      <c r="W493" s="82" t="s">
        <v>562</v>
      </c>
      <c r="X493" s="82" t="s">
        <v>563</v>
      </c>
      <c r="Y493" s="85" t="s">
        <v>537</v>
      </c>
      <c r="Z493" s="86" t="s">
        <v>532</v>
      </c>
      <c r="AA493" s="86" t="s">
        <v>19</v>
      </c>
      <c r="AB493" s="86" t="s">
        <v>19</v>
      </c>
      <c r="AC493" s="87">
        <v>0</v>
      </c>
      <c r="AD493" s="88">
        <f t="shared" si="98"/>
        <v>0</v>
      </c>
      <c r="AF493" s="54">
        <v>101826</v>
      </c>
      <c r="AQ493" s="80"/>
      <c r="AR493" s="80"/>
    </row>
    <row r="494" spans="1:44" ht="14.4">
      <c r="A494" s="70">
        <v>101827</v>
      </c>
      <c r="B494" s="78" t="str">
        <f>VLOOKUP(A494,'TB for financial'!A:B,2,0)</f>
        <v>Deposits - Security Dep.</v>
      </c>
      <c r="D494" s="79">
        <f>VLOOKUP(A494,'TB for financial'!A:F,6,0)</f>
        <v>0</v>
      </c>
      <c r="E494" s="80"/>
      <c r="F494" s="79">
        <f>VLOOKUP(A494,'TB for financial'!A:K,11,0)</f>
        <v>0</v>
      </c>
      <c r="G494" s="80"/>
      <c r="H494" s="81">
        <f t="shared" si="95"/>
        <v>0</v>
      </c>
      <c r="I494" s="81">
        <v>0</v>
      </c>
      <c r="J494" s="81">
        <f t="shared" si="96"/>
        <v>0</v>
      </c>
      <c r="K494" s="80"/>
      <c r="L494" s="82">
        <f t="shared" si="97"/>
        <v>0</v>
      </c>
      <c r="M494" s="82">
        <v>0</v>
      </c>
      <c r="N494" s="82">
        <f t="shared" si="99"/>
        <v>0</v>
      </c>
      <c r="O494" s="83"/>
      <c r="P494"/>
      <c r="Q494"/>
      <c r="R494"/>
      <c r="S494"/>
      <c r="U494" s="84" t="s">
        <v>535</v>
      </c>
      <c r="V494" s="80"/>
      <c r="W494" s="82" t="s">
        <v>562</v>
      </c>
      <c r="X494" s="82" t="s">
        <v>563</v>
      </c>
      <c r="Y494" s="85" t="s">
        <v>537</v>
      </c>
      <c r="Z494" s="86" t="s">
        <v>532</v>
      </c>
      <c r="AA494" s="86" t="s">
        <v>19</v>
      </c>
      <c r="AB494" s="86" t="s">
        <v>19</v>
      </c>
      <c r="AC494" s="87">
        <v>0</v>
      </c>
      <c r="AD494" s="88">
        <f t="shared" si="98"/>
        <v>0</v>
      </c>
      <c r="AF494" s="54">
        <v>101827</v>
      </c>
      <c r="AQ494" s="80"/>
      <c r="AR494" s="80"/>
    </row>
    <row r="495" spans="1:44" ht="14.4">
      <c r="A495" s="70">
        <v>101828</v>
      </c>
      <c r="B495" s="78" t="str">
        <f>VLOOKUP(A495,'TB for financial'!A:B,2,0)</f>
        <v>Deposits - Pagers</v>
      </c>
      <c r="D495" s="79">
        <f>VLOOKUP(A495,'TB for financial'!A:F,6,0)</f>
        <v>0</v>
      </c>
      <c r="E495" s="80"/>
      <c r="F495" s="79">
        <f>VLOOKUP(A495,'TB for financial'!A:K,11,0)</f>
        <v>0</v>
      </c>
      <c r="G495" s="80"/>
      <c r="H495" s="81">
        <f t="shared" si="95"/>
        <v>0</v>
      </c>
      <c r="I495" s="81">
        <v>0</v>
      </c>
      <c r="J495" s="81">
        <f t="shared" si="96"/>
        <v>0</v>
      </c>
      <c r="K495" s="80"/>
      <c r="L495" s="82">
        <f t="shared" si="97"/>
        <v>0</v>
      </c>
      <c r="M495" s="82">
        <v>0</v>
      </c>
      <c r="N495" s="82">
        <f t="shared" si="99"/>
        <v>0</v>
      </c>
      <c r="O495" s="83"/>
      <c r="P495"/>
      <c r="Q495"/>
      <c r="R495"/>
      <c r="S495"/>
      <c r="U495" s="84" t="s">
        <v>535</v>
      </c>
      <c r="V495" s="80"/>
      <c r="W495" s="82" t="s">
        <v>562</v>
      </c>
      <c r="X495" s="82" t="s">
        <v>563</v>
      </c>
      <c r="Y495" s="85" t="s">
        <v>537</v>
      </c>
      <c r="Z495" s="86" t="s">
        <v>532</v>
      </c>
      <c r="AA495" s="86" t="s">
        <v>19</v>
      </c>
      <c r="AB495" s="86" t="s">
        <v>19</v>
      </c>
      <c r="AC495" s="87">
        <v>0</v>
      </c>
      <c r="AD495" s="88">
        <f t="shared" si="98"/>
        <v>0</v>
      </c>
      <c r="AF495" s="54">
        <v>101828</v>
      </c>
      <c r="AQ495" s="80"/>
      <c r="AR495" s="80"/>
    </row>
    <row r="496" spans="1:44" ht="14.4">
      <c r="A496" s="70">
        <v>101850</v>
      </c>
      <c r="B496" s="78" t="str">
        <f>VLOOKUP(A496,'TB for financial'!A:B,2,0)</f>
        <v>Deposits - Inter Corporate</v>
      </c>
      <c r="D496" s="79">
        <f>VLOOKUP(A496,'TB for financial'!A:F,6,0)</f>
        <v>0</v>
      </c>
      <c r="E496" s="80"/>
      <c r="F496" s="79">
        <f>VLOOKUP(A496,'TB for financial'!A:K,11,0)</f>
        <v>0</v>
      </c>
      <c r="G496" s="80"/>
      <c r="H496" s="81">
        <f t="shared" si="95"/>
        <v>0</v>
      </c>
      <c r="I496" s="81">
        <v>0</v>
      </c>
      <c r="J496" s="81">
        <f t="shared" si="96"/>
        <v>0</v>
      </c>
      <c r="K496" s="80"/>
      <c r="L496" s="82">
        <f t="shared" si="97"/>
        <v>0</v>
      </c>
      <c r="M496" s="82">
        <v>0</v>
      </c>
      <c r="N496" s="82">
        <f t="shared" si="99"/>
        <v>0</v>
      </c>
      <c r="O496" s="83"/>
      <c r="P496"/>
      <c r="Q496"/>
      <c r="R496"/>
      <c r="S496"/>
      <c r="U496" s="84" t="s">
        <v>535</v>
      </c>
      <c r="V496" s="80"/>
      <c r="W496" s="82" t="s">
        <v>562</v>
      </c>
      <c r="X496" s="82" t="s">
        <v>563</v>
      </c>
      <c r="Y496" s="85" t="s">
        <v>537</v>
      </c>
      <c r="Z496" s="86" t="s">
        <v>532</v>
      </c>
      <c r="AA496" s="86" t="s">
        <v>19</v>
      </c>
      <c r="AB496" s="86" t="s">
        <v>19</v>
      </c>
      <c r="AC496" s="87">
        <v>0</v>
      </c>
      <c r="AD496" s="88">
        <f t="shared" si="98"/>
        <v>0</v>
      </c>
      <c r="AF496" s="54">
        <v>101850</v>
      </c>
      <c r="AQ496" s="80"/>
      <c r="AR496" s="80"/>
    </row>
    <row r="497" spans="1:44" ht="14.4">
      <c r="A497" s="70">
        <v>101829</v>
      </c>
      <c r="B497" s="78" t="str">
        <f>VLOOKUP(A497,'TB for financial'!A:B,2,0)</f>
        <v>Deposits - Water Cooler Hired</v>
      </c>
      <c r="D497" s="79">
        <f>VLOOKUP(A497,'TB for financial'!A:F,6,0)</f>
        <v>0</v>
      </c>
      <c r="E497" s="80"/>
      <c r="F497" s="79">
        <f>VLOOKUP(A497,'TB for financial'!A:K,11,0)</f>
        <v>0</v>
      </c>
      <c r="G497" s="80"/>
      <c r="H497" s="81">
        <f t="shared" si="95"/>
        <v>0</v>
      </c>
      <c r="I497" s="81">
        <v>0</v>
      </c>
      <c r="J497" s="81">
        <f t="shared" si="96"/>
        <v>0</v>
      </c>
      <c r="K497" s="80"/>
      <c r="L497" s="82">
        <f t="shared" si="97"/>
        <v>0</v>
      </c>
      <c r="M497" s="82">
        <v>0</v>
      </c>
      <c r="N497" s="82">
        <f t="shared" si="99"/>
        <v>0</v>
      </c>
      <c r="O497" s="83"/>
      <c r="P497"/>
      <c r="Q497"/>
      <c r="R497"/>
      <c r="S497"/>
      <c r="U497" s="84" t="s">
        <v>535</v>
      </c>
      <c r="V497" s="80"/>
      <c r="W497" s="82" t="s">
        <v>562</v>
      </c>
      <c r="X497" s="82" t="s">
        <v>563</v>
      </c>
      <c r="Y497" s="85" t="s">
        <v>537</v>
      </c>
      <c r="Z497" s="86" t="s">
        <v>532</v>
      </c>
      <c r="AA497" s="86" t="s">
        <v>19</v>
      </c>
      <c r="AB497" s="86" t="s">
        <v>19</v>
      </c>
      <c r="AC497" s="87">
        <v>0</v>
      </c>
      <c r="AD497" s="88">
        <f t="shared" si="98"/>
        <v>0</v>
      </c>
      <c r="AF497" s="54">
        <v>101829</v>
      </c>
      <c r="AQ497" s="80"/>
      <c r="AR497" s="80"/>
    </row>
    <row r="498" spans="1:44" ht="14.4">
      <c r="A498" s="89">
        <v>101833</v>
      </c>
      <c r="B498" s="78" t="str">
        <f>VLOOKUP(A498,'TB for financial'!A:B,2,0)</f>
        <v>Deposits-Sec. Dep. Canada Rev</v>
      </c>
      <c r="D498" s="79">
        <f>VLOOKUP(A498,'TB for financial'!A:F,6,0)</f>
        <v>0</v>
      </c>
      <c r="E498" s="80"/>
      <c r="F498" s="79">
        <f>VLOOKUP(A498,'TB for financial'!A:K,11,0)</f>
        <v>0</v>
      </c>
      <c r="G498" s="80"/>
      <c r="H498" s="81">
        <f t="shared" si="95"/>
        <v>0</v>
      </c>
      <c r="I498" s="81">
        <v>0</v>
      </c>
      <c r="J498" s="81">
        <f t="shared" si="96"/>
        <v>0</v>
      </c>
      <c r="K498" s="80"/>
      <c r="L498" s="82">
        <f t="shared" si="97"/>
        <v>0</v>
      </c>
      <c r="M498" s="82">
        <v>0</v>
      </c>
      <c r="N498" s="82">
        <f t="shared" si="99"/>
        <v>0</v>
      </c>
      <c r="O498" s="83"/>
      <c r="P498"/>
      <c r="Q498"/>
      <c r="R498"/>
      <c r="S498"/>
      <c r="U498" s="84" t="s">
        <v>535</v>
      </c>
      <c r="V498" s="80"/>
      <c r="W498" s="82" t="s">
        <v>562</v>
      </c>
      <c r="X498" s="82" t="s">
        <v>563</v>
      </c>
      <c r="Y498" s="85" t="s">
        <v>537</v>
      </c>
      <c r="Z498" s="86" t="s">
        <v>532</v>
      </c>
      <c r="AA498" s="86" t="s">
        <v>19</v>
      </c>
      <c r="AB498" s="86" t="s">
        <v>19</v>
      </c>
      <c r="AC498" s="87">
        <v>0</v>
      </c>
      <c r="AD498" s="88">
        <f t="shared" si="98"/>
        <v>0</v>
      </c>
      <c r="AF498" s="54">
        <v>101833</v>
      </c>
      <c r="AQ498" s="80"/>
      <c r="AR498" s="80"/>
    </row>
    <row r="499" spans="1:44" ht="14.4">
      <c r="A499" s="89">
        <v>101834</v>
      </c>
      <c r="B499" s="78" t="str">
        <f>VLOOKUP(A499,'TB for financial'!A:B,2,0)</f>
        <v>Earnest Money Deposit</v>
      </c>
      <c r="D499" s="79">
        <f>VLOOKUP(A499,'TB for financial'!A:F,6,0)</f>
        <v>0</v>
      </c>
      <c r="E499" s="80"/>
      <c r="F499" s="79">
        <f>VLOOKUP(A499,'TB for financial'!A:K,11,0)</f>
        <v>0</v>
      </c>
      <c r="G499" s="80"/>
      <c r="H499" s="81">
        <f t="shared" si="95"/>
        <v>0</v>
      </c>
      <c r="I499" s="81">
        <v>0</v>
      </c>
      <c r="J499" s="81">
        <f t="shared" si="96"/>
        <v>0</v>
      </c>
      <c r="K499" s="80"/>
      <c r="L499" s="82">
        <f t="shared" si="97"/>
        <v>0</v>
      </c>
      <c r="M499" s="82">
        <v>0</v>
      </c>
      <c r="N499" s="82">
        <f t="shared" si="99"/>
        <v>0</v>
      </c>
      <c r="O499" s="83"/>
      <c r="P499"/>
      <c r="Q499"/>
      <c r="R499"/>
      <c r="S499"/>
      <c r="U499" s="84" t="s">
        <v>535</v>
      </c>
      <c r="V499" s="80"/>
      <c r="W499" s="82" t="s">
        <v>562</v>
      </c>
      <c r="X499" s="82" t="s">
        <v>563</v>
      </c>
      <c r="Y499" s="85" t="s">
        <v>537</v>
      </c>
      <c r="Z499" s="86" t="s">
        <v>532</v>
      </c>
      <c r="AA499" s="86" t="s">
        <v>19</v>
      </c>
      <c r="AB499" s="86" t="s">
        <v>19</v>
      </c>
      <c r="AC499" s="87">
        <v>0</v>
      </c>
      <c r="AD499" s="88">
        <f t="shared" si="98"/>
        <v>0</v>
      </c>
      <c r="AF499" s="54">
        <v>101834</v>
      </c>
      <c r="AQ499" s="80"/>
      <c r="AR499" s="80"/>
    </row>
    <row r="500" spans="1:44" ht="14.4">
      <c r="A500" s="1375">
        <v>275000</v>
      </c>
      <c r="B500" s="78" t="str">
        <f>VLOOKUP(A500,'TB for financial'!A:B,2,0)</f>
        <v>DEPOSITS AND SURETIES PAID</v>
      </c>
      <c r="D500" s="79">
        <f>VLOOKUP(A500,'TB for financial'!A:F,6,0)</f>
        <v>-9180.5300000000861</v>
      </c>
      <c r="E500" s="80"/>
      <c r="F500" s="79">
        <f>VLOOKUP(A500,'TB for financial'!A:K,11,0)</f>
        <v>-9180.5300000000861</v>
      </c>
      <c r="G500" s="80"/>
      <c r="H500" s="122">
        <f>D500-I500</f>
        <v>-9180.5300000000861</v>
      </c>
      <c r="I500" s="81">
        <v>0</v>
      </c>
      <c r="J500" s="81">
        <f t="shared" si="96"/>
        <v>0</v>
      </c>
      <c r="K500" s="80"/>
      <c r="L500" s="82">
        <f>F500-M500</f>
        <v>-9180.5300000000861</v>
      </c>
      <c r="M500" s="82">
        <v>0</v>
      </c>
      <c r="N500" s="82">
        <f>+F500-L500-M500</f>
        <v>0</v>
      </c>
      <c r="O500" s="83"/>
      <c r="P500"/>
      <c r="Q500"/>
      <c r="R500"/>
      <c r="S500"/>
      <c r="U500" s="84" t="s">
        <v>535</v>
      </c>
      <c r="V500" s="80"/>
      <c r="W500" s="82" t="s">
        <v>562</v>
      </c>
      <c r="X500" s="82" t="s">
        <v>563</v>
      </c>
      <c r="Y500" s="85" t="s">
        <v>537</v>
      </c>
      <c r="Z500" s="86" t="s">
        <v>532</v>
      </c>
      <c r="AA500" s="86" t="s">
        <v>19</v>
      </c>
      <c r="AB500" s="86" t="s">
        <v>19</v>
      </c>
      <c r="AC500" s="87">
        <v>-9181</v>
      </c>
      <c r="AD500" s="88">
        <f>+D500-AC500</f>
        <v>0.46999999991385266</v>
      </c>
      <c r="AQ500" s="80">
        <f>+D500</f>
        <v>-9180.5300000000861</v>
      </c>
      <c r="AR500" s="80"/>
    </row>
    <row r="501" spans="1:44" ht="5.0999999999999996" customHeight="1">
      <c r="A501" s="70"/>
      <c r="B501" s="78"/>
      <c r="D501" s="79"/>
      <c r="E501" s="80"/>
      <c r="F501" s="79"/>
      <c r="G501" s="80"/>
      <c r="H501" s="81"/>
      <c r="I501" s="81"/>
      <c r="J501" s="81"/>
      <c r="K501" s="80"/>
      <c r="L501" s="82"/>
      <c r="M501" s="82"/>
      <c r="N501" s="82"/>
      <c r="O501" s="83"/>
      <c r="P501"/>
      <c r="Q501"/>
      <c r="R501"/>
      <c r="S501"/>
      <c r="U501" s="84"/>
      <c r="V501" s="80"/>
      <c r="W501" s="82"/>
      <c r="X501" s="82"/>
      <c r="Y501" s="94"/>
      <c r="Z501" s="86"/>
      <c r="AA501" s="86"/>
      <c r="AB501" s="86"/>
      <c r="AQ501" s="80"/>
      <c r="AR501" s="80"/>
    </row>
    <row r="502" spans="1:44" ht="24.6" thickBot="1">
      <c r="A502" s="70"/>
      <c r="B502" s="71" t="s">
        <v>580</v>
      </c>
      <c r="D502" s="1646">
        <f>SUM(D482:D501)</f>
        <v>-9180.5300000000861</v>
      </c>
      <c r="E502" s="96"/>
      <c r="F502" s="97">
        <f>SUM(F482:F501)</f>
        <v>-9180.5300000000861</v>
      </c>
      <c r="G502" s="80"/>
      <c r="H502" s="1646">
        <f>SUM(H482:H501)</f>
        <v>-9180.5300000000861</v>
      </c>
      <c r="I502" s="98">
        <f>SUM(I482:I501)</f>
        <v>0</v>
      </c>
      <c r="J502" s="99">
        <f>SUM(J482:J501)</f>
        <v>0</v>
      </c>
      <c r="K502" s="80"/>
      <c r="L502" s="99">
        <f>SUM(L482:L501)</f>
        <v>-9180.5300000000861</v>
      </c>
      <c r="M502" s="99">
        <f>SUM(M482:M501)</f>
        <v>0</v>
      </c>
      <c r="N502" s="99">
        <f>SUM(N482:N501)</f>
        <v>0</v>
      </c>
      <c r="O502" s="100"/>
      <c r="P502"/>
      <c r="Q502"/>
      <c r="R502"/>
      <c r="S502"/>
      <c r="U502" s="101"/>
      <c r="V502" s="80"/>
      <c r="W502" s="102"/>
      <c r="X502" s="102"/>
      <c r="Y502" s="94"/>
      <c r="Z502" s="86"/>
      <c r="AA502" s="86"/>
      <c r="AB502" s="86"/>
      <c r="AQ502" s="80"/>
      <c r="AR502" s="80"/>
    </row>
    <row r="503" spans="1:44" ht="5.0999999999999996" customHeight="1" thickTop="1">
      <c r="A503" s="70"/>
      <c r="B503" s="71"/>
      <c r="D503" s="79"/>
      <c r="E503" s="80"/>
      <c r="F503" s="79"/>
      <c r="G503" s="80"/>
      <c r="H503" s="81"/>
      <c r="I503" s="81"/>
      <c r="J503" s="81"/>
      <c r="K503" s="80"/>
      <c r="L503" s="82"/>
      <c r="M503" s="82"/>
      <c r="N503" s="82"/>
      <c r="O503" s="83"/>
      <c r="P503"/>
      <c r="Q503"/>
      <c r="R503"/>
      <c r="S503"/>
      <c r="U503" s="84"/>
      <c r="V503" s="80"/>
      <c r="W503" s="82"/>
      <c r="X503" s="82"/>
      <c r="Y503" s="94"/>
      <c r="Z503" s="86"/>
      <c r="AA503" s="86"/>
      <c r="AB503" s="86"/>
      <c r="AQ503" s="80"/>
      <c r="AR503" s="80"/>
    </row>
    <row r="504" spans="1:44" ht="14.4">
      <c r="A504" s="70">
        <v>206043</v>
      </c>
      <c r="B504" s="78" t="str">
        <f>VLOOKUP(A504,'TB for financial'!A:B,2,0)</f>
        <v xml:space="preserve">Advance US Federal Income Tax </v>
      </c>
      <c r="D504" s="79">
        <f>VLOOKUP(A504,'TB for financial'!A:F,6,0)</f>
        <v>0</v>
      </c>
      <c r="E504" s="80"/>
      <c r="F504" s="79">
        <f>VLOOKUP(A504,'TB for financial'!A:K,11,0)</f>
        <v>0</v>
      </c>
      <c r="G504" s="80"/>
      <c r="H504" s="81">
        <f t="shared" ref="H504:H513" si="100">D504-I504</f>
        <v>0</v>
      </c>
      <c r="I504" s="81">
        <v>0</v>
      </c>
      <c r="J504" s="81">
        <f t="shared" ref="J504:J513" si="101">+D504-H504-I504</f>
        <v>0</v>
      </c>
      <c r="K504" s="80"/>
      <c r="L504" s="82">
        <f t="shared" ref="L504:L513" si="102">F504-M504</f>
        <v>0</v>
      </c>
      <c r="M504" s="82">
        <v>0</v>
      </c>
      <c r="N504" s="82">
        <f t="shared" ref="N504:N520" si="103">+F504-L504-M504</f>
        <v>0</v>
      </c>
      <c r="O504" s="83"/>
      <c r="P504"/>
      <c r="Q504"/>
      <c r="R504"/>
      <c r="S504"/>
      <c r="U504" s="84" t="s">
        <v>535</v>
      </c>
      <c r="V504" s="80"/>
      <c r="W504" s="82" t="s">
        <v>562</v>
      </c>
      <c r="X504" s="82" t="s">
        <v>563</v>
      </c>
      <c r="Y504" s="85" t="s">
        <v>537</v>
      </c>
      <c r="Z504" s="86" t="s">
        <v>565</v>
      </c>
      <c r="AA504" s="86" t="s">
        <v>349</v>
      </c>
      <c r="AB504" s="86" t="s">
        <v>349</v>
      </c>
      <c r="AC504" s="87">
        <v>0</v>
      </c>
      <c r="AD504" s="88">
        <f t="shared" ref="AD504:AD513" si="104">+D504-AC504</f>
        <v>0</v>
      </c>
      <c r="AF504" s="54">
        <v>206043</v>
      </c>
      <c r="AQ504" s="80"/>
      <c r="AR504" s="80"/>
    </row>
    <row r="505" spans="1:44" ht="14.4">
      <c r="A505" s="70">
        <v>206044</v>
      </c>
      <c r="B505" s="78" t="str">
        <f>VLOOKUP(A505,'TB for financial'!A:B,2,0)</f>
        <v xml:space="preserve">Advance US State Income Tax </v>
      </c>
      <c r="D505" s="79">
        <f>VLOOKUP(A505,'TB for financial'!A:F,6,0)</f>
        <v>0</v>
      </c>
      <c r="E505" s="80"/>
      <c r="F505" s="79">
        <f>VLOOKUP(A505,'TB for financial'!A:K,11,0)</f>
        <v>0</v>
      </c>
      <c r="G505" s="80"/>
      <c r="H505" s="81">
        <f t="shared" si="100"/>
        <v>0</v>
      </c>
      <c r="I505" s="81">
        <v>0</v>
      </c>
      <c r="J505" s="81">
        <f t="shared" si="101"/>
        <v>0</v>
      </c>
      <c r="K505" s="80"/>
      <c r="L505" s="82">
        <f t="shared" si="102"/>
        <v>0</v>
      </c>
      <c r="M505" s="82">
        <v>0</v>
      </c>
      <c r="N505" s="82">
        <f t="shared" si="103"/>
        <v>0</v>
      </c>
      <c r="O505" s="83"/>
      <c r="P505"/>
      <c r="Q505"/>
      <c r="R505"/>
      <c r="S505"/>
      <c r="U505" s="84" t="s">
        <v>535</v>
      </c>
      <c r="V505" s="80"/>
      <c r="W505" s="82" t="s">
        <v>562</v>
      </c>
      <c r="X505" s="82" t="s">
        <v>563</v>
      </c>
      <c r="Y505" s="85" t="s">
        <v>537</v>
      </c>
      <c r="Z505" s="86" t="s">
        <v>565</v>
      </c>
      <c r="AA505" s="86" t="s">
        <v>349</v>
      </c>
      <c r="AB505" s="86" t="s">
        <v>349</v>
      </c>
      <c r="AC505" s="87">
        <v>0</v>
      </c>
      <c r="AD505" s="88">
        <f t="shared" si="104"/>
        <v>0</v>
      </c>
      <c r="AF505" s="54">
        <v>206044</v>
      </c>
      <c r="AQ505" s="80"/>
      <c r="AR505" s="80"/>
    </row>
    <row r="506" spans="1:44" ht="14.4">
      <c r="A506" s="70">
        <v>206047</v>
      </c>
      <c r="B506" s="78" t="str">
        <f>VLOOKUP(A506,'TB for financial'!A:B,2,0)</f>
        <v>Forex Advance Indian IT - TDS</v>
      </c>
      <c r="D506" s="79">
        <f>VLOOKUP(A506,'TB for financial'!A:F,6,0)</f>
        <v>0</v>
      </c>
      <c r="E506" s="80"/>
      <c r="F506" s="79">
        <f>VLOOKUP(A506,'TB for financial'!A:K,11,0)</f>
        <v>0</v>
      </c>
      <c r="G506" s="80"/>
      <c r="H506" s="81">
        <f t="shared" si="100"/>
        <v>0</v>
      </c>
      <c r="I506" s="81">
        <v>0</v>
      </c>
      <c r="J506" s="81">
        <f t="shared" si="101"/>
        <v>0</v>
      </c>
      <c r="K506" s="80"/>
      <c r="L506" s="82">
        <f t="shared" si="102"/>
        <v>0</v>
      </c>
      <c r="M506" s="82">
        <v>0</v>
      </c>
      <c r="N506" s="82">
        <f t="shared" si="103"/>
        <v>0</v>
      </c>
      <c r="O506" s="83"/>
      <c r="P506"/>
      <c r="Q506"/>
      <c r="R506"/>
      <c r="S506"/>
      <c r="U506" s="84" t="s">
        <v>535</v>
      </c>
      <c r="V506" s="80"/>
      <c r="W506" s="82" t="s">
        <v>562</v>
      </c>
      <c r="X506" s="82" t="s">
        <v>563</v>
      </c>
      <c r="Y506" s="85" t="s">
        <v>537</v>
      </c>
      <c r="Z506" s="86" t="s">
        <v>565</v>
      </c>
      <c r="AA506" s="86" t="s">
        <v>349</v>
      </c>
      <c r="AB506" s="86" t="s">
        <v>349</v>
      </c>
      <c r="AC506" s="87">
        <v>0</v>
      </c>
      <c r="AD506" s="88">
        <f t="shared" si="104"/>
        <v>0</v>
      </c>
      <c r="AF506" s="54">
        <v>206047</v>
      </c>
      <c r="AQ506" s="80"/>
      <c r="AR506" s="80"/>
    </row>
    <row r="507" spans="1:44" ht="14.4">
      <c r="A507" s="70">
        <v>206041</v>
      </c>
      <c r="B507" s="78" t="str">
        <f>VLOOKUP(A507,'TB for financial'!A:B,2,0)</f>
        <v xml:space="preserve">Advance Indian Income tax </v>
      </c>
      <c r="D507" s="79">
        <f>VLOOKUP(A507,'TB for financial'!A:F,6,0)</f>
        <v>0</v>
      </c>
      <c r="E507" s="80"/>
      <c r="F507" s="79">
        <f>VLOOKUP(A507,'TB for financial'!A:K,11,0)</f>
        <v>0</v>
      </c>
      <c r="G507" s="80"/>
      <c r="H507" s="81">
        <f t="shared" si="100"/>
        <v>0</v>
      </c>
      <c r="I507" s="81">
        <v>0</v>
      </c>
      <c r="J507" s="81">
        <f t="shared" si="101"/>
        <v>0</v>
      </c>
      <c r="K507" s="80"/>
      <c r="L507" s="82">
        <f t="shared" si="102"/>
        <v>0</v>
      </c>
      <c r="M507" s="82">
        <v>0</v>
      </c>
      <c r="N507" s="82">
        <f t="shared" si="103"/>
        <v>0</v>
      </c>
      <c r="O507" s="83"/>
      <c r="P507"/>
      <c r="Q507"/>
      <c r="R507"/>
      <c r="S507"/>
      <c r="U507" s="84" t="s">
        <v>535</v>
      </c>
      <c r="V507" s="80"/>
      <c r="W507" s="82" t="s">
        <v>562</v>
      </c>
      <c r="X507" s="82" t="s">
        <v>563</v>
      </c>
      <c r="Y507" s="85" t="s">
        <v>537</v>
      </c>
      <c r="Z507" s="86" t="s">
        <v>565</v>
      </c>
      <c r="AA507" s="86" t="s">
        <v>349</v>
      </c>
      <c r="AB507" s="86" t="s">
        <v>349</v>
      </c>
      <c r="AC507" s="87">
        <v>0</v>
      </c>
      <c r="AD507" s="88">
        <f t="shared" si="104"/>
        <v>0</v>
      </c>
      <c r="AF507" s="54">
        <v>206041</v>
      </c>
      <c r="AQ507" s="80"/>
      <c r="AR507" s="80"/>
    </row>
    <row r="508" spans="1:44" ht="14.4">
      <c r="A508" s="70">
        <v>206042</v>
      </c>
      <c r="B508" s="78" t="str">
        <f>VLOOKUP(A508,'TB for financial'!A:B,2,0)</f>
        <v>Advance Indian IT - TDS</v>
      </c>
      <c r="D508" s="79">
        <f>VLOOKUP(A508,'TB for financial'!A:F,6,0)</f>
        <v>0</v>
      </c>
      <c r="E508" s="80"/>
      <c r="F508" s="79">
        <f>VLOOKUP(A508,'TB for financial'!A:K,11,0)</f>
        <v>0</v>
      </c>
      <c r="G508" s="80"/>
      <c r="H508" s="81">
        <f t="shared" si="100"/>
        <v>0</v>
      </c>
      <c r="I508" s="81">
        <v>0</v>
      </c>
      <c r="J508" s="81">
        <f t="shared" si="101"/>
        <v>0</v>
      </c>
      <c r="K508" s="80"/>
      <c r="L508" s="82">
        <f t="shared" si="102"/>
        <v>0</v>
      </c>
      <c r="M508" s="82">
        <v>0</v>
      </c>
      <c r="N508" s="82">
        <f t="shared" si="103"/>
        <v>0</v>
      </c>
      <c r="O508" s="83"/>
      <c r="P508"/>
      <c r="Q508"/>
      <c r="R508"/>
      <c r="S508"/>
      <c r="U508" s="84" t="s">
        <v>535</v>
      </c>
      <c r="V508" s="80"/>
      <c r="W508" s="82" t="s">
        <v>562</v>
      </c>
      <c r="X508" s="82" t="s">
        <v>563</v>
      </c>
      <c r="Y508" s="85" t="s">
        <v>537</v>
      </c>
      <c r="Z508" s="86" t="s">
        <v>565</v>
      </c>
      <c r="AA508" s="86" t="s">
        <v>349</v>
      </c>
      <c r="AB508" s="86" t="s">
        <v>349</v>
      </c>
      <c r="AC508" s="87">
        <v>0</v>
      </c>
      <c r="AD508" s="88">
        <f t="shared" si="104"/>
        <v>0</v>
      </c>
      <c r="AF508" s="54">
        <v>206042</v>
      </c>
      <c r="AQ508" s="80"/>
      <c r="AR508" s="80"/>
    </row>
    <row r="509" spans="1:44" ht="14.4">
      <c r="A509" s="103">
        <v>101790</v>
      </c>
      <c r="B509" s="78" t="str">
        <f>VLOOKUP(A509,'TB for financial'!A:B,2,0)</f>
        <v>Advance Tax Payments</v>
      </c>
      <c r="D509" s="79">
        <f>VLOOKUP(A509,'TB for financial'!A:F,6,0)</f>
        <v>-4.9404799938201904E-3</v>
      </c>
      <c r="E509" s="80"/>
      <c r="F509" s="79">
        <f>VLOOKUP(A509,'TB for financial'!A:K,11,0)</f>
        <v>-4.9404799938201904E-3</v>
      </c>
      <c r="G509" s="80"/>
      <c r="H509" s="81">
        <f t="shared" si="100"/>
        <v>0</v>
      </c>
      <c r="I509" s="81">
        <v>-4.9404799938201904E-3</v>
      </c>
      <c r="J509" s="81">
        <f t="shared" si="101"/>
        <v>0</v>
      </c>
      <c r="K509" s="80"/>
      <c r="L509" s="82">
        <f t="shared" si="102"/>
        <v>0</v>
      </c>
      <c r="M509" s="82">
        <v>-4.9404799938201904E-3</v>
      </c>
      <c r="N509" s="82">
        <f t="shared" si="103"/>
        <v>0</v>
      </c>
      <c r="O509" s="83"/>
      <c r="P509"/>
      <c r="Q509"/>
      <c r="R509"/>
      <c r="S509"/>
      <c r="U509" s="84" t="s">
        <v>535</v>
      </c>
      <c r="V509" s="80"/>
      <c r="W509" s="82" t="s">
        <v>562</v>
      </c>
      <c r="X509" s="82" t="s">
        <v>563</v>
      </c>
      <c r="Y509" s="85" t="s">
        <v>537</v>
      </c>
      <c r="Z509" s="86" t="s">
        <v>565</v>
      </c>
      <c r="AA509" s="86" t="s">
        <v>349</v>
      </c>
      <c r="AB509" s="86" t="s">
        <v>349</v>
      </c>
      <c r="AC509" s="87">
        <v>0</v>
      </c>
      <c r="AD509" s="88">
        <f t="shared" si="104"/>
        <v>-4.9404799938201904E-3</v>
      </c>
      <c r="AF509" s="54">
        <v>101790</v>
      </c>
      <c r="AQ509" s="80">
        <f>+D509</f>
        <v>-4.9404799938201904E-3</v>
      </c>
      <c r="AR509" s="80"/>
    </row>
    <row r="510" spans="1:44" ht="14.4">
      <c r="A510" s="160">
        <v>206046</v>
      </c>
      <c r="B510" s="78" t="str">
        <f>VLOOKUP(A510,'TB for financial'!A:B,2,0)</f>
        <v>Advance Fringe Benefit Tax</v>
      </c>
      <c r="D510" s="79">
        <f>VLOOKUP(A510,'TB for financial'!A:F,6,0)</f>
        <v>0</v>
      </c>
      <c r="E510" s="80"/>
      <c r="F510" s="79">
        <f>VLOOKUP(A510,'TB for financial'!A:K,11,0)</f>
        <v>0</v>
      </c>
      <c r="G510" s="80"/>
      <c r="H510" s="81">
        <f t="shared" si="100"/>
        <v>0</v>
      </c>
      <c r="I510" s="81">
        <v>0</v>
      </c>
      <c r="J510" s="81">
        <f t="shared" si="101"/>
        <v>0</v>
      </c>
      <c r="K510" s="80"/>
      <c r="L510" s="82">
        <f t="shared" si="102"/>
        <v>0</v>
      </c>
      <c r="M510" s="82">
        <v>0</v>
      </c>
      <c r="N510" s="82">
        <f t="shared" si="103"/>
        <v>0</v>
      </c>
      <c r="O510" s="83"/>
      <c r="P510"/>
      <c r="Q510"/>
      <c r="R510"/>
      <c r="S510"/>
      <c r="U510" s="84" t="s">
        <v>535</v>
      </c>
      <c r="V510" s="80"/>
      <c r="W510" s="82" t="s">
        <v>562</v>
      </c>
      <c r="X510" s="82" t="s">
        <v>563</v>
      </c>
      <c r="Y510" s="85" t="s">
        <v>537</v>
      </c>
      <c r="Z510" s="86" t="s">
        <v>565</v>
      </c>
      <c r="AA510" s="86" t="s">
        <v>349</v>
      </c>
      <c r="AB510" s="86" t="s">
        <v>349</v>
      </c>
      <c r="AC510" s="87">
        <v>0</v>
      </c>
      <c r="AD510" s="88">
        <f t="shared" si="104"/>
        <v>0</v>
      </c>
      <c r="AF510" s="54">
        <v>206046</v>
      </c>
      <c r="AQ510" s="80"/>
      <c r="AR510" s="80"/>
    </row>
    <row r="511" spans="1:44" ht="14.4">
      <c r="A511" s="160">
        <v>206048</v>
      </c>
      <c r="B511" s="78" t="str">
        <f>VLOOKUP(A511,'TB for financial'!A:B,2,0)</f>
        <v>Canada - Adv Tax - TDS</v>
      </c>
      <c r="D511" s="79">
        <f>VLOOKUP(A511,'TB for financial'!A:F,6,0)</f>
        <v>0</v>
      </c>
      <c r="E511" s="80"/>
      <c r="F511" s="79">
        <f>VLOOKUP(A511,'TB for financial'!A:K,11,0)</f>
        <v>0</v>
      </c>
      <c r="G511" s="80"/>
      <c r="H511" s="81">
        <f t="shared" si="100"/>
        <v>0</v>
      </c>
      <c r="I511" s="81">
        <v>0</v>
      </c>
      <c r="J511" s="81">
        <f t="shared" si="101"/>
        <v>0</v>
      </c>
      <c r="K511" s="80"/>
      <c r="L511" s="82">
        <f t="shared" si="102"/>
        <v>0</v>
      </c>
      <c r="M511" s="82">
        <v>0</v>
      </c>
      <c r="N511" s="82">
        <f t="shared" si="103"/>
        <v>0</v>
      </c>
      <c r="O511" s="83"/>
      <c r="P511"/>
      <c r="Q511"/>
      <c r="R511"/>
      <c r="S511"/>
      <c r="U511" s="84" t="s">
        <v>535</v>
      </c>
      <c r="V511" s="80"/>
      <c r="W511" s="82" t="s">
        <v>562</v>
      </c>
      <c r="X511" s="82" t="s">
        <v>563</v>
      </c>
      <c r="Y511" s="85" t="s">
        <v>537</v>
      </c>
      <c r="Z511" s="86" t="s">
        <v>565</v>
      </c>
      <c r="AA511" s="86" t="s">
        <v>349</v>
      </c>
      <c r="AB511" s="86" t="s">
        <v>349</v>
      </c>
      <c r="AC511" s="87">
        <v>0</v>
      </c>
      <c r="AD511" s="88">
        <f t="shared" si="104"/>
        <v>0</v>
      </c>
      <c r="AF511" s="54">
        <v>206048</v>
      </c>
      <c r="AQ511" s="80"/>
      <c r="AR511" s="80"/>
    </row>
    <row r="512" spans="1:44" ht="14.4">
      <c r="A512" s="160">
        <v>101843</v>
      </c>
      <c r="B512" s="78" t="str">
        <f>VLOOKUP(A512,'TB for financial'!A:B,2,0)</f>
        <v>Regrou Non Cur Advanc Tax less</v>
      </c>
      <c r="D512" s="79">
        <f>VLOOKUP(A512,'TB for financial'!A:F,6,0)</f>
        <v>0</v>
      </c>
      <c r="E512" s="80"/>
      <c r="F512" s="79">
        <f>VLOOKUP(A512,'TB for financial'!A:K,11,0)</f>
        <v>0</v>
      </c>
      <c r="G512" s="80"/>
      <c r="H512" s="81">
        <f t="shared" si="100"/>
        <v>0</v>
      </c>
      <c r="I512" s="81">
        <v>0</v>
      </c>
      <c r="J512" s="81">
        <f t="shared" si="101"/>
        <v>0</v>
      </c>
      <c r="K512" s="80"/>
      <c r="L512" s="82">
        <f t="shared" si="102"/>
        <v>0</v>
      </c>
      <c r="M512" s="82">
        <v>0</v>
      </c>
      <c r="N512" s="82">
        <f t="shared" si="103"/>
        <v>0</v>
      </c>
      <c r="O512" s="83"/>
      <c r="P512"/>
      <c r="Q512"/>
      <c r="R512"/>
      <c r="S512"/>
      <c r="U512" s="84"/>
      <c r="V512" s="80"/>
      <c r="W512" s="82"/>
      <c r="X512" s="82"/>
      <c r="Y512" s="85" t="s">
        <v>537</v>
      </c>
      <c r="Z512" s="86" t="s">
        <v>565</v>
      </c>
      <c r="AA512" s="86" t="s">
        <v>349</v>
      </c>
      <c r="AB512" s="86" t="s">
        <v>349</v>
      </c>
      <c r="AC512" s="87">
        <v>0</v>
      </c>
      <c r="AD512" s="88">
        <f t="shared" si="104"/>
        <v>0</v>
      </c>
      <c r="AF512" s="54">
        <v>101843</v>
      </c>
      <c r="AQ512" s="80"/>
      <c r="AR512" s="80"/>
    </row>
    <row r="513" spans="1:44" ht="14.4">
      <c r="A513" s="160">
        <v>101848</v>
      </c>
      <c r="B513" s="78" t="str">
        <f>VLOOKUP(A513,'TB for financial'!A:B,2,0)</f>
        <v>Regrou Non Cur Advance Tax add</v>
      </c>
      <c r="D513" s="79">
        <f>VLOOKUP(A513,'TB for financial'!A:F,6,0)</f>
        <v>0</v>
      </c>
      <c r="E513" s="80"/>
      <c r="F513" s="79">
        <f>VLOOKUP(A513,'TB for financial'!A:K,11,0)</f>
        <v>0</v>
      </c>
      <c r="G513" s="80"/>
      <c r="H513" s="81">
        <f t="shared" si="100"/>
        <v>0</v>
      </c>
      <c r="I513" s="81">
        <v>0</v>
      </c>
      <c r="J513" s="81">
        <f t="shared" si="101"/>
        <v>0</v>
      </c>
      <c r="K513" s="80"/>
      <c r="L513" s="82">
        <f t="shared" si="102"/>
        <v>0</v>
      </c>
      <c r="M513" s="82">
        <v>0</v>
      </c>
      <c r="N513" s="82">
        <f t="shared" si="103"/>
        <v>0</v>
      </c>
      <c r="O513" s="83"/>
      <c r="P513"/>
      <c r="Q513"/>
      <c r="R513"/>
      <c r="S513"/>
      <c r="U513" s="84"/>
      <c r="V513" s="80"/>
      <c r="W513" s="82"/>
      <c r="X513" s="82"/>
      <c r="Y513" s="85" t="s">
        <v>537</v>
      </c>
      <c r="Z513" s="86" t="s">
        <v>565</v>
      </c>
      <c r="AA513" s="86" t="s">
        <v>349</v>
      </c>
      <c r="AB513" s="86" t="s">
        <v>349</v>
      </c>
      <c r="AC513" s="87">
        <v>0</v>
      </c>
      <c r="AD513" s="88">
        <f t="shared" si="104"/>
        <v>0</v>
      </c>
      <c r="AF513" s="54">
        <v>101848</v>
      </c>
      <c r="AQ513" s="80"/>
      <c r="AR513" s="80"/>
    </row>
    <row r="514" spans="1:44" ht="14.4">
      <c r="A514" s="1377">
        <v>444400</v>
      </c>
      <c r="B514" s="78" t="str">
        <f>VLOOKUP(A514,'TB for financial'!A:B,2,0)</f>
        <v>US federal income tax liability</v>
      </c>
      <c r="D514" s="122">
        <f>VLOOKUP(A514,'TB for financial'!A:F,6,0)</f>
        <v>-595069.25999999978</v>
      </c>
      <c r="E514" s="80"/>
      <c r="F514" s="79">
        <f>VLOOKUP(A514,'TB for financial'!A:K,11,0)</f>
        <v>-595069.25999999978</v>
      </c>
      <c r="G514" s="80"/>
      <c r="H514" s="81">
        <f t="shared" ref="H514:H519" si="105">D514-I514</f>
        <v>0</v>
      </c>
      <c r="I514" s="122">
        <v>-595069.25999999978</v>
      </c>
      <c r="J514" s="81">
        <f t="shared" ref="J514:J520" si="106">+D514-H514-I514</f>
        <v>0</v>
      </c>
      <c r="K514" s="80"/>
      <c r="L514" s="82">
        <f t="shared" ref="L514:L519" si="107">F514-M514</f>
        <v>0</v>
      </c>
      <c r="M514" s="82">
        <v>-595069.25999999978</v>
      </c>
      <c r="N514" s="82">
        <f t="shared" ref="N514:N519" si="108">+F514-L514-M514</f>
        <v>0</v>
      </c>
      <c r="O514" s="83"/>
      <c r="P514"/>
      <c r="Q514"/>
      <c r="R514"/>
      <c r="S514"/>
      <c r="U514" s="84"/>
      <c r="V514" s="80"/>
      <c r="W514" s="82"/>
      <c r="X514" s="82"/>
      <c r="Y514" s="85" t="s">
        <v>537</v>
      </c>
      <c r="Z514" s="86" t="s">
        <v>565</v>
      </c>
      <c r="AA514" s="86" t="s">
        <v>349</v>
      </c>
      <c r="AB514" s="86" t="s">
        <v>349</v>
      </c>
      <c r="AC514" s="87">
        <v>0</v>
      </c>
      <c r="AD514" s="88">
        <f t="shared" ref="AD514:AD519" si="109">+D514-AC514</f>
        <v>-595069.25999999978</v>
      </c>
      <c r="AF514" s="54" t="s">
        <v>2536</v>
      </c>
      <c r="AQ514" s="80">
        <f t="shared" ref="AQ514:AQ520" si="110">+D514</f>
        <v>-595069.25999999978</v>
      </c>
      <c r="AR514" s="80"/>
    </row>
    <row r="515" spans="1:44" ht="14.4">
      <c r="A515" s="1377">
        <v>444410</v>
      </c>
      <c r="B515" s="78" t="str">
        <f>VLOOKUP(A515,'TB for financial'!A:B,2,0)</f>
        <v>US state income tax liability</v>
      </c>
      <c r="D515" s="122">
        <f>VLOOKUP(A515,'TB for financial'!A:F,6,0)</f>
        <v>357044.11226824485</v>
      </c>
      <c r="E515" s="80"/>
      <c r="F515" s="79">
        <f>VLOOKUP(A515,'TB for financial'!A:K,11,0)</f>
        <v>357044.11226824485</v>
      </c>
      <c r="G515" s="80"/>
      <c r="H515" s="81">
        <f t="shared" si="105"/>
        <v>0</v>
      </c>
      <c r="I515" s="122">
        <v>357044.11226824485</v>
      </c>
      <c r="J515" s="81">
        <f t="shared" si="106"/>
        <v>0</v>
      </c>
      <c r="K515" s="80"/>
      <c r="L515" s="82">
        <f t="shared" si="107"/>
        <v>0</v>
      </c>
      <c r="M515" s="82">
        <v>357044.11226824485</v>
      </c>
      <c r="N515" s="82">
        <f t="shared" si="108"/>
        <v>0</v>
      </c>
      <c r="O515" s="83"/>
      <c r="P515"/>
      <c r="Q515"/>
      <c r="R515"/>
      <c r="S515"/>
      <c r="U515" s="84"/>
      <c r="V515" s="80"/>
      <c r="W515" s="82"/>
      <c r="X515" s="82"/>
      <c r="Y515" s="85" t="s">
        <v>537</v>
      </c>
      <c r="Z515" s="86" t="s">
        <v>565</v>
      </c>
      <c r="AA515" s="86" t="s">
        <v>349</v>
      </c>
      <c r="AB515" s="86" t="s">
        <v>349</v>
      </c>
      <c r="AC515" s="87">
        <v>0</v>
      </c>
      <c r="AD515" s="88">
        <f t="shared" si="109"/>
        <v>357044.11226824485</v>
      </c>
      <c r="AF515" s="54" t="s">
        <v>2536</v>
      </c>
      <c r="AQ515" s="80">
        <f t="shared" si="110"/>
        <v>357044.11226824485</v>
      </c>
      <c r="AR515" s="80"/>
    </row>
    <row r="516" spans="1:44" ht="14.4">
      <c r="A516" s="1377">
        <v>444042</v>
      </c>
      <c r="B516" s="78" t="str">
        <f>VLOOKUP(A516,'TB for financial'!A:B,2,0)</f>
        <v>Income tax - Monthly prepayment</v>
      </c>
      <c r="D516" s="79">
        <f>VLOOKUP(A516,'TB for financial'!A:F,6,0)</f>
        <v>0</v>
      </c>
      <c r="E516" s="80"/>
      <c r="F516" s="79">
        <f>VLOOKUP(A516,'TB for financial'!A:K,11,0)</f>
        <v>0</v>
      </c>
      <c r="G516" s="80"/>
      <c r="H516" s="81">
        <f t="shared" si="105"/>
        <v>0</v>
      </c>
      <c r="I516" s="81">
        <v>0</v>
      </c>
      <c r="J516" s="81">
        <f t="shared" si="106"/>
        <v>0</v>
      </c>
      <c r="K516" s="80"/>
      <c r="L516" s="82">
        <f t="shared" si="107"/>
        <v>0</v>
      </c>
      <c r="M516" s="82">
        <v>0</v>
      </c>
      <c r="N516" s="82">
        <f t="shared" si="108"/>
        <v>0</v>
      </c>
      <c r="O516" s="83"/>
      <c r="P516"/>
      <c r="Q516"/>
      <c r="R516"/>
      <c r="S516"/>
      <c r="U516" s="84"/>
      <c r="V516" s="80"/>
      <c r="W516" s="82"/>
      <c r="X516" s="82"/>
      <c r="Y516" s="85" t="s">
        <v>537</v>
      </c>
      <c r="Z516" s="86" t="s">
        <v>565</v>
      </c>
      <c r="AA516" s="86" t="s">
        <v>349</v>
      </c>
      <c r="AB516" s="86" t="s">
        <v>349</v>
      </c>
      <c r="AC516" s="87">
        <v>35224753.329999998</v>
      </c>
      <c r="AD516" s="88">
        <f t="shared" si="109"/>
        <v>-35224753.329999998</v>
      </c>
      <c r="AF516" s="54" t="s">
        <v>2536</v>
      </c>
      <c r="AQ516" s="80">
        <f t="shared" si="110"/>
        <v>0</v>
      </c>
      <c r="AR516" s="80"/>
    </row>
    <row r="517" spans="1:44" ht="14.4">
      <c r="A517" s="1377">
        <v>444508</v>
      </c>
      <c r="B517" s="78" t="str">
        <f>VLOOKUP(A517,'TB for financial'!A:B,2,0)</f>
        <v xml:space="preserve"> Adv Tax-Income 05</v>
      </c>
      <c r="D517" s="122">
        <f>VLOOKUP(A517,'TB for financial'!A:F,6,0)</f>
        <v>270524733</v>
      </c>
      <c r="E517" s="80"/>
      <c r="F517" s="79">
        <f>VLOOKUP(A517,'TB for financial'!A:K,11,0)</f>
        <v>270524733</v>
      </c>
      <c r="G517" s="80"/>
      <c r="H517" s="81">
        <f t="shared" si="105"/>
        <v>0</v>
      </c>
      <c r="I517" s="122">
        <v>270524733</v>
      </c>
      <c r="J517" s="81">
        <f>+D517-H517-I517</f>
        <v>0</v>
      </c>
      <c r="K517" s="80"/>
      <c r="L517" s="82">
        <f t="shared" si="107"/>
        <v>0</v>
      </c>
      <c r="M517" s="82">
        <v>270524733</v>
      </c>
      <c r="N517" s="82">
        <f t="shared" si="108"/>
        <v>0</v>
      </c>
      <c r="O517" s="83"/>
      <c r="P517"/>
      <c r="Q517"/>
      <c r="R517"/>
      <c r="S517"/>
      <c r="U517" s="84"/>
      <c r="V517" s="80"/>
      <c r="W517" s="82"/>
      <c r="X517" s="82"/>
      <c r="Y517" s="85" t="s">
        <v>537</v>
      </c>
      <c r="Z517" s="86" t="s">
        <v>565</v>
      </c>
      <c r="AA517" s="86" t="s">
        <v>349</v>
      </c>
      <c r="AB517" s="86" t="s">
        <v>349</v>
      </c>
      <c r="AC517" s="87">
        <v>0</v>
      </c>
      <c r="AD517" s="88">
        <f t="shared" si="109"/>
        <v>270524733</v>
      </c>
      <c r="AF517" s="54" t="s">
        <v>2536</v>
      </c>
      <c r="AQ517" s="80">
        <f t="shared" si="110"/>
        <v>270524733</v>
      </c>
      <c r="AR517" s="80"/>
    </row>
    <row r="518" spans="1:44" ht="14.4">
      <c r="A518" s="1377">
        <v>444562</v>
      </c>
      <c r="B518" s="78" t="str">
        <f>VLOOKUP(A518,'TB for financial'!A:B,2,0)</f>
        <v>Recl TDS-Income 12</v>
      </c>
      <c r="D518" s="122">
        <f>VLOOKUP(A518,'TB for financial'!A:F,6,0)</f>
        <v>17962842.449999992</v>
      </c>
      <c r="E518" s="80"/>
      <c r="F518" s="79">
        <f>VLOOKUP(A518,'TB for financial'!A:K,11,0)</f>
        <v>16857039.799999993</v>
      </c>
      <c r="G518" s="80"/>
      <c r="H518" s="81">
        <f t="shared" si="105"/>
        <v>0</v>
      </c>
      <c r="I518" s="122">
        <v>17962842.449999992</v>
      </c>
      <c r="J518" s="81">
        <f t="shared" si="106"/>
        <v>0</v>
      </c>
      <c r="K518" s="80"/>
      <c r="L518" s="82">
        <f t="shared" si="107"/>
        <v>0</v>
      </c>
      <c r="M518" s="82">
        <v>16857039.799999993</v>
      </c>
      <c r="N518" s="82">
        <f t="shared" si="108"/>
        <v>0</v>
      </c>
      <c r="O518" s="83"/>
      <c r="P518"/>
      <c r="Q518"/>
      <c r="R518"/>
      <c r="S518"/>
      <c r="U518" s="84"/>
      <c r="V518" s="80"/>
      <c r="W518" s="82"/>
      <c r="X518" s="82"/>
      <c r="Y518" s="85" t="s">
        <v>537</v>
      </c>
      <c r="Z518" s="86" t="s">
        <v>565</v>
      </c>
      <c r="AA518" s="86" t="s">
        <v>349</v>
      </c>
      <c r="AB518" s="86" t="s">
        <v>349</v>
      </c>
      <c r="AC518" s="87">
        <v>-1171130.74</v>
      </c>
      <c r="AD518" s="88">
        <f t="shared" si="109"/>
        <v>19133973.18999999</v>
      </c>
      <c r="AF518" s="54" t="s">
        <v>2536</v>
      </c>
      <c r="AQ518" s="80">
        <f t="shared" si="110"/>
        <v>17962842.449999992</v>
      </c>
      <c r="AR518" s="80"/>
    </row>
    <row r="519" spans="1:44" ht="14.4">
      <c r="A519" s="1377">
        <v>444566</v>
      </c>
      <c r="B519" s="78" t="str">
        <f>VLOOKUP(A519,'TB for financial'!A:B,2,0)</f>
        <v>Recl TDS-Income 1-16</v>
      </c>
      <c r="D519" s="122">
        <f>VLOOKUP(A519,'TB for financial'!A:F,6,0)</f>
        <v>186521.27999999997</v>
      </c>
      <c r="E519" s="80"/>
      <c r="F519" s="79">
        <f>VLOOKUP(A519,'TB for financial'!A:K,11,0)</f>
        <v>186521.27999999997</v>
      </c>
      <c r="G519" s="80"/>
      <c r="H519" s="81">
        <f t="shared" si="105"/>
        <v>0</v>
      </c>
      <c r="I519" s="122">
        <v>186521.27999999997</v>
      </c>
      <c r="J519" s="81">
        <f t="shared" si="106"/>
        <v>0</v>
      </c>
      <c r="K519" s="80"/>
      <c r="L519" s="82">
        <f t="shared" si="107"/>
        <v>0</v>
      </c>
      <c r="M519" s="82">
        <v>186521.27999999997</v>
      </c>
      <c r="N519" s="82">
        <f t="shared" si="108"/>
        <v>0</v>
      </c>
      <c r="O519" s="83"/>
      <c r="P519"/>
      <c r="Q519"/>
      <c r="R519"/>
      <c r="S519"/>
      <c r="U519" s="84"/>
      <c r="V519" s="80"/>
      <c r="W519" s="82"/>
      <c r="X519" s="82"/>
      <c r="Y519" s="85" t="s">
        <v>537</v>
      </c>
      <c r="Z519" s="86" t="s">
        <v>565</v>
      </c>
      <c r="AA519" s="86" t="s">
        <v>349</v>
      </c>
      <c r="AB519" s="86" t="s">
        <v>349</v>
      </c>
      <c r="AC519" s="87">
        <v>0</v>
      </c>
      <c r="AD519" s="88">
        <f t="shared" si="109"/>
        <v>186521.27999999997</v>
      </c>
      <c r="AF519" s="54" t="s">
        <v>2536</v>
      </c>
      <c r="AQ519" s="80">
        <f t="shared" si="110"/>
        <v>186521.27999999997</v>
      </c>
      <c r="AR519" s="80"/>
    </row>
    <row r="520" spans="1:44" ht="14.4">
      <c r="A520" s="160"/>
      <c r="B520" s="161" t="s">
        <v>581</v>
      </c>
      <c r="D520" s="120">
        <f>+D827</f>
        <v>-289275711.52326167</v>
      </c>
      <c r="E520" s="96"/>
      <c r="F520" s="120">
        <f>+F827</f>
        <v>-246662002.97564703</v>
      </c>
      <c r="G520" s="80"/>
      <c r="H520" s="122">
        <v>0</v>
      </c>
      <c r="I520" s="122">
        <f>D520</f>
        <v>-289275711.52326167</v>
      </c>
      <c r="J520" s="122">
        <f t="shared" si="106"/>
        <v>0</v>
      </c>
      <c r="K520" s="80"/>
      <c r="L520" s="82">
        <v>0</v>
      </c>
      <c r="M520" s="82">
        <v>-246662002.97564703</v>
      </c>
      <c r="N520" s="82">
        <f t="shared" si="103"/>
        <v>0</v>
      </c>
      <c r="O520" s="119"/>
      <c r="P520"/>
      <c r="Q520"/>
      <c r="R520"/>
      <c r="S520"/>
      <c r="U520" s="84" t="s">
        <v>535</v>
      </c>
      <c r="V520" s="80"/>
      <c r="W520" s="82" t="s">
        <v>562</v>
      </c>
      <c r="X520" s="82" t="s">
        <v>563</v>
      </c>
      <c r="Y520" s="85" t="s">
        <v>537</v>
      </c>
      <c r="Z520" s="86" t="s">
        <v>565</v>
      </c>
      <c r="AA520" s="86" t="s">
        <v>349</v>
      </c>
      <c r="AB520" s="86" t="s">
        <v>349</v>
      </c>
      <c r="AQ520" s="80">
        <f t="shared" si="110"/>
        <v>-289275711.52326167</v>
      </c>
      <c r="AR520" s="80"/>
    </row>
    <row r="521" spans="1:44" ht="5.0999999999999996" customHeight="1">
      <c r="A521" s="70"/>
      <c r="B521" s="78"/>
      <c r="D521" s="79"/>
      <c r="E521" s="80"/>
      <c r="F521" s="79"/>
      <c r="G521" s="80"/>
      <c r="H521" s="81"/>
      <c r="I521" s="81"/>
      <c r="J521" s="81"/>
      <c r="K521" s="80"/>
      <c r="L521" s="82"/>
      <c r="M521" s="82"/>
      <c r="N521" s="82"/>
      <c r="O521" s="83"/>
      <c r="P521"/>
      <c r="Q521"/>
      <c r="R521"/>
      <c r="S521"/>
      <c r="U521" s="84"/>
      <c r="V521" s="80"/>
      <c r="W521" s="82"/>
      <c r="X521" s="82"/>
      <c r="Y521" s="94"/>
      <c r="Z521" s="86"/>
      <c r="AA521" s="86"/>
      <c r="AB521" s="86"/>
      <c r="AQ521" s="80"/>
      <c r="AR521" s="80"/>
    </row>
    <row r="522" spans="1:44" ht="15" thickBot="1">
      <c r="A522" s="105"/>
      <c r="B522" s="71" t="s">
        <v>582</v>
      </c>
      <c r="D522" s="95">
        <f>SUM(D504:D521)</f>
        <v>-839639.94593393803</v>
      </c>
      <c r="E522" s="96"/>
      <c r="F522" s="97">
        <f>SUM(F504:F521)</f>
        <v>40668265.95168072</v>
      </c>
      <c r="G522" s="80"/>
      <c r="H522" s="99">
        <f>SUM(H504:H521)</f>
        <v>0</v>
      </c>
      <c r="I522" s="1646">
        <f>SUM(I504:I521)</f>
        <v>-839639.94593393803</v>
      </c>
      <c r="J522" s="99">
        <f>SUM(J504:J521)</f>
        <v>0</v>
      </c>
      <c r="K522" s="80"/>
      <c r="L522" s="99">
        <f>SUM(L504:L521)</f>
        <v>0</v>
      </c>
      <c r="M522" s="99">
        <f>SUM(M504:M521)</f>
        <v>40668265.95168072</v>
      </c>
      <c r="N522" s="99">
        <f>SUM(N504:N521)</f>
        <v>0</v>
      </c>
      <c r="O522" s="100"/>
      <c r="P522"/>
      <c r="Q522"/>
      <c r="R522"/>
      <c r="S522"/>
      <c r="U522" s="101"/>
      <c r="V522" s="80"/>
      <c r="W522" s="102"/>
      <c r="X522" s="102"/>
      <c r="Y522" s="94"/>
      <c r="Z522" s="86"/>
      <c r="AA522" s="86"/>
      <c r="AB522" s="86"/>
      <c r="AQ522" s="80"/>
      <c r="AR522" s="80"/>
    </row>
    <row r="523" spans="1:44" ht="5.0999999999999996" customHeight="1" thickTop="1">
      <c r="A523" s="70"/>
      <c r="B523" s="71"/>
      <c r="D523" s="79"/>
      <c r="E523" s="80"/>
      <c r="F523" s="79"/>
      <c r="G523" s="80"/>
      <c r="H523" s="81"/>
      <c r="I523" s="81"/>
      <c r="J523" s="81"/>
      <c r="K523" s="80"/>
      <c r="L523" s="82"/>
      <c r="M523" s="82"/>
      <c r="N523" s="82"/>
      <c r="O523" s="83"/>
      <c r="P523"/>
      <c r="Q523"/>
      <c r="R523"/>
      <c r="S523"/>
      <c r="U523" s="84"/>
      <c r="V523" s="80"/>
      <c r="W523" s="82"/>
      <c r="X523" s="82"/>
      <c r="Y523" s="94"/>
      <c r="Z523" s="86"/>
      <c r="AA523" s="86"/>
      <c r="AB523" s="86"/>
      <c r="AQ523" s="80"/>
      <c r="AR523" s="80"/>
    </row>
    <row r="524" spans="1:44" ht="14.4">
      <c r="A524" s="70">
        <v>110020</v>
      </c>
      <c r="B524" s="78" t="str">
        <f>VLOOKUP(A524,'TB for financial'!A:B,2,0)</f>
        <v>Automobiles</v>
      </c>
      <c r="D524" s="79">
        <f>VLOOKUP(A524,'TB for financial'!A:F,6,0)</f>
        <v>0</v>
      </c>
      <c r="E524" s="80"/>
      <c r="F524" s="79">
        <f>VLOOKUP(A524,'TB for financial'!A:K,11,0)</f>
        <v>0</v>
      </c>
      <c r="G524" s="80"/>
      <c r="H524" s="81">
        <f t="shared" ref="H524:H539" si="111">D524-I524</f>
        <v>0</v>
      </c>
      <c r="I524" s="81">
        <v>0</v>
      </c>
      <c r="J524" s="81">
        <f t="shared" ref="J524:J541" si="112">+D524-H524-I524</f>
        <v>0</v>
      </c>
      <c r="K524" s="80"/>
      <c r="L524" s="82">
        <f t="shared" ref="L524:L539" si="113">F524-M524</f>
        <v>0</v>
      </c>
      <c r="M524" s="82">
        <v>0</v>
      </c>
      <c r="N524" s="82">
        <f t="shared" ref="N524:N539" si="114">+F524-L524-M524</f>
        <v>0</v>
      </c>
      <c r="O524" s="83"/>
      <c r="P524"/>
      <c r="Q524"/>
      <c r="R524"/>
      <c r="S524"/>
      <c r="U524" s="84" t="s">
        <v>539</v>
      </c>
      <c r="V524" s="80"/>
      <c r="W524" s="82"/>
      <c r="X524" s="82" t="s">
        <v>583</v>
      </c>
      <c r="Y524" s="94" t="s">
        <v>584</v>
      </c>
      <c r="Z524" s="86" t="s">
        <v>565</v>
      </c>
      <c r="AA524" s="86"/>
      <c r="AB524" s="86" t="s">
        <v>585</v>
      </c>
      <c r="AC524" s="87">
        <v>0</v>
      </c>
      <c r="AD524" s="88">
        <f t="shared" ref="AD524:AD539" si="115">+D524-AC524</f>
        <v>0</v>
      </c>
      <c r="AF524" s="54">
        <v>110020</v>
      </c>
      <c r="AQ524" s="80"/>
      <c r="AR524" s="80"/>
    </row>
    <row r="525" spans="1:44" ht="14.4">
      <c r="A525" s="70">
        <v>110025</v>
      </c>
      <c r="B525" s="78" t="s">
        <v>586</v>
      </c>
      <c r="D525" s="79">
        <f>VLOOKUP(A525,'TB for financial'!A:F,6,0)</f>
        <v>0</v>
      </c>
      <c r="E525" s="80"/>
      <c r="F525" s="79">
        <f>VLOOKUP(A525,'TB for financial'!A:K,11,0)</f>
        <v>0</v>
      </c>
      <c r="G525" s="80"/>
      <c r="H525" s="81">
        <f t="shared" si="111"/>
        <v>0</v>
      </c>
      <c r="I525" s="81">
        <v>0</v>
      </c>
      <c r="J525" s="81">
        <f t="shared" si="112"/>
        <v>0</v>
      </c>
      <c r="K525" s="80"/>
      <c r="L525" s="82">
        <f t="shared" si="113"/>
        <v>0</v>
      </c>
      <c r="M525" s="82">
        <v>0</v>
      </c>
      <c r="N525" s="82">
        <f>+F525-L525-M525</f>
        <v>0</v>
      </c>
      <c r="O525" s="83"/>
      <c r="P525"/>
      <c r="Q525"/>
      <c r="R525"/>
      <c r="S525"/>
      <c r="U525" s="84" t="s">
        <v>539</v>
      </c>
      <c r="V525" s="80"/>
      <c r="W525" s="82"/>
      <c r="X525" s="82" t="s">
        <v>583</v>
      </c>
      <c r="Y525" s="94" t="s">
        <v>584</v>
      </c>
      <c r="Z525" s="86" t="s">
        <v>565</v>
      </c>
      <c r="AA525" s="86"/>
      <c r="AB525" s="86" t="s">
        <v>585</v>
      </c>
      <c r="AC525" s="87">
        <v>0</v>
      </c>
      <c r="AD525" s="88">
        <f t="shared" si="115"/>
        <v>0</v>
      </c>
      <c r="AF525" s="54">
        <v>110025</v>
      </c>
      <c r="AQ525" s="80"/>
      <c r="AR525" s="80"/>
    </row>
    <row r="526" spans="1:44" ht="14.4">
      <c r="A526" s="70">
        <v>110030</v>
      </c>
      <c r="B526" s="78" t="str">
        <f>VLOOKUP(A526,'TB for financial'!A:B,2,0)</f>
        <v>Computer Equipment</v>
      </c>
      <c r="D526" s="79">
        <f>VLOOKUP(A526,'TB for financial'!A:F,6,0)</f>
        <v>0</v>
      </c>
      <c r="E526" s="80"/>
      <c r="F526" s="79">
        <f>VLOOKUP(A526,'TB for financial'!A:K,11,0)</f>
        <v>0</v>
      </c>
      <c r="G526" s="80"/>
      <c r="H526" s="81">
        <f t="shared" si="111"/>
        <v>0</v>
      </c>
      <c r="I526" s="81">
        <v>0</v>
      </c>
      <c r="J526" s="81">
        <f t="shared" si="112"/>
        <v>0</v>
      </c>
      <c r="K526" s="80"/>
      <c r="L526" s="82">
        <f t="shared" si="113"/>
        <v>0</v>
      </c>
      <c r="M526" s="82">
        <v>0</v>
      </c>
      <c r="N526" s="82">
        <f t="shared" si="114"/>
        <v>0</v>
      </c>
      <c r="O526" s="83"/>
      <c r="P526"/>
      <c r="Q526"/>
      <c r="R526"/>
      <c r="S526"/>
      <c r="U526" s="84" t="s">
        <v>539</v>
      </c>
      <c r="V526" s="80"/>
      <c r="W526" s="82"/>
      <c r="X526" s="82" t="s">
        <v>583</v>
      </c>
      <c r="Y526" s="94" t="s">
        <v>584</v>
      </c>
      <c r="Z526" s="86" t="s">
        <v>565</v>
      </c>
      <c r="AA526" s="86"/>
      <c r="AB526" s="86" t="s">
        <v>585</v>
      </c>
      <c r="AC526" s="87">
        <v>0</v>
      </c>
      <c r="AD526" s="88">
        <f t="shared" si="115"/>
        <v>0</v>
      </c>
      <c r="AF526" s="54">
        <v>110030</v>
      </c>
      <c r="AQ526" s="80"/>
      <c r="AR526" s="80"/>
    </row>
    <row r="527" spans="1:44" ht="14.4">
      <c r="A527" s="70">
        <v>110035</v>
      </c>
      <c r="B527" s="78" t="str">
        <f>VLOOKUP(A527,'TB for financial'!A:B,2,0)</f>
        <v>Office Building</v>
      </c>
      <c r="D527" s="79">
        <f>VLOOKUP(A527,'TB for financial'!A:F,6,0)</f>
        <v>0</v>
      </c>
      <c r="E527" s="80"/>
      <c r="F527" s="79">
        <f>VLOOKUP(A527,'TB for financial'!A:K,11,0)</f>
        <v>0</v>
      </c>
      <c r="G527" s="80"/>
      <c r="H527" s="81">
        <f t="shared" si="111"/>
        <v>0</v>
      </c>
      <c r="I527" s="81">
        <v>0</v>
      </c>
      <c r="J527" s="81">
        <f t="shared" si="112"/>
        <v>0</v>
      </c>
      <c r="K527" s="80"/>
      <c r="L527" s="82">
        <f t="shared" si="113"/>
        <v>0</v>
      </c>
      <c r="M527" s="82">
        <v>0</v>
      </c>
      <c r="N527" s="82">
        <f t="shared" si="114"/>
        <v>0</v>
      </c>
      <c r="O527" s="83"/>
      <c r="P527"/>
      <c r="Q527"/>
      <c r="R527"/>
      <c r="S527"/>
      <c r="U527" s="84"/>
      <c r="V527" s="80"/>
      <c r="W527" s="82"/>
      <c r="X527" s="82"/>
      <c r="Y527" s="94" t="s">
        <v>584</v>
      </c>
      <c r="Z527" s="86" t="s">
        <v>565</v>
      </c>
      <c r="AA527" s="86"/>
      <c r="AB527" s="86" t="s">
        <v>585</v>
      </c>
      <c r="AC527" s="87">
        <v>0</v>
      </c>
      <c r="AD527" s="88">
        <f t="shared" si="115"/>
        <v>0</v>
      </c>
      <c r="AF527" s="54">
        <v>110035</v>
      </c>
      <c r="AQ527" s="80"/>
      <c r="AR527" s="80"/>
    </row>
    <row r="528" spans="1:44" ht="14.4">
      <c r="A528" s="70">
        <v>110040</v>
      </c>
      <c r="B528" s="78" t="str">
        <f>VLOOKUP(A528,'TB for financial'!A:B,2,0)</f>
        <v>Furniture and Fixtures</v>
      </c>
      <c r="D528" s="79">
        <f>VLOOKUP(A528,'TB for financial'!A:F,6,0)</f>
        <v>0</v>
      </c>
      <c r="E528" s="80"/>
      <c r="F528" s="79">
        <f>VLOOKUP(A528,'TB for financial'!A:K,11,0)</f>
        <v>0</v>
      </c>
      <c r="G528" s="80"/>
      <c r="H528" s="81">
        <f t="shared" si="111"/>
        <v>0</v>
      </c>
      <c r="I528" s="81">
        <v>0</v>
      </c>
      <c r="J528" s="81">
        <f t="shared" si="112"/>
        <v>0</v>
      </c>
      <c r="K528" s="80"/>
      <c r="L528" s="82">
        <f t="shared" si="113"/>
        <v>0</v>
      </c>
      <c r="M528" s="82">
        <v>0</v>
      </c>
      <c r="N528" s="82">
        <f t="shared" si="114"/>
        <v>0</v>
      </c>
      <c r="O528" s="83"/>
      <c r="P528"/>
      <c r="Q528"/>
      <c r="R528"/>
      <c r="S528"/>
      <c r="U528" s="84" t="s">
        <v>539</v>
      </c>
      <c r="V528" s="80"/>
      <c r="W528" s="82"/>
      <c r="X528" s="82" t="s">
        <v>583</v>
      </c>
      <c r="Y528" s="94" t="s">
        <v>584</v>
      </c>
      <c r="Z528" s="86" t="s">
        <v>565</v>
      </c>
      <c r="AA528" s="86"/>
      <c r="AB528" s="86" t="s">
        <v>585</v>
      </c>
      <c r="AC528" s="87">
        <v>0</v>
      </c>
      <c r="AD528" s="88">
        <f t="shared" si="115"/>
        <v>0</v>
      </c>
      <c r="AF528" s="54">
        <v>110040</v>
      </c>
      <c r="AQ528" s="80"/>
      <c r="AR528" s="80"/>
    </row>
    <row r="529" spans="1:44" ht="14.4">
      <c r="A529" s="70">
        <v>110050</v>
      </c>
      <c r="B529" s="78" t="str">
        <f>VLOOKUP(A529,'TB for financial'!A:B,2,0)</f>
        <v>Leasehold Improvements</v>
      </c>
      <c r="D529" s="79">
        <f>VLOOKUP(A529,'TB for financial'!A:F,6,0)</f>
        <v>0</v>
      </c>
      <c r="E529" s="80"/>
      <c r="F529" s="79">
        <f>VLOOKUP(A529,'TB for financial'!A:K,11,0)</f>
        <v>0</v>
      </c>
      <c r="G529" s="80"/>
      <c r="H529" s="81">
        <f t="shared" si="111"/>
        <v>0</v>
      </c>
      <c r="I529" s="81">
        <v>0</v>
      </c>
      <c r="J529" s="81">
        <f t="shared" si="112"/>
        <v>0</v>
      </c>
      <c r="K529" s="80"/>
      <c r="L529" s="82">
        <f t="shared" si="113"/>
        <v>0</v>
      </c>
      <c r="M529" s="82">
        <v>0</v>
      </c>
      <c r="N529" s="82">
        <f t="shared" si="114"/>
        <v>0</v>
      </c>
      <c r="O529" s="83"/>
      <c r="P529"/>
      <c r="Q529"/>
      <c r="R529"/>
      <c r="S529"/>
      <c r="U529" s="84" t="s">
        <v>539</v>
      </c>
      <c r="V529" s="80"/>
      <c r="W529" s="82"/>
      <c r="X529" s="82" t="s">
        <v>583</v>
      </c>
      <c r="Y529" s="94" t="s">
        <v>584</v>
      </c>
      <c r="Z529" s="86" t="s">
        <v>565</v>
      </c>
      <c r="AA529" s="86"/>
      <c r="AB529" s="86" t="s">
        <v>585</v>
      </c>
      <c r="AC529" s="87">
        <v>0</v>
      </c>
      <c r="AD529" s="88">
        <f t="shared" si="115"/>
        <v>0</v>
      </c>
      <c r="AF529" s="54">
        <v>110050</v>
      </c>
      <c r="AQ529" s="80"/>
      <c r="AR529" s="80"/>
    </row>
    <row r="530" spans="1:44" ht="14.4">
      <c r="A530" s="70">
        <v>110055</v>
      </c>
      <c r="B530" s="78" t="str">
        <f>VLOOKUP(A530,'TB for financial'!A:B,2,0)</f>
        <v>Leasehold Land - GDC</v>
      </c>
      <c r="D530" s="79">
        <f>VLOOKUP(A530,'TB for financial'!A:F,6,0)</f>
        <v>0</v>
      </c>
      <c r="E530" s="80"/>
      <c r="F530" s="79">
        <f>VLOOKUP(A530,'TB for financial'!A:K,11,0)</f>
        <v>0</v>
      </c>
      <c r="G530" s="80"/>
      <c r="H530" s="81">
        <f t="shared" si="111"/>
        <v>0</v>
      </c>
      <c r="I530" s="81">
        <v>0</v>
      </c>
      <c r="J530" s="81">
        <f t="shared" si="112"/>
        <v>0</v>
      </c>
      <c r="K530" s="80"/>
      <c r="L530" s="82">
        <f t="shared" si="113"/>
        <v>0</v>
      </c>
      <c r="M530" s="82">
        <v>0</v>
      </c>
      <c r="N530" s="82">
        <f t="shared" si="114"/>
        <v>0</v>
      </c>
      <c r="O530" s="83"/>
      <c r="P530"/>
      <c r="Q530"/>
      <c r="R530"/>
      <c r="S530"/>
      <c r="U530" s="84" t="s">
        <v>539</v>
      </c>
      <c r="V530" s="80"/>
      <c r="W530" s="82"/>
      <c r="X530" s="82" t="s">
        <v>583</v>
      </c>
      <c r="Y530" s="94" t="s">
        <v>584</v>
      </c>
      <c r="Z530" s="86" t="s">
        <v>565</v>
      </c>
      <c r="AA530" s="86"/>
      <c r="AB530" s="86" t="s">
        <v>585</v>
      </c>
      <c r="AC530" s="87">
        <v>0</v>
      </c>
      <c r="AD530" s="88">
        <f t="shared" si="115"/>
        <v>0</v>
      </c>
      <c r="AF530" s="54">
        <v>110055</v>
      </c>
      <c r="AQ530" s="80"/>
      <c r="AR530" s="80"/>
    </row>
    <row r="531" spans="1:44" ht="14.4">
      <c r="A531" s="70">
        <v>110060</v>
      </c>
      <c r="B531" s="78" t="str">
        <f>VLOOKUP(A531,'TB for financial'!A:B,2,0)</f>
        <v>Communications Equipment</v>
      </c>
      <c r="D531" s="79">
        <f>VLOOKUP(A531,'TB for financial'!A:F,6,0)</f>
        <v>0</v>
      </c>
      <c r="E531" s="80"/>
      <c r="F531" s="79">
        <f>VLOOKUP(A531,'TB for financial'!A:K,11,0)</f>
        <v>0</v>
      </c>
      <c r="G531" s="80"/>
      <c r="H531" s="81">
        <f t="shared" si="111"/>
        <v>0</v>
      </c>
      <c r="I531" s="81">
        <v>0</v>
      </c>
      <c r="J531" s="81">
        <f t="shared" si="112"/>
        <v>0</v>
      </c>
      <c r="K531" s="80"/>
      <c r="L531" s="82">
        <f t="shared" si="113"/>
        <v>0</v>
      </c>
      <c r="M531" s="82">
        <v>0</v>
      </c>
      <c r="N531" s="82">
        <f t="shared" si="114"/>
        <v>0</v>
      </c>
      <c r="O531" s="83"/>
      <c r="P531"/>
      <c r="Q531"/>
      <c r="R531"/>
      <c r="S531"/>
      <c r="U531" s="84" t="s">
        <v>539</v>
      </c>
      <c r="V531" s="80"/>
      <c r="W531" s="82"/>
      <c r="X531" s="82" t="s">
        <v>583</v>
      </c>
      <c r="Y531" s="94" t="s">
        <v>584</v>
      </c>
      <c r="Z531" s="86" t="s">
        <v>565</v>
      </c>
      <c r="AA531" s="86"/>
      <c r="AB531" s="86" t="s">
        <v>585</v>
      </c>
      <c r="AC531" s="87">
        <v>0</v>
      </c>
      <c r="AD531" s="88">
        <f t="shared" si="115"/>
        <v>0</v>
      </c>
      <c r="AF531" s="54">
        <v>110060</v>
      </c>
      <c r="AQ531" s="80"/>
      <c r="AR531" s="80"/>
    </row>
    <row r="532" spans="1:44" ht="14.4">
      <c r="A532" s="70">
        <v>110061</v>
      </c>
      <c r="B532" s="78" t="str">
        <f>VLOOKUP(A532,'TB for financial'!A:B,2,0)</f>
        <v>Air Conditioners</v>
      </c>
      <c r="D532" s="79">
        <f>VLOOKUP(A532,'TB for financial'!A:F,6,0)</f>
        <v>0</v>
      </c>
      <c r="E532" s="80"/>
      <c r="F532" s="79">
        <f>VLOOKUP(A532,'TB for financial'!A:K,11,0)</f>
        <v>0</v>
      </c>
      <c r="G532" s="80"/>
      <c r="H532" s="81">
        <f t="shared" si="111"/>
        <v>0</v>
      </c>
      <c r="I532" s="81">
        <v>0</v>
      </c>
      <c r="J532" s="81">
        <f t="shared" si="112"/>
        <v>0</v>
      </c>
      <c r="K532" s="80"/>
      <c r="L532" s="82">
        <f t="shared" si="113"/>
        <v>0</v>
      </c>
      <c r="M532" s="82">
        <v>0</v>
      </c>
      <c r="N532" s="82">
        <f t="shared" si="114"/>
        <v>0</v>
      </c>
      <c r="O532" s="83"/>
      <c r="P532"/>
      <c r="Q532"/>
      <c r="R532"/>
      <c r="S532"/>
      <c r="U532" s="84" t="s">
        <v>539</v>
      </c>
      <c r="V532" s="80"/>
      <c r="W532" s="82"/>
      <c r="X532" s="82" t="s">
        <v>583</v>
      </c>
      <c r="Y532" s="94" t="s">
        <v>584</v>
      </c>
      <c r="Z532" s="86" t="s">
        <v>565</v>
      </c>
      <c r="AA532" s="86"/>
      <c r="AB532" s="86" t="s">
        <v>585</v>
      </c>
      <c r="AC532" s="87">
        <v>0</v>
      </c>
      <c r="AD532" s="88">
        <f t="shared" si="115"/>
        <v>0</v>
      </c>
      <c r="AF532" s="54">
        <v>110061</v>
      </c>
      <c r="AQ532" s="80"/>
      <c r="AR532" s="80"/>
    </row>
    <row r="533" spans="1:44" ht="14.4">
      <c r="A533" s="70">
        <v>110062</v>
      </c>
      <c r="B533" s="78" t="str">
        <f>VLOOKUP(A533,'TB for financial'!A:B,2,0)</f>
        <v>Electrical Equipments</v>
      </c>
      <c r="D533" s="79">
        <f>VLOOKUP(A533,'TB for financial'!A:F,6,0)</f>
        <v>0</v>
      </c>
      <c r="E533" s="80"/>
      <c r="F533" s="79">
        <f>VLOOKUP(A533,'TB for financial'!A:K,11,0)</f>
        <v>0</v>
      </c>
      <c r="G533" s="80"/>
      <c r="H533" s="81">
        <f t="shared" si="111"/>
        <v>0</v>
      </c>
      <c r="I533" s="81">
        <v>0</v>
      </c>
      <c r="J533" s="81">
        <f t="shared" si="112"/>
        <v>0</v>
      </c>
      <c r="K533" s="80"/>
      <c r="L533" s="82">
        <f t="shared" si="113"/>
        <v>0</v>
      </c>
      <c r="M533" s="82">
        <v>0</v>
      </c>
      <c r="N533" s="82">
        <f t="shared" si="114"/>
        <v>0</v>
      </c>
      <c r="O533" s="83"/>
      <c r="P533"/>
      <c r="Q533"/>
      <c r="R533"/>
      <c r="S533"/>
      <c r="U533" s="84" t="s">
        <v>539</v>
      </c>
      <c r="V533" s="80"/>
      <c r="W533" s="82"/>
      <c r="X533" s="82" t="s">
        <v>583</v>
      </c>
      <c r="Y533" s="94" t="s">
        <v>584</v>
      </c>
      <c r="Z533" s="86" t="s">
        <v>565</v>
      </c>
      <c r="AA533" s="86"/>
      <c r="AB533" s="86" t="s">
        <v>585</v>
      </c>
      <c r="AC533" s="87">
        <v>0</v>
      </c>
      <c r="AD533" s="88">
        <f t="shared" si="115"/>
        <v>0</v>
      </c>
      <c r="AF533" s="54">
        <v>110062</v>
      </c>
      <c r="AQ533" s="80"/>
      <c r="AR533" s="80"/>
    </row>
    <row r="534" spans="1:44" ht="14.4">
      <c r="A534" s="70">
        <v>110063</v>
      </c>
      <c r="B534" s="78" t="str">
        <f>VLOOKUP(A534,'TB for financial'!A:B,2,0)</f>
        <v>Electrical Fittings</v>
      </c>
      <c r="D534" s="79">
        <f>VLOOKUP(A534,'TB for financial'!A:F,6,0)</f>
        <v>0</v>
      </c>
      <c r="E534" s="80"/>
      <c r="F534" s="79">
        <f>VLOOKUP(A534,'TB for financial'!A:K,11,0)</f>
        <v>0</v>
      </c>
      <c r="G534" s="80"/>
      <c r="H534" s="81">
        <f t="shared" si="111"/>
        <v>0</v>
      </c>
      <c r="I534" s="81">
        <v>0</v>
      </c>
      <c r="J534" s="81">
        <f t="shared" si="112"/>
        <v>0</v>
      </c>
      <c r="K534" s="80"/>
      <c r="L534" s="82">
        <f t="shared" si="113"/>
        <v>0</v>
      </c>
      <c r="M534" s="82">
        <v>0</v>
      </c>
      <c r="N534" s="82">
        <f t="shared" si="114"/>
        <v>0</v>
      </c>
      <c r="O534" s="83"/>
      <c r="P534"/>
      <c r="Q534"/>
      <c r="R534"/>
      <c r="S534"/>
      <c r="U534" s="84" t="s">
        <v>539</v>
      </c>
      <c r="V534" s="80"/>
      <c r="W534" s="82"/>
      <c r="X534" s="82" t="s">
        <v>583</v>
      </c>
      <c r="Y534" s="94" t="s">
        <v>584</v>
      </c>
      <c r="Z534" s="86" t="s">
        <v>565</v>
      </c>
      <c r="AA534" s="86"/>
      <c r="AB534" s="86" t="s">
        <v>585</v>
      </c>
      <c r="AC534" s="87">
        <v>0</v>
      </c>
      <c r="AD534" s="88">
        <f t="shared" si="115"/>
        <v>0</v>
      </c>
      <c r="AF534" s="54">
        <v>110063</v>
      </c>
      <c r="AQ534" s="80"/>
      <c r="AR534" s="80"/>
    </row>
    <row r="535" spans="1:44" ht="14.4">
      <c r="A535" s="70">
        <v>110064</v>
      </c>
      <c r="B535" s="78" t="str">
        <f>VLOOKUP(A535,'TB for financial'!A:B,2,0)</f>
        <v>Office Equipments</v>
      </c>
      <c r="D535" s="79">
        <f>VLOOKUP(A535,'TB for financial'!A:F,6,0)</f>
        <v>0</v>
      </c>
      <c r="E535" s="80"/>
      <c r="F535" s="79">
        <f>VLOOKUP(A535,'TB for financial'!A:K,11,0)</f>
        <v>0</v>
      </c>
      <c r="G535" s="80"/>
      <c r="H535" s="81">
        <f t="shared" si="111"/>
        <v>0</v>
      </c>
      <c r="I535" s="81">
        <v>0</v>
      </c>
      <c r="J535" s="81">
        <f t="shared" si="112"/>
        <v>0</v>
      </c>
      <c r="K535" s="80"/>
      <c r="L535" s="82">
        <f t="shared" si="113"/>
        <v>0</v>
      </c>
      <c r="M535" s="82">
        <v>0</v>
      </c>
      <c r="N535" s="82">
        <f t="shared" si="114"/>
        <v>0</v>
      </c>
      <c r="O535" s="83"/>
      <c r="P535"/>
      <c r="Q535"/>
      <c r="R535"/>
      <c r="S535"/>
      <c r="U535" s="84" t="s">
        <v>539</v>
      </c>
      <c r="V535" s="80"/>
      <c r="W535" s="82"/>
      <c r="X535" s="82" t="s">
        <v>583</v>
      </c>
      <c r="Y535" s="94" t="s">
        <v>584</v>
      </c>
      <c r="Z535" s="86" t="s">
        <v>565</v>
      </c>
      <c r="AA535" s="86"/>
      <c r="AB535" s="86" t="s">
        <v>585</v>
      </c>
      <c r="AC535" s="87">
        <v>0</v>
      </c>
      <c r="AD535" s="88">
        <f t="shared" si="115"/>
        <v>0</v>
      </c>
      <c r="AF535" s="54">
        <v>110064</v>
      </c>
      <c r="AQ535" s="80"/>
      <c r="AR535" s="80"/>
    </row>
    <row r="536" spans="1:44" ht="14.4">
      <c r="A536" s="70">
        <v>110065</v>
      </c>
      <c r="B536" s="78" t="str">
        <f>VLOOKUP(A536,'TB for financial'!A:B,2,0)</f>
        <v>Residential Property</v>
      </c>
      <c r="D536" s="79">
        <f>VLOOKUP(A536,'TB for financial'!A:F,6,0)</f>
        <v>0</v>
      </c>
      <c r="E536" s="80"/>
      <c r="F536" s="79">
        <f>VLOOKUP(A536,'TB for financial'!A:K,11,0)</f>
        <v>0</v>
      </c>
      <c r="G536" s="80"/>
      <c r="H536" s="81">
        <f t="shared" si="111"/>
        <v>0</v>
      </c>
      <c r="I536" s="81">
        <v>0</v>
      </c>
      <c r="J536" s="81">
        <f t="shared" si="112"/>
        <v>0</v>
      </c>
      <c r="K536" s="80"/>
      <c r="L536" s="82">
        <f t="shared" si="113"/>
        <v>0</v>
      </c>
      <c r="M536" s="82">
        <v>0</v>
      </c>
      <c r="N536" s="82">
        <f t="shared" si="114"/>
        <v>0</v>
      </c>
      <c r="O536" s="83"/>
      <c r="P536"/>
      <c r="Q536"/>
      <c r="R536"/>
      <c r="S536"/>
      <c r="U536" s="84" t="s">
        <v>539</v>
      </c>
      <c r="V536" s="80"/>
      <c r="W536" s="82"/>
      <c r="X536" s="82" t="s">
        <v>583</v>
      </c>
      <c r="Y536" s="94" t="s">
        <v>584</v>
      </c>
      <c r="Z536" s="86" t="s">
        <v>565</v>
      </c>
      <c r="AA536" s="86"/>
      <c r="AB536" s="86" t="s">
        <v>585</v>
      </c>
      <c r="AC536" s="87">
        <v>0</v>
      </c>
      <c r="AD536" s="88">
        <f t="shared" si="115"/>
        <v>0</v>
      </c>
      <c r="AF536" s="54">
        <v>110065</v>
      </c>
      <c r="AQ536" s="80"/>
      <c r="AR536" s="80"/>
    </row>
    <row r="537" spans="1:44" ht="14.4">
      <c r="A537" s="70">
        <v>110085</v>
      </c>
      <c r="B537" s="78" t="str">
        <f>VLOOKUP(A537,'TB for financial'!A:B,2,0)</f>
        <v>Capitalized Dev Costs-skillbay</v>
      </c>
      <c r="D537" s="79">
        <f>VLOOKUP(A537,'TB for financial'!A:F,6,0)</f>
        <v>0</v>
      </c>
      <c r="E537" s="80"/>
      <c r="F537" s="79">
        <f>VLOOKUP(A537,'TB for financial'!A:K,11,0)</f>
        <v>0</v>
      </c>
      <c r="G537" s="80"/>
      <c r="H537" s="81">
        <f t="shared" si="111"/>
        <v>0</v>
      </c>
      <c r="I537" s="81">
        <v>0</v>
      </c>
      <c r="J537" s="81">
        <f t="shared" si="112"/>
        <v>0</v>
      </c>
      <c r="K537" s="80"/>
      <c r="L537" s="82">
        <f t="shared" si="113"/>
        <v>0</v>
      </c>
      <c r="M537" s="82">
        <v>0</v>
      </c>
      <c r="N537" s="82">
        <f t="shared" si="114"/>
        <v>0</v>
      </c>
      <c r="O537" s="83"/>
      <c r="P537"/>
      <c r="Q537"/>
      <c r="R537"/>
      <c r="S537"/>
      <c r="U537" s="84" t="s">
        <v>539</v>
      </c>
      <c r="V537" s="80"/>
      <c r="W537" s="82"/>
      <c r="X537" s="82"/>
      <c r="Y537" s="94" t="s">
        <v>584</v>
      </c>
      <c r="Z537" s="86" t="s">
        <v>565</v>
      </c>
      <c r="AA537" s="86"/>
      <c r="AB537" s="86" t="s">
        <v>585</v>
      </c>
      <c r="AC537" s="87">
        <v>0</v>
      </c>
      <c r="AD537" s="88">
        <f t="shared" si="115"/>
        <v>0</v>
      </c>
      <c r="AF537" s="54">
        <v>110085</v>
      </c>
      <c r="AQ537" s="80"/>
      <c r="AR537" s="80"/>
    </row>
    <row r="538" spans="1:44" ht="14.4">
      <c r="A538" s="70">
        <v>110090</v>
      </c>
      <c r="B538" s="78" t="str">
        <f>VLOOKUP(A538,'TB for financial'!A:B,2,0)</f>
        <v xml:space="preserve">Metier Fixed Assets           </v>
      </c>
      <c r="D538" s="79">
        <f>VLOOKUP(A538,'TB for financial'!A:F,6,0)</f>
        <v>0</v>
      </c>
      <c r="E538" s="80"/>
      <c r="F538" s="79">
        <f>VLOOKUP(A538,'TB for financial'!A:K,11,0)</f>
        <v>0</v>
      </c>
      <c r="G538" s="80"/>
      <c r="H538" s="81">
        <f t="shared" si="111"/>
        <v>0</v>
      </c>
      <c r="I538" s="81">
        <v>0</v>
      </c>
      <c r="J538" s="81">
        <f t="shared" si="112"/>
        <v>0</v>
      </c>
      <c r="K538" s="80"/>
      <c r="L538" s="82">
        <f t="shared" si="113"/>
        <v>0</v>
      </c>
      <c r="M538" s="82">
        <v>0</v>
      </c>
      <c r="N538" s="82">
        <f t="shared" si="114"/>
        <v>0</v>
      </c>
      <c r="O538" s="83"/>
      <c r="P538"/>
      <c r="Q538"/>
      <c r="R538"/>
      <c r="S538"/>
      <c r="U538" s="84" t="s">
        <v>539</v>
      </c>
      <c r="V538" s="80"/>
      <c r="W538" s="82"/>
      <c r="X538" s="82"/>
      <c r="Y538" s="94" t="s">
        <v>584</v>
      </c>
      <c r="Z538" s="86" t="s">
        <v>565</v>
      </c>
      <c r="AA538" s="86"/>
      <c r="AB538" s="86" t="s">
        <v>585</v>
      </c>
      <c r="AC538" s="87">
        <v>0</v>
      </c>
      <c r="AD538" s="88">
        <f t="shared" si="115"/>
        <v>0</v>
      </c>
      <c r="AF538" s="54">
        <v>110090</v>
      </c>
      <c r="AQ538" s="80"/>
      <c r="AR538" s="80"/>
    </row>
    <row r="539" spans="1:44" ht="14.4">
      <c r="A539" s="103">
        <v>110095</v>
      </c>
      <c r="B539" s="78" t="str">
        <f>VLOOKUP(A539,'TB for financial'!A:B,2,0)</f>
        <v>IMG Fixed Assets</v>
      </c>
      <c r="D539" s="79">
        <f>VLOOKUP(A539,'TB for financial'!A:F,6,0)</f>
        <v>0</v>
      </c>
      <c r="E539" s="80"/>
      <c r="F539" s="79">
        <f>VLOOKUP(A539,'TB for financial'!A:K,11,0)</f>
        <v>0</v>
      </c>
      <c r="G539" s="80"/>
      <c r="H539" s="81">
        <f t="shared" si="111"/>
        <v>0</v>
      </c>
      <c r="I539" s="81">
        <v>0</v>
      </c>
      <c r="J539" s="81">
        <f t="shared" si="112"/>
        <v>0</v>
      </c>
      <c r="K539" s="80"/>
      <c r="L539" s="82">
        <f t="shared" si="113"/>
        <v>0</v>
      </c>
      <c r="M539" s="82">
        <v>0</v>
      </c>
      <c r="N539" s="82">
        <f t="shared" si="114"/>
        <v>0</v>
      </c>
      <c r="O539" s="83"/>
      <c r="P539"/>
      <c r="Q539"/>
      <c r="R539"/>
      <c r="S539"/>
      <c r="U539" s="84" t="s">
        <v>539</v>
      </c>
      <c r="V539" s="80"/>
      <c r="W539" s="82"/>
      <c r="X539" s="82"/>
      <c r="Y539" s="94" t="s">
        <v>584</v>
      </c>
      <c r="Z539" s="86" t="s">
        <v>565</v>
      </c>
      <c r="AA539" s="86"/>
      <c r="AB539" s="86" t="s">
        <v>585</v>
      </c>
      <c r="AC539" s="87">
        <v>0</v>
      </c>
      <c r="AD539" s="88">
        <f t="shared" si="115"/>
        <v>0</v>
      </c>
      <c r="AF539" s="54">
        <v>110095</v>
      </c>
      <c r="AQ539" s="80"/>
      <c r="AR539" s="80"/>
    </row>
    <row r="540" spans="1:44" ht="14.4">
      <c r="A540" s="1374">
        <v>215500</v>
      </c>
      <c r="B540" s="78" t="str">
        <f>VLOOKUP(A540,'TB for financial'!A:B,2,0)</f>
        <v>Personal Computers</v>
      </c>
      <c r="D540" s="79">
        <f>VLOOKUP(A540,'TB for financial'!A:F,6,0)</f>
        <v>13485280</v>
      </c>
      <c r="E540" s="80"/>
      <c r="F540" s="79">
        <f>VLOOKUP(A540,'TB for financial'!A:K,11,0)</f>
        <v>13485280</v>
      </c>
      <c r="G540" s="80"/>
      <c r="H540" s="81">
        <f>D540-I540</f>
        <v>13485280</v>
      </c>
      <c r="I540" s="81">
        <v>0</v>
      </c>
      <c r="J540" s="81">
        <f t="shared" si="112"/>
        <v>0</v>
      </c>
      <c r="K540" s="80"/>
      <c r="L540" s="82">
        <f>F540-M540</f>
        <v>13485280</v>
      </c>
      <c r="M540" s="82">
        <v>0</v>
      </c>
      <c r="N540" s="82">
        <f>+F540-L540-M540</f>
        <v>0</v>
      </c>
      <c r="O540" s="83"/>
      <c r="P540"/>
      <c r="Q540"/>
      <c r="R540"/>
      <c r="S540"/>
      <c r="U540" s="84" t="s">
        <v>539</v>
      </c>
      <c r="V540" s="80"/>
      <c r="W540" s="82"/>
      <c r="X540" s="82"/>
      <c r="Y540" s="94" t="s">
        <v>584</v>
      </c>
      <c r="Z540" s="86" t="s">
        <v>565</v>
      </c>
      <c r="AA540" s="86"/>
      <c r="AB540" s="86" t="s">
        <v>585</v>
      </c>
      <c r="AC540" s="87">
        <v>13485280</v>
      </c>
      <c r="AD540" s="88">
        <f>+D540-AC540</f>
        <v>0</v>
      </c>
      <c r="AF540" s="54" t="s">
        <v>2536</v>
      </c>
      <c r="AQ540" s="80">
        <f>+D540</f>
        <v>13485280</v>
      </c>
      <c r="AR540" s="80"/>
    </row>
    <row r="541" spans="1:44" ht="14.4">
      <c r="A541" s="1374">
        <v>219000</v>
      </c>
      <c r="B541" s="78" t="str">
        <f>VLOOKUP(A541,'TB for financial'!A:B,2,0)</f>
        <v>OTHER TANGIBLE FIXED ASSETS</v>
      </c>
      <c r="D541" s="79">
        <f>VLOOKUP(A541,'TB for financial'!A:F,6,0)</f>
        <v>72924</v>
      </c>
      <c r="E541" s="80"/>
      <c r="F541" s="79">
        <f>VLOOKUP(A541,'TB for financial'!A:K,11,0)</f>
        <v>72924</v>
      </c>
      <c r="G541" s="80"/>
      <c r="H541" s="81">
        <f>D541-I541</f>
        <v>72924</v>
      </c>
      <c r="I541" s="81">
        <v>0</v>
      </c>
      <c r="J541" s="81">
        <f t="shared" si="112"/>
        <v>0</v>
      </c>
      <c r="K541" s="80"/>
      <c r="L541" s="82">
        <f>F541-M541</f>
        <v>72924</v>
      </c>
      <c r="M541" s="82">
        <v>0</v>
      </c>
      <c r="N541" s="82">
        <f>+F541-L541-M541</f>
        <v>0</v>
      </c>
      <c r="O541" s="83"/>
      <c r="P541"/>
      <c r="Q541"/>
      <c r="R541"/>
      <c r="S541"/>
      <c r="U541" s="84" t="s">
        <v>539</v>
      </c>
      <c r="V541" s="80"/>
      <c r="W541" s="82"/>
      <c r="X541" s="82"/>
      <c r="Y541" s="94" t="s">
        <v>584</v>
      </c>
      <c r="Z541" s="86" t="s">
        <v>565</v>
      </c>
      <c r="AA541" s="86"/>
      <c r="AB541" s="86" t="s">
        <v>585</v>
      </c>
      <c r="AC541" s="87">
        <v>72924</v>
      </c>
      <c r="AD541" s="88">
        <f>+D541-AC541</f>
        <v>0</v>
      </c>
      <c r="AF541" s="54" t="s">
        <v>2536</v>
      </c>
      <c r="AQ541" s="80">
        <f>+D541</f>
        <v>72924</v>
      </c>
      <c r="AR541" s="80"/>
    </row>
    <row r="542" spans="1:44" ht="5.0999999999999996" customHeight="1">
      <c r="A542" s="70"/>
      <c r="B542" s="78"/>
      <c r="D542" s="79"/>
      <c r="E542" s="80"/>
      <c r="F542" s="79"/>
      <c r="G542" s="80"/>
      <c r="H542" s="81"/>
      <c r="I542" s="81">
        <f>+D542-H542</f>
        <v>0</v>
      </c>
      <c r="J542" s="81">
        <f>+D542-H542-I542</f>
        <v>0</v>
      </c>
      <c r="K542" s="80"/>
      <c r="L542" s="82"/>
      <c r="M542" s="82"/>
      <c r="N542" s="82"/>
      <c r="O542" s="83"/>
      <c r="P542"/>
      <c r="Q542"/>
      <c r="R542"/>
      <c r="S542"/>
      <c r="U542" s="84"/>
      <c r="V542" s="80"/>
      <c r="W542" s="82"/>
      <c r="X542" s="82"/>
      <c r="Y542" s="94"/>
      <c r="Z542" s="86"/>
      <c r="AA542" s="86"/>
      <c r="AB542" s="86"/>
      <c r="AQ542" s="80"/>
      <c r="AR542" s="80"/>
    </row>
    <row r="543" spans="1:44" ht="15" thickBot="1">
      <c r="A543" s="105"/>
      <c r="B543" s="71" t="s">
        <v>587</v>
      </c>
      <c r="D543" s="1646">
        <f>SUM(D524:D542)</f>
        <v>13558204</v>
      </c>
      <c r="E543" s="96"/>
      <c r="F543" s="97">
        <f>SUM(F524:F542)</f>
        <v>13558204</v>
      </c>
      <c r="G543" s="80"/>
      <c r="H543" s="99">
        <f>SUM(H524:H542)</f>
        <v>13558204</v>
      </c>
      <c r="I543" s="99">
        <f>SUM(I524:I542)</f>
        <v>0</v>
      </c>
      <c r="J543" s="99">
        <f>SUM(J524:J542)</f>
        <v>0</v>
      </c>
      <c r="K543" s="80"/>
      <c r="L543" s="99">
        <f>SUM(L524:L542)</f>
        <v>13558204</v>
      </c>
      <c r="M543" s="99">
        <f>SUM(M524:M542)</f>
        <v>0</v>
      </c>
      <c r="N543" s="99">
        <f>SUM(N524:N542)</f>
        <v>0</v>
      </c>
      <c r="O543" s="100"/>
      <c r="P543"/>
      <c r="Q543"/>
      <c r="R543"/>
      <c r="S543"/>
      <c r="U543" s="101"/>
      <c r="V543" s="80"/>
      <c r="W543" s="102"/>
      <c r="X543" s="102"/>
      <c r="Y543" s="94"/>
      <c r="Z543" s="86"/>
      <c r="AA543" s="86"/>
      <c r="AB543" s="86"/>
      <c r="AQ543" s="80"/>
      <c r="AR543" s="80"/>
    </row>
    <row r="544" spans="1:44" ht="5.0999999999999996" customHeight="1" thickTop="1">
      <c r="A544" s="105"/>
      <c r="B544" s="71"/>
      <c r="D544" s="79"/>
      <c r="E544" s="80"/>
      <c r="F544" s="79"/>
      <c r="G544" s="80"/>
      <c r="H544" s="81"/>
      <c r="I544" s="81"/>
      <c r="J544" s="81"/>
      <c r="K544" s="80"/>
      <c r="L544" s="82"/>
      <c r="M544" s="82"/>
      <c r="N544" s="82"/>
      <c r="O544" s="83"/>
      <c r="P544"/>
      <c r="Q544"/>
      <c r="R544"/>
      <c r="S544"/>
      <c r="U544" s="84"/>
      <c r="V544" s="80"/>
      <c r="W544" s="82"/>
      <c r="X544" s="82"/>
      <c r="Y544" s="94"/>
      <c r="Z544" s="86"/>
      <c r="AA544" s="86"/>
      <c r="AB544" s="86"/>
      <c r="AQ544" s="80"/>
      <c r="AR544" s="80"/>
    </row>
    <row r="545" spans="1:44" ht="14.4">
      <c r="A545" s="70">
        <v>110120</v>
      </c>
      <c r="B545" s="78" t="str">
        <f>VLOOKUP(A545,'TB for financial'!A:B,2,0)</f>
        <v>Accumulated Dep-Automobile</v>
      </c>
      <c r="D545" s="79">
        <f>VLOOKUP(A545,'TB for financial'!A:F,6,0)</f>
        <v>0</v>
      </c>
      <c r="E545" s="80"/>
      <c r="F545" s="79">
        <f>VLOOKUP(A545,'TB for financial'!A:K,11,0)</f>
        <v>0</v>
      </c>
      <c r="G545" s="80"/>
      <c r="H545" s="81">
        <f t="shared" ref="H545:H561" si="116">D545-I545</f>
        <v>0</v>
      </c>
      <c r="I545" s="81">
        <v>0</v>
      </c>
      <c r="J545" s="81">
        <f t="shared" ref="J545:J561" si="117">+D545-H545-I545</f>
        <v>0</v>
      </c>
      <c r="K545" s="80"/>
      <c r="L545" s="82">
        <f t="shared" ref="L545:L561" si="118">F545-M545</f>
        <v>0</v>
      </c>
      <c r="M545" s="82">
        <v>0</v>
      </c>
      <c r="N545" s="82">
        <f t="shared" ref="N545:N561" si="119">+F545-L545-M545</f>
        <v>0</v>
      </c>
      <c r="O545" s="83"/>
      <c r="P545"/>
      <c r="Q545"/>
      <c r="R545"/>
      <c r="S545"/>
      <c r="U545" s="84" t="s">
        <v>539</v>
      </c>
      <c r="V545" s="80"/>
      <c r="W545" s="82"/>
      <c r="X545" s="82" t="s">
        <v>583</v>
      </c>
      <c r="Y545" s="94" t="s">
        <v>584</v>
      </c>
      <c r="Z545" s="86" t="s">
        <v>565</v>
      </c>
      <c r="AA545" s="86"/>
      <c r="AB545" s="86" t="s">
        <v>585</v>
      </c>
      <c r="AC545" s="87">
        <v>0</v>
      </c>
      <c r="AD545" s="88">
        <f t="shared" ref="AD545:AD561" si="120">+D545-AC545</f>
        <v>0</v>
      </c>
      <c r="AF545" s="54">
        <v>110120</v>
      </c>
      <c r="AQ545" s="80"/>
      <c r="AR545" s="80"/>
    </row>
    <row r="546" spans="1:44" ht="14.4">
      <c r="A546" s="70">
        <v>110125</v>
      </c>
      <c r="B546" s="78" t="str">
        <f>VLOOKUP(A546,'TB for financial'!A:B,2,0)</f>
        <v>Accumulat Dep-Auto-Emp Vehicle</v>
      </c>
      <c r="D546" s="79">
        <f>VLOOKUP(A546,'TB for financial'!A:F,6,0)</f>
        <v>0</v>
      </c>
      <c r="E546" s="80"/>
      <c r="F546" s="79">
        <f>VLOOKUP(A546,'TB for financial'!A:K,11,0)</f>
        <v>0</v>
      </c>
      <c r="G546" s="80"/>
      <c r="H546" s="81">
        <f t="shared" si="116"/>
        <v>0</v>
      </c>
      <c r="I546" s="81">
        <v>0</v>
      </c>
      <c r="J546" s="81">
        <f t="shared" si="117"/>
        <v>0</v>
      </c>
      <c r="K546" s="80"/>
      <c r="L546" s="82">
        <f t="shared" si="118"/>
        <v>0</v>
      </c>
      <c r="M546" s="82">
        <v>0</v>
      </c>
      <c r="N546" s="82">
        <f>+F546-L546-M546</f>
        <v>0</v>
      </c>
      <c r="O546" s="83"/>
      <c r="P546"/>
      <c r="Q546"/>
      <c r="R546"/>
      <c r="S546"/>
      <c r="U546" s="84" t="s">
        <v>539</v>
      </c>
      <c r="V546" s="80"/>
      <c r="W546" s="82"/>
      <c r="X546" s="82" t="s">
        <v>583</v>
      </c>
      <c r="Y546" s="94" t="s">
        <v>584</v>
      </c>
      <c r="Z546" s="86" t="s">
        <v>565</v>
      </c>
      <c r="AA546" s="86"/>
      <c r="AB546" s="86" t="s">
        <v>585</v>
      </c>
      <c r="AC546" s="87">
        <v>0</v>
      </c>
      <c r="AD546" s="88">
        <f t="shared" si="120"/>
        <v>0</v>
      </c>
      <c r="AF546" s="54">
        <v>110125</v>
      </c>
      <c r="AQ546" s="80"/>
      <c r="AR546" s="80"/>
    </row>
    <row r="547" spans="1:44" ht="14.4">
      <c r="A547" s="70">
        <v>110130</v>
      </c>
      <c r="B547" s="78" t="str">
        <f>VLOOKUP(A547,'TB for financial'!A:B,2,0)</f>
        <v>Accumulated Dep-Computer</v>
      </c>
      <c r="D547" s="79">
        <f>VLOOKUP(A547,'TB for financial'!A:F,6,0)</f>
        <v>0.37000000104308128</v>
      </c>
      <c r="E547" s="80"/>
      <c r="F547" s="79">
        <f>VLOOKUP(A547,'TB for financial'!A:K,11,0)</f>
        <v>0.37000000104308128</v>
      </c>
      <c r="G547" s="80"/>
      <c r="H547" s="81">
        <f t="shared" si="116"/>
        <v>0.37000000104308128</v>
      </c>
      <c r="I547" s="81">
        <v>0</v>
      </c>
      <c r="J547" s="81">
        <f t="shared" si="117"/>
        <v>0</v>
      </c>
      <c r="K547" s="80"/>
      <c r="L547" s="82">
        <f t="shared" si="118"/>
        <v>0.37000000104308128</v>
      </c>
      <c r="M547" s="82">
        <v>0</v>
      </c>
      <c r="N547" s="82">
        <f t="shared" si="119"/>
        <v>0</v>
      </c>
      <c r="O547" s="83"/>
      <c r="P547"/>
      <c r="Q547"/>
      <c r="R547"/>
      <c r="S547"/>
      <c r="U547" s="84" t="s">
        <v>539</v>
      </c>
      <c r="V547" s="80"/>
      <c r="W547" s="82"/>
      <c r="X547" s="82" t="s">
        <v>583</v>
      </c>
      <c r="Y547" s="94" t="s">
        <v>584</v>
      </c>
      <c r="Z547" s="86" t="s">
        <v>565</v>
      </c>
      <c r="AA547" s="86"/>
      <c r="AB547" s="86" t="s">
        <v>585</v>
      </c>
      <c r="AC547" s="87">
        <v>0</v>
      </c>
      <c r="AD547" s="88">
        <f t="shared" si="120"/>
        <v>0.37000000104308128</v>
      </c>
      <c r="AF547" s="54">
        <v>110130</v>
      </c>
      <c r="AQ547" s="80"/>
      <c r="AR547" s="80"/>
    </row>
    <row r="548" spans="1:44" ht="14.4">
      <c r="A548" s="70">
        <v>110135</v>
      </c>
      <c r="B548" s="78" t="str">
        <f>VLOOKUP(A548,'TB for financial'!A:B,2,0)</f>
        <v>Accum Depn - Office Building</v>
      </c>
      <c r="D548" s="79">
        <f>VLOOKUP(A548,'TB for financial'!A:F,6,0)</f>
        <v>0</v>
      </c>
      <c r="E548" s="80"/>
      <c r="F548" s="79">
        <f>VLOOKUP(A548,'TB for financial'!A:K,11,0)</f>
        <v>0</v>
      </c>
      <c r="G548" s="80"/>
      <c r="H548" s="81">
        <f t="shared" si="116"/>
        <v>0</v>
      </c>
      <c r="I548" s="81">
        <v>0</v>
      </c>
      <c r="J548" s="81">
        <f t="shared" si="117"/>
        <v>0</v>
      </c>
      <c r="K548" s="80"/>
      <c r="L548" s="82">
        <f t="shared" si="118"/>
        <v>0</v>
      </c>
      <c r="M548" s="82">
        <v>0</v>
      </c>
      <c r="N548" s="82">
        <f t="shared" si="119"/>
        <v>0</v>
      </c>
      <c r="O548" s="83"/>
      <c r="P548"/>
      <c r="Q548"/>
      <c r="R548"/>
      <c r="S548"/>
      <c r="U548" s="84"/>
      <c r="V548" s="80"/>
      <c r="W548" s="82"/>
      <c r="X548" s="82"/>
      <c r="Y548" s="94" t="s">
        <v>584</v>
      </c>
      <c r="Z548" s="86" t="s">
        <v>565</v>
      </c>
      <c r="AA548" s="86"/>
      <c r="AB548" s="86" t="s">
        <v>585</v>
      </c>
      <c r="AC548" s="87">
        <v>0</v>
      </c>
      <c r="AD548" s="88">
        <f t="shared" si="120"/>
        <v>0</v>
      </c>
      <c r="AF548" s="54">
        <v>110135</v>
      </c>
      <c r="AQ548" s="80"/>
      <c r="AR548" s="80"/>
    </row>
    <row r="549" spans="1:44" ht="14.4">
      <c r="A549" s="70">
        <v>110140</v>
      </c>
      <c r="B549" s="78" t="str">
        <f>VLOOKUP(A549,'TB for financial'!A:B,2,0)</f>
        <v>Accumulated Dep-Furniture</v>
      </c>
      <c r="D549" s="79">
        <f>VLOOKUP(A549,'TB for financial'!A:F,6,0)</f>
        <v>0</v>
      </c>
      <c r="E549" s="80"/>
      <c r="F549" s="79">
        <f>VLOOKUP(A549,'TB for financial'!A:K,11,0)</f>
        <v>0</v>
      </c>
      <c r="G549" s="80"/>
      <c r="H549" s="81">
        <f t="shared" si="116"/>
        <v>0</v>
      </c>
      <c r="I549" s="81">
        <v>0</v>
      </c>
      <c r="J549" s="81">
        <f t="shared" si="117"/>
        <v>0</v>
      </c>
      <c r="K549" s="80"/>
      <c r="L549" s="82">
        <f t="shared" si="118"/>
        <v>0</v>
      </c>
      <c r="M549" s="82">
        <v>0</v>
      </c>
      <c r="N549" s="82">
        <f t="shared" si="119"/>
        <v>0</v>
      </c>
      <c r="O549" s="83"/>
      <c r="P549"/>
      <c r="Q549"/>
      <c r="R549"/>
      <c r="S549"/>
      <c r="U549" s="84" t="s">
        <v>539</v>
      </c>
      <c r="V549" s="80"/>
      <c r="W549" s="82"/>
      <c r="X549" s="82" t="s">
        <v>583</v>
      </c>
      <c r="Y549" s="94" t="s">
        <v>584</v>
      </c>
      <c r="Z549" s="86" t="s">
        <v>565</v>
      </c>
      <c r="AA549" s="86"/>
      <c r="AB549" s="86" t="s">
        <v>585</v>
      </c>
      <c r="AC549" s="87">
        <v>0</v>
      </c>
      <c r="AD549" s="88">
        <f t="shared" si="120"/>
        <v>0</v>
      </c>
      <c r="AF549" s="54">
        <v>110140</v>
      </c>
      <c r="AQ549" s="80"/>
      <c r="AR549" s="80"/>
    </row>
    <row r="550" spans="1:44" ht="14.4">
      <c r="A550" s="70">
        <v>110150</v>
      </c>
      <c r="B550" s="78" t="str">
        <f>VLOOKUP(A550,'TB for financial'!A:B,2,0)</f>
        <v>Accumulated Dep-LHI</v>
      </c>
      <c r="D550" s="79">
        <f>VLOOKUP(A550,'TB for financial'!A:F,6,0)</f>
        <v>0</v>
      </c>
      <c r="E550" s="80"/>
      <c r="F550" s="79">
        <f>VLOOKUP(A550,'TB for financial'!A:K,11,0)</f>
        <v>0</v>
      </c>
      <c r="G550" s="80"/>
      <c r="H550" s="81">
        <f t="shared" si="116"/>
        <v>0</v>
      </c>
      <c r="I550" s="81">
        <v>0</v>
      </c>
      <c r="J550" s="81">
        <f t="shared" si="117"/>
        <v>0</v>
      </c>
      <c r="K550" s="80"/>
      <c r="L550" s="82">
        <f t="shared" si="118"/>
        <v>0</v>
      </c>
      <c r="M550" s="82">
        <v>0</v>
      </c>
      <c r="N550" s="82">
        <f t="shared" si="119"/>
        <v>0</v>
      </c>
      <c r="O550" s="83"/>
      <c r="P550"/>
      <c r="Q550"/>
      <c r="R550"/>
      <c r="S550"/>
      <c r="U550" s="84" t="s">
        <v>539</v>
      </c>
      <c r="V550" s="80"/>
      <c r="W550" s="82"/>
      <c r="X550" s="82" t="s">
        <v>583</v>
      </c>
      <c r="Y550" s="94" t="s">
        <v>584</v>
      </c>
      <c r="Z550" s="86" t="s">
        <v>565</v>
      </c>
      <c r="AA550" s="86"/>
      <c r="AB550" s="86" t="s">
        <v>585</v>
      </c>
      <c r="AC550" s="87">
        <v>0</v>
      </c>
      <c r="AD550" s="88">
        <f t="shared" si="120"/>
        <v>0</v>
      </c>
      <c r="AF550" s="54">
        <v>110150</v>
      </c>
      <c r="AQ550" s="80"/>
      <c r="AR550" s="80"/>
    </row>
    <row r="551" spans="1:44" ht="14.4">
      <c r="A551" s="70">
        <v>110155</v>
      </c>
      <c r="B551" s="78" t="str">
        <f>VLOOKUP(A551,'TB for financial'!A:B,2,0)</f>
        <v>Accumulated Dep-LHLand</v>
      </c>
      <c r="D551" s="79">
        <f>VLOOKUP(A551,'TB for financial'!A:F,6,0)</f>
        <v>0</v>
      </c>
      <c r="E551" s="80"/>
      <c r="F551" s="79">
        <f>VLOOKUP(A551,'TB for financial'!A:K,11,0)</f>
        <v>0</v>
      </c>
      <c r="G551" s="80"/>
      <c r="H551" s="81">
        <f t="shared" si="116"/>
        <v>0</v>
      </c>
      <c r="I551" s="81">
        <v>0</v>
      </c>
      <c r="J551" s="81">
        <f t="shared" si="117"/>
        <v>0</v>
      </c>
      <c r="K551" s="80"/>
      <c r="L551" s="82">
        <f t="shared" si="118"/>
        <v>0</v>
      </c>
      <c r="M551" s="82">
        <v>0</v>
      </c>
      <c r="N551" s="82">
        <f t="shared" si="119"/>
        <v>0</v>
      </c>
      <c r="O551" s="83"/>
      <c r="P551"/>
      <c r="Q551"/>
      <c r="R551"/>
      <c r="S551"/>
      <c r="U551" s="84" t="s">
        <v>539</v>
      </c>
      <c r="V551" s="80"/>
      <c r="W551" s="82"/>
      <c r="X551" s="82" t="s">
        <v>583</v>
      </c>
      <c r="Y551" s="94" t="s">
        <v>584</v>
      </c>
      <c r="Z551" s="86" t="s">
        <v>565</v>
      </c>
      <c r="AA551" s="86"/>
      <c r="AB551" s="86" t="s">
        <v>585</v>
      </c>
      <c r="AC551" s="87">
        <v>0</v>
      </c>
      <c r="AD551" s="88">
        <f t="shared" si="120"/>
        <v>0</v>
      </c>
      <c r="AF551" s="54">
        <v>110155</v>
      </c>
      <c r="AQ551" s="80"/>
      <c r="AR551" s="80"/>
    </row>
    <row r="552" spans="1:44" ht="14.4">
      <c r="A552" s="70">
        <v>110160</v>
      </c>
      <c r="B552" s="78" t="str">
        <f>VLOOKUP(A552,'TB for financial'!A:B,2,0)</f>
        <v>Accumulated Dep-Comm.Eq.</v>
      </c>
      <c r="D552" s="79">
        <f>VLOOKUP(A552,'TB for financial'!A:F,6,0)</f>
        <v>0</v>
      </c>
      <c r="E552" s="80"/>
      <c r="F552" s="79">
        <f>VLOOKUP(A552,'TB for financial'!A:K,11,0)</f>
        <v>0</v>
      </c>
      <c r="G552" s="80"/>
      <c r="H552" s="81">
        <f t="shared" si="116"/>
        <v>0</v>
      </c>
      <c r="I552" s="81">
        <v>0</v>
      </c>
      <c r="J552" s="81">
        <f t="shared" si="117"/>
        <v>0</v>
      </c>
      <c r="K552" s="80"/>
      <c r="L552" s="82">
        <f t="shared" si="118"/>
        <v>0</v>
      </c>
      <c r="M552" s="82">
        <v>0</v>
      </c>
      <c r="N552" s="82">
        <f t="shared" si="119"/>
        <v>0</v>
      </c>
      <c r="O552" s="83"/>
      <c r="P552"/>
      <c r="Q552"/>
      <c r="R552"/>
      <c r="S552"/>
      <c r="U552" s="84" t="s">
        <v>539</v>
      </c>
      <c r="V552" s="80"/>
      <c r="W552" s="82"/>
      <c r="X552" s="82" t="s">
        <v>583</v>
      </c>
      <c r="Y552" s="94" t="s">
        <v>584</v>
      </c>
      <c r="Z552" s="86" t="s">
        <v>565</v>
      </c>
      <c r="AA552" s="86"/>
      <c r="AB552" s="86" t="s">
        <v>585</v>
      </c>
      <c r="AC552" s="87">
        <v>0</v>
      </c>
      <c r="AD552" s="88">
        <f t="shared" si="120"/>
        <v>0</v>
      </c>
      <c r="AF552" s="54">
        <v>110160</v>
      </c>
      <c r="AQ552" s="80"/>
      <c r="AR552" s="80"/>
    </row>
    <row r="553" spans="1:44" ht="14.4">
      <c r="A553" s="70">
        <v>110161</v>
      </c>
      <c r="B553" s="78" t="str">
        <f>VLOOKUP(A553,'TB for financial'!A:B,2,0)</f>
        <v>Accumulated Dep-Air Con.</v>
      </c>
      <c r="D553" s="79">
        <f>VLOOKUP(A553,'TB for financial'!A:F,6,0)</f>
        <v>0</v>
      </c>
      <c r="E553" s="80"/>
      <c r="F553" s="79">
        <f>VLOOKUP(A553,'TB for financial'!A:K,11,0)</f>
        <v>0</v>
      </c>
      <c r="G553" s="80"/>
      <c r="H553" s="81">
        <f t="shared" si="116"/>
        <v>0</v>
      </c>
      <c r="I553" s="81">
        <v>0</v>
      </c>
      <c r="J553" s="81">
        <f t="shared" si="117"/>
        <v>0</v>
      </c>
      <c r="K553" s="80"/>
      <c r="L553" s="82">
        <f t="shared" si="118"/>
        <v>0</v>
      </c>
      <c r="M553" s="82">
        <v>0</v>
      </c>
      <c r="N553" s="82">
        <f t="shared" si="119"/>
        <v>0</v>
      </c>
      <c r="O553" s="83"/>
      <c r="P553"/>
      <c r="Q553"/>
      <c r="R553"/>
      <c r="S553"/>
      <c r="U553" s="84" t="s">
        <v>539</v>
      </c>
      <c r="V553" s="80"/>
      <c r="W553" s="82"/>
      <c r="X553" s="82" t="s">
        <v>583</v>
      </c>
      <c r="Y553" s="94" t="s">
        <v>584</v>
      </c>
      <c r="Z553" s="86" t="s">
        <v>565</v>
      </c>
      <c r="AA553" s="86"/>
      <c r="AB553" s="86" t="s">
        <v>585</v>
      </c>
      <c r="AC553" s="87">
        <v>0</v>
      </c>
      <c r="AD553" s="88">
        <f t="shared" si="120"/>
        <v>0</v>
      </c>
      <c r="AF553" s="54">
        <v>110161</v>
      </c>
      <c r="AQ553" s="80"/>
      <c r="AR553" s="80"/>
    </row>
    <row r="554" spans="1:44" ht="14.4">
      <c r="A554" s="70">
        <v>110162</v>
      </c>
      <c r="B554" s="78" t="str">
        <f>VLOOKUP(A554,'TB for financial'!A:B,2,0)</f>
        <v>Accumulated Dep-Elec. Eq.</v>
      </c>
      <c r="D554" s="79">
        <f>VLOOKUP(A554,'TB for financial'!A:F,6,0)</f>
        <v>0</v>
      </c>
      <c r="E554" s="80"/>
      <c r="F554" s="79">
        <f>VLOOKUP(A554,'TB for financial'!A:K,11,0)</f>
        <v>0</v>
      </c>
      <c r="G554" s="80"/>
      <c r="H554" s="81">
        <f t="shared" si="116"/>
        <v>0</v>
      </c>
      <c r="I554" s="81">
        <v>0</v>
      </c>
      <c r="J554" s="81">
        <f t="shared" si="117"/>
        <v>0</v>
      </c>
      <c r="K554" s="80"/>
      <c r="L554" s="82">
        <f t="shared" si="118"/>
        <v>0</v>
      </c>
      <c r="M554" s="82">
        <v>0</v>
      </c>
      <c r="N554" s="82">
        <f t="shared" si="119"/>
        <v>0</v>
      </c>
      <c r="O554" s="83"/>
      <c r="P554"/>
      <c r="Q554"/>
      <c r="R554"/>
      <c r="S554"/>
      <c r="U554" s="84" t="s">
        <v>539</v>
      </c>
      <c r="V554" s="80"/>
      <c r="W554" s="82"/>
      <c r="X554" s="82" t="s">
        <v>583</v>
      </c>
      <c r="Y554" s="94" t="s">
        <v>584</v>
      </c>
      <c r="Z554" s="86" t="s">
        <v>565</v>
      </c>
      <c r="AA554" s="86"/>
      <c r="AB554" s="86" t="s">
        <v>585</v>
      </c>
      <c r="AC554" s="87">
        <v>0</v>
      </c>
      <c r="AD554" s="88">
        <f t="shared" si="120"/>
        <v>0</v>
      </c>
      <c r="AF554" s="54">
        <v>110162</v>
      </c>
      <c r="AQ554" s="80"/>
      <c r="AR554" s="80"/>
    </row>
    <row r="555" spans="1:44" ht="14.4">
      <c r="A555" s="70">
        <v>110163</v>
      </c>
      <c r="B555" s="78" t="str">
        <f>VLOOKUP(A555,'TB for financial'!A:B,2,0)</f>
        <v>Accumulated Dep-Elec. Fit.</v>
      </c>
      <c r="D555" s="79">
        <f>VLOOKUP(A555,'TB for financial'!A:F,6,0)</f>
        <v>0</v>
      </c>
      <c r="E555" s="80"/>
      <c r="F555" s="79">
        <f>VLOOKUP(A555,'TB for financial'!A:K,11,0)</f>
        <v>0</v>
      </c>
      <c r="G555" s="80"/>
      <c r="H555" s="81">
        <f t="shared" si="116"/>
        <v>0</v>
      </c>
      <c r="I555" s="81">
        <v>0</v>
      </c>
      <c r="J555" s="81">
        <f t="shared" si="117"/>
        <v>0</v>
      </c>
      <c r="K555" s="80"/>
      <c r="L555" s="82">
        <f t="shared" si="118"/>
        <v>0</v>
      </c>
      <c r="M555" s="82">
        <v>0</v>
      </c>
      <c r="N555" s="82">
        <f t="shared" si="119"/>
        <v>0</v>
      </c>
      <c r="O555" s="83"/>
      <c r="P555"/>
      <c r="Q555"/>
      <c r="R555"/>
      <c r="S555"/>
      <c r="U555" s="84" t="s">
        <v>539</v>
      </c>
      <c r="V555" s="80"/>
      <c r="W555" s="82"/>
      <c r="X555" s="82" t="s">
        <v>583</v>
      </c>
      <c r="Y555" s="94" t="s">
        <v>584</v>
      </c>
      <c r="Z555" s="86" t="s">
        <v>565</v>
      </c>
      <c r="AA555" s="86"/>
      <c r="AB555" s="86" t="s">
        <v>585</v>
      </c>
      <c r="AC555" s="87">
        <v>0</v>
      </c>
      <c r="AD555" s="88">
        <f t="shared" si="120"/>
        <v>0</v>
      </c>
      <c r="AF555" s="54">
        <v>110163</v>
      </c>
      <c r="AQ555" s="80"/>
      <c r="AR555" s="80"/>
    </row>
    <row r="556" spans="1:44" ht="14.4">
      <c r="A556" s="70">
        <v>110164</v>
      </c>
      <c r="B556" s="78" t="str">
        <f>VLOOKUP(A556,'TB for financial'!A:B,2,0)</f>
        <v>Accumulated Dep-Office Eq.</v>
      </c>
      <c r="D556" s="79">
        <f>VLOOKUP(A556,'TB for financial'!A:F,6,0)</f>
        <v>-0.12825534246803727</v>
      </c>
      <c r="E556" s="80"/>
      <c r="F556" s="79">
        <f>VLOOKUP(A556,'TB for financial'!A:K,11,0)</f>
        <v>-0.12825534246803727</v>
      </c>
      <c r="G556" s="80"/>
      <c r="H556" s="81">
        <f t="shared" si="116"/>
        <v>-0.12825534246803727</v>
      </c>
      <c r="I556" s="81">
        <v>0</v>
      </c>
      <c r="J556" s="81">
        <f t="shared" si="117"/>
        <v>0</v>
      </c>
      <c r="K556" s="80"/>
      <c r="L556" s="82">
        <f t="shared" si="118"/>
        <v>-0.12825534246803727</v>
      </c>
      <c r="M556" s="82">
        <v>0</v>
      </c>
      <c r="N556" s="82">
        <f t="shared" si="119"/>
        <v>0</v>
      </c>
      <c r="O556" s="83"/>
      <c r="P556"/>
      <c r="Q556"/>
      <c r="R556"/>
      <c r="S556"/>
      <c r="U556" s="84" t="s">
        <v>539</v>
      </c>
      <c r="V556" s="80"/>
      <c r="W556" s="82"/>
      <c r="X556" s="82" t="s">
        <v>583</v>
      </c>
      <c r="Y556" s="94" t="s">
        <v>584</v>
      </c>
      <c r="Z556" s="86" t="s">
        <v>565</v>
      </c>
      <c r="AA556" s="86"/>
      <c r="AB556" s="86" t="s">
        <v>585</v>
      </c>
      <c r="AC556" s="87">
        <v>0</v>
      </c>
      <c r="AD556" s="88">
        <f t="shared" si="120"/>
        <v>-0.12825534246803727</v>
      </c>
      <c r="AF556" s="54">
        <v>110164</v>
      </c>
      <c r="AQ556" s="80"/>
      <c r="AR556" s="80"/>
    </row>
    <row r="557" spans="1:44" ht="14.4">
      <c r="A557" s="70">
        <v>110165</v>
      </c>
      <c r="B557" s="78" t="str">
        <f>VLOOKUP(A557,'TB for financial'!A:B,2,0)</f>
        <v>Accumulated Dep-Resi. Pr.</v>
      </c>
      <c r="D557" s="79">
        <f>VLOOKUP(A557,'TB for financial'!A:F,6,0)</f>
        <v>0</v>
      </c>
      <c r="E557" s="80"/>
      <c r="F557" s="79">
        <f>VLOOKUP(A557,'TB for financial'!A:K,11,0)</f>
        <v>0</v>
      </c>
      <c r="G557" s="80"/>
      <c r="H557" s="81">
        <f t="shared" si="116"/>
        <v>0</v>
      </c>
      <c r="I557" s="81">
        <v>0</v>
      </c>
      <c r="J557" s="81">
        <f t="shared" si="117"/>
        <v>0</v>
      </c>
      <c r="K557" s="80"/>
      <c r="L557" s="82">
        <f t="shared" si="118"/>
        <v>0</v>
      </c>
      <c r="M557" s="82">
        <v>0</v>
      </c>
      <c r="N557" s="82">
        <f t="shared" si="119"/>
        <v>0</v>
      </c>
      <c r="O557" s="83"/>
      <c r="P557"/>
      <c r="Q557"/>
      <c r="R557"/>
      <c r="S557"/>
      <c r="U557" s="84" t="s">
        <v>539</v>
      </c>
      <c r="V557" s="80"/>
      <c r="W557" s="82"/>
      <c r="X557" s="82" t="s">
        <v>583</v>
      </c>
      <c r="Y557" s="94" t="s">
        <v>584</v>
      </c>
      <c r="Z557" s="86" t="s">
        <v>565</v>
      </c>
      <c r="AA557" s="86"/>
      <c r="AB557" s="86" t="s">
        <v>585</v>
      </c>
      <c r="AC557" s="87">
        <v>0</v>
      </c>
      <c r="AD557" s="88">
        <f t="shared" si="120"/>
        <v>0</v>
      </c>
      <c r="AF557" s="54">
        <v>110165</v>
      </c>
      <c r="AQ557" s="80"/>
      <c r="AR557" s="80"/>
    </row>
    <row r="558" spans="1:44" ht="14.4">
      <c r="A558" s="70">
        <v>110175</v>
      </c>
      <c r="B558" s="78" t="str">
        <f>VLOOKUP(A558,'TB for financial'!A:B,2,0)</f>
        <v>Accum Amort-Cap Dev-P/Soft</v>
      </c>
      <c r="D558" s="79">
        <f>VLOOKUP(A558,'TB for financial'!A:F,6,0)</f>
        <v>0</v>
      </c>
      <c r="E558" s="80"/>
      <c r="F558" s="79">
        <f>VLOOKUP(A558,'TB for financial'!A:K,11,0)</f>
        <v>0</v>
      </c>
      <c r="G558" s="80"/>
      <c r="H558" s="81">
        <f t="shared" si="116"/>
        <v>0</v>
      </c>
      <c r="I558" s="81">
        <v>0</v>
      </c>
      <c r="J558" s="81">
        <f t="shared" si="117"/>
        <v>0</v>
      </c>
      <c r="K558" s="80"/>
      <c r="L558" s="82">
        <f t="shared" si="118"/>
        <v>0</v>
      </c>
      <c r="M558" s="82">
        <v>0</v>
      </c>
      <c r="N558" s="82">
        <f t="shared" si="119"/>
        <v>0</v>
      </c>
      <c r="O558" s="83"/>
      <c r="P558"/>
      <c r="Q558"/>
      <c r="R558"/>
      <c r="S558"/>
      <c r="U558" s="84" t="s">
        <v>539</v>
      </c>
      <c r="V558" s="80"/>
      <c r="W558" s="82"/>
      <c r="X558" s="82"/>
      <c r="Y558" s="94" t="s">
        <v>584</v>
      </c>
      <c r="Z558" s="86" t="s">
        <v>565</v>
      </c>
      <c r="AA558" s="86"/>
      <c r="AB558" s="86" t="s">
        <v>585</v>
      </c>
      <c r="AC558" s="87">
        <v>0</v>
      </c>
      <c r="AD558" s="88">
        <f t="shared" si="120"/>
        <v>0</v>
      </c>
      <c r="AF558" s="54">
        <v>110175</v>
      </c>
      <c r="AQ558" s="80"/>
      <c r="AR558" s="80"/>
    </row>
    <row r="559" spans="1:44" ht="14.4">
      <c r="A559" s="103">
        <v>110180</v>
      </c>
      <c r="B559" s="78" t="str">
        <f>VLOOKUP(A559,'TB for financial'!A:B,2,0)</f>
        <v>Accum Amort-Cap Dev-Proj 98</v>
      </c>
      <c r="D559" s="79">
        <f>VLOOKUP(A559,'TB for financial'!A:F,6,0)</f>
        <v>0</v>
      </c>
      <c r="E559" s="80"/>
      <c r="F559" s="79">
        <f>VLOOKUP(A559,'TB for financial'!A:K,11,0)</f>
        <v>0</v>
      </c>
      <c r="G559" s="80"/>
      <c r="H559" s="81">
        <f t="shared" si="116"/>
        <v>0</v>
      </c>
      <c r="I559" s="81">
        <v>0</v>
      </c>
      <c r="J559" s="81">
        <f t="shared" si="117"/>
        <v>0</v>
      </c>
      <c r="K559" s="80"/>
      <c r="L559" s="82">
        <f t="shared" si="118"/>
        <v>0</v>
      </c>
      <c r="M559" s="82">
        <v>0</v>
      </c>
      <c r="N559" s="82">
        <f t="shared" si="119"/>
        <v>0</v>
      </c>
      <c r="O559" s="83"/>
      <c r="P559"/>
      <c r="Q559"/>
      <c r="R559"/>
      <c r="S559"/>
      <c r="U559" s="84" t="s">
        <v>539</v>
      </c>
      <c r="V559" s="80"/>
      <c r="W559" s="82"/>
      <c r="X559" s="82"/>
      <c r="Y559" s="94" t="s">
        <v>584</v>
      </c>
      <c r="Z559" s="86" t="s">
        <v>565</v>
      </c>
      <c r="AA559" s="86"/>
      <c r="AB559" s="86" t="s">
        <v>585</v>
      </c>
      <c r="AC559" s="87">
        <v>0</v>
      </c>
      <c r="AD559" s="88">
        <f t="shared" si="120"/>
        <v>0</v>
      </c>
      <c r="AF559" s="54">
        <v>110180</v>
      </c>
      <c r="AQ559" s="80"/>
      <c r="AR559" s="80"/>
    </row>
    <row r="560" spans="1:44" ht="14.4">
      <c r="A560" s="103">
        <v>110190</v>
      </c>
      <c r="B560" s="78" t="str">
        <f>VLOOKUP(A560,'TB for financial'!A:B,2,0)</f>
        <v>Accum Depr-Metier</v>
      </c>
      <c r="D560" s="79">
        <f>VLOOKUP(A560,'TB for financial'!A:F,6,0)</f>
        <v>0</v>
      </c>
      <c r="E560" s="80"/>
      <c r="F560" s="79">
        <f>VLOOKUP(A560,'TB for financial'!A:K,11,0)</f>
        <v>0</v>
      </c>
      <c r="G560" s="80"/>
      <c r="H560" s="81">
        <f t="shared" si="116"/>
        <v>0</v>
      </c>
      <c r="I560" s="81">
        <v>0</v>
      </c>
      <c r="J560" s="81">
        <f t="shared" si="117"/>
        <v>0</v>
      </c>
      <c r="K560" s="80"/>
      <c r="L560" s="82">
        <f t="shared" si="118"/>
        <v>0</v>
      </c>
      <c r="M560" s="82">
        <v>0</v>
      </c>
      <c r="N560" s="82">
        <f t="shared" si="119"/>
        <v>0</v>
      </c>
      <c r="O560" s="83"/>
      <c r="P560"/>
      <c r="Q560"/>
      <c r="R560"/>
      <c r="S560"/>
      <c r="U560" s="84" t="s">
        <v>539</v>
      </c>
      <c r="V560" s="80"/>
      <c r="W560" s="82"/>
      <c r="X560" s="82"/>
      <c r="Y560" s="94" t="s">
        <v>584</v>
      </c>
      <c r="Z560" s="86" t="s">
        <v>565</v>
      </c>
      <c r="AA560" s="86"/>
      <c r="AB560" s="86" t="s">
        <v>585</v>
      </c>
      <c r="AC560" s="87">
        <v>0</v>
      </c>
      <c r="AD560" s="88">
        <f t="shared" si="120"/>
        <v>0</v>
      </c>
      <c r="AF560" s="54">
        <v>110190</v>
      </c>
      <c r="AQ560" s="80"/>
      <c r="AR560" s="80"/>
    </row>
    <row r="561" spans="1:44" ht="14.4">
      <c r="A561" s="103">
        <v>110195</v>
      </c>
      <c r="B561" s="78" t="str">
        <f>VLOOKUP(A561,'TB for financial'!A:B,2,0)</f>
        <v>Accum Depr-IMG</v>
      </c>
      <c r="D561" s="79">
        <f>VLOOKUP(A561,'TB for financial'!A:F,6,0)</f>
        <v>0</v>
      </c>
      <c r="E561" s="80"/>
      <c r="F561" s="79">
        <f>VLOOKUP(A561,'TB for financial'!A:K,11,0)</f>
        <v>0</v>
      </c>
      <c r="G561" s="80"/>
      <c r="H561" s="81">
        <f t="shared" si="116"/>
        <v>0</v>
      </c>
      <c r="I561" s="81">
        <v>0</v>
      </c>
      <c r="J561" s="81">
        <f t="shared" si="117"/>
        <v>0</v>
      </c>
      <c r="K561" s="80"/>
      <c r="L561" s="82">
        <f t="shared" si="118"/>
        <v>0</v>
      </c>
      <c r="M561" s="82">
        <v>0</v>
      </c>
      <c r="N561" s="82">
        <f t="shared" si="119"/>
        <v>0</v>
      </c>
      <c r="O561" s="83"/>
      <c r="P561"/>
      <c r="Q561"/>
      <c r="R561"/>
      <c r="S561"/>
      <c r="U561" s="84" t="s">
        <v>539</v>
      </c>
      <c r="V561" s="80"/>
      <c r="W561" s="82"/>
      <c r="X561" s="82"/>
      <c r="Y561" s="94" t="s">
        <v>584</v>
      </c>
      <c r="Z561" s="86" t="s">
        <v>565</v>
      </c>
      <c r="AA561" s="86"/>
      <c r="AB561" s="86" t="s">
        <v>585</v>
      </c>
      <c r="AC561" s="87">
        <v>0</v>
      </c>
      <c r="AD561" s="88">
        <f t="shared" si="120"/>
        <v>0</v>
      </c>
      <c r="AF561" s="54">
        <v>110195</v>
      </c>
      <c r="AQ561" s="80"/>
      <c r="AR561" s="80"/>
    </row>
    <row r="562" spans="1:44" ht="14.4">
      <c r="A562" s="1374">
        <v>281550</v>
      </c>
      <c r="B562" s="78" t="str">
        <f>VLOOKUP(A562,'TB for financial'!A:B,2,0)</f>
        <v>Depreciation - Personal Computers</v>
      </c>
      <c r="D562" s="79">
        <f>VLOOKUP(A562,'TB for financial'!A:F,6,0)</f>
        <v>-13485281</v>
      </c>
      <c r="E562" s="80"/>
      <c r="F562" s="79">
        <f>VLOOKUP(A562,'TB for financial'!A:K,11,0)</f>
        <v>-13485281</v>
      </c>
      <c r="G562" s="80"/>
      <c r="H562" s="81">
        <f>D562-I562</f>
        <v>-13485281</v>
      </c>
      <c r="I562" s="81">
        <v>0</v>
      </c>
      <c r="J562" s="81">
        <f>+D562-H562-I562</f>
        <v>0</v>
      </c>
      <c r="K562" s="80"/>
      <c r="L562" s="82">
        <f>F562-M562</f>
        <v>-13485281</v>
      </c>
      <c r="M562" s="82">
        <v>0</v>
      </c>
      <c r="N562" s="82">
        <f>+F562-L562-M562</f>
        <v>0</v>
      </c>
      <c r="O562" s="83"/>
      <c r="P562"/>
      <c r="Q562"/>
      <c r="R562"/>
      <c r="S562"/>
      <c r="U562" s="84" t="s">
        <v>539</v>
      </c>
      <c r="V562" s="80"/>
      <c r="W562" s="82"/>
      <c r="X562" s="82"/>
      <c r="Y562" s="94" t="s">
        <v>584</v>
      </c>
      <c r="Z562" s="86" t="s">
        <v>565</v>
      </c>
      <c r="AA562" s="86"/>
      <c r="AB562" s="86" t="s">
        <v>585</v>
      </c>
      <c r="AC562" s="87">
        <v>-13485280</v>
      </c>
      <c r="AD562" s="88">
        <f>+D562-AC562</f>
        <v>-1</v>
      </c>
      <c r="AF562" s="54" t="s">
        <v>2536</v>
      </c>
      <c r="AQ562" s="80">
        <f>+D562</f>
        <v>-13485281</v>
      </c>
      <c r="AR562" s="80"/>
    </row>
    <row r="563" spans="1:44" ht="24">
      <c r="A563" s="1374">
        <v>281900</v>
      </c>
      <c r="B563" s="78" t="str">
        <f>VLOOKUP(A563,'TB for financial'!A:B,2,0)</f>
        <v>DEPRECIATION - OTHER TANGIBLE FIXED ASS</v>
      </c>
      <c r="D563" s="79">
        <f>VLOOKUP(A563,'TB for financial'!A:F,6,0)</f>
        <v>-72924</v>
      </c>
      <c r="E563" s="80"/>
      <c r="F563" s="79">
        <f>VLOOKUP(A563,'TB for financial'!A:K,11,0)</f>
        <v>-72924</v>
      </c>
      <c r="G563" s="80"/>
      <c r="H563" s="81">
        <f>D563-I563</f>
        <v>-72924</v>
      </c>
      <c r="I563" s="81">
        <v>0</v>
      </c>
      <c r="J563" s="81">
        <f>+D563-H563-I563</f>
        <v>0</v>
      </c>
      <c r="K563" s="80"/>
      <c r="L563" s="82">
        <f>F563-M563</f>
        <v>-72924</v>
      </c>
      <c r="M563" s="82">
        <v>0</v>
      </c>
      <c r="N563" s="82">
        <f>+F563-L563-M563</f>
        <v>0</v>
      </c>
      <c r="O563" s="83"/>
      <c r="P563"/>
      <c r="Q563"/>
      <c r="R563"/>
      <c r="S563"/>
      <c r="U563" s="84" t="s">
        <v>539</v>
      </c>
      <c r="V563" s="80"/>
      <c r="W563" s="82"/>
      <c r="X563" s="82"/>
      <c r="Y563" s="94" t="s">
        <v>584</v>
      </c>
      <c r="Z563" s="86" t="s">
        <v>565</v>
      </c>
      <c r="AA563" s="86"/>
      <c r="AB563" s="86" t="s">
        <v>585</v>
      </c>
      <c r="AC563" s="87">
        <v>-72924</v>
      </c>
      <c r="AD563" s="88">
        <f>+D563-AC563</f>
        <v>0</v>
      </c>
      <c r="AF563" s="54" t="s">
        <v>2536</v>
      </c>
      <c r="AQ563" s="80">
        <f>+D563</f>
        <v>-72924</v>
      </c>
      <c r="AR563" s="80"/>
    </row>
    <row r="564" spans="1:44" ht="5.0999999999999996" customHeight="1">
      <c r="A564" s="103"/>
      <c r="B564" s="104"/>
      <c r="D564" s="79"/>
      <c r="E564" s="80"/>
      <c r="F564" s="79"/>
      <c r="G564" s="80"/>
      <c r="H564" s="81"/>
      <c r="I564" s="81"/>
      <c r="J564" s="81"/>
      <c r="K564" s="80"/>
      <c r="L564" s="82"/>
      <c r="M564" s="82"/>
      <c r="N564" s="82"/>
      <c r="O564" s="83"/>
      <c r="P564"/>
      <c r="Q564"/>
      <c r="R564"/>
      <c r="S564"/>
      <c r="U564" s="84"/>
      <c r="V564" s="80"/>
      <c r="W564" s="82"/>
      <c r="X564" s="82"/>
      <c r="Y564" s="94"/>
      <c r="Z564" s="86"/>
      <c r="AA564" s="86"/>
      <c r="AB564" s="86"/>
      <c r="AQ564" s="80"/>
      <c r="AR564" s="80"/>
    </row>
    <row r="565" spans="1:44" ht="15" thickBot="1">
      <c r="A565" s="105"/>
      <c r="B565" s="71" t="s">
        <v>588</v>
      </c>
      <c r="D565" s="1646">
        <f>SUM(D545:D564)</f>
        <v>-13558204.758255342</v>
      </c>
      <c r="E565" s="96"/>
      <c r="F565" s="97">
        <f>SUM(F545:F564)</f>
        <v>-13558204.758255342</v>
      </c>
      <c r="G565" s="80"/>
      <c r="H565" s="99">
        <f>SUM(H545:H564)</f>
        <v>-13558204.758255342</v>
      </c>
      <c r="I565" s="99">
        <f>SUM(I545:I564)</f>
        <v>0</v>
      </c>
      <c r="J565" s="99">
        <f>SUM(J545:J564)</f>
        <v>0</v>
      </c>
      <c r="K565" s="80"/>
      <c r="L565" s="99">
        <f>SUM(L545:L564)</f>
        <v>-13558204.758255342</v>
      </c>
      <c r="M565" s="99">
        <f>SUM(M545:M564)</f>
        <v>0</v>
      </c>
      <c r="N565" s="99">
        <f>SUM(N545:N564)</f>
        <v>0</v>
      </c>
      <c r="O565" s="100"/>
      <c r="P565"/>
      <c r="Q565"/>
      <c r="R565"/>
      <c r="S565"/>
      <c r="U565" s="101"/>
      <c r="V565" s="80"/>
      <c r="W565" s="102"/>
      <c r="X565" s="102"/>
      <c r="Y565" s="94"/>
      <c r="Z565" s="86"/>
      <c r="AA565" s="86"/>
      <c r="AB565" s="86"/>
      <c r="AQ565" s="80"/>
      <c r="AR565" s="80"/>
    </row>
    <row r="566" spans="1:44" ht="5.0999999999999996" customHeight="1" thickTop="1">
      <c r="A566" s="105"/>
      <c r="B566" s="71"/>
      <c r="D566" s="79"/>
      <c r="E566" s="80"/>
      <c r="F566" s="79"/>
      <c r="G566" s="80"/>
      <c r="H566" s="81"/>
      <c r="I566" s="81"/>
      <c r="J566" s="81"/>
      <c r="K566" s="80"/>
      <c r="L566" s="82"/>
      <c r="M566" s="82"/>
      <c r="N566" s="82"/>
      <c r="O566" s="83"/>
      <c r="P566"/>
      <c r="Q566"/>
      <c r="R566"/>
      <c r="S566"/>
      <c r="U566" s="84"/>
      <c r="V566" s="80"/>
      <c r="W566" s="82"/>
      <c r="X566" s="82"/>
      <c r="Y566" s="94"/>
      <c r="Z566" s="86"/>
      <c r="AA566" s="86"/>
      <c r="AB566" s="86"/>
      <c r="AQ566" s="80"/>
      <c r="AR566" s="80"/>
    </row>
    <row r="567" spans="1:44" ht="14.4">
      <c r="A567" s="70">
        <v>110070</v>
      </c>
      <c r="B567" s="78" t="str">
        <f>VLOOKUP(A567,'TB for financial'!A:B,2,0)</f>
        <v>Capitalized Software</v>
      </c>
      <c r="D567" s="79">
        <f>VLOOKUP(A567,'TB for financial'!A:F,6,0)</f>
        <v>0.48000000044703484</v>
      </c>
      <c r="E567" s="80"/>
      <c r="F567" s="79">
        <f>VLOOKUP(A567,'TB for financial'!A:K,11,0)</f>
        <v>0.48000000044703484</v>
      </c>
      <c r="G567" s="80"/>
      <c r="H567" s="81">
        <f>D567-I567</f>
        <v>0.48000000044703484</v>
      </c>
      <c r="I567" s="81">
        <v>0</v>
      </c>
      <c r="J567" s="81">
        <f>+D567-H567-I567</f>
        <v>0</v>
      </c>
      <c r="K567" s="80"/>
      <c r="L567" s="82">
        <f>F567-M567</f>
        <v>0.48000000044703484</v>
      </c>
      <c r="M567" s="82">
        <v>0</v>
      </c>
      <c r="N567" s="82">
        <f>+F567-L567-M567</f>
        <v>0</v>
      </c>
      <c r="O567" s="83"/>
      <c r="P567"/>
      <c r="Q567"/>
      <c r="R567"/>
      <c r="S567"/>
      <c r="U567" s="84" t="s">
        <v>539</v>
      </c>
      <c r="V567" s="80"/>
      <c r="W567" s="82"/>
      <c r="X567" s="82" t="s">
        <v>589</v>
      </c>
      <c r="Y567" s="94" t="s">
        <v>584</v>
      </c>
      <c r="Z567" s="86" t="s">
        <v>565</v>
      </c>
      <c r="AA567" s="86"/>
      <c r="AB567" s="86" t="s">
        <v>590</v>
      </c>
      <c r="AC567" s="87">
        <v>0</v>
      </c>
      <c r="AD567" s="88">
        <f>+D567-AC567</f>
        <v>0.48000000044703484</v>
      </c>
      <c r="AF567" s="54">
        <v>110070</v>
      </c>
      <c r="AQ567" s="80"/>
      <c r="AR567" s="80"/>
    </row>
    <row r="568" spans="1:44" ht="14.4">
      <c r="A568" s="70">
        <v>110080</v>
      </c>
      <c r="B568" s="78" t="str">
        <f>VLOOKUP(A568,'TB for financial'!A:B,2,0)</f>
        <v>Captilized Dev Costs-P/Soft</v>
      </c>
      <c r="D568" s="79">
        <f>VLOOKUP(A568,'TB for financial'!A:F,6,0)</f>
        <v>0</v>
      </c>
      <c r="E568" s="80"/>
      <c r="F568" s="79">
        <f>VLOOKUP(A568,'TB for financial'!A:K,11,0)</f>
        <v>0</v>
      </c>
      <c r="G568" s="80"/>
      <c r="H568" s="81">
        <f>D568-I568</f>
        <v>0</v>
      </c>
      <c r="I568" s="81">
        <v>0</v>
      </c>
      <c r="J568" s="81">
        <f>+D568-H568-I568</f>
        <v>0</v>
      </c>
      <c r="K568" s="80"/>
      <c r="L568" s="82">
        <f>F568-M568</f>
        <v>0</v>
      </c>
      <c r="M568" s="82">
        <v>0</v>
      </c>
      <c r="N568" s="82">
        <f>+F568-L568-M568</f>
        <v>0</v>
      </c>
      <c r="O568" s="83"/>
      <c r="P568"/>
      <c r="Q568"/>
      <c r="R568"/>
      <c r="S568"/>
      <c r="U568" s="84" t="s">
        <v>539</v>
      </c>
      <c r="V568" s="80"/>
      <c r="W568" s="82"/>
      <c r="X568" s="82" t="s">
        <v>589</v>
      </c>
      <c r="Y568" s="94" t="s">
        <v>584</v>
      </c>
      <c r="Z568" s="86" t="s">
        <v>565</v>
      </c>
      <c r="AA568" s="86"/>
      <c r="AB568" s="86" t="s">
        <v>590</v>
      </c>
      <c r="AC568" s="87">
        <v>0</v>
      </c>
      <c r="AD568" s="88">
        <f>+D568-AC568</f>
        <v>0</v>
      </c>
      <c r="AF568" s="54">
        <v>110080</v>
      </c>
      <c r="AQ568" s="80"/>
      <c r="AR568" s="80"/>
    </row>
    <row r="569" spans="1:44" ht="14.4">
      <c r="A569" s="1373">
        <v>205000</v>
      </c>
      <c r="B569" s="78" t="str">
        <f>VLOOKUP(A569,'TB for financial'!A:B,2,0)</f>
        <v>SOFTWARE</v>
      </c>
      <c r="D569" s="79">
        <f>VLOOKUP(A569,'TB for financial'!A:F,6,0)</f>
        <v>6846730</v>
      </c>
      <c r="E569" s="80"/>
      <c r="F569" s="79">
        <f>VLOOKUP(A569,'TB for financial'!A:K,11,0)</f>
        <v>6846730</v>
      </c>
      <c r="G569" s="80"/>
      <c r="H569" s="81">
        <f>D569-I569</f>
        <v>6846730</v>
      </c>
      <c r="I569" s="81">
        <v>0</v>
      </c>
      <c r="J569" s="81">
        <f>+D569-H569-I569</f>
        <v>0</v>
      </c>
      <c r="K569" s="80"/>
      <c r="L569" s="82">
        <f>F569-M569</f>
        <v>6846730</v>
      </c>
      <c r="M569" s="82">
        <v>0</v>
      </c>
      <c r="N569" s="82">
        <f>+F569-L569-M569</f>
        <v>0</v>
      </c>
      <c r="O569" s="83"/>
      <c r="P569"/>
      <c r="Q569"/>
      <c r="R569"/>
      <c r="S569"/>
      <c r="U569" s="84"/>
      <c r="V569" s="80"/>
      <c r="W569" s="82"/>
      <c r="X569" s="82"/>
      <c r="Y569" s="94" t="s">
        <v>584</v>
      </c>
      <c r="Z569" s="86" t="s">
        <v>565</v>
      </c>
      <c r="AA569" s="86"/>
      <c r="AB569" s="86" t="s">
        <v>590</v>
      </c>
      <c r="AC569" s="87">
        <v>6846730.4800000004</v>
      </c>
      <c r="AD569" s="88">
        <f>+D569-AC569</f>
        <v>-0.48000000044703484</v>
      </c>
      <c r="AF569" s="54" t="s">
        <v>2536</v>
      </c>
      <c r="AQ569" s="80">
        <f>+D569</f>
        <v>6846730</v>
      </c>
      <c r="AR569" s="80"/>
    </row>
    <row r="570" spans="1:44" ht="5.0999999999999996" customHeight="1">
      <c r="A570" s="103"/>
      <c r="B570" s="104"/>
      <c r="D570" s="79"/>
      <c r="E570" s="80"/>
      <c r="F570" s="79"/>
      <c r="G570" s="80"/>
      <c r="H570" s="81"/>
      <c r="I570" s="81"/>
      <c r="J570" s="81"/>
      <c r="K570" s="80"/>
      <c r="L570" s="82"/>
      <c r="M570" s="82"/>
      <c r="N570" s="82"/>
      <c r="O570" s="83"/>
      <c r="P570"/>
      <c r="Q570"/>
      <c r="R570"/>
      <c r="S570"/>
      <c r="U570" s="84"/>
      <c r="V570" s="80"/>
      <c r="W570" s="82"/>
      <c r="X570" s="82"/>
      <c r="Y570" s="94"/>
      <c r="Z570" s="86"/>
      <c r="AA570" s="86"/>
      <c r="AB570" s="86"/>
      <c r="AQ570" s="80"/>
      <c r="AR570" s="80"/>
    </row>
    <row r="571" spans="1:44" ht="15" thickBot="1">
      <c r="A571" s="105"/>
      <c r="B571" s="71" t="s">
        <v>15</v>
      </c>
      <c r="D571" s="98">
        <f>SUM(D567:D570)</f>
        <v>6846730.4800000004</v>
      </c>
      <c r="E571" s="96"/>
      <c r="F571" s="97">
        <f>SUM(F567:F570)</f>
        <v>6846730.4800000004</v>
      </c>
      <c r="G571" s="80"/>
      <c r="H571" s="99">
        <f>SUM(H567:H570)</f>
        <v>6846730.4800000004</v>
      </c>
      <c r="I571" s="99">
        <f>SUM(I567:I570)</f>
        <v>0</v>
      </c>
      <c r="J571" s="99">
        <f>SUM(J567:J570)</f>
        <v>0</v>
      </c>
      <c r="K571" s="80"/>
      <c r="L571" s="99">
        <f>SUM(L567:L570)</f>
        <v>6846730.4800000004</v>
      </c>
      <c r="M571" s="99">
        <f>SUM(M567:M570)</f>
        <v>0</v>
      </c>
      <c r="N571" s="99">
        <f>SUM(N567:N570)</f>
        <v>0</v>
      </c>
      <c r="O571" s="100"/>
      <c r="P571"/>
      <c r="Q571"/>
      <c r="R571"/>
      <c r="S571"/>
      <c r="U571" s="101"/>
      <c r="V571" s="80"/>
      <c r="W571" s="102"/>
      <c r="X571" s="102"/>
      <c r="Y571" s="94"/>
      <c r="Z571" s="86"/>
      <c r="AA571" s="86"/>
      <c r="AB571" s="86"/>
      <c r="AQ571" s="80"/>
      <c r="AR571" s="80"/>
    </row>
    <row r="572" spans="1:44" ht="15" thickTop="1">
      <c r="A572" s="70"/>
      <c r="B572" s="78"/>
      <c r="D572" s="79"/>
      <c r="E572" s="80"/>
      <c r="F572" s="79"/>
      <c r="G572" s="80"/>
      <c r="H572" s="81"/>
      <c r="I572" s="81"/>
      <c r="J572" s="81"/>
      <c r="K572" s="80"/>
      <c r="L572" s="82"/>
      <c r="M572" s="82"/>
      <c r="N572" s="82"/>
      <c r="O572" s="83"/>
      <c r="P572"/>
      <c r="Q572"/>
      <c r="R572"/>
      <c r="S572"/>
      <c r="U572" s="84"/>
      <c r="V572" s="80"/>
      <c r="W572" s="82"/>
      <c r="X572" s="82"/>
      <c r="Y572" s="94"/>
      <c r="Z572" s="86"/>
      <c r="AA572" s="86"/>
      <c r="AB572" s="86"/>
      <c r="AQ572" s="80"/>
      <c r="AR572" s="80"/>
    </row>
    <row r="573" spans="1:44" ht="14.4">
      <c r="A573" s="70">
        <v>110170</v>
      </c>
      <c r="B573" s="78" t="str">
        <f>VLOOKUP(A573,'TB for financial'!A:B,2,0)</f>
        <v>Accumulated Software Amortizat</v>
      </c>
      <c r="D573" s="79">
        <f>VLOOKUP(A573,'TB for financial'!A:F,6,0)</f>
        <v>0</v>
      </c>
      <c r="E573" s="80"/>
      <c r="F573" s="79">
        <f>VLOOKUP(A573,'TB for financial'!A:K,11,0)</f>
        <v>0</v>
      </c>
      <c r="G573" s="80"/>
      <c r="H573" s="81">
        <f>D573-I573</f>
        <v>0</v>
      </c>
      <c r="I573" s="81">
        <v>0</v>
      </c>
      <c r="J573" s="81">
        <f>+D573-H573-I573</f>
        <v>0</v>
      </c>
      <c r="K573" s="80"/>
      <c r="L573" s="82">
        <f>F573-M573</f>
        <v>0</v>
      </c>
      <c r="M573" s="82">
        <v>0</v>
      </c>
      <c r="N573" s="82">
        <f>+F573-L573-M573</f>
        <v>0</v>
      </c>
      <c r="O573" s="83"/>
      <c r="P573"/>
      <c r="Q573"/>
      <c r="R573"/>
      <c r="S573"/>
      <c r="U573" s="84" t="s">
        <v>539</v>
      </c>
      <c r="V573" s="80"/>
      <c r="W573" s="82"/>
      <c r="X573" s="82" t="s">
        <v>589</v>
      </c>
      <c r="Y573" s="94" t="s">
        <v>584</v>
      </c>
      <c r="Z573" s="86" t="s">
        <v>565</v>
      </c>
      <c r="AA573" s="86"/>
      <c r="AB573" s="86" t="s">
        <v>590</v>
      </c>
      <c r="AC573" s="87">
        <v>0</v>
      </c>
      <c r="AD573" s="88">
        <f>+D573-AC573</f>
        <v>0</v>
      </c>
      <c r="AF573" s="54">
        <v>110170</v>
      </c>
      <c r="AQ573" s="80"/>
      <c r="AR573" s="80"/>
    </row>
    <row r="574" spans="1:44" ht="14.4">
      <c r="A574" s="1373">
        <v>280500</v>
      </c>
      <c r="B574" s="78" t="str">
        <f>VLOOKUP(A574,'TB for financial'!A:B,2,0)</f>
        <v>DEPRECIATION - SOFTWARE</v>
      </c>
      <c r="D574" s="79">
        <f>VLOOKUP(A574,'TB for financial'!A:F,6,0)</f>
        <v>-6846731.4186301362</v>
      </c>
      <c r="E574" s="80"/>
      <c r="F574" s="79">
        <f>VLOOKUP(A574,'TB for financial'!A:K,11,0)</f>
        <v>-6846731.4186301362</v>
      </c>
      <c r="G574" s="80"/>
      <c r="H574" s="81">
        <f>D574-I574</f>
        <v>-6846731.4186301362</v>
      </c>
      <c r="I574" s="81">
        <v>0</v>
      </c>
      <c r="J574" s="81">
        <f>+D574-H574-I574</f>
        <v>0</v>
      </c>
      <c r="K574" s="80"/>
      <c r="L574" s="82">
        <f>F574-M574</f>
        <v>-6846731.4186301362</v>
      </c>
      <c r="M574" s="82">
        <v>0</v>
      </c>
      <c r="N574" s="82">
        <f>+F574-L574-M574</f>
        <v>0</v>
      </c>
      <c r="O574" s="83"/>
      <c r="P574"/>
      <c r="Q574"/>
      <c r="R574"/>
      <c r="S574"/>
      <c r="U574" s="84" t="s">
        <v>539</v>
      </c>
      <c r="V574" s="80"/>
      <c r="W574" s="82"/>
      <c r="X574" s="82" t="s">
        <v>589</v>
      </c>
      <c r="Y574" s="94" t="s">
        <v>584</v>
      </c>
      <c r="Z574" s="86" t="s">
        <v>565</v>
      </c>
      <c r="AA574" s="86"/>
      <c r="AB574" s="86" t="s">
        <v>590</v>
      </c>
      <c r="AC574" s="87">
        <v>-6846730.4800000004</v>
      </c>
      <c r="AD574" s="88">
        <f>+D574-AC574</f>
        <v>-0.93863013572990894</v>
      </c>
      <c r="AF574" s="54" t="s">
        <v>2536</v>
      </c>
      <c r="AQ574" s="80">
        <f>+D574</f>
        <v>-6846731.4186301362</v>
      </c>
      <c r="AR574" s="80"/>
    </row>
    <row r="575" spans="1:44" ht="5.0999999999999996" customHeight="1">
      <c r="A575" s="103"/>
      <c r="B575" s="104"/>
      <c r="D575" s="79"/>
      <c r="E575" s="80"/>
      <c r="F575" s="79"/>
      <c r="G575" s="80"/>
      <c r="H575" s="81"/>
      <c r="I575" s="81"/>
      <c r="J575" s="81"/>
      <c r="K575" s="80"/>
      <c r="L575" s="82"/>
      <c r="M575" s="82"/>
      <c r="N575" s="82"/>
      <c r="O575" s="83"/>
      <c r="P575"/>
      <c r="Q575"/>
      <c r="R575"/>
      <c r="S575"/>
      <c r="U575" s="84"/>
      <c r="V575" s="80"/>
      <c r="W575" s="82"/>
      <c r="X575" s="82"/>
      <c r="Y575" s="94"/>
      <c r="Z575" s="86"/>
      <c r="AA575" s="86"/>
      <c r="AB575" s="86"/>
      <c r="AQ575" s="80"/>
      <c r="AR575" s="80"/>
    </row>
    <row r="576" spans="1:44" ht="24.6" thickBot="1">
      <c r="A576" s="105"/>
      <c r="B576" s="71" t="s">
        <v>591</v>
      </c>
      <c r="D576" s="98">
        <f>SUM(D573:D575)</f>
        <v>-6846731.4186301362</v>
      </c>
      <c r="E576" s="96"/>
      <c r="F576" s="97">
        <f>SUM(F573:F575)</f>
        <v>-6846731.4186301362</v>
      </c>
      <c r="G576" s="80"/>
      <c r="H576" s="99">
        <f>SUM(H573:H575)</f>
        <v>-6846731.4186301362</v>
      </c>
      <c r="I576" s="99">
        <f>SUM(I573:I575)</f>
        <v>0</v>
      </c>
      <c r="J576" s="99">
        <f>SUM(J573:J575)</f>
        <v>0</v>
      </c>
      <c r="K576" s="80"/>
      <c r="L576" s="99">
        <f>SUM(L573:L575)</f>
        <v>-6846731.4186301362</v>
      </c>
      <c r="M576" s="99">
        <f>SUM(M573:M575)</f>
        <v>0</v>
      </c>
      <c r="N576" s="99">
        <f>SUM(N573:N575)</f>
        <v>0</v>
      </c>
      <c r="O576" s="100"/>
      <c r="P576"/>
      <c r="Q576"/>
      <c r="R576"/>
      <c r="S576"/>
      <c r="U576" s="101"/>
      <c r="V576" s="80"/>
      <c r="W576" s="102"/>
      <c r="X576" s="102"/>
      <c r="Y576" s="94"/>
      <c r="Z576" s="86"/>
      <c r="AA576" s="86"/>
      <c r="AB576" s="86"/>
      <c r="AQ576" s="80"/>
      <c r="AR576" s="80"/>
    </row>
    <row r="577" spans="1:44" ht="15" thickTop="1">
      <c r="A577" s="70"/>
      <c r="B577" s="78"/>
      <c r="D577" s="79"/>
      <c r="E577" s="80"/>
      <c r="F577" s="79"/>
      <c r="G577" s="80"/>
      <c r="H577" s="81"/>
      <c r="I577" s="81"/>
      <c r="J577" s="81"/>
      <c r="K577" s="80"/>
      <c r="L577" s="82"/>
      <c r="M577" s="82"/>
      <c r="N577" s="82"/>
      <c r="O577" s="83"/>
      <c r="P577"/>
      <c r="Q577"/>
      <c r="R577"/>
      <c r="S577"/>
      <c r="U577" s="84"/>
      <c r="V577" s="80"/>
      <c r="W577" s="82"/>
      <c r="X577" s="82"/>
      <c r="Y577" s="94"/>
      <c r="Z577" s="86"/>
      <c r="AA577" s="86"/>
      <c r="AB577" s="86"/>
      <c r="AQ577" s="80"/>
      <c r="AR577" s="80"/>
    </row>
    <row r="578" spans="1:44" ht="14.4">
      <c r="A578" s="70">
        <v>110031</v>
      </c>
      <c r="B578" s="78" t="str">
        <f>VLOOKUP(A578,'TB for financial'!A:B,2,0)</f>
        <v>CWIP – Computers</v>
      </c>
      <c r="D578" s="79">
        <f>VLOOKUP(A578,'TB for financial'!A:F,6,0)</f>
        <v>0</v>
      </c>
      <c r="E578" s="80"/>
      <c r="F578" s="79">
        <f>VLOOKUP(A578,'TB for financial'!A:K,11,0)</f>
        <v>0</v>
      </c>
      <c r="G578" s="80"/>
      <c r="H578" s="81">
        <f t="shared" ref="H578:H589" si="121">D578-I578</f>
        <v>0</v>
      </c>
      <c r="I578" s="81">
        <v>0</v>
      </c>
      <c r="J578" s="81">
        <f t="shared" ref="J578:J589" si="122">+D578-H578-I578</f>
        <v>0</v>
      </c>
      <c r="K578" s="80"/>
      <c r="L578" s="82">
        <f t="shared" ref="L578:L589" si="123">F578-M578</f>
        <v>0</v>
      </c>
      <c r="M578" s="82">
        <v>0</v>
      </c>
      <c r="N578" s="82">
        <f t="shared" ref="N578:N589" si="124">+F578-L578-M578</f>
        <v>0</v>
      </c>
      <c r="O578" s="83"/>
      <c r="P578"/>
      <c r="Q578"/>
      <c r="R578"/>
      <c r="S578"/>
      <c r="U578" s="84" t="s">
        <v>535</v>
      </c>
      <c r="V578" s="80"/>
      <c r="W578" s="82"/>
      <c r="X578" s="82" t="s">
        <v>592</v>
      </c>
      <c r="Y578" s="94" t="s">
        <v>584</v>
      </c>
      <c r="Z578" s="86" t="s">
        <v>565</v>
      </c>
      <c r="AA578" s="86" t="s">
        <v>14</v>
      </c>
      <c r="AB578" s="86" t="s">
        <v>14</v>
      </c>
      <c r="AC578" s="87">
        <v>0</v>
      </c>
      <c r="AD578" s="88">
        <f t="shared" ref="AD578:AD589" si="125">+D578-AC578</f>
        <v>0</v>
      </c>
      <c r="AF578" s="54">
        <v>110031</v>
      </c>
      <c r="AQ578" s="80"/>
      <c r="AR578" s="80"/>
    </row>
    <row r="579" spans="1:44" ht="14.4">
      <c r="A579" s="70">
        <v>110066</v>
      </c>
      <c r="B579" s="78" t="str">
        <f>VLOOKUP(A579,'TB for financial'!A:B,2,0)</f>
        <v>CWIP – Air Conditioners</v>
      </c>
      <c r="D579" s="79">
        <f>VLOOKUP(A579,'TB for financial'!A:F,6,0)</f>
        <v>0</v>
      </c>
      <c r="E579" s="80"/>
      <c r="F579" s="79">
        <f>VLOOKUP(A579,'TB for financial'!A:K,11,0)</f>
        <v>0</v>
      </c>
      <c r="G579" s="80"/>
      <c r="H579" s="81">
        <f t="shared" si="121"/>
        <v>0</v>
      </c>
      <c r="I579" s="81">
        <v>0</v>
      </c>
      <c r="J579" s="81">
        <f t="shared" si="122"/>
        <v>0</v>
      </c>
      <c r="K579" s="80"/>
      <c r="L579" s="82">
        <f t="shared" si="123"/>
        <v>0</v>
      </c>
      <c r="M579" s="82">
        <v>0</v>
      </c>
      <c r="N579" s="82">
        <f t="shared" si="124"/>
        <v>0</v>
      </c>
      <c r="O579" s="83"/>
      <c r="P579"/>
      <c r="Q579"/>
      <c r="R579"/>
      <c r="S579"/>
      <c r="U579" s="84" t="s">
        <v>535</v>
      </c>
      <c r="V579" s="80"/>
      <c r="W579" s="82"/>
      <c r="X579" s="82" t="s">
        <v>592</v>
      </c>
      <c r="Y579" s="94" t="s">
        <v>584</v>
      </c>
      <c r="Z579" s="86" t="s">
        <v>565</v>
      </c>
      <c r="AA579" s="86" t="s">
        <v>14</v>
      </c>
      <c r="AB579" s="86" t="s">
        <v>14</v>
      </c>
      <c r="AC579" s="87">
        <v>0</v>
      </c>
      <c r="AD579" s="88">
        <f t="shared" si="125"/>
        <v>0</v>
      </c>
      <c r="AF579" s="54">
        <v>110066</v>
      </c>
      <c r="AQ579" s="80"/>
      <c r="AR579" s="80"/>
    </row>
    <row r="580" spans="1:44" ht="14.4">
      <c r="A580" s="70">
        <v>110067</v>
      </c>
      <c r="B580" s="78" t="str">
        <f>VLOOKUP(A580,'TB for financial'!A:B,2,0)</f>
        <v>CWIP – Electrical Fittings</v>
      </c>
      <c r="D580" s="79">
        <f>VLOOKUP(A580,'TB for financial'!A:F,6,0)</f>
        <v>0</v>
      </c>
      <c r="E580" s="80"/>
      <c r="F580" s="79">
        <f>VLOOKUP(A580,'TB for financial'!A:K,11,0)</f>
        <v>0</v>
      </c>
      <c r="G580" s="80"/>
      <c r="H580" s="81">
        <f t="shared" si="121"/>
        <v>0</v>
      </c>
      <c r="I580" s="81">
        <v>0</v>
      </c>
      <c r="J580" s="81">
        <f t="shared" si="122"/>
        <v>0</v>
      </c>
      <c r="K580" s="80"/>
      <c r="L580" s="82">
        <f t="shared" si="123"/>
        <v>0</v>
      </c>
      <c r="M580" s="82">
        <v>0</v>
      </c>
      <c r="N580" s="82">
        <f t="shared" si="124"/>
        <v>0</v>
      </c>
      <c r="O580" s="83"/>
      <c r="P580"/>
      <c r="Q580"/>
      <c r="R580"/>
      <c r="S580"/>
      <c r="U580" s="84" t="s">
        <v>535</v>
      </c>
      <c r="V580" s="80"/>
      <c r="W580" s="82"/>
      <c r="X580" s="82" t="s">
        <v>592</v>
      </c>
      <c r="Y580" s="94" t="s">
        <v>584</v>
      </c>
      <c r="Z580" s="86" t="s">
        <v>565</v>
      </c>
      <c r="AA580" s="86" t="s">
        <v>14</v>
      </c>
      <c r="AB580" s="86" t="s">
        <v>14</v>
      </c>
      <c r="AC580" s="87">
        <v>0</v>
      </c>
      <c r="AD580" s="88">
        <f t="shared" si="125"/>
        <v>0</v>
      </c>
      <c r="AF580" s="54">
        <v>110067</v>
      </c>
      <c r="AQ580" s="80"/>
      <c r="AR580" s="80"/>
    </row>
    <row r="581" spans="1:44" ht="14.4">
      <c r="A581" s="70">
        <v>110068</v>
      </c>
      <c r="B581" s="78" t="str">
        <f>VLOOKUP(A581,'TB for financial'!A:B,2,0)</f>
        <v>CWIP – Office equipment</v>
      </c>
      <c r="D581" s="79">
        <f>VLOOKUP(A581,'TB for financial'!A:F,6,0)</f>
        <v>0</v>
      </c>
      <c r="E581" s="80"/>
      <c r="F581" s="79">
        <f>VLOOKUP(A581,'TB for financial'!A:K,11,0)</f>
        <v>0</v>
      </c>
      <c r="G581" s="80"/>
      <c r="H581" s="81">
        <f t="shared" si="121"/>
        <v>0</v>
      </c>
      <c r="I581" s="81">
        <v>0</v>
      </c>
      <c r="J581" s="81">
        <f t="shared" si="122"/>
        <v>0</v>
      </c>
      <c r="K581" s="80"/>
      <c r="L581" s="82">
        <f t="shared" si="123"/>
        <v>0</v>
      </c>
      <c r="M581" s="82">
        <v>0</v>
      </c>
      <c r="N581" s="82">
        <f t="shared" si="124"/>
        <v>0</v>
      </c>
      <c r="O581" s="83"/>
      <c r="P581"/>
      <c r="Q581"/>
      <c r="R581"/>
      <c r="S581"/>
      <c r="U581" s="84" t="s">
        <v>535</v>
      </c>
      <c r="V581" s="80"/>
      <c r="W581" s="82"/>
      <c r="X581" s="82" t="s">
        <v>592</v>
      </c>
      <c r="Y581" s="94" t="s">
        <v>584</v>
      </c>
      <c r="Z581" s="86" t="s">
        <v>565</v>
      </c>
      <c r="AA581" s="86" t="s">
        <v>14</v>
      </c>
      <c r="AB581" s="86" t="s">
        <v>14</v>
      </c>
      <c r="AC581" s="87">
        <v>0</v>
      </c>
      <c r="AD581" s="88">
        <f t="shared" si="125"/>
        <v>0</v>
      </c>
      <c r="AF581" s="54">
        <v>110068</v>
      </c>
      <c r="AQ581" s="80"/>
      <c r="AR581" s="80"/>
    </row>
    <row r="582" spans="1:44" ht="14.4">
      <c r="A582" s="90">
        <v>110089</v>
      </c>
      <c r="B582" s="78" t="str">
        <f>VLOOKUP(A582,'TB for financial'!A:B,2,0)</f>
        <v>CWIP - Computer Software</v>
      </c>
      <c r="D582" s="79">
        <f>VLOOKUP(A582,'TB for financial'!A:F,6,0)</f>
        <v>0</v>
      </c>
      <c r="E582" s="80"/>
      <c r="F582" s="79">
        <f>VLOOKUP(A582,'TB for financial'!A:K,11,0)</f>
        <v>0</v>
      </c>
      <c r="G582" s="80"/>
      <c r="H582" s="81">
        <f t="shared" si="121"/>
        <v>0</v>
      </c>
      <c r="I582" s="81">
        <v>0</v>
      </c>
      <c r="J582" s="81">
        <f t="shared" si="122"/>
        <v>0</v>
      </c>
      <c r="K582" s="80"/>
      <c r="L582" s="82">
        <f t="shared" si="123"/>
        <v>0</v>
      </c>
      <c r="M582" s="82">
        <v>0</v>
      </c>
      <c r="N582" s="82">
        <f t="shared" si="124"/>
        <v>0</v>
      </c>
      <c r="O582" s="83"/>
      <c r="P582"/>
      <c r="Q582"/>
      <c r="R582"/>
      <c r="S582"/>
      <c r="U582" s="84" t="s">
        <v>535</v>
      </c>
      <c r="V582" s="80"/>
      <c r="W582" s="82"/>
      <c r="X582" s="82" t="s">
        <v>592</v>
      </c>
      <c r="Y582" s="94" t="s">
        <v>584</v>
      </c>
      <c r="Z582" s="86" t="s">
        <v>565</v>
      </c>
      <c r="AA582" s="86" t="s">
        <v>14</v>
      </c>
      <c r="AB582" s="86" t="s">
        <v>14</v>
      </c>
      <c r="AC582" s="87">
        <v>0</v>
      </c>
      <c r="AD582" s="88">
        <f t="shared" si="125"/>
        <v>0</v>
      </c>
      <c r="AF582" s="54">
        <v>110089</v>
      </c>
      <c r="AQ582" s="80"/>
      <c r="AR582" s="80"/>
    </row>
    <row r="583" spans="1:44" ht="14.4">
      <c r="A583" s="70">
        <v>110091</v>
      </c>
      <c r="B583" s="78" t="str">
        <f>VLOOKUP(A583,'TB for financial'!A:B,2,0)</f>
        <v>Capital work in Progress - GDC</v>
      </c>
      <c r="D583" s="79">
        <f>VLOOKUP(A583,'TB for financial'!A:F,6,0)</f>
        <v>0</v>
      </c>
      <c r="E583" s="80"/>
      <c r="F583" s="79">
        <f>VLOOKUP(A583,'TB for financial'!A:K,11,0)</f>
        <v>0</v>
      </c>
      <c r="G583" s="80"/>
      <c r="H583" s="81">
        <f t="shared" si="121"/>
        <v>0</v>
      </c>
      <c r="I583" s="81">
        <v>0</v>
      </c>
      <c r="J583" s="81">
        <f t="shared" si="122"/>
        <v>0</v>
      </c>
      <c r="K583" s="80"/>
      <c r="L583" s="82">
        <f t="shared" si="123"/>
        <v>0</v>
      </c>
      <c r="M583" s="82">
        <v>0</v>
      </c>
      <c r="N583" s="82">
        <f t="shared" si="124"/>
        <v>0</v>
      </c>
      <c r="O583" s="83"/>
      <c r="P583"/>
      <c r="Q583"/>
      <c r="R583"/>
      <c r="S583"/>
      <c r="U583" s="84" t="s">
        <v>535</v>
      </c>
      <c r="V583" s="80"/>
      <c r="W583" s="82"/>
      <c r="X583" s="82" t="s">
        <v>592</v>
      </c>
      <c r="Y583" s="94" t="s">
        <v>584</v>
      </c>
      <c r="Z583" s="86" t="s">
        <v>565</v>
      </c>
      <c r="AA583" s="86" t="s">
        <v>14</v>
      </c>
      <c r="AB583" s="86" t="s">
        <v>14</v>
      </c>
      <c r="AC583" s="87">
        <v>0</v>
      </c>
      <c r="AD583" s="88">
        <f t="shared" si="125"/>
        <v>0</v>
      </c>
      <c r="AF583" s="54">
        <v>110091</v>
      </c>
      <c r="AQ583" s="80"/>
      <c r="AR583" s="80"/>
    </row>
    <row r="584" spans="1:44" ht="14.4">
      <c r="A584" s="70">
        <v>110093</v>
      </c>
      <c r="B584" s="78" t="str">
        <f>VLOOKUP(A584,'TB for financial'!A:B,2,0)</f>
        <v>Capital work in Progress</v>
      </c>
      <c r="D584" s="79">
        <f>VLOOKUP(A584,'TB for financial'!A:F,6,0)</f>
        <v>0</v>
      </c>
      <c r="E584" s="80"/>
      <c r="F584" s="79">
        <f>VLOOKUP(A584,'TB for financial'!A:K,11,0)</f>
        <v>0</v>
      </c>
      <c r="G584" s="80"/>
      <c r="H584" s="81">
        <f t="shared" si="121"/>
        <v>0</v>
      </c>
      <c r="I584" s="81">
        <v>0</v>
      </c>
      <c r="J584" s="81">
        <f t="shared" si="122"/>
        <v>0</v>
      </c>
      <c r="K584" s="80"/>
      <c r="L584" s="82">
        <f t="shared" si="123"/>
        <v>0</v>
      </c>
      <c r="M584" s="82">
        <v>0</v>
      </c>
      <c r="N584" s="82">
        <f t="shared" si="124"/>
        <v>0</v>
      </c>
      <c r="O584" s="83"/>
      <c r="P584"/>
      <c r="Q584"/>
      <c r="R584"/>
      <c r="S584"/>
      <c r="U584" s="84" t="s">
        <v>535</v>
      </c>
      <c r="V584" s="80"/>
      <c r="W584" s="82"/>
      <c r="X584" s="82" t="s">
        <v>592</v>
      </c>
      <c r="Y584" s="94" t="s">
        <v>584</v>
      </c>
      <c r="Z584" s="86" t="s">
        <v>565</v>
      </c>
      <c r="AA584" s="86" t="s">
        <v>14</v>
      </c>
      <c r="AB584" s="86" t="s">
        <v>14</v>
      </c>
      <c r="AC584" s="87">
        <v>0</v>
      </c>
      <c r="AD584" s="88">
        <f t="shared" si="125"/>
        <v>0</v>
      </c>
      <c r="AF584" s="54">
        <v>110093</v>
      </c>
      <c r="AQ584" s="80"/>
      <c r="AR584" s="80"/>
    </row>
    <row r="585" spans="1:44" ht="14.4">
      <c r="A585" s="70">
        <v>110094</v>
      </c>
      <c r="B585" s="78" t="str">
        <f>VLOOKUP(A585,'TB for financial'!A:B,2,0)</f>
        <v>CWIP - Communication equipment</v>
      </c>
      <c r="D585" s="79">
        <f>VLOOKUP(A585,'TB for financial'!A:F,6,0)</f>
        <v>0</v>
      </c>
      <c r="E585" s="80"/>
      <c r="F585" s="79">
        <f>VLOOKUP(A585,'TB for financial'!A:K,11,0)</f>
        <v>0</v>
      </c>
      <c r="G585" s="80"/>
      <c r="H585" s="81">
        <f t="shared" si="121"/>
        <v>0</v>
      </c>
      <c r="I585" s="81">
        <v>0</v>
      </c>
      <c r="J585" s="81">
        <f t="shared" si="122"/>
        <v>0</v>
      </c>
      <c r="K585" s="80"/>
      <c r="L585" s="82">
        <f t="shared" si="123"/>
        <v>0</v>
      </c>
      <c r="M585" s="82">
        <v>0</v>
      </c>
      <c r="N585" s="82">
        <f t="shared" si="124"/>
        <v>0</v>
      </c>
      <c r="O585" s="83"/>
      <c r="P585"/>
      <c r="Q585"/>
      <c r="R585"/>
      <c r="S585"/>
      <c r="U585" s="84" t="s">
        <v>535</v>
      </c>
      <c r="V585" s="80"/>
      <c r="W585" s="82"/>
      <c r="X585" s="82" t="s">
        <v>592</v>
      </c>
      <c r="Y585" s="94" t="s">
        <v>584</v>
      </c>
      <c r="Z585" s="86" t="s">
        <v>565</v>
      </c>
      <c r="AA585" s="86" t="s">
        <v>14</v>
      </c>
      <c r="AB585" s="86" t="s">
        <v>14</v>
      </c>
      <c r="AC585" s="87">
        <v>0</v>
      </c>
      <c r="AD585" s="88">
        <f t="shared" si="125"/>
        <v>0</v>
      </c>
      <c r="AF585" s="54">
        <v>110094</v>
      </c>
      <c r="AQ585" s="80"/>
      <c r="AR585" s="80"/>
    </row>
    <row r="586" spans="1:44" ht="14.4">
      <c r="A586" s="92">
        <v>110096</v>
      </c>
      <c r="B586" s="78" t="str">
        <f>VLOOKUP(A586,'TB for financial'!A:B,2,0)</f>
        <v>CWIP - Electrical equipments</v>
      </c>
      <c r="D586" s="79">
        <f>VLOOKUP(A586,'TB for financial'!A:F,6,0)</f>
        <v>0</v>
      </c>
      <c r="E586" s="80"/>
      <c r="F586" s="79">
        <f>VLOOKUP(A586,'TB for financial'!A:K,11,0)</f>
        <v>0</v>
      </c>
      <c r="G586" s="80"/>
      <c r="H586" s="81">
        <f t="shared" si="121"/>
        <v>0</v>
      </c>
      <c r="I586" s="81">
        <v>0</v>
      </c>
      <c r="J586" s="81">
        <f t="shared" si="122"/>
        <v>0</v>
      </c>
      <c r="K586" s="80"/>
      <c r="L586" s="82">
        <f t="shared" si="123"/>
        <v>0</v>
      </c>
      <c r="M586" s="82">
        <v>0</v>
      </c>
      <c r="N586" s="82">
        <f t="shared" si="124"/>
        <v>0</v>
      </c>
      <c r="O586" s="83"/>
      <c r="P586"/>
      <c r="Q586"/>
      <c r="R586"/>
      <c r="S586"/>
      <c r="U586" s="84" t="s">
        <v>535</v>
      </c>
      <c r="V586" s="80"/>
      <c r="W586" s="82"/>
      <c r="X586" s="82" t="s">
        <v>592</v>
      </c>
      <c r="Y586" s="94" t="s">
        <v>584</v>
      </c>
      <c r="Z586" s="86" t="s">
        <v>565</v>
      </c>
      <c r="AA586" s="86" t="s">
        <v>14</v>
      </c>
      <c r="AB586" s="86" t="s">
        <v>14</v>
      </c>
      <c r="AC586" s="87">
        <v>0</v>
      </c>
      <c r="AD586" s="88">
        <f t="shared" si="125"/>
        <v>0</v>
      </c>
      <c r="AF586" s="54">
        <v>110096</v>
      </c>
      <c r="AQ586" s="80"/>
      <c r="AR586" s="80"/>
    </row>
    <row r="587" spans="1:44" ht="14.4">
      <c r="A587" s="92">
        <v>110098</v>
      </c>
      <c r="B587" s="78" t="str">
        <f>VLOOKUP(A587,'TB for financial'!A:B,2,0)</f>
        <v>CWIP - Leasehold Improvements</v>
      </c>
      <c r="D587" s="79">
        <f>VLOOKUP(A587,'TB for financial'!A:F,6,0)</f>
        <v>0</v>
      </c>
      <c r="E587" s="80"/>
      <c r="F587" s="79">
        <f>VLOOKUP(A587,'TB for financial'!A:K,11,0)</f>
        <v>0</v>
      </c>
      <c r="G587" s="80"/>
      <c r="H587" s="81">
        <f t="shared" si="121"/>
        <v>0</v>
      </c>
      <c r="I587" s="81">
        <v>0</v>
      </c>
      <c r="J587" s="81">
        <f t="shared" si="122"/>
        <v>0</v>
      </c>
      <c r="K587" s="80"/>
      <c r="L587" s="82">
        <f t="shared" si="123"/>
        <v>0</v>
      </c>
      <c r="M587" s="82">
        <v>0</v>
      </c>
      <c r="N587" s="82">
        <f t="shared" si="124"/>
        <v>0</v>
      </c>
      <c r="O587" s="83"/>
      <c r="P587"/>
      <c r="Q587"/>
      <c r="R587"/>
      <c r="S587"/>
      <c r="U587" s="84" t="s">
        <v>535</v>
      </c>
      <c r="V587" s="80"/>
      <c r="W587" s="82"/>
      <c r="X587" s="82" t="s">
        <v>592</v>
      </c>
      <c r="Y587" s="94" t="s">
        <v>584</v>
      </c>
      <c r="Z587" s="86" t="s">
        <v>565</v>
      </c>
      <c r="AA587" s="86" t="s">
        <v>14</v>
      </c>
      <c r="AB587" s="86" t="s">
        <v>14</v>
      </c>
      <c r="AC587" s="87">
        <v>0</v>
      </c>
      <c r="AD587" s="88">
        <f t="shared" si="125"/>
        <v>0</v>
      </c>
      <c r="AF587" s="54">
        <v>110098</v>
      </c>
      <c r="AQ587" s="80"/>
      <c r="AR587" s="80"/>
    </row>
    <row r="588" spans="1:44" ht="14.4">
      <c r="A588" s="70">
        <v>110097</v>
      </c>
      <c r="B588" s="78" t="str">
        <f>VLOOKUP(A588,'TB for financial'!A:B,2,0)</f>
        <v>CWIP - Furniture &amp; Fixtures</v>
      </c>
      <c r="D588" s="79">
        <f>VLOOKUP(A588,'TB for financial'!A:F,6,0)</f>
        <v>0</v>
      </c>
      <c r="E588" s="80"/>
      <c r="F588" s="79">
        <f>VLOOKUP(A588,'TB for financial'!A:K,11,0)</f>
        <v>0</v>
      </c>
      <c r="G588" s="80"/>
      <c r="H588" s="81">
        <f t="shared" si="121"/>
        <v>0</v>
      </c>
      <c r="I588" s="81">
        <v>0</v>
      </c>
      <c r="J588" s="81">
        <f t="shared" si="122"/>
        <v>0</v>
      </c>
      <c r="K588" s="80"/>
      <c r="L588" s="82">
        <f t="shared" si="123"/>
        <v>0</v>
      </c>
      <c r="M588" s="82">
        <v>0</v>
      </c>
      <c r="N588" s="82">
        <f t="shared" si="124"/>
        <v>0</v>
      </c>
      <c r="O588" s="83"/>
      <c r="P588"/>
      <c r="Q588"/>
      <c r="R588"/>
      <c r="S588"/>
      <c r="U588" s="84" t="s">
        <v>535</v>
      </c>
      <c r="V588" s="80"/>
      <c r="W588" s="82"/>
      <c r="X588" s="82" t="s">
        <v>592</v>
      </c>
      <c r="Y588" s="94" t="s">
        <v>584</v>
      </c>
      <c r="Z588" s="86" t="s">
        <v>565</v>
      </c>
      <c r="AA588" s="86" t="s">
        <v>14</v>
      </c>
      <c r="AB588" s="86" t="s">
        <v>14</v>
      </c>
      <c r="AC588" s="87">
        <v>0</v>
      </c>
      <c r="AD588" s="88">
        <f t="shared" si="125"/>
        <v>0</v>
      </c>
      <c r="AF588" s="54">
        <v>110097</v>
      </c>
      <c r="AQ588" s="80"/>
      <c r="AR588" s="80"/>
    </row>
    <row r="589" spans="1:44" ht="14.4">
      <c r="A589" s="70">
        <v>110099</v>
      </c>
      <c r="B589" s="78" t="str">
        <f>VLOOKUP(A589,'TB for financial'!A:B,2,0)</f>
        <v>CWIP - Buildings</v>
      </c>
      <c r="D589" s="79">
        <f>VLOOKUP(A589,'TB for financial'!A:F,6,0)</f>
        <v>0</v>
      </c>
      <c r="E589" s="80"/>
      <c r="F589" s="79">
        <f>VLOOKUP(A589,'TB for financial'!A:K,11,0)</f>
        <v>0</v>
      </c>
      <c r="G589" s="80"/>
      <c r="H589" s="81">
        <f t="shared" si="121"/>
        <v>0</v>
      </c>
      <c r="I589" s="81">
        <v>0</v>
      </c>
      <c r="J589" s="81">
        <f t="shared" si="122"/>
        <v>0</v>
      </c>
      <c r="K589" s="80"/>
      <c r="L589" s="82">
        <f t="shared" si="123"/>
        <v>0</v>
      </c>
      <c r="M589" s="82">
        <v>0</v>
      </c>
      <c r="N589" s="82">
        <f t="shared" si="124"/>
        <v>0</v>
      </c>
      <c r="O589" s="83"/>
      <c r="P589"/>
      <c r="Q589"/>
      <c r="R589"/>
      <c r="S589"/>
      <c r="U589" s="84" t="s">
        <v>535</v>
      </c>
      <c r="V589" s="80"/>
      <c r="W589" s="82"/>
      <c r="X589" s="82" t="s">
        <v>592</v>
      </c>
      <c r="Y589" s="94" t="s">
        <v>584</v>
      </c>
      <c r="Z589" s="86" t="s">
        <v>565</v>
      </c>
      <c r="AA589" s="86" t="s">
        <v>14</v>
      </c>
      <c r="AB589" s="86" t="s">
        <v>14</v>
      </c>
      <c r="AC589" s="87">
        <v>0</v>
      </c>
      <c r="AD589" s="88">
        <f t="shared" si="125"/>
        <v>0</v>
      </c>
      <c r="AF589" s="54">
        <v>110099</v>
      </c>
      <c r="AQ589" s="80"/>
      <c r="AR589" s="80"/>
    </row>
    <row r="590" spans="1:44" ht="5.0999999999999996" customHeight="1">
      <c r="A590" s="103"/>
      <c r="B590" s="104"/>
      <c r="D590" s="79"/>
      <c r="E590" s="80"/>
      <c r="F590" s="79"/>
      <c r="G590" s="80"/>
      <c r="H590" s="81"/>
      <c r="I590" s="81"/>
      <c r="J590" s="81"/>
      <c r="K590" s="80"/>
      <c r="L590" s="82"/>
      <c r="M590" s="82"/>
      <c r="N590" s="82"/>
      <c r="O590" s="83"/>
      <c r="P590"/>
      <c r="Q590"/>
      <c r="R590"/>
      <c r="S590"/>
      <c r="U590" s="84"/>
      <c r="V590" s="80"/>
      <c r="W590" s="82"/>
      <c r="X590" s="82"/>
      <c r="Y590" s="94"/>
      <c r="Z590" s="86"/>
      <c r="AA590" s="86"/>
      <c r="AB590" s="86"/>
      <c r="AQ590" s="80"/>
      <c r="AR590" s="80"/>
    </row>
    <row r="591" spans="1:44" ht="24.6" thickBot="1">
      <c r="A591" s="105"/>
      <c r="B591" s="71" t="s">
        <v>593</v>
      </c>
      <c r="D591" s="98">
        <f>SUM(D578:D590)</f>
        <v>0</v>
      </c>
      <c r="E591" s="96"/>
      <c r="F591" s="97">
        <f>SUM(F578:F590)</f>
        <v>0</v>
      </c>
      <c r="G591" s="80"/>
      <c r="H591" s="99">
        <f>SUM(H578:H590)</f>
        <v>0</v>
      </c>
      <c r="I591" s="99">
        <f>SUM(I578:I590)</f>
        <v>0</v>
      </c>
      <c r="J591" s="99">
        <f>SUM(J578:J590)</f>
        <v>0</v>
      </c>
      <c r="K591" s="80"/>
      <c r="L591" s="99">
        <f>SUM(L578:L590)</f>
        <v>0</v>
      </c>
      <c r="M591" s="99">
        <f>SUM(M578:M590)</f>
        <v>0</v>
      </c>
      <c r="N591" s="99">
        <f>SUM(N578:N590)</f>
        <v>0</v>
      </c>
      <c r="O591" s="100"/>
      <c r="P591"/>
      <c r="Q591"/>
      <c r="R591"/>
      <c r="S591"/>
      <c r="U591" s="101"/>
      <c r="V591" s="80"/>
      <c r="W591" s="102"/>
      <c r="X591" s="102"/>
      <c r="Y591" s="94"/>
      <c r="Z591" s="86"/>
      <c r="AA591" s="86"/>
      <c r="AB591" s="86"/>
      <c r="AQ591" s="80"/>
      <c r="AR591" s="80"/>
    </row>
    <row r="592" spans="1:44" ht="5.0999999999999996" customHeight="1" thickTop="1">
      <c r="A592" s="70"/>
      <c r="B592" s="78"/>
      <c r="D592" s="79"/>
      <c r="E592" s="80"/>
      <c r="F592" s="79"/>
      <c r="G592" s="80"/>
      <c r="H592" s="81"/>
      <c r="I592" s="81"/>
      <c r="J592" s="81"/>
      <c r="K592" s="80"/>
      <c r="L592" s="82"/>
      <c r="M592" s="82"/>
      <c r="N592" s="82"/>
      <c r="O592" s="83"/>
      <c r="P592"/>
      <c r="Q592"/>
      <c r="R592"/>
      <c r="S592"/>
      <c r="U592" s="84"/>
      <c r="V592" s="80"/>
      <c r="W592" s="82"/>
      <c r="X592" s="82"/>
      <c r="Y592" s="94"/>
      <c r="Z592" s="86"/>
      <c r="AA592" s="86"/>
      <c r="AB592" s="86"/>
      <c r="AQ592" s="80"/>
      <c r="AR592" s="80"/>
    </row>
    <row r="593" spans="1:44" ht="14.4">
      <c r="A593" s="70"/>
      <c r="B593" s="78"/>
      <c r="D593" s="79"/>
      <c r="E593" s="80"/>
      <c r="F593" s="79"/>
      <c r="G593" s="80"/>
      <c r="H593" s="81"/>
      <c r="I593" s="81"/>
      <c r="J593" s="81"/>
      <c r="K593" s="80"/>
      <c r="L593" s="82"/>
      <c r="M593" s="82"/>
      <c r="N593" s="82"/>
      <c r="O593" s="83"/>
      <c r="P593"/>
      <c r="Q593"/>
      <c r="R593"/>
      <c r="S593"/>
      <c r="U593" s="84"/>
      <c r="V593" s="80"/>
      <c r="W593" s="82"/>
      <c r="X593" s="82"/>
      <c r="Y593" s="94"/>
      <c r="Z593" s="86"/>
      <c r="AA593" s="86"/>
      <c r="AB593" s="86"/>
      <c r="AQ593" s="80"/>
      <c r="AR593" s="80"/>
    </row>
    <row r="594" spans="1:44" ht="14.4">
      <c r="A594" s="70"/>
      <c r="B594" s="78"/>
      <c r="D594" s="79"/>
      <c r="E594" s="80"/>
      <c r="F594" s="79"/>
      <c r="G594" s="80"/>
      <c r="H594" s="81"/>
      <c r="I594" s="81"/>
      <c r="J594" s="81"/>
      <c r="K594" s="80"/>
      <c r="L594" s="82"/>
      <c r="M594" s="82"/>
      <c r="N594" s="82"/>
      <c r="O594" s="83"/>
      <c r="P594"/>
      <c r="Q594"/>
      <c r="R594"/>
      <c r="S594"/>
      <c r="U594" s="84"/>
      <c r="V594" s="80"/>
      <c r="W594" s="82"/>
      <c r="X594" s="82"/>
      <c r="Y594" s="94"/>
      <c r="Z594" s="86"/>
      <c r="AA594" s="86"/>
      <c r="AB594" s="86"/>
      <c r="AQ594" s="80"/>
      <c r="AR594" s="80"/>
    </row>
    <row r="595" spans="1:44" ht="14.4">
      <c r="A595" s="70">
        <v>110092</v>
      </c>
      <c r="B595" s="78" t="str">
        <f>VLOOKUP(A595,'TB for financial'!A:B,2,0)</f>
        <v>Capital Advances-Regrouped</v>
      </c>
      <c r="D595" s="79">
        <f>VLOOKUP(A595,'TB for financial'!A:F,6,0)</f>
        <v>0</v>
      </c>
      <c r="E595" s="80"/>
      <c r="F595" s="79">
        <f>VLOOKUP(A595,'TB for financial'!A:K,11,0)</f>
        <v>0</v>
      </c>
      <c r="G595" s="80"/>
      <c r="H595" s="81">
        <f>D595-I595</f>
        <v>0</v>
      </c>
      <c r="I595" s="81">
        <v>0</v>
      </c>
      <c r="J595" s="81">
        <f>+D595-H595-I595</f>
        <v>0</v>
      </c>
      <c r="K595" s="80"/>
      <c r="L595" s="82">
        <f>F595-M595</f>
        <v>0</v>
      </c>
      <c r="M595" s="82">
        <v>0</v>
      </c>
      <c r="N595" s="82">
        <f>+F595-L595-M595</f>
        <v>0</v>
      </c>
      <c r="O595" s="83"/>
      <c r="P595"/>
      <c r="Q595"/>
      <c r="R595"/>
      <c r="S595"/>
      <c r="U595" s="84" t="s">
        <v>535</v>
      </c>
      <c r="V595" s="80"/>
      <c r="W595" s="82"/>
      <c r="X595" s="82" t="s">
        <v>563</v>
      </c>
      <c r="Y595" s="94" t="s">
        <v>584</v>
      </c>
      <c r="Z595" s="86" t="s">
        <v>565</v>
      </c>
      <c r="AA595" s="86" t="s">
        <v>28</v>
      </c>
      <c r="AB595" s="86" t="s">
        <v>21</v>
      </c>
      <c r="AC595" s="87">
        <v>0</v>
      </c>
      <c r="AD595" s="88">
        <f>+D595-AC595</f>
        <v>0</v>
      </c>
      <c r="AF595" s="54">
        <v>110092</v>
      </c>
      <c r="AQ595" s="80"/>
      <c r="AR595" s="80"/>
    </row>
    <row r="596" spans="1:44" ht="5.0999999999999996" customHeight="1">
      <c r="A596" s="103"/>
      <c r="B596" s="104"/>
      <c r="D596" s="79"/>
      <c r="E596" s="80"/>
      <c r="F596" s="79"/>
      <c r="G596" s="80"/>
      <c r="H596" s="81"/>
      <c r="I596" s="81"/>
      <c r="J596" s="81"/>
      <c r="K596" s="80"/>
      <c r="L596" s="82"/>
      <c r="M596" s="82"/>
      <c r="N596" s="82"/>
      <c r="O596" s="83"/>
      <c r="P596"/>
      <c r="Q596"/>
      <c r="R596"/>
      <c r="S596"/>
      <c r="U596" s="84"/>
      <c r="V596" s="80"/>
      <c r="W596" s="82"/>
      <c r="X596" s="82"/>
      <c r="Y596" s="94"/>
      <c r="Z596" s="86"/>
      <c r="AA596" s="86"/>
      <c r="AB596" s="86"/>
      <c r="AQ596" s="80"/>
      <c r="AR596" s="80"/>
    </row>
    <row r="597" spans="1:44" ht="15" thickBot="1">
      <c r="A597" s="105"/>
      <c r="B597" s="71" t="s">
        <v>594</v>
      </c>
      <c r="D597" s="95">
        <f>SUM(D595:D596)</f>
        <v>0</v>
      </c>
      <c r="E597" s="96"/>
      <c r="F597" s="97">
        <f>SUM(F595:F596)</f>
        <v>0</v>
      </c>
      <c r="G597" s="80"/>
      <c r="H597" s="99">
        <f>SUM(H595:H596)</f>
        <v>0</v>
      </c>
      <c r="I597" s="98">
        <f>SUM(I595:I596)</f>
        <v>0</v>
      </c>
      <c r="J597" s="99">
        <f>SUM(J595:J596)</f>
        <v>0</v>
      </c>
      <c r="K597" s="80"/>
      <c r="L597" s="99">
        <f>SUM(L595:L596)</f>
        <v>0</v>
      </c>
      <c r="M597" s="99">
        <f>SUM(M595:M596)</f>
        <v>0</v>
      </c>
      <c r="N597" s="99">
        <f>SUM(N595:N596)</f>
        <v>0</v>
      </c>
      <c r="O597" s="100"/>
      <c r="P597"/>
      <c r="Q597"/>
      <c r="R597"/>
      <c r="S597"/>
      <c r="U597" s="101"/>
      <c r="V597" s="80"/>
      <c r="W597" s="102"/>
      <c r="X597" s="102"/>
      <c r="Y597" s="94"/>
      <c r="Z597" s="86"/>
      <c r="AA597" s="86"/>
      <c r="AB597" s="86"/>
      <c r="AQ597" s="80"/>
      <c r="AR597" s="80"/>
    </row>
    <row r="598" spans="1:44" ht="15" thickTop="1">
      <c r="A598" s="70"/>
      <c r="B598" s="78"/>
      <c r="D598" s="79"/>
      <c r="E598" s="80"/>
      <c r="F598" s="79"/>
      <c r="G598" s="80"/>
      <c r="H598" s="81"/>
      <c r="I598" s="81"/>
      <c r="J598" s="81"/>
      <c r="K598" s="80"/>
      <c r="L598" s="82"/>
      <c r="M598" s="82"/>
      <c r="N598" s="82"/>
      <c r="O598" s="83"/>
      <c r="P598"/>
      <c r="Q598"/>
      <c r="R598"/>
      <c r="S598"/>
      <c r="U598" s="84"/>
      <c r="V598" s="80"/>
      <c r="W598" s="82"/>
      <c r="X598" s="82"/>
      <c r="Y598" s="94"/>
      <c r="Z598" s="86"/>
      <c r="AA598" s="86"/>
      <c r="AB598" s="86"/>
      <c r="AQ598" s="80"/>
      <c r="AR598" s="80"/>
    </row>
    <row r="599" spans="1:44" ht="14.4">
      <c r="A599" s="70">
        <v>110049</v>
      </c>
      <c r="B599" s="78" t="str">
        <f>VLOOKUP(A599,'TB for financial'!A:B,2,0)</f>
        <v>ROU of Lease Assets</v>
      </c>
      <c r="D599" s="79">
        <f>VLOOKUP(A599,'TB for financial'!A:F,6,0)</f>
        <v>0</v>
      </c>
      <c r="E599" s="80"/>
      <c r="F599" s="79">
        <f>VLOOKUP(A599,'TB for financial'!A:K,11,0)</f>
        <v>0</v>
      </c>
      <c r="G599" s="80"/>
      <c r="H599" s="81">
        <f>D599-I599</f>
        <v>0</v>
      </c>
      <c r="I599" s="81">
        <v>0</v>
      </c>
      <c r="J599" s="81">
        <f>+D599-H599-I599</f>
        <v>0</v>
      </c>
      <c r="K599" s="80"/>
      <c r="L599" s="82">
        <f>F599-M599</f>
        <v>0</v>
      </c>
      <c r="M599" s="82">
        <v>0</v>
      </c>
      <c r="N599" s="82">
        <f>+F599-L599-M599</f>
        <v>0</v>
      </c>
      <c r="O599" s="83"/>
      <c r="P599"/>
      <c r="Q599"/>
      <c r="R599"/>
      <c r="S599"/>
      <c r="U599" s="84" t="s">
        <v>535</v>
      </c>
      <c r="V599" s="80"/>
      <c r="W599" s="82"/>
      <c r="X599" s="82" t="s">
        <v>563</v>
      </c>
      <c r="Y599" s="94" t="s">
        <v>584</v>
      </c>
      <c r="Z599" s="86" t="s">
        <v>565</v>
      </c>
      <c r="AA599" s="86" t="s">
        <v>28</v>
      </c>
      <c r="AB599" s="86" t="s">
        <v>21</v>
      </c>
      <c r="AC599" s="87">
        <v>0</v>
      </c>
      <c r="AD599" s="88">
        <f>+D599-AC599</f>
        <v>0</v>
      </c>
      <c r="AF599" s="54" t="s">
        <v>576</v>
      </c>
      <c r="AQ599" s="80"/>
      <c r="AR599" s="80"/>
    </row>
    <row r="600" spans="1:44" ht="14.4">
      <c r="A600" s="70">
        <v>110156</v>
      </c>
      <c r="B600" s="78" t="str">
        <f>VLOOKUP(A600,'TB for financial'!A:B,2,0)</f>
        <v>Acc Dep right of use Lease</v>
      </c>
      <c r="D600" s="79">
        <f>VLOOKUP(A600,'TB for financial'!A:F,6,0)</f>
        <v>0</v>
      </c>
      <c r="E600" s="80"/>
      <c r="F600" s="79">
        <f>VLOOKUP(A600,'TB for financial'!A:K,11,0)</f>
        <v>0</v>
      </c>
      <c r="G600" s="80"/>
      <c r="H600" s="81">
        <f>D600-I600</f>
        <v>0</v>
      </c>
      <c r="I600" s="81">
        <v>0</v>
      </c>
      <c r="J600" s="81">
        <f>+D600-H600-I600</f>
        <v>0</v>
      </c>
      <c r="K600" s="80"/>
      <c r="L600" s="82">
        <f>F600-M600</f>
        <v>0</v>
      </c>
      <c r="M600" s="82">
        <v>0</v>
      </c>
      <c r="N600" s="82">
        <f>+F600-L600-M600</f>
        <v>0</v>
      </c>
      <c r="O600" s="83"/>
      <c r="P600"/>
      <c r="Q600"/>
      <c r="R600"/>
      <c r="S600"/>
      <c r="U600" s="84"/>
      <c r="V600" s="80"/>
      <c r="W600" s="82"/>
      <c r="X600" s="82"/>
      <c r="Y600" s="94" t="s">
        <v>584</v>
      </c>
      <c r="Z600" s="86" t="s">
        <v>565</v>
      </c>
      <c r="AA600" s="86" t="s">
        <v>28</v>
      </c>
      <c r="AB600" s="86" t="s">
        <v>21</v>
      </c>
      <c r="AC600" s="87">
        <v>0</v>
      </c>
      <c r="AD600" s="88">
        <f>+D600-AC600</f>
        <v>0</v>
      </c>
      <c r="AF600" s="54" t="s">
        <v>576</v>
      </c>
      <c r="AQ600" s="80"/>
      <c r="AR600" s="80"/>
    </row>
    <row r="601" spans="1:44" ht="14.4">
      <c r="A601" s="1373">
        <v>217000</v>
      </c>
      <c r="B601" s="78" t="str">
        <f>VLOOKUP(A601,'TB for financial'!A:B,2,0)</f>
        <v>Right of use real estate</v>
      </c>
      <c r="D601" s="122">
        <f>VLOOKUP(A601,'TB for financial'!A:F,6,0)</f>
        <v>16477084.412697202</v>
      </c>
      <c r="E601" s="80"/>
      <c r="F601" s="79">
        <f>VLOOKUP(A601,'TB for financial'!A:K,11,0)</f>
        <v>16449632.583994618</v>
      </c>
      <c r="G601" s="80"/>
      <c r="H601" s="81">
        <f>D601-I601</f>
        <v>0</v>
      </c>
      <c r="I601" s="122">
        <v>16477084.412697202</v>
      </c>
      <c r="J601" s="81">
        <f>+D601-H601-I601</f>
        <v>0</v>
      </c>
      <c r="K601" s="80"/>
      <c r="L601" s="82">
        <f>F601-M601</f>
        <v>0</v>
      </c>
      <c r="M601" s="122">
        <v>16449632.583994618</v>
      </c>
      <c r="N601" s="82">
        <f>+F601-L601-M601</f>
        <v>0</v>
      </c>
      <c r="O601" s="83"/>
      <c r="P601" s="672"/>
      <c r="Q601"/>
      <c r="R601"/>
      <c r="S601"/>
      <c r="U601" s="84"/>
      <c r="V601" s="80"/>
      <c r="W601" s="82"/>
      <c r="X601" s="82"/>
      <c r="Y601" s="94" t="s">
        <v>584</v>
      </c>
      <c r="Z601" s="86" t="s">
        <v>565</v>
      </c>
      <c r="AA601" s="86" t="s">
        <v>28</v>
      </c>
      <c r="AB601" s="86" t="s">
        <v>21</v>
      </c>
      <c r="AC601" s="87">
        <v>0</v>
      </c>
      <c r="AD601" s="88">
        <f>+D601-AC601</f>
        <v>16477084.412697202</v>
      </c>
      <c r="AE601" s="54" t="s">
        <v>2702</v>
      </c>
      <c r="AF601" s="54" t="s">
        <v>2536</v>
      </c>
      <c r="AQ601" s="80">
        <f>+D601</f>
        <v>16477084.412697202</v>
      </c>
      <c r="AR601" s="80"/>
    </row>
    <row r="602" spans="1:44" ht="24">
      <c r="A602" s="1373">
        <v>281700</v>
      </c>
      <c r="B602" s="78" t="str">
        <f>VLOOKUP(A602,'TB for financial'!A:B,2,0)</f>
        <v>Depreciation right of use real estate</v>
      </c>
      <c r="D602" s="122">
        <f>VLOOKUP(A602,'TB for financial'!A:F,6,0)</f>
        <v>-13258483.754158892</v>
      </c>
      <c r="E602" s="80"/>
      <c r="F602" s="79">
        <f>VLOOKUP(A602,'TB for financial'!A:K,11,0)</f>
        <v>-10051810.022772595</v>
      </c>
      <c r="G602" s="80"/>
      <c r="H602" s="81">
        <f>D602-I602</f>
        <v>-3206673.7313862965</v>
      </c>
      <c r="I602" s="122">
        <v>-10051810.022772595</v>
      </c>
      <c r="J602" s="81">
        <f>+D602-H602-I602</f>
        <v>0</v>
      </c>
      <c r="K602" s="80"/>
      <c r="L602" s="82">
        <f>F602-M602</f>
        <v>0</v>
      </c>
      <c r="M602" s="122">
        <v>-10051810.022772595</v>
      </c>
      <c r="N602" s="82">
        <f>+F602-L602-M602</f>
        <v>0</v>
      </c>
      <c r="O602" s="83"/>
      <c r="P602" s="672"/>
      <c r="Q602"/>
      <c r="R602"/>
      <c r="S602"/>
      <c r="U602" s="84"/>
      <c r="V602" s="80"/>
      <c r="W602" s="82"/>
      <c r="X602" s="82"/>
      <c r="Y602" s="94" t="s">
        <v>584</v>
      </c>
      <c r="Z602" s="86" t="s">
        <v>565</v>
      </c>
      <c r="AA602" s="86" t="s">
        <v>28</v>
      </c>
      <c r="AB602" s="86" t="s">
        <v>21</v>
      </c>
      <c r="AC602" s="87">
        <v>0</v>
      </c>
      <c r="AD602" s="88">
        <f>+D602-AC602</f>
        <v>-13258483.754158892</v>
      </c>
      <c r="AE602" s="54" t="s">
        <v>2702</v>
      </c>
      <c r="AF602" s="54" t="s">
        <v>2536</v>
      </c>
      <c r="AQ602" s="80">
        <f>+D602</f>
        <v>-13258483.754158892</v>
      </c>
      <c r="AR602" s="80"/>
    </row>
    <row r="603" spans="1:44" ht="5.0999999999999996" customHeight="1">
      <c r="A603" s="103"/>
      <c r="B603" s="104"/>
      <c r="D603" s="79"/>
      <c r="E603" s="80"/>
      <c r="F603" s="79"/>
      <c r="G603" s="80"/>
      <c r="H603" s="81"/>
      <c r="I603" s="81"/>
      <c r="J603" s="81"/>
      <c r="K603" s="80"/>
      <c r="L603" s="82"/>
      <c r="M603" s="82"/>
      <c r="N603" s="82"/>
      <c r="O603" s="83"/>
      <c r="P603"/>
      <c r="Q603"/>
      <c r="R603"/>
      <c r="S603"/>
      <c r="U603" s="84"/>
      <c r="V603" s="80"/>
      <c r="W603" s="82"/>
      <c r="X603" s="82"/>
      <c r="Y603" s="94"/>
      <c r="Z603" s="86"/>
      <c r="AA603" s="86"/>
      <c r="AB603" s="86"/>
      <c r="AQ603" s="80"/>
      <c r="AR603" s="80"/>
    </row>
    <row r="604" spans="1:44" ht="15" thickBot="1">
      <c r="A604" s="105"/>
      <c r="B604" s="71" t="s">
        <v>2306</v>
      </c>
      <c r="D604" s="95">
        <f>SUM(D599:D603)</f>
        <v>3218600.6585383099</v>
      </c>
      <c r="E604" s="96"/>
      <c r="F604" s="97">
        <f>SUM(F599:F603)</f>
        <v>6397822.5612220224</v>
      </c>
      <c r="G604" s="80"/>
      <c r="H604" s="99">
        <f>SUM(H599:H603)</f>
        <v>-3206673.7313862965</v>
      </c>
      <c r="I604" s="98">
        <f>SUM(I599:I603)</f>
        <v>6425274.3899246063</v>
      </c>
      <c r="J604" s="99">
        <f>SUM(J599:J603)</f>
        <v>0</v>
      </c>
      <c r="K604" s="80"/>
      <c r="L604" s="99">
        <f>SUM(L599:L603)</f>
        <v>0</v>
      </c>
      <c r="M604" s="99">
        <f>SUM(M599:M603)</f>
        <v>6397822.5612220224</v>
      </c>
      <c r="N604" s="99">
        <f>SUM(N599:N603)</f>
        <v>0</v>
      </c>
      <c r="O604" s="100"/>
      <c r="P604"/>
      <c r="Q604"/>
      <c r="R604"/>
      <c r="S604"/>
      <c r="U604" s="101"/>
      <c r="V604" s="80"/>
      <c r="W604" s="102"/>
      <c r="X604" s="102"/>
      <c r="Y604" s="94"/>
      <c r="Z604" s="86"/>
      <c r="AA604" s="86"/>
      <c r="AB604" s="86"/>
      <c r="AQ604" s="80"/>
      <c r="AR604" s="80"/>
    </row>
    <row r="605" spans="1:44" ht="15" thickTop="1">
      <c r="A605" s="70"/>
      <c r="B605" s="78"/>
      <c r="D605" s="79"/>
      <c r="E605" s="80"/>
      <c r="F605" s="79"/>
      <c r="G605" s="80"/>
      <c r="H605" s="81"/>
      <c r="I605" s="81"/>
      <c r="J605" s="81"/>
      <c r="K605" s="80"/>
      <c r="L605" s="82"/>
      <c r="M605" s="82"/>
      <c r="N605" s="82"/>
      <c r="O605" s="83"/>
      <c r="P605"/>
      <c r="Q605"/>
      <c r="R605"/>
      <c r="S605"/>
      <c r="U605" s="84"/>
      <c r="V605" s="80"/>
      <c r="W605" s="82"/>
      <c r="X605" s="82"/>
      <c r="Y605" s="94"/>
      <c r="Z605" s="86"/>
      <c r="AA605" s="86"/>
      <c r="AB605" s="86"/>
      <c r="AQ605" s="80"/>
      <c r="AR605" s="80"/>
    </row>
    <row r="606" spans="1:44" ht="14.4">
      <c r="A606" s="70"/>
      <c r="B606" s="78"/>
      <c r="D606" s="79"/>
      <c r="E606" s="80"/>
      <c r="F606" s="79"/>
      <c r="G606" s="80"/>
      <c r="H606" s="81"/>
      <c r="I606" s="81"/>
      <c r="J606" s="81"/>
      <c r="K606" s="80"/>
      <c r="L606" s="82"/>
      <c r="M606" s="82"/>
      <c r="N606" s="82"/>
      <c r="O606" s="83"/>
      <c r="P606"/>
      <c r="Q606"/>
      <c r="R606"/>
      <c r="S606"/>
      <c r="U606" s="84"/>
      <c r="V606" s="80"/>
      <c r="W606" s="82"/>
      <c r="X606" s="82"/>
      <c r="Y606" s="94"/>
      <c r="Z606" s="86"/>
      <c r="AA606" s="86"/>
      <c r="AB606" s="86"/>
      <c r="AQ606" s="80"/>
      <c r="AR606" s="80"/>
    </row>
    <row r="607" spans="1:44" ht="14.4">
      <c r="A607" s="70"/>
      <c r="B607" s="78"/>
      <c r="D607" s="79"/>
      <c r="E607" s="80"/>
      <c r="F607" s="79"/>
      <c r="G607" s="80"/>
      <c r="H607" s="81"/>
      <c r="I607" s="81"/>
      <c r="J607" s="81"/>
      <c r="K607" s="80"/>
      <c r="L607" s="82"/>
      <c r="M607" s="82"/>
      <c r="N607" s="82"/>
      <c r="O607" s="83"/>
      <c r="P607"/>
      <c r="Q607"/>
      <c r="R607"/>
      <c r="S607"/>
      <c r="U607" s="84"/>
      <c r="V607" s="80"/>
      <c r="W607" s="82"/>
      <c r="X607" s="82"/>
      <c r="Y607" s="94"/>
      <c r="Z607" s="86"/>
      <c r="AA607" s="86"/>
      <c r="AB607" s="86"/>
      <c r="AQ607" s="80"/>
      <c r="AR607" s="80"/>
    </row>
    <row r="608" spans="1:44" ht="14.4">
      <c r="A608" s="70"/>
      <c r="B608" s="78"/>
      <c r="D608" s="79"/>
      <c r="E608" s="80"/>
      <c r="F608" s="79"/>
      <c r="G608" s="80"/>
      <c r="H608" s="81"/>
      <c r="I608" s="81"/>
      <c r="J608" s="81"/>
      <c r="K608" s="80"/>
      <c r="L608" s="82"/>
      <c r="M608" s="82"/>
      <c r="N608" s="82"/>
      <c r="O608" s="83"/>
      <c r="P608"/>
      <c r="Q608"/>
      <c r="R608"/>
      <c r="S608"/>
      <c r="U608" s="84"/>
      <c r="V608" s="80"/>
      <c r="W608" s="82"/>
      <c r="X608" s="82"/>
      <c r="Y608" s="94"/>
      <c r="Z608" s="86"/>
      <c r="AA608" s="86"/>
      <c r="AB608" s="86"/>
      <c r="AQ608" s="80"/>
      <c r="AR608" s="80"/>
    </row>
    <row r="609" spans="1:44" ht="14.4">
      <c r="A609" s="70"/>
      <c r="B609" s="78"/>
      <c r="D609" s="79"/>
      <c r="E609" s="80"/>
      <c r="F609" s="79"/>
      <c r="G609" s="80"/>
      <c r="H609" s="81"/>
      <c r="I609" s="81"/>
      <c r="J609" s="81"/>
      <c r="K609" s="80"/>
      <c r="L609" s="82"/>
      <c r="M609" s="82"/>
      <c r="N609" s="82"/>
      <c r="O609" s="83"/>
      <c r="P609"/>
      <c r="Q609"/>
      <c r="R609"/>
      <c r="S609"/>
      <c r="U609" s="84"/>
      <c r="V609" s="80"/>
      <c r="W609" s="82"/>
      <c r="X609" s="82"/>
      <c r="Y609" s="94"/>
      <c r="Z609" s="86"/>
      <c r="AA609" s="86"/>
      <c r="AB609" s="86"/>
      <c r="AQ609" s="80"/>
      <c r="AR609" s="80"/>
    </row>
    <row r="610" spans="1:44" ht="14.4">
      <c r="A610" s="70">
        <v>200010</v>
      </c>
      <c r="B610" s="78" t="str">
        <f>VLOOKUP(A610,'TB for financial'!A:B,2,0)</f>
        <v>Accounts Payable</v>
      </c>
      <c r="D610" s="79">
        <f>-VLOOKUP(A610,'TB for financial'!A:F,6,0)-D637</f>
        <v>0</v>
      </c>
      <c r="E610" s="80"/>
      <c r="F610" s="79">
        <f>-VLOOKUP(A610,'TB for financial'!A:K,11,0)-F637</f>
        <v>0</v>
      </c>
      <c r="G610" s="80"/>
      <c r="H610" s="81">
        <f t="shared" ref="H610:H616" si="126">D610-I610</f>
        <v>0</v>
      </c>
      <c r="I610" s="81">
        <v>0</v>
      </c>
      <c r="J610" s="81">
        <f t="shared" ref="J610:J633" si="127">+D610-H610-I610</f>
        <v>0</v>
      </c>
      <c r="K610" s="80"/>
      <c r="L610" s="82">
        <f t="shared" ref="L610:L616" si="128">F610-M610</f>
        <v>0</v>
      </c>
      <c r="M610" s="82">
        <v>0</v>
      </c>
      <c r="N610" s="82">
        <f t="shared" ref="N610:N616" si="129">+F610-L610-M610</f>
        <v>0</v>
      </c>
      <c r="O610" s="83"/>
      <c r="P610"/>
      <c r="Q610"/>
      <c r="R610"/>
      <c r="S610"/>
      <c r="U610" s="84" t="s">
        <v>530</v>
      </c>
      <c r="V610" s="80"/>
      <c r="W610" s="82" t="s">
        <v>46</v>
      </c>
      <c r="X610" s="82"/>
      <c r="Y610" s="85" t="s">
        <v>531</v>
      </c>
      <c r="Z610" s="86" t="s">
        <v>572</v>
      </c>
      <c r="AA610" s="86" t="s">
        <v>46</v>
      </c>
      <c r="AB610" s="86" t="s">
        <v>46</v>
      </c>
      <c r="AC610" s="87">
        <v>0</v>
      </c>
      <c r="AD610" s="88">
        <f t="shared" ref="AD610:AD616" si="130">+D610-AC610</f>
        <v>0</v>
      </c>
      <c r="AF610" s="54">
        <v>200010</v>
      </c>
      <c r="AQ610" s="80"/>
      <c r="AR610" s="80"/>
    </row>
    <row r="611" spans="1:44" ht="14.4">
      <c r="A611" s="144">
        <v>205040</v>
      </c>
      <c r="B611" s="78" t="str">
        <f>VLOOKUP(A611,'TB for financial'!A:B,2,0)</f>
        <v>Accrued Expenses</v>
      </c>
      <c r="D611" s="79">
        <f>-VLOOKUP(A611,'TB for financial'!A:F,6,0)</f>
        <v>0</v>
      </c>
      <c r="E611" s="80"/>
      <c r="F611" s="79">
        <f>-VLOOKUP(A611,'TB for financial'!A:K,11,0)</f>
        <v>0</v>
      </c>
      <c r="G611" s="80"/>
      <c r="H611" s="81">
        <f t="shared" si="126"/>
        <v>0</v>
      </c>
      <c r="I611" s="81">
        <v>0</v>
      </c>
      <c r="J611" s="81">
        <f t="shared" si="127"/>
        <v>0</v>
      </c>
      <c r="K611" s="80"/>
      <c r="L611" s="82">
        <f t="shared" si="128"/>
        <v>0</v>
      </c>
      <c r="M611" s="82">
        <v>0</v>
      </c>
      <c r="N611" s="82">
        <f t="shared" si="129"/>
        <v>0</v>
      </c>
      <c r="O611" s="83"/>
      <c r="P611"/>
      <c r="Q611"/>
      <c r="R611"/>
      <c r="S611"/>
      <c r="U611" s="84" t="s">
        <v>530</v>
      </c>
      <c r="V611" s="80"/>
      <c r="W611" s="82" t="s">
        <v>46</v>
      </c>
      <c r="X611" s="82"/>
      <c r="Y611" s="85" t="s">
        <v>531</v>
      </c>
      <c r="Z611" s="86" t="s">
        <v>572</v>
      </c>
      <c r="AA611" s="86" t="s">
        <v>46</v>
      </c>
      <c r="AB611" s="86" t="s">
        <v>46</v>
      </c>
      <c r="AC611" s="87">
        <v>0</v>
      </c>
      <c r="AD611" s="88">
        <f t="shared" si="130"/>
        <v>0</v>
      </c>
      <c r="AF611" s="54">
        <v>205040</v>
      </c>
      <c r="AQ611" s="80"/>
      <c r="AR611" s="80"/>
    </row>
    <row r="612" spans="1:44" ht="14.4">
      <c r="A612" s="70">
        <v>200011</v>
      </c>
      <c r="B612" s="78" t="str">
        <f>VLOOKUP(A612,'TB for financial'!A:B,2,0)</f>
        <v>Capital Adv. Trfd</v>
      </c>
      <c r="D612" s="79">
        <f>-VLOOKUP(A612,'TB for financial'!A:F,6,0)</f>
        <v>0</v>
      </c>
      <c r="E612" s="80"/>
      <c r="F612" s="79">
        <f>-VLOOKUP(A612,'TB for financial'!A:K,11,0)</f>
        <v>0</v>
      </c>
      <c r="G612" s="80"/>
      <c r="H612" s="81">
        <f t="shared" si="126"/>
        <v>0</v>
      </c>
      <c r="I612" s="81">
        <v>0</v>
      </c>
      <c r="J612" s="81">
        <f t="shared" si="127"/>
        <v>0</v>
      </c>
      <c r="K612" s="80"/>
      <c r="L612" s="82">
        <f t="shared" si="128"/>
        <v>0</v>
      </c>
      <c r="M612" s="82">
        <v>0</v>
      </c>
      <c r="N612" s="82">
        <f t="shared" si="129"/>
        <v>0</v>
      </c>
      <c r="O612" s="83"/>
      <c r="P612"/>
      <c r="Q612"/>
      <c r="R612"/>
      <c r="S612"/>
      <c r="U612" s="84" t="s">
        <v>530</v>
      </c>
      <c r="V612" s="80"/>
      <c r="W612" s="82" t="s">
        <v>46</v>
      </c>
      <c r="X612" s="82"/>
      <c r="Y612" s="85" t="s">
        <v>531</v>
      </c>
      <c r="Z612" s="86" t="s">
        <v>572</v>
      </c>
      <c r="AA612" s="86" t="s">
        <v>46</v>
      </c>
      <c r="AB612" s="86" t="s">
        <v>46</v>
      </c>
      <c r="AC612" s="87">
        <v>0</v>
      </c>
      <c r="AD612" s="88">
        <f t="shared" si="130"/>
        <v>0</v>
      </c>
      <c r="AF612" s="54">
        <v>200011</v>
      </c>
      <c r="AQ612" s="80"/>
      <c r="AR612" s="80"/>
    </row>
    <row r="613" spans="1:44" ht="14.4">
      <c r="A613" s="70">
        <v>200012</v>
      </c>
      <c r="B613" s="78" t="str">
        <f>VLOOKUP(A613,'TB for financial'!A:B,2,0)</f>
        <v>Advances to customers regrouped</v>
      </c>
      <c r="D613" s="79">
        <f>-VLOOKUP(A613,'TB for financial'!A:F,6,0)</f>
        <v>0</v>
      </c>
      <c r="E613" s="80"/>
      <c r="F613" s="79">
        <f>-VLOOKUP(A613,'TB for financial'!A:K,11,0)</f>
        <v>0</v>
      </c>
      <c r="G613" s="80"/>
      <c r="H613" s="81">
        <f t="shared" si="126"/>
        <v>0</v>
      </c>
      <c r="I613" s="81">
        <v>0</v>
      </c>
      <c r="J613" s="81">
        <f t="shared" si="127"/>
        <v>0</v>
      </c>
      <c r="K613" s="80"/>
      <c r="L613" s="82">
        <f t="shared" si="128"/>
        <v>0</v>
      </c>
      <c r="M613" s="82">
        <v>0</v>
      </c>
      <c r="N613" s="82">
        <f t="shared" si="129"/>
        <v>0</v>
      </c>
      <c r="O613" s="83"/>
      <c r="P613"/>
      <c r="Q613"/>
      <c r="R613"/>
      <c r="S613"/>
      <c r="U613" s="84" t="s">
        <v>530</v>
      </c>
      <c r="V613" s="80"/>
      <c r="W613" s="82" t="s">
        <v>46</v>
      </c>
      <c r="X613" s="82"/>
      <c r="Y613" s="85" t="s">
        <v>531</v>
      </c>
      <c r="Z613" s="86" t="s">
        <v>572</v>
      </c>
      <c r="AA613" s="86" t="s">
        <v>46</v>
      </c>
      <c r="AB613" s="86" t="s">
        <v>46</v>
      </c>
      <c r="AC613" s="87">
        <v>0</v>
      </c>
      <c r="AD613" s="88">
        <f t="shared" si="130"/>
        <v>0</v>
      </c>
      <c r="AF613" s="54">
        <v>200012</v>
      </c>
      <c r="AQ613" s="80"/>
      <c r="AR613" s="80"/>
    </row>
    <row r="614" spans="1:44" ht="14.4">
      <c r="A614" s="70">
        <v>200019</v>
      </c>
      <c r="B614" s="78" t="str">
        <f>VLOOKUP(A614,'TB for financial'!A:B,2,0)</f>
        <v>Vendor balance - Revaluation</v>
      </c>
      <c r="D614" s="79">
        <f>-VLOOKUP(A614,'TB for financial'!A:F,6,0)-D639</f>
        <v>0</v>
      </c>
      <c r="E614" s="80"/>
      <c r="F614" s="79">
        <f>-VLOOKUP(A614,'TB for financial'!A:K,11,0)-F639</f>
        <v>0</v>
      </c>
      <c r="G614" s="80"/>
      <c r="H614" s="81">
        <f t="shared" si="126"/>
        <v>0</v>
      </c>
      <c r="I614" s="81">
        <v>0</v>
      </c>
      <c r="J614" s="81">
        <f t="shared" si="127"/>
        <v>0</v>
      </c>
      <c r="K614" s="80"/>
      <c r="L614" s="82">
        <f t="shared" si="128"/>
        <v>0</v>
      </c>
      <c r="M614" s="82">
        <v>0</v>
      </c>
      <c r="N614" s="82">
        <f t="shared" si="129"/>
        <v>0</v>
      </c>
      <c r="O614" s="83"/>
      <c r="P614"/>
      <c r="Q614"/>
      <c r="R614"/>
      <c r="S614"/>
      <c r="U614" s="84" t="s">
        <v>530</v>
      </c>
      <c r="V614" s="80"/>
      <c r="W614" s="82" t="s">
        <v>46</v>
      </c>
      <c r="X614" s="82"/>
      <c r="Y614" s="85" t="s">
        <v>531</v>
      </c>
      <c r="Z614" s="86" t="s">
        <v>572</v>
      </c>
      <c r="AA614" s="86" t="s">
        <v>46</v>
      </c>
      <c r="AB614" s="86" t="s">
        <v>46</v>
      </c>
      <c r="AC614" s="87">
        <v>0</v>
      </c>
      <c r="AD614" s="88">
        <f t="shared" si="130"/>
        <v>0</v>
      </c>
      <c r="AF614" s="54">
        <v>200019</v>
      </c>
      <c r="AQ614" s="80"/>
      <c r="AR614" s="80"/>
    </row>
    <row r="615" spans="1:44" ht="14.4">
      <c r="A615" s="70">
        <v>200022</v>
      </c>
      <c r="B615" s="78" t="str">
        <f>VLOOKUP(A615,'TB for financial'!A:B,2,0)</f>
        <v>Vendor balance Reval Inter co</v>
      </c>
      <c r="D615" s="79">
        <f>-VLOOKUP(A615,'TB for financial'!A:F,6,0)</f>
        <v>0</v>
      </c>
      <c r="E615" s="80"/>
      <c r="F615" s="79">
        <f>-VLOOKUP(A615,'TB for financial'!A:K,11,0)</f>
        <v>0</v>
      </c>
      <c r="G615" s="80"/>
      <c r="H615" s="81">
        <f t="shared" si="126"/>
        <v>0</v>
      </c>
      <c r="I615" s="81">
        <v>0</v>
      </c>
      <c r="J615" s="81">
        <f t="shared" si="127"/>
        <v>0</v>
      </c>
      <c r="K615" s="80"/>
      <c r="L615" s="82">
        <f t="shared" si="128"/>
        <v>0</v>
      </c>
      <c r="M615" s="82">
        <v>0</v>
      </c>
      <c r="N615" s="82">
        <f t="shared" si="129"/>
        <v>0</v>
      </c>
      <c r="O615" s="83"/>
      <c r="P615"/>
      <c r="Q615"/>
      <c r="R615"/>
      <c r="S615"/>
      <c r="U615" s="84" t="s">
        <v>530</v>
      </c>
      <c r="V615" s="80"/>
      <c r="W615" s="82" t="s">
        <v>46</v>
      </c>
      <c r="X615" s="82"/>
      <c r="Y615" s="85" t="s">
        <v>531</v>
      </c>
      <c r="Z615" s="86" t="s">
        <v>572</v>
      </c>
      <c r="AA615" s="86" t="s">
        <v>46</v>
      </c>
      <c r="AB615" s="86" t="s">
        <v>46</v>
      </c>
      <c r="AC615" s="87">
        <v>0</v>
      </c>
      <c r="AD615" s="88">
        <f t="shared" si="130"/>
        <v>0</v>
      </c>
      <c r="AF615" s="54">
        <v>200022</v>
      </c>
      <c r="AQ615" s="80"/>
      <c r="AR615" s="80"/>
    </row>
    <row r="616" spans="1:44" ht="14.4">
      <c r="A616" s="70">
        <v>200041</v>
      </c>
      <c r="B616" s="78" t="str">
        <f>VLOOKUP(A616,'TB for financial'!A:B,2,0)</f>
        <v>Accounts Payable-Inter Co</v>
      </c>
      <c r="D616" s="122">
        <f>-VLOOKUP(A616,'TB for financial'!A:F,6,0)</f>
        <v>3.7109993863850832E-2</v>
      </c>
      <c r="E616" s="80"/>
      <c r="F616" s="79">
        <f>-VLOOKUP(A616,'TB for financial'!A:K,11,0)</f>
        <v>3.7109993863850832E-2</v>
      </c>
      <c r="G616" s="80"/>
      <c r="H616" s="81">
        <f t="shared" si="126"/>
        <v>3.7109993863850832E-2</v>
      </c>
      <c r="I616" s="81">
        <v>0</v>
      </c>
      <c r="J616" s="81">
        <f t="shared" si="127"/>
        <v>0</v>
      </c>
      <c r="K616" s="80"/>
      <c r="L616" s="82">
        <f t="shared" si="128"/>
        <v>3.7109993863850832E-2</v>
      </c>
      <c r="M616" s="82">
        <v>0</v>
      </c>
      <c r="N616" s="82">
        <f t="shared" si="129"/>
        <v>0</v>
      </c>
      <c r="O616" s="83"/>
      <c r="P616"/>
      <c r="Q616"/>
      <c r="R616"/>
      <c r="S616"/>
      <c r="U616" s="84" t="s">
        <v>530</v>
      </c>
      <c r="V616" s="80"/>
      <c r="W616" s="82" t="s">
        <v>46</v>
      </c>
      <c r="X616" s="82"/>
      <c r="Y616" s="85" t="s">
        <v>531</v>
      </c>
      <c r="Z616" s="86" t="s">
        <v>572</v>
      </c>
      <c r="AA616" s="86" t="s">
        <v>46</v>
      </c>
      <c r="AB616" s="86" t="s">
        <v>46</v>
      </c>
      <c r="AC616" s="87">
        <v>0</v>
      </c>
      <c r="AD616" s="88">
        <f t="shared" si="130"/>
        <v>3.7109993863850832E-2</v>
      </c>
      <c r="AF616" s="54">
        <v>200041</v>
      </c>
      <c r="AQ616" s="80"/>
      <c r="AR616" s="80">
        <f t="shared" ref="AR616:AR627" si="131">D616</f>
        <v>3.7109993863850832E-2</v>
      </c>
    </row>
    <row r="617" spans="1:44" ht="14.4">
      <c r="A617" s="1373">
        <v>401100</v>
      </c>
      <c r="B617" s="78" t="str">
        <f>VLOOKUP(A617,'TB for financial'!A:B,2,0)</f>
        <v>TRADE PAYABLES - DOMESTIC</v>
      </c>
      <c r="D617" s="122">
        <f>-VLOOKUP(A617,'TB for financial'!A:F,6,0)</f>
        <v>286.07999999952153</v>
      </c>
      <c r="E617" s="80"/>
      <c r="F617" s="79">
        <f>-VLOOKUP(A617,'TB for financial'!A:K,11,0)</f>
        <v>18474.879999999801</v>
      </c>
      <c r="G617" s="80"/>
      <c r="H617" s="122">
        <f t="shared" ref="H617:H626" si="132">D617-I617</f>
        <v>286.07999999952153</v>
      </c>
      <c r="I617" s="81">
        <v>0</v>
      </c>
      <c r="J617" s="81">
        <f t="shared" si="127"/>
        <v>0</v>
      </c>
      <c r="K617" s="80"/>
      <c r="L617" s="82">
        <f t="shared" ref="L617:L626" si="133">F617-M617</f>
        <v>18474.879999999801</v>
      </c>
      <c r="M617" s="82">
        <v>0</v>
      </c>
      <c r="N617" s="82">
        <f t="shared" ref="N617:N626" si="134">+F617-L617-M617</f>
        <v>0</v>
      </c>
      <c r="O617" s="83"/>
      <c r="P617"/>
      <c r="Q617"/>
      <c r="R617"/>
      <c r="S617"/>
      <c r="U617" s="84" t="s">
        <v>530</v>
      </c>
      <c r="V617" s="80"/>
      <c r="W617" s="82" t="s">
        <v>46</v>
      </c>
      <c r="X617" s="82"/>
      <c r="Y617" s="85" t="s">
        <v>531</v>
      </c>
      <c r="Z617" s="86" t="s">
        <v>572</v>
      </c>
      <c r="AA617" s="86" t="s">
        <v>46</v>
      </c>
      <c r="AB617" s="86" t="s">
        <v>46</v>
      </c>
      <c r="AC617" s="87">
        <v>75969.2</v>
      </c>
      <c r="AD617" s="88">
        <f t="shared" ref="AD617:AD626" si="135">+D617-AC617</f>
        <v>-75683.120000000476</v>
      </c>
      <c r="AF617" s="54" t="s">
        <v>2536</v>
      </c>
      <c r="AQ617" s="80"/>
      <c r="AR617" s="80">
        <f t="shared" si="131"/>
        <v>286.07999999952153</v>
      </c>
    </row>
    <row r="618" spans="1:44" ht="14.4">
      <c r="A618" s="1373">
        <v>401450</v>
      </c>
      <c r="B618" s="78" t="str">
        <f>VLOOKUP(A618,'TB for financial'!A:B,2,0)</f>
        <v>TRADE PAYABLES - FOREIGN</v>
      </c>
      <c r="D618" s="122">
        <f>-VLOOKUP(A618,'TB for financial'!A:F,6,0)</f>
        <v>179306.96000000037</v>
      </c>
      <c r="E618" s="80"/>
      <c r="F618" s="79">
        <f>-VLOOKUP(A618,'TB for financial'!A:K,11,0)</f>
        <v>-17553.169999999973</v>
      </c>
      <c r="G618" s="80"/>
      <c r="H618" s="122">
        <f t="shared" si="132"/>
        <v>179306.96000000037</v>
      </c>
      <c r="I618" s="81">
        <v>0</v>
      </c>
      <c r="J618" s="81">
        <f t="shared" si="127"/>
        <v>0</v>
      </c>
      <c r="K618" s="80"/>
      <c r="L618" s="82">
        <f t="shared" si="133"/>
        <v>-17553.169999999973</v>
      </c>
      <c r="M618" s="82">
        <v>0</v>
      </c>
      <c r="N618" s="82">
        <f t="shared" si="134"/>
        <v>0</v>
      </c>
      <c r="O618" s="83"/>
      <c r="P618"/>
      <c r="Q618"/>
      <c r="R618"/>
      <c r="S618"/>
      <c r="U618" s="84" t="s">
        <v>530</v>
      </c>
      <c r="V618" s="80"/>
      <c r="W618" s="82" t="s">
        <v>46</v>
      </c>
      <c r="X618" s="82"/>
      <c r="Y618" s="85" t="s">
        <v>531</v>
      </c>
      <c r="Z618" s="86" t="s">
        <v>572</v>
      </c>
      <c r="AA618" s="86" t="s">
        <v>46</v>
      </c>
      <c r="AB618" s="86" t="s">
        <v>46</v>
      </c>
      <c r="AC618" s="87">
        <v>-516444.93</v>
      </c>
      <c r="AD618" s="88">
        <f t="shared" si="135"/>
        <v>695751.89000000036</v>
      </c>
      <c r="AF618" s="54" t="s">
        <v>2536</v>
      </c>
      <c r="AQ618" s="80"/>
      <c r="AR618" s="80">
        <f t="shared" si="131"/>
        <v>179306.96000000037</v>
      </c>
    </row>
    <row r="619" spans="1:44" ht="14.4">
      <c r="A619" s="1373">
        <v>401500</v>
      </c>
      <c r="B619" s="78" t="str">
        <f>VLOOKUP(A619,'TB for financial'!A:B,2,0)</f>
        <v>TRADE PAYABLES - DOMESTIC</v>
      </c>
      <c r="D619" s="122">
        <f>-VLOOKUP(A619,'TB for financial'!A:F,6,0)</f>
        <v>1653185.1299999936</v>
      </c>
      <c r="E619" s="80"/>
      <c r="F619" s="79">
        <f>-VLOOKUP(A619,'TB for financial'!A:K,11,0)-100000-40235</f>
        <v>965003.49999999837</v>
      </c>
      <c r="G619" s="80"/>
      <c r="H619" s="122">
        <f t="shared" si="132"/>
        <v>1653185.1299999936</v>
      </c>
      <c r="I619" s="81">
        <v>0</v>
      </c>
      <c r="J619" s="81">
        <f t="shared" si="127"/>
        <v>0</v>
      </c>
      <c r="K619" s="80"/>
      <c r="L619" s="82">
        <f t="shared" si="133"/>
        <v>965003.49999999837</v>
      </c>
      <c r="M619" s="82">
        <v>0</v>
      </c>
      <c r="N619" s="82">
        <f t="shared" si="134"/>
        <v>0</v>
      </c>
      <c r="O619" s="83"/>
      <c r="P619"/>
      <c r="Q619"/>
      <c r="R619"/>
      <c r="S619"/>
      <c r="U619" s="84" t="s">
        <v>530</v>
      </c>
      <c r="V619" s="80"/>
      <c r="W619" s="82" t="s">
        <v>46</v>
      </c>
      <c r="X619" s="82"/>
      <c r="Y619" s="85" t="s">
        <v>531</v>
      </c>
      <c r="Z619" s="86" t="s">
        <v>572</v>
      </c>
      <c r="AA619" s="86" t="s">
        <v>46</v>
      </c>
      <c r="AB619" s="86" t="s">
        <v>46</v>
      </c>
      <c r="AC619" s="87">
        <v>1111715</v>
      </c>
      <c r="AD619" s="88">
        <f t="shared" si="135"/>
        <v>541470.1299999936</v>
      </c>
      <c r="AF619" s="54" t="s">
        <v>2536</v>
      </c>
      <c r="AQ619" s="80"/>
      <c r="AR619" s="80">
        <f t="shared" si="131"/>
        <v>1653185.1299999936</v>
      </c>
    </row>
    <row r="620" spans="1:44" ht="14.4">
      <c r="A620" s="1634">
        <v>401996</v>
      </c>
      <c r="B620" s="1635" t="s">
        <v>3021</v>
      </c>
      <c r="D620" s="122">
        <f>-VLOOKUP(A620,'TB for financial'!A:F,6,0)</f>
        <v>200315.02000000002</v>
      </c>
      <c r="E620" s="80"/>
      <c r="F620" s="79"/>
      <c r="G620" s="80"/>
      <c r="H620" s="122">
        <f t="shared" si="132"/>
        <v>200315.02000000002</v>
      </c>
      <c r="I620" s="81"/>
      <c r="J620" s="81">
        <f t="shared" si="127"/>
        <v>0</v>
      </c>
      <c r="K620" s="80"/>
      <c r="L620" s="82"/>
      <c r="M620" s="82"/>
      <c r="N620" s="82"/>
      <c r="O620" s="83"/>
      <c r="P620"/>
      <c r="Q620"/>
      <c r="R620"/>
      <c r="S620"/>
      <c r="U620" s="84"/>
      <c r="V620" s="80"/>
      <c r="W620" s="82"/>
      <c r="X620" s="82"/>
      <c r="Y620" s="85"/>
      <c r="Z620" s="86"/>
      <c r="AA620" s="86"/>
      <c r="AB620" s="86"/>
      <c r="AC620" s="87"/>
      <c r="AD620" s="88"/>
      <c r="AQ620" s="80"/>
      <c r="AR620" s="80"/>
    </row>
    <row r="621" spans="1:44" ht="24">
      <c r="A621" s="1373">
        <v>401998</v>
      </c>
      <c r="B621" s="78" t="str">
        <f>VLOOKUP(A621,'TB for financial'!A:B,2,0)</f>
        <v>TRADE PAYABLES - FOREIGN CURRENCY REVAL</v>
      </c>
      <c r="D621" s="122">
        <f>-VLOOKUP(A621,'TB for financial'!A:F,6,0)</f>
        <v>-2.8812792152166367E-9</v>
      </c>
      <c r="E621" s="80"/>
      <c r="F621" s="79">
        <f>-VLOOKUP(A621,'TB for financial'!A:K,11,0)</f>
        <v>181259.25000000084</v>
      </c>
      <c r="G621" s="80"/>
      <c r="H621" s="122">
        <f t="shared" si="132"/>
        <v>-2.8812792152166367E-9</v>
      </c>
      <c r="I621" s="81">
        <v>0</v>
      </c>
      <c r="J621" s="81">
        <f t="shared" si="127"/>
        <v>0</v>
      </c>
      <c r="K621" s="80"/>
      <c r="L621" s="82">
        <f t="shared" si="133"/>
        <v>181259.25000000084</v>
      </c>
      <c r="M621" s="82">
        <v>0</v>
      </c>
      <c r="N621" s="82">
        <f t="shared" si="134"/>
        <v>0</v>
      </c>
      <c r="O621" s="83"/>
      <c r="P621"/>
      <c r="Q621"/>
      <c r="R621"/>
      <c r="S621"/>
      <c r="U621" s="84" t="s">
        <v>530</v>
      </c>
      <c r="V621" s="80"/>
      <c r="W621" s="82" t="s">
        <v>46</v>
      </c>
      <c r="X621" s="82"/>
      <c r="Y621" s="85" t="s">
        <v>531</v>
      </c>
      <c r="Z621" s="86" t="s">
        <v>572</v>
      </c>
      <c r="AA621" s="86" t="s">
        <v>46</v>
      </c>
      <c r="AB621" s="86" t="s">
        <v>46</v>
      </c>
      <c r="AC621" s="87">
        <v>34790.699999999997</v>
      </c>
      <c r="AD621" s="88">
        <f t="shared" si="135"/>
        <v>-34790.700000002878</v>
      </c>
      <c r="AF621" s="54" t="s">
        <v>2536</v>
      </c>
      <c r="AQ621" s="80"/>
      <c r="AR621" s="80">
        <f t="shared" si="131"/>
        <v>-2.8812792152166367E-9</v>
      </c>
    </row>
    <row r="622" spans="1:44" ht="24">
      <c r="A622" s="1373">
        <v>408120</v>
      </c>
      <c r="B622" s="78" t="str">
        <f>VLOOKUP(A622,'TB for financial'!A:B,2,0)</f>
        <v>TRADE PAYABLES - COSTS ACCRUALS SPECIFI</v>
      </c>
      <c r="D622" s="122">
        <f>-VLOOKUP(A622,'TB for financial'!A:F,6,0)</f>
        <v>-298.42000000062399</v>
      </c>
      <c r="E622" s="80"/>
      <c r="F622" s="79">
        <f>-VLOOKUP(A622,'TB for financial'!A:K,11,0)</f>
        <v>65372.259999999544</v>
      </c>
      <c r="G622" s="80"/>
      <c r="H622" s="122">
        <f t="shared" si="132"/>
        <v>-298.42000000062399</v>
      </c>
      <c r="I622" s="81">
        <v>0</v>
      </c>
      <c r="J622" s="81">
        <f t="shared" si="127"/>
        <v>0</v>
      </c>
      <c r="K622" s="80"/>
      <c r="L622" s="82">
        <f t="shared" si="133"/>
        <v>65372.259999999544</v>
      </c>
      <c r="M622" s="82">
        <v>0</v>
      </c>
      <c r="N622" s="82">
        <f t="shared" si="134"/>
        <v>0</v>
      </c>
      <c r="O622" s="83"/>
      <c r="P622"/>
      <c r="Q622"/>
      <c r="R622"/>
      <c r="S622"/>
      <c r="U622" s="84" t="s">
        <v>530</v>
      </c>
      <c r="V622" s="80"/>
      <c r="W622" s="82" t="s">
        <v>46</v>
      </c>
      <c r="X622" s="82"/>
      <c r="Y622" s="85" t="s">
        <v>531</v>
      </c>
      <c r="Z622" s="86" t="s">
        <v>572</v>
      </c>
      <c r="AA622" s="86" t="s">
        <v>46</v>
      </c>
      <c r="AB622" s="86" t="s">
        <v>46</v>
      </c>
      <c r="AC622" s="87">
        <v>147715.53</v>
      </c>
      <c r="AD622" s="88">
        <f t="shared" si="135"/>
        <v>-148013.95000000062</v>
      </c>
      <c r="AF622" s="54" t="s">
        <v>2536</v>
      </c>
      <c r="AQ622" s="80"/>
      <c r="AR622" s="80">
        <f t="shared" si="131"/>
        <v>-298.42000000062399</v>
      </c>
    </row>
    <row r="623" spans="1:44" ht="14.4">
      <c r="A623" s="1373">
        <v>408151</v>
      </c>
      <c r="B623" s="78" t="str">
        <f>VLOOKUP(A623,'TB for financial'!A:B,2,0)</f>
        <v>Outstanding Liabilities</v>
      </c>
      <c r="D623" s="122">
        <f>-VLOOKUP(A623,'TB for financial'!A:F,6,0)</f>
        <v>1643930.0000000009</v>
      </c>
      <c r="E623" s="80"/>
      <c r="F623" s="79">
        <f>-VLOOKUP(A623,'TB for financial'!A:K,11,0)</f>
        <v>1332978</v>
      </c>
      <c r="G623" s="80"/>
      <c r="H623" s="122">
        <f t="shared" si="132"/>
        <v>1643930.0000000009</v>
      </c>
      <c r="I623" s="81">
        <v>0</v>
      </c>
      <c r="J623" s="81">
        <f t="shared" si="127"/>
        <v>0</v>
      </c>
      <c r="K623" s="80"/>
      <c r="L623" s="82">
        <f t="shared" si="133"/>
        <v>1332978</v>
      </c>
      <c r="M623" s="82">
        <v>0</v>
      </c>
      <c r="N623" s="82">
        <f t="shared" si="134"/>
        <v>0</v>
      </c>
      <c r="O623" s="83"/>
      <c r="P623"/>
      <c r="Q623"/>
      <c r="R623" s="672"/>
      <c r="S623"/>
      <c r="U623" s="84" t="s">
        <v>530</v>
      </c>
      <c r="V623" s="80"/>
      <c r="W623" s="82" t="s">
        <v>46</v>
      </c>
      <c r="X623" s="82"/>
      <c r="Y623" s="85" t="s">
        <v>531</v>
      </c>
      <c r="Z623" s="86" t="s">
        <v>572</v>
      </c>
      <c r="AA623" s="86" t="s">
        <v>46</v>
      </c>
      <c r="AB623" s="86" t="s">
        <v>46</v>
      </c>
      <c r="AC623" s="87">
        <v>1056941</v>
      </c>
      <c r="AD623" s="88">
        <f t="shared" si="135"/>
        <v>586989.00000000093</v>
      </c>
      <c r="AF623" s="54" t="s">
        <v>2536</v>
      </c>
      <c r="AQ623" s="80"/>
      <c r="AR623" s="80">
        <f t="shared" si="131"/>
        <v>1643930.0000000009</v>
      </c>
    </row>
    <row r="624" spans="1:44" ht="24">
      <c r="A624" s="1373">
        <v>408500</v>
      </c>
      <c r="B624" s="78" t="str">
        <f>VLOOKUP(A624,'TB for financial'!A:B,2,0)</f>
        <v>TRADE CREDITORS - PURCH. INV. ACCRUALS</v>
      </c>
      <c r="D624" s="122">
        <f>-VLOOKUP(A624,'TB for financial'!A:F,6,0)</f>
        <v>506553.9299999997</v>
      </c>
      <c r="E624" s="80"/>
      <c r="F624" s="79">
        <f>-VLOOKUP(A624,'TB for financial'!A:K,11,0)</f>
        <v>435053.58000000007</v>
      </c>
      <c r="G624" s="80"/>
      <c r="H624" s="122">
        <f t="shared" si="132"/>
        <v>506553.9299999997</v>
      </c>
      <c r="I624" s="81">
        <v>0</v>
      </c>
      <c r="J624" s="81">
        <f t="shared" si="127"/>
        <v>0</v>
      </c>
      <c r="K624" s="80"/>
      <c r="L624" s="82">
        <f t="shared" si="133"/>
        <v>435053.58000000007</v>
      </c>
      <c r="M624" s="82">
        <v>0</v>
      </c>
      <c r="N624" s="82">
        <f t="shared" si="134"/>
        <v>0</v>
      </c>
      <c r="O624" s="83"/>
      <c r="P624"/>
      <c r="Q624"/>
      <c r="R624"/>
      <c r="S624"/>
      <c r="U624" s="84" t="s">
        <v>530</v>
      </c>
      <c r="V624" s="80"/>
      <c r="W624" s="82" t="s">
        <v>46</v>
      </c>
      <c r="X624" s="82"/>
      <c r="Y624" s="85" t="s">
        <v>531</v>
      </c>
      <c r="Z624" s="86" t="s">
        <v>572</v>
      </c>
      <c r="AA624" s="86" t="s">
        <v>46</v>
      </c>
      <c r="AB624" s="86" t="s">
        <v>46</v>
      </c>
      <c r="AC624" s="87">
        <v>468067</v>
      </c>
      <c r="AD624" s="88">
        <f t="shared" si="135"/>
        <v>38486.929999999702</v>
      </c>
      <c r="AF624" s="54" t="s">
        <v>2536</v>
      </c>
      <c r="AQ624" s="80"/>
      <c r="AR624" s="80">
        <f t="shared" si="131"/>
        <v>506553.9299999997</v>
      </c>
    </row>
    <row r="625" spans="1:44" ht="14.4">
      <c r="A625" s="1634">
        <v>408998</v>
      </c>
      <c r="B625" s="1635" t="s">
        <v>3022</v>
      </c>
      <c r="D625" s="122">
        <f>-VLOOKUP(A625,'TB for financial'!A:F,6,0)</f>
        <v>-73.64</v>
      </c>
      <c r="E625" s="80"/>
      <c r="F625" s="79"/>
      <c r="G625" s="80"/>
      <c r="H625" s="122">
        <f t="shared" si="132"/>
        <v>-73.64</v>
      </c>
      <c r="I625" s="81"/>
      <c r="J625" s="81">
        <f t="shared" si="127"/>
        <v>0</v>
      </c>
      <c r="K625" s="80"/>
      <c r="L625" s="82"/>
      <c r="M625" s="82"/>
      <c r="N625" s="82"/>
      <c r="O625" s="83"/>
      <c r="P625"/>
      <c r="Q625"/>
      <c r="R625"/>
      <c r="S625"/>
      <c r="U625" s="84"/>
      <c r="V625" s="80"/>
      <c r="W625" s="82"/>
      <c r="X625" s="82"/>
      <c r="Y625" s="85"/>
      <c r="Z625" s="86"/>
      <c r="AA625" s="86"/>
      <c r="AB625" s="86"/>
      <c r="AC625" s="87"/>
      <c r="AD625" s="88"/>
      <c r="AQ625" s="80"/>
      <c r="AR625" s="80"/>
    </row>
    <row r="626" spans="1:44" ht="14.4">
      <c r="A626" s="1373">
        <v>427100</v>
      </c>
      <c r="B626" s="78" t="str">
        <f>VLOOKUP(A626,'TB for financial'!A:B,2,0)</f>
        <v>Payroll Clearing Account</v>
      </c>
      <c r="D626" s="162">
        <f>-VLOOKUP(A626,'TB for financial'!A:F,6,0)</f>
        <v>220264.68000000005</v>
      </c>
      <c r="E626" s="80"/>
      <c r="F626" s="79">
        <f>-VLOOKUP(A626,'TB for financial'!A:K,11,0)</f>
        <v>466163.67999999993</v>
      </c>
      <c r="G626" s="80"/>
      <c r="H626" s="162">
        <f t="shared" si="132"/>
        <v>220264.68000000005</v>
      </c>
      <c r="I626" s="81">
        <v>0</v>
      </c>
      <c r="J626" s="81">
        <f t="shared" si="127"/>
        <v>0</v>
      </c>
      <c r="K626" s="80"/>
      <c r="L626" s="82">
        <f t="shared" si="133"/>
        <v>466163.67999999993</v>
      </c>
      <c r="M626" s="82">
        <v>0</v>
      </c>
      <c r="N626" s="82">
        <f t="shared" si="134"/>
        <v>0</v>
      </c>
      <c r="O626" s="83"/>
      <c r="P626"/>
      <c r="Q626"/>
      <c r="R626"/>
      <c r="S626"/>
      <c r="U626" s="84" t="s">
        <v>530</v>
      </c>
      <c r="V626" s="80"/>
      <c r="W626" s="82" t="s">
        <v>46</v>
      </c>
      <c r="X626" s="82"/>
      <c r="Y626" s="85" t="s">
        <v>531</v>
      </c>
      <c r="Z626" s="86" t="s">
        <v>572</v>
      </c>
      <c r="AA626" s="86" t="s">
        <v>46</v>
      </c>
      <c r="AB626" s="86" t="s">
        <v>46</v>
      </c>
      <c r="AC626" s="87">
        <v>628845.68000000005</v>
      </c>
      <c r="AD626" s="88">
        <f t="shared" si="135"/>
        <v>-408581</v>
      </c>
      <c r="AF626" s="54" t="s">
        <v>2536</v>
      </c>
      <c r="AQ626" s="80"/>
      <c r="AR626" s="80">
        <f t="shared" si="131"/>
        <v>220264.68000000005</v>
      </c>
    </row>
    <row r="627" spans="1:44" ht="24">
      <c r="A627" s="1373">
        <v>451998</v>
      </c>
      <c r="B627" s="78" t="str">
        <f>VLOOKUP(A627,'TB for financial'!A:B,2,0)</f>
        <v>Current Accounts Foreign Curr revaluati</v>
      </c>
      <c r="D627" s="122">
        <f>-VLOOKUP(A627,'TB for financial'!A:F,6,0)</f>
        <v>29571.52</v>
      </c>
      <c r="E627" s="80"/>
      <c r="F627" s="79">
        <f>-VLOOKUP(A627,'TB for financial'!A:K,11,0)</f>
        <v>29571.52</v>
      </c>
      <c r="G627" s="80"/>
      <c r="H627" s="122">
        <f t="shared" ref="H627:H633" si="136">D627-I627</f>
        <v>29571.52</v>
      </c>
      <c r="I627" s="81">
        <v>0</v>
      </c>
      <c r="J627" s="81">
        <f t="shared" si="127"/>
        <v>0</v>
      </c>
      <c r="K627" s="80"/>
      <c r="L627" s="82">
        <f t="shared" ref="L627:L633" si="137">F627-M627</f>
        <v>29571.52</v>
      </c>
      <c r="M627" s="82">
        <v>0</v>
      </c>
      <c r="N627" s="82">
        <f t="shared" ref="N627:N633" si="138">+F627-L627-M627</f>
        <v>0</v>
      </c>
      <c r="O627" s="83"/>
      <c r="P627"/>
      <c r="Q627"/>
      <c r="R627"/>
      <c r="S627"/>
      <c r="U627" s="84" t="s">
        <v>530</v>
      </c>
      <c r="V627" s="80"/>
      <c r="W627" s="82" t="s">
        <v>46</v>
      </c>
      <c r="X627" s="82"/>
      <c r="Y627" s="85" t="s">
        <v>531</v>
      </c>
      <c r="Z627" s="86" t="s">
        <v>572</v>
      </c>
      <c r="AA627" s="86" t="s">
        <v>46</v>
      </c>
      <c r="AB627" s="86" t="s">
        <v>46</v>
      </c>
      <c r="AC627" s="87">
        <v>29571.53</v>
      </c>
      <c r="AD627" s="88">
        <f t="shared" ref="AD627:AD633" si="139">+D627-AC627</f>
        <v>-9.9999999983992893E-3</v>
      </c>
      <c r="AF627" s="54" t="s">
        <v>2536</v>
      </c>
      <c r="AQ627" s="80"/>
      <c r="AR627" s="80">
        <f t="shared" si="131"/>
        <v>29571.52</v>
      </c>
    </row>
    <row r="628" spans="1:44" ht="14.4">
      <c r="A628" s="1373">
        <v>428650</v>
      </c>
      <c r="B628" s="78" t="str">
        <f>VLOOKUP(A628,'TB for financial'!A:B,2,0)</f>
        <v>OTHER ACCRUED EXPENSES</v>
      </c>
      <c r="D628" s="79">
        <f>-VLOOKUP(A628,'TB for financial'!A:F,6,0)</f>
        <v>0</v>
      </c>
      <c r="E628" s="80"/>
      <c r="F628" s="79">
        <f>-VLOOKUP(A628,'TB for financial'!A:K,11,0)</f>
        <v>0</v>
      </c>
      <c r="G628" s="80"/>
      <c r="H628" s="81">
        <f t="shared" si="136"/>
        <v>0</v>
      </c>
      <c r="I628" s="81">
        <v>0</v>
      </c>
      <c r="J628" s="81">
        <f t="shared" si="127"/>
        <v>0</v>
      </c>
      <c r="K628" s="80"/>
      <c r="L628" s="82">
        <f t="shared" si="137"/>
        <v>0</v>
      </c>
      <c r="M628" s="82">
        <v>0</v>
      </c>
      <c r="N628" s="82">
        <f t="shared" si="138"/>
        <v>0</v>
      </c>
      <c r="O628" s="83"/>
      <c r="P628"/>
      <c r="Q628"/>
      <c r="R628"/>
      <c r="S628"/>
      <c r="U628" s="84" t="s">
        <v>530</v>
      </c>
      <c r="V628" s="80"/>
      <c r="W628" s="82" t="s">
        <v>46</v>
      </c>
      <c r="X628" s="82"/>
      <c r="Y628" s="85" t="s">
        <v>531</v>
      </c>
      <c r="Z628" s="86" t="s">
        <v>572</v>
      </c>
      <c r="AA628" s="86" t="s">
        <v>46</v>
      </c>
      <c r="AB628" s="86" t="s">
        <v>46</v>
      </c>
      <c r="AC628" s="87">
        <v>0</v>
      </c>
      <c r="AD628" s="88">
        <f t="shared" si="139"/>
        <v>0</v>
      </c>
      <c r="AF628" s="54" t="s">
        <v>2536</v>
      </c>
      <c r="AQ628" s="80"/>
      <c r="AR628" s="80"/>
    </row>
    <row r="629" spans="1:44" ht="14.4">
      <c r="A629" s="1373">
        <v>4014500</v>
      </c>
      <c r="B629" s="78" t="str">
        <f>VLOOKUP(A629,'TB for financial'!A:B,2,0)</f>
        <v>interco foreign Vendors</v>
      </c>
      <c r="D629" s="122">
        <f>-VLOOKUP(A629,'TB for financial'!A:F,6,0)</f>
        <v>90.199999999953434</v>
      </c>
      <c r="E629" s="80"/>
      <c r="F629" s="79">
        <f>-VLOOKUP(A629,'TB for financial'!A:K,11,0)</f>
        <v>90.199999999953434</v>
      </c>
      <c r="G629" s="80"/>
      <c r="H629" s="81">
        <f t="shared" si="136"/>
        <v>90.199999999953434</v>
      </c>
      <c r="I629" s="81">
        <v>0</v>
      </c>
      <c r="J629" s="81">
        <f t="shared" si="127"/>
        <v>0</v>
      </c>
      <c r="K629" s="80"/>
      <c r="L629" s="82">
        <f t="shared" si="137"/>
        <v>90.199999999953434</v>
      </c>
      <c r="M629" s="82">
        <v>0</v>
      </c>
      <c r="N629" s="82">
        <f t="shared" si="138"/>
        <v>0</v>
      </c>
      <c r="O629" s="83"/>
      <c r="P629"/>
      <c r="Q629"/>
      <c r="R629"/>
      <c r="S629"/>
      <c r="U629" s="84"/>
      <c r="V629" s="80"/>
      <c r="W629" s="82"/>
      <c r="X629" s="82"/>
      <c r="Y629" s="85" t="s">
        <v>531</v>
      </c>
      <c r="Z629" s="86" t="s">
        <v>572</v>
      </c>
      <c r="AA629" s="86" t="s">
        <v>46</v>
      </c>
      <c r="AB629" s="86" t="s">
        <v>46</v>
      </c>
      <c r="AC629" s="87">
        <v>0</v>
      </c>
      <c r="AD629" s="88">
        <f t="shared" si="139"/>
        <v>90.199999999953434</v>
      </c>
      <c r="AF629" s="54" t="s">
        <v>2536</v>
      </c>
      <c r="AQ629" s="80"/>
      <c r="AR629" s="80">
        <f>D629</f>
        <v>90.199999999953434</v>
      </c>
    </row>
    <row r="630" spans="1:44" ht="24">
      <c r="A630" s="1373">
        <v>4015000</v>
      </c>
      <c r="B630" s="78" t="str">
        <f>VLOOKUP(A630,'TB for financial'!A:B,2,0)</f>
        <v>TRADE CREDITORS - GOODS AND SERVICES GROUP</v>
      </c>
      <c r="D630" s="122">
        <f>-VLOOKUP(A630,'TB for financial'!A:F,6,0)</f>
        <v>0</v>
      </c>
      <c r="E630" s="80"/>
      <c r="F630" s="79">
        <f>-VLOOKUP(A630,'TB for financial'!A:K,11,0)</f>
        <v>0</v>
      </c>
      <c r="G630" s="80"/>
      <c r="H630" s="81">
        <f t="shared" si="136"/>
        <v>0</v>
      </c>
      <c r="I630" s="81">
        <v>0</v>
      </c>
      <c r="J630" s="81">
        <f t="shared" si="127"/>
        <v>0</v>
      </c>
      <c r="K630" s="80"/>
      <c r="L630" s="82">
        <f t="shared" si="137"/>
        <v>0</v>
      </c>
      <c r="M630" s="82">
        <v>0</v>
      </c>
      <c r="N630" s="82">
        <f t="shared" si="138"/>
        <v>0</v>
      </c>
      <c r="O630" s="83"/>
      <c r="P630"/>
      <c r="Q630"/>
      <c r="R630"/>
      <c r="S630"/>
      <c r="U630" s="84"/>
      <c r="V630" s="80"/>
      <c r="W630" s="82"/>
      <c r="X630" s="82"/>
      <c r="Y630" s="85" t="s">
        <v>531</v>
      </c>
      <c r="Z630" s="86" t="s">
        <v>572</v>
      </c>
      <c r="AA630" s="86" t="s">
        <v>46</v>
      </c>
      <c r="AB630" s="86" t="s">
        <v>46</v>
      </c>
      <c r="AC630" s="87">
        <v>0</v>
      </c>
      <c r="AD630" s="88">
        <f t="shared" si="139"/>
        <v>0</v>
      </c>
      <c r="AF630" s="54" t="s">
        <v>2536</v>
      </c>
      <c r="AQ630" s="80"/>
      <c r="AR630" s="80">
        <f>D630</f>
        <v>0</v>
      </c>
    </row>
    <row r="631" spans="1:44" ht="14.4">
      <c r="A631" s="1373">
        <v>4081510</v>
      </c>
      <c r="B631" s="78" t="str">
        <f>VLOOKUP(A631,'TB for financial'!A:B,2,0)</f>
        <v>Outstanding Liabilities</v>
      </c>
      <c r="D631" s="122">
        <f>-VLOOKUP(A631,'TB for financial'!A:F,6,0)</f>
        <v>6.0000000023865141</v>
      </c>
      <c r="E631" s="80"/>
      <c r="F631" s="79">
        <f>-VLOOKUP(A631,'TB for financial'!A:K,11,0)</f>
        <v>6.0000000023865141</v>
      </c>
      <c r="G631" s="80"/>
      <c r="H631" s="122">
        <f t="shared" si="136"/>
        <v>6.0000000023865141</v>
      </c>
      <c r="I631" s="81">
        <v>0</v>
      </c>
      <c r="J631" s="81">
        <f t="shared" si="127"/>
        <v>0</v>
      </c>
      <c r="K631" s="80"/>
      <c r="L631" s="82">
        <f t="shared" si="137"/>
        <v>6.0000000023865141</v>
      </c>
      <c r="M631" s="82">
        <v>0</v>
      </c>
      <c r="N631" s="82">
        <f t="shared" si="138"/>
        <v>0</v>
      </c>
      <c r="O631" s="83"/>
      <c r="P631"/>
      <c r="Q631"/>
      <c r="R631"/>
      <c r="S631"/>
      <c r="U631" s="84"/>
      <c r="V631" s="80"/>
      <c r="W631" s="82"/>
      <c r="X631" s="82"/>
      <c r="Y631" s="85" t="s">
        <v>531</v>
      </c>
      <c r="Z631" s="86" t="s">
        <v>572</v>
      </c>
      <c r="AA631" s="86" t="s">
        <v>46</v>
      </c>
      <c r="AB631" s="86" t="s">
        <v>46</v>
      </c>
      <c r="AC631" s="87">
        <v>0</v>
      </c>
      <c r="AD631" s="88">
        <f t="shared" si="139"/>
        <v>6.0000000023865141</v>
      </c>
      <c r="AF631" s="54" t="s">
        <v>2536</v>
      </c>
      <c r="AQ631" s="80"/>
      <c r="AR631" s="80">
        <f>D631</f>
        <v>6.0000000023865141</v>
      </c>
    </row>
    <row r="632" spans="1:44" ht="24">
      <c r="A632" s="1373">
        <v>4085000</v>
      </c>
      <c r="B632" s="78" t="str">
        <f>VLOOKUP(A632,'TB for financial'!A:B,2,0)</f>
        <v>TRADE CREDITORS - PURCH. INV. ACCRUALS GROUP</v>
      </c>
      <c r="D632" s="122">
        <f>-VLOOKUP(A632,'TB for financial'!A:F,6,0)</f>
        <v>0</v>
      </c>
      <c r="E632" s="80"/>
      <c r="F632" s="79">
        <f>-VLOOKUP(A632,'TB for financial'!A:K,11,0)</f>
        <v>0</v>
      </c>
      <c r="G632" s="80"/>
      <c r="H632" s="81">
        <f t="shared" si="136"/>
        <v>0</v>
      </c>
      <c r="I632" s="81">
        <v>0</v>
      </c>
      <c r="J632" s="81">
        <f t="shared" si="127"/>
        <v>0</v>
      </c>
      <c r="K632" s="80"/>
      <c r="L632" s="82">
        <f t="shared" si="137"/>
        <v>0</v>
      </c>
      <c r="M632" s="82">
        <v>0</v>
      </c>
      <c r="N632" s="82">
        <f t="shared" si="138"/>
        <v>0</v>
      </c>
      <c r="O632" s="83"/>
      <c r="P632"/>
      <c r="Q632"/>
      <c r="R632"/>
      <c r="S632"/>
      <c r="U632" s="84"/>
      <c r="V632" s="80"/>
      <c r="W632" s="82"/>
      <c r="X632" s="82"/>
      <c r="Y632" s="85" t="s">
        <v>531</v>
      </c>
      <c r="Z632" s="86" t="s">
        <v>572</v>
      </c>
      <c r="AA632" s="86" t="s">
        <v>46</v>
      </c>
      <c r="AB632" s="86" t="s">
        <v>46</v>
      </c>
      <c r="AC632" s="87">
        <v>0</v>
      </c>
      <c r="AD632" s="88">
        <f t="shared" si="139"/>
        <v>0</v>
      </c>
      <c r="AF632" s="54" t="s">
        <v>2536</v>
      </c>
      <c r="AQ632" s="80"/>
      <c r="AR632" s="80">
        <f>D632</f>
        <v>0</v>
      </c>
    </row>
    <row r="633" spans="1:44" ht="14.4">
      <c r="A633" s="1373">
        <v>4210100</v>
      </c>
      <c r="B633" s="78" t="str">
        <f>VLOOKUP(A633,'TB for financial'!A:B,2,0)</f>
        <v>Salary payables - regularization</v>
      </c>
      <c r="D633" s="122">
        <f>-VLOOKUP(A633,'TB for financial'!A:F,6,0)</f>
        <v>0</v>
      </c>
      <c r="E633" s="80"/>
      <c r="F633" s="79">
        <f>-VLOOKUP(A633,'TB for financial'!A:K,11,0)</f>
        <v>0</v>
      </c>
      <c r="G633" s="80"/>
      <c r="H633" s="81">
        <f t="shared" si="136"/>
        <v>0</v>
      </c>
      <c r="I633" s="81">
        <v>0</v>
      </c>
      <c r="J633" s="81">
        <f t="shared" si="127"/>
        <v>0</v>
      </c>
      <c r="K633" s="80"/>
      <c r="L633" s="82">
        <f t="shared" si="137"/>
        <v>0</v>
      </c>
      <c r="M633" s="82">
        <v>0</v>
      </c>
      <c r="N633" s="82">
        <f t="shared" si="138"/>
        <v>0</v>
      </c>
      <c r="O633" s="83"/>
      <c r="P633"/>
      <c r="Q633"/>
      <c r="R633"/>
      <c r="S633"/>
      <c r="U633" s="84"/>
      <c r="V633" s="80"/>
      <c r="W633" s="82"/>
      <c r="X633" s="82"/>
      <c r="Y633" s="85" t="s">
        <v>531</v>
      </c>
      <c r="Z633" s="86" t="s">
        <v>572</v>
      </c>
      <c r="AA633" s="86" t="s">
        <v>46</v>
      </c>
      <c r="AB633" s="86" t="s">
        <v>46</v>
      </c>
      <c r="AC633" s="87">
        <v>0</v>
      </c>
      <c r="AD633" s="88">
        <f t="shared" si="139"/>
        <v>0</v>
      </c>
      <c r="AF633" s="54" t="s">
        <v>2536</v>
      </c>
      <c r="AQ633" s="80"/>
      <c r="AR633" s="80">
        <f>D633</f>
        <v>0</v>
      </c>
    </row>
    <row r="634" spans="1:44" ht="5.0999999999999996" customHeight="1">
      <c r="A634" s="70"/>
      <c r="B634" s="78"/>
      <c r="D634" s="79"/>
      <c r="E634" s="80"/>
      <c r="F634" s="79"/>
      <c r="G634" s="80"/>
      <c r="H634" s="81"/>
      <c r="I634" s="81"/>
      <c r="J634" s="81"/>
      <c r="K634" s="80"/>
      <c r="L634" s="82"/>
      <c r="M634" s="82"/>
      <c r="N634" s="82"/>
      <c r="O634" s="83"/>
      <c r="P634"/>
      <c r="Q634"/>
      <c r="R634"/>
      <c r="S634"/>
      <c r="U634" s="84"/>
      <c r="V634" s="80"/>
      <c r="W634" s="82"/>
      <c r="X634" s="82"/>
      <c r="Y634" s="94"/>
      <c r="Z634" s="86"/>
      <c r="AA634" s="86"/>
      <c r="AB634" s="86"/>
      <c r="AQ634" s="80"/>
      <c r="AR634" s="80"/>
    </row>
    <row r="635" spans="1:44" ht="15" thickBot="1">
      <c r="A635" s="105"/>
      <c r="B635" s="71" t="s">
        <v>595</v>
      </c>
      <c r="D635" s="1646">
        <f>SUM(D610:D634)</f>
        <v>4433137.4971099868</v>
      </c>
      <c r="E635" s="96"/>
      <c r="F635" s="97">
        <f>SUM(F610:F634)</f>
        <v>3476419.7371099941</v>
      </c>
      <c r="G635" s="80"/>
      <c r="H635" s="1646">
        <f>SUM(H610:H634)</f>
        <v>4433137.4971099868</v>
      </c>
      <c r="I635" s="99">
        <f>SUM(I610:I634)</f>
        <v>0</v>
      </c>
      <c r="J635" s="99">
        <f>SUM(J610:J634)</f>
        <v>0</v>
      </c>
      <c r="K635" s="80"/>
      <c r="L635" s="99">
        <f>SUM(L610:L634)</f>
        <v>3476419.7371099941</v>
      </c>
      <c r="M635" s="99">
        <f>SUM(M610:M634)</f>
        <v>0</v>
      </c>
      <c r="N635" s="99">
        <f>SUM(N610:N634)</f>
        <v>0</v>
      </c>
      <c r="O635" s="100"/>
      <c r="P635"/>
      <c r="Q635"/>
      <c r="R635"/>
      <c r="S635"/>
      <c r="U635" s="101"/>
      <c r="V635" s="80"/>
      <c r="W635" s="102"/>
      <c r="X635" s="102"/>
      <c r="Y635" s="94"/>
      <c r="Z635" s="86"/>
      <c r="AA635" s="86"/>
      <c r="AB635" s="86"/>
      <c r="AQ635" s="80"/>
      <c r="AR635" s="80"/>
    </row>
    <row r="636" spans="1:44" ht="5.0999999999999996" customHeight="1" thickTop="1">
      <c r="A636" s="105"/>
      <c r="B636" s="71"/>
      <c r="D636" s="79"/>
      <c r="E636" s="80"/>
      <c r="F636" s="115"/>
      <c r="G636" s="80"/>
      <c r="H636" s="116"/>
      <c r="I636" s="116"/>
      <c r="J636" s="116"/>
      <c r="K636" s="80"/>
      <c r="L636" s="118"/>
      <c r="M636" s="118"/>
      <c r="N636" s="118"/>
      <c r="O636" s="119"/>
      <c r="P636"/>
      <c r="Q636"/>
      <c r="R636"/>
      <c r="S636"/>
      <c r="U636" s="117"/>
      <c r="V636" s="80"/>
      <c r="W636" s="118"/>
      <c r="X636" s="118"/>
      <c r="Y636" s="94"/>
      <c r="Z636" s="86"/>
      <c r="AA636" s="86"/>
      <c r="AB636" s="86"/>
      <c r="AQ636" s="80"/>
      <c r="AR636" s="80"/>
    </row>
    <row r="637" spans="1:44" ht="24">
      <c r="A637" s="70"/>
      <c r="B637" s="78" t="s">
        <v>596</v>
      </c>
      <c r="D637" s="162"/>
      <c r="E637" s="80"/>
      <c r="F637" s="136"/>
      <c r="G637" s="80"/>
      <c r="H637" s="81">
        <f>D637-I637</f>
        <v>0</v>
      </c>
      <c r="I637" s="148"/>
      <c r="J637" s="81">
        <f>+D637-H637-I637</f>
        <v>0</v>
      </c>
      <c r="K637" s="80"/>
      <c r="L637" s="82"/>
      <c r="M637" s="163"/>
      <c r="N637" s="82">
        <f>+F637-L637-M637</f>
        <v>0</v>
      </c>
      <c r="O637" s="83"/>
      <c r="P637"/>
      <c r="Q637"/>
      <c r="R637"/>
      <c r="S637"/>
      <c r="U637" s="84" t="s">
        <v>535</v>
      </c>
      <c r="V637" s="80"/>
      <c r="W637" s="82" t="s">
        <v>47</v>
      </c>
      <c r="X637" s="82" t="s">
        <v>597</v>
      </c>
      <c r="Y637" s="85" t="s">
        <v>537</v>
      </c>
      <c r="Z637" s="86" t="s">
        <v>572</v>
      </c>
      <c r="AA637" s="86" t="s">
        <v>40</v>
      </c>
      <c r="AB637" s="86" t="s">
        <v>40</v>
      </c>
      <c r="AQ637" s="80"/>
      <c r="AR637" s="80"/>
    </row>
    <row r="638" spans="1:44" ht="14.4">
      <c r="A638" s="70">
        <v>200015</v>
      </c>
      <c r="B638" s="78" t="str">
        <f>VLOOKUP(A638,'TB for financial'!A:B,2,0)</f>
        <v>Provision for capital</v>
      </c>
      <c r="D638" s="79">
        <f>-VLOOKUP(A638,'TB for financial'!A:F,6,0)</f>
        <v>0</v>
      </c>
      <c r="E638" s="80"/>
      <c r="F638" s="79">
        <f>-VLOOKUP(A638,'TB for financial'!A:K,11,0)</f>
        <v>0</v>
      </c>
      <c r="G638" s="80"/>
      <c r="H638" s="81">
        <f>D638-I638</f>
        <v>0</v>
      </c>
      <c r="I638" s="81">
        <v>0</v>
      </c>
      <c r="J638" s="81">
        <f>+D638-H638-I638</f>
        <v>0</v>
      </c>
      <c r="K638" s="80"/>
      <c r="L638" s="82">
        <f>F638-M638</f>
        <v>0</v>
      </c>
      <c r="M638" s="82">
        <v>0</v>
      </c>
      <c r="N638" s="82">
        <f>+F638-L638-M638</f>
        <v>0</v>
      </c>
      <c r="O638" s="83"/>
      <c r="P638"/>
      <c r="Q638"/>
      <c r="R638"/>
      <c r="S638"/>
      <c r="U638" s="84" t="s">
        <v>530</v>
      </c>
      <c r="V638" s="80"/>
      <c r="W638" s="82" t="s">
        <v>47</v>
      </c>
      <c r="X638" s="82"/>
      <c r="Y638" s="85" t="s">
        <v>537</v>
      </c>
      <c r="Z638" s="86" t="s">
        <v>572</v>
      </c>
      <c r="AA638" s="86" t="s">
        <v>40</v>
      </c>
      <c r="AB638" s="86" t="s">
        <v>40</v>
      </c>
      <c r="AC638" s="87">
        <v>0</v>
      </c>
      <c r="AD638" s="88">
        <f>+D638-AC638</f>
        <v>0</v>
      </c>
      <c r="AF638" s="54">
        <v>200015</v>
      </c>
      <c r="AQ638" s="80"/>
      <c r="AR638" s="80"/>
    </row>
    <row r="639" spans="1:44" ht="24">
      <c r="A639" s="70"/>
      <c r="B639" s="78" t="s">
        <v>598</v>
      </c>
      <c r="D639" s="164">
        <v>0</v>
      </c>
      <c r="E639" s="80"/>
      <c r="F639" s="165">
        <v>0</v>
      </c>
      <c r="G639" s="80"/>
      <c r="H639" s="166">
        <v>0</v>
      </c>
      <c r="I639" s="148">
        <v>0</v>
      </c>
      <c r="J639" s="81">
        <f>+D639-H639-I639</f>
        <v>0</v>
      </c>
      <c r="K639" s="80"/>
      <c r="L639" s="167">
        <v>0</v>
      </c>
      <c r="M639" s="163">
        <v>0</v>
      </c>
      <c r="N639" s="82">
        <f>+F639-L639-M639</f>
        <v>0</v>
      </c>
      <c r="O639" s="83"/>
      <c r="P639"/>
      <c r="Q639"/>
      <c r="R639"/>
      <c r="S639"/>
      <c r="U639" s="84" t="s">
        <v>535</v>
      </c>
      <c r="V639" s="80"/>
      <c r="W639" s="82" t="s">
        <v>47</v>
      </c>
      <c r="X639" s="82" t="s">
        <v>597</v>
      </c>
      <c r="Y639" s="85" t="s">
        <v>537</v>
      </c>
      <c r="Z639" s="86" t="s">
        <v>572</v>
      </c>
      <c r="AA639" s="86" t="s">
        <v>40</v>
      </c>
      <c r="AB639" s="86" t="s">
        <v>40</v>
      </c>
      <c r="AQ639" s="80"/>
      <c r="AR639" s="80"/>
    </row>
    <row r="640" spans="1:44" ht="5.0999999999999996" customHeight="1">
      <c r="A640" s="70"/>
      <c r="B640" s="78"/>
      <c r="D640" s="79"/>
      <c r="E640" s="80"/>
      <c r="F640" s="79"/>
      <c r="G640" s="80"/>
      <c r="H640" s="81"/>
      <c r="I640" s="148"/>
      <c r="J640" s="81"/>
      <c r="K640" s="80"/>
      <c r="L640" s="82"/>
      <c r="M640" s="163"/>
      <c r="N640" s="82"/>
      <c r="O640" s="83"/>
      <c r="P640"/>
      <c r="Q640"/>
      <c r="R640"/>
      <c r="S640"/>
      <c r="U640" s="84"/>
      <c r="V640" s="80"/>
      <c r="W640" s="82"/>
      <c r="X640" s="82"/>
      <c r="Y640" s="94"/>
      <c r="Z640" s="86"/>
      <c r="AA640" s="86"/>
      <c r="AB640" s="86"/>
      <c r="AQ640" s="80"/>
      <c r="AR640" s="80"/>
    </row>
    <row r="641" spans="1:44" ht="15" thickBot="1">
      <c r="A641" s="105"/>
      <c r="B641" s="71" t="s">
        <v>599</v>
      </c>
      <c r="D641" s="95">
        <f>SUM(D637:D640)</f>
        <v>0</v>
      </c>
      <c r="E641" s="96"/>
      <c r="F641" s="97">
        <f>SUM(F637:F640)</f>
        <v>0</v>
      </c>
      <c r="G641" s="80"/>
      <c r="H641" s="98">
        <f>SUM(H637:H640)</f>
        <v>0</v>
      </c>
      <c r="I641" s="168">
        <f>SUM(I637:I640)</f>
        <v>0</v>
      </c>
      <c r="J641" s="99">
        <f>SUM(J637:J640)</f>
        <v>0</v>
      </c>
      <c r="K641" s="80"/>
      <c r="L641" s="99">
        <f>SUM(L637:L640)</f>
        <v>0</v>
      </c>
      <c r="M641" s="169">
        <f>SUM(M637:M640)</f>
        <v>0</v>
      </c>
      <c r="N641" s="99">
        <f>SUM(N637:N640)</f>
        <v>0</v>
      </c>
      <c r="O641" s="100"/>
      <c r="P641"/>
      <c r="Q641"/>
      <c r="R641"/>
      <c r="S641"/>
      <c r="U641" s="101"/>
      <c r="V641" s="80"/>
      <c r="W641" s="102"/>
      <c r="X641" s="102"/>
      <c r="Y641" s="94"/>
      <c r="Z641" s="86"/>
      <c r="AA641" s="86"/>
      <c r="AB641" s="86"/>
      <c r="AQ641" s="80"/>
      <c r="AR641" s="80"/>
    </row>
    <row r="642" spans="1:44" ht="5.0999999999999996" customHeight="1" thickTop="1">
      <c r="A642" s="105"/>
      <c r="B642" s="71"/>
      <c r="D642" s="79"/>
      <c r="E642" s="80"/>
      <c r="F642" s="79"/>
      <c r="G642" s="80"/>
      <c r="H642" s="81"/>
      <c r="I642" s="81"/>
      <c r="J642" s="81"/>
      <c r="K642" s="80"/>
      <c r="L642" s="82"/>
      <c r="M642" s="82"/>
      <c r="N642" s="82"/>
      <c r="O642" s="83"/>
      <c r="P642"/>
      <c r="Q642"/>
      <c r="R642"/>
      <c r="S642"/>
      <c r="U642" s="84"/>
      <c r="V642" s="80"/>
      <c r="W642" s="82"/>
      <c r="X642" s="82"/>
      <c r="Y642" s="94"/>
      <c r="Z642" s="86"/>
      <c r="AA642" s="86"/>
      <c r="AB642" s="86"/>
      <c r="AQ642" s="80"/>
      <c r="AR642" s="80"/>
    </row>
    <row r="643" spans="1:44" ht="14.4">
      <c r="A643" s="70">
        <v>201241</v>
      </c>
      <c r="B643" s="78" t="str">
        <f>VLOOKUP(A643,'TB for financial'!A:B,2,0)</f>
        <v>Provision - Gratuity</v>
      </c>
      <c r="D643" s="79">
        <f>-VLOOKUP(A643,'TB for financial'!A:F,6,0)</f>
        <v>0</v>
      </c>
      <c r="E643" s="80"/>
      <c r="F643" s="79">
        <f>-VLOOKUP(A643,'TB for financial'!A:K,11,0)</f>
        <v>0</v>
      </c>
      <c r="G643" s="80"/>
      <c r="H643" s="162">
        <f>D643-I643</f>
        <v>0</v>
      </c>
      <c r="I643" s="81"/>
      <c r="J643" s="81">
        <f>+D643-H643-I643</f>
        <v>0</v>
      </c>
      <c r="K643" s="80"/>
      <c r="L643" s="82">
        <f>F643-M643</f>
        <v>0</v>
      </c>
      <c r="M643" s="82">
        <v>0</v>
      </c>
      <c r="N643" s="82">
        <f>+F643-L643-M643</f>
        <v>0</v>
      </c>
      <c r="O643" s="83"/>
      <c r="P643"/>
      <c r="Q643"/>
      <c r="R643"/>
      <c r="S643"/>
      <c r="U643" s="84" t="s">
        <v>535</v>
      </c>
      <c r="V643" s="80"/>
      <c r="W643" s="82" t="s">
        <v>600</v>
      </c>
      <c r="X643" s="82" t="s">
        <v>601</v>
      </c>
      <c r="Y643" s="85" t="s">
        <v>537</v>
      </c>
      <c r="Z643" s="170" t="s">
        <v>572</v>
      </c>
      <c r="AA643" s="170" t="s">
        <v>41</v>
      </c>
      <c r="AB643" s="170" t="s">
        <v>41</v>
      </c>
      <c r="AC643" s="87">
        <v>0</v>
      </c>
      <c r="AD643" s="88">
        <f>+D643-AC643</f>
        <v>0</v>
      </c>
      <c r="AF643" s="54">
        <v>201241</v>
      </c>
      <c r="AQ643" s="80"/>
      <c r="AR643" s="80"/>
    </row>
    <row r="644" spans="1:44" ht="14.4">
      <c r="A644" s="70">
        <v>201242</v>
      </c>
      <c r="B644" s="78" t="str">
        <f>VLOOKUP(A644,'TB for financial'!A:B,2,0)</f>
        <v xml:space="preserve">Provision - Unutilised Leave </v>
      </c>
      <c r="D644" s="79">
        <f>-VLOOKUP(A644,'TB for financial'!A:F,6,0)</f>
        <v>0</v>
      </c>
      <c r="E644" s="80"/>
      <c r="F644" s="79">
        <f>-VLOOKUP(A644,'TB for financial'!A:K,11,0)</f>
        <v>0</v>
      </c>
      <c r="G644" s="80"/>
      <c r="H644" s="162">
        <f>D644-I644</f>
        <v>0</v>
      </c>
      <c r="I644" s="81">
        <v>0</v>
      </c>
      <c r="J644" s="81">
        <f>+D644-H644-I644</f>
        <v>0</v>
      </c>
      <c r="K644" s="80"/>
      <c r="L644" s="82">
        <f>F644-M644</f>
        <v>0</v>
      </c>
      <c r="M644" s="82">
        <v>0</v>
      </c>
      <c r="N644" s="82">
        <f>+F644-L644-M644</f>
        <v>0</v>
      </c>
      <c r="O644" s="83"/>
      <c r="P644"/>
      <c r="Q644"/>
      <c r="R644"/>
      <c r="S644"/>
      <c r="U644" s="84" t="s">
        <v>535</v>
      </c>
      <c r="V644" s="80"/>
      <c r="W644" s="82" t="s">
        <v>600</v>
      </c>
      <c r="X644" s="82" t="s">
        <v>601</v>
      </c>
      <c r="Y644" s="85" t="s">
        <v>537</v>
      </c>
      <c r="Z644" s="86" t="s">
        <v>572</v>
      </c>
      <c r="AA644" s="86" t="s">
        <v>41</v>
      </c>
      <c r="AB644" s="86" t="s">
        <v>41</v>
      </c>
      <c r="AC644" s="87">
        <v>0</v>
      </c>
      <c r="AD644" s="88">
        <f>+D644-AC644</f>
        <v>0</v>
      </c>
      <c r="AF644" s="54">
        <v>201242</v>
      </c>
      <c r="AQ644" s="80"/>
      <c r="AR644" s="80"/>
    </row>
    <row r="645" spans="1:44" ht="24">
      <c r="A645" s="1373">
        <v>159200</v>
      </c>
      <c r="B645" s="78" t="str">
        <f>VLOOKUP(A645,'TB for financial'!A:B,2,0)</f>
        <v>Unfunded post employment DB plans</v>
      </c>
      <c r="D645" s="162">
        <f>-VLOOKUP(A645,'TB for financial'!A:F,6,0)</f>
        <v>1507525.3000000007</v>
      </c>
      <c r="E645" s="80"/>
      <c r="F645" s="79">
        <f>-VLOOKUP(A645,'TB for financial'!A:K,11,0)</f>
        <v>2167853.3000000007</v>
      </c>
      <c r="G645" s="80"/>
      <c r="H645" s="162">
        <f>D645-I645</f>
        <v>285026.30000000075</v>
      </c>
      <c r="I645" s="162">
        <v>1222499</v>
      </c>
      <c r="J645" s="81">
        <f>+D645-H645-I645</f>
        <v>0</v>
      </c>
      <c r="K645" s="80"/>
      <c r="L645" s="82">
        <f>F645-M645</f>
        <v>683656.30000000075</v>
      </c>
      <c r="M645" s="82">
        <v>1484197</v>
      </c>
      <c r="N645" s="82">
        <f>+F645-L645-M645</f>
        <v>0</v>
      </c>
      <c r="O645" s="83"/>
      <c r="P645"/>
      <c r="Q645"/>
      <c r="R645"/>
      <c r="S645"/>
      <c r="U645" s="84" t="s">
        <v>535</v>
      </c>
      <c r="V645" s="80"/>
      <c r="W645" s="82" t="s">
        <v>600</v>
      </c>
      <c r="X645" s="82" t="s">
        <v>601</v>
      </c>
      <c r="Y645" s="85" t="s">
        <v>537</v>
      </c>
      <c r="Z645" s="86" t="s">
        <v>572</v>
      </c>
      <c r="AA645" s="86" t="s">
        <v>41</v>
      </c>
      <c r="AB645" s="86" t="s">
        <v>41</v>
      </c>
      <c r="AC645" s="87">
        <v>1381070.66</v>
      </c>
      <c r="AD645" s="88">
        <f>+D645-AC645</f>
        <v>126454.64000000083</v>
      </c>
      <c r="AF645" s="54" t="s">
        <v>2536</v>
      </c>
      <c r="AQ645" s="80"/>
      <c r="AR645" s="80">
        <f>D645</f>
        <v>1507525.3000000007</v>
      </c>
    </row>
    <row r="646" spans="1:44" ht="14.4">
      <c r="A646" s="1373">
        <v>159300</v>
      </c>
      <c r="B646" s="78" t="str">
        <f>VLOOKUP(A646,'TB for financial'!A:B,2,0)</f>
        <v>Other long term DB plans</v>
      </c>
      <c r="D646" s="162">
        <f>-VLOOKUP(A646,'TB for financial'!A:F,6,0)</f>
        <v>170554</v>
      </c>
      <c r="E646" s="80"/>
      <c r="F646" s="79">
        <f>-VLOOKUP(A646,'TB for financial'!A:K,11,0)</f>
        <v>283264</v>
      </c>
      <c r="G646" s="80"/>
      <c r="H646" s="162">
        <f>D646-I646</f>
        <v>170554</v>
      </c>
      <c r="I646" s="81">
        <v>0</v>
      </c>
      <c r="J646" s="81">
        <f>+D646-H646-I646</f>
        <v>0</v>
      </c>
      <c r="K646" s="80"/>
      <c r="L646" s="82">
        <f>F646-M646</f>
        <v>283264</v>
      </c>
      <c r="M646" s="82">
        <v>0</v>
      </c>
      <c r="N646" s="82">
        <f>+F646-L646-M646</f>
        <v>0</v>
      </c>
      <c r="O646" s="83"/>
      <c r="P646"/>
      <c r="Q646"/>
      <c r="R646"/>
      <c r="S646"/>
      <c r="U646" s="84" t="s">
        <v>535</v>
      </c>
      <c r="V646" s="80"/>
      <c r="W646" s="82" t="s">
        <v>600</v>
      </c>
      <c r="X646" s="82" t="s">
        <v>601</v>
      </c>
      <c r="Y646" s="85" t="s">
        <v>537</v>
      </c>
      <c r="Z646" s="86" t="s">
        <v>572</v>
      </c>
      <c r="AA646" s="86" t="s">
        <v>41</v>
      </c>
      <c r="AB646" s="86" t="s">
        <v>41</v>
      </c>
      <c r="AC646" s="87">
        <v>311194</v>
      </c>
      <c r="AD646" s="88">
        <f>+D646-AC646</f>
        <v>-140640</v>
      </c>
      <c r="AF646" s="54" t="s">
        <v>2536</v>
      </c>
      <c r="AQ646" s="80"/>
      <c r="AR646" s="80">
        <f>D646</f>
        <v>170554</v>
      </c>
    </row>
    <row r="647" spans="1:44" ht="14.4">
      <c r="A647" s="1373">
        <v>428200</v>
      </c>
      <c r="B647" s="78" t="str">
        <f>VLOOKUP(A647,'TB for financial'!A:B,2,0)</f>
        <v>PROVISION - PAID HOLIDAYS</v>
      </c>
      <c r="D647" s="162">
        <f>-VLOOKUP(A647,'TB for financial'!A:F,6,0)</f>
        <v>14511.125000000931</v>
      </c>
      <c r="E647" s="80"/>
      <c r="F647" s="79">
        <f>-VLOOKUP(A647,'TB for financial'!A:K,11,0)</f>
        <v>-34924.874999999069</v>
      </c>
      <c r="G647" s="80"/>
      <c r="H647" s="162">
        <f>D647-I647</f>
        <v>14511.125000000931</v>
      </c>
      <c r="I647" s="81">
        <v>0</v>
      </c>
      <c r="J647" s="81">
        <f>+D647-H647-I647</f>
        <v>0</v>
      </c>
      <c r="K647" s="80"/>
      <c r="L647" s="82">
        <f>F647-M647</f>
        <v>-34924.874999999069</v>
      </c>
      <c r="M647" s="82">
        <v>0</v>
      </c>
      <c r="N647" s="82">
        <f>+F647-L647-M647</f>
        <v>0</v>
      </c>
      <c r="O647" s="83"/>
      <c r="P647"/>
      <c r="Q647"/>
      <c r="R647"/>
      <c r="S647"/>
      <c r="U647" s="84" t="s">
        <v>535</v>
      </c>
      <c r="V647" s="80"/>
      <c r="W647" s="82" t="s">
        <v>600</v>
      </c>
      <c r="X647" s="82" t="s">
        <v>601</v>
      </c>
      <c r="Y647" s="85" t="s">
        <v>537</v>
      </c>
      <c r="Z647" s="86" t="s">
        <v>572</v>
      </c>
      <c r="AA647" s="86" t="s">
        <v>41</v>
      </c>
      <c r="AB647" s="86" t="s">
        <v>41</v>
      </c>
      <c r="AC647" s="87">
        <v>-27660</v>
      </c>
      <c r="AD647" s="88">
        <f>+D647-AC647</f>
        <v>42171.125000000931</v>
      </c>
      <c r="AF647" s="54" t="s">
        <v>2536</v>
      </c>
      <c r="AQ647" s="80"/>
      <c r="AR647" s="80">
        <f>D647</f>
        <v>14511.125000000931</v>
      </c>
    </row>
    <row r="648" spans="1:44" ht="5.0999999999999996" customHeight="1">
      <c r="A648" s="70"/>
      <c r="B648" s="78"/>
      <c r="D648" s="79"/>
      <c r="E648" s="80"/>
      <c r="F648" s="79"/>
      <c r="G648" s="80"/>
      <c r="H648" s="81"/>
      <c r="I648" s="81"/>
      <c r="J648" s="81"/>
      <c r="K648" s="80"/>
      <c r="L648" s="82"/>
      <c r="M648" s="163"/>
      <c r="N648" s="82"/>
      <c r="O648" s="83"/>
      <c r="P648"/>
      <c r="Q648"/>
      <c r="R648"/>
      <c r="S648"/>
      <c r="U648" s="84"/>
      <c r="V648" s="80"/>
      <c r="W648" s="82"/>
      <c r="X648" s="82"/>
      <c r="Y648" s="94"/>
      <c r="Z648" s="86"/>
      <c r="AA648" s="86"/>
      <c r="AB648" s="86"/>
      <c r="AQ648" s="80"/>
      <c r="AR648" s="80"/>
    </row>
    <row r="649" spans="1:44" ht="24.6" thickBot="1">
      <c r="A649" s="70"/>
      <c r="B649" s="71" t="s">
        <v>602</v>
      </c>
      <c r="D649" s="1646">
        <f>SUM(D643:D648)</f>
        <v>1692590.4250000017</v>
      </c>
      <c r="E649" s="96"/>
      <c r="F649" s="97">
        <f>SUM(F643:F648)</f>
        <v>2416192.4250000017</v>
      </c>
      <c r="G649" s="80"/>
      <c r="H649" s="1646">
        <f>SUM(H643:H648)</f>
        <v>470091.42500000168</v>
      </c>
      <c r="I649" s="1646">
        <f>SUM(I643:I648)</f>
        <v>1222499</v>
      </c>
      <c r="J649" s="99">
        <f>SUM(J643:J648)</f>
        <v>0</v>
      </c>
      <c r="K649" s="80"/>
      <c r="L649" s="99">
        <f>SUM(L643:L648)</f>
        <v>931995.42500000168</v>
      </c>
      <c r="M649" s="99">
        <f>SUM(M643:M648)</f>
        <v>1484197</v>
      </c>
      <c r="N649" s="99">
        <f>SUM(N643:N648)</f>
        <v>0</v>
      </c>
      <c r="O649" s="100"/>
      <c r="P649"/>
      <c r="Q649"/>
      <c r="R649"/>
      <c r="S649"/>
      <c r="U649" s="101"/>
      <c r="V649" s="80"/>
      <c r="W649" s="102"/>
      <c r="X649" s="102"/>
      <c r="Y649" s="94"/>
      <c r="Z649" s="86"/>
      <c r="AA649" s="86"/>
      <c r="AB649" s="86"/>
      <c r="AQ649" s="80"/>
      <c r="AR649" s="80"/>
    </row>
    <row r="650" spans="1:44" ht="5.0999999999999996" customHeight="1" thickTop="1">
      <c r="A650" s="70"/>
      <c r="B650" s="71"/>
      <c r="D650" s="79"/>
      <c r="E650" s="80"/>
      <c r="F650" s="79"/>
      <c r="G650" s="80"/>
      <c r="H650" s="81"/>
      <c r="I650" s="81"/>
      <c r="J650" s="81"/>
      <c r="K650" s="80"/>
      <c r="L650" s="82"/>
      <c r="M650" s="82"/>
      <c r="N650" s="82"/>
      <c r="O650" s="83"/>
      <c r="P650"/>
      <c r="Q650"/>
      <c r="R650"/>
      <c r="S650"/>
      <c r="U650" s="84"/>
      <c r="V650" s="80"/>
      <c r="W650" s="82"/>
      <c r="X650" s="82"/>
      <c r="Y650" s="94"/>
      <c r="Z650" s="86"/>
      <c r="AA650" s="86"/>
      <c r="AB650" s="86"/>
      <c r="AQ650" s="80"/>
      <c r="AR650" s="80"/>
    </row>
    <row r="651" spans="1:44" ht="5.0999999999999996" customHeight="1">
      <c r="A651" s="70"/>
      <c r="B651" s="78"/>
      <c r="D651" s="79"/>
      <c r="E651" s="80"/>
      <c r="F651" s="79"/>
      <c r="G651" s="80"/>
      <c r="H651" s="81"/>
      <c r="I651" s="81"/>
      <c r="J651" s="81"/>
      <c r="K651" s="80"/>
      <c r="L651" s="82"/>
      <c r="M651" s="82"/>
      <c r="N651" s="82"/>
      <c r="O651" s="83"/>
      <c r="P651"/>
      <c r="Q651"/>
      <c r="R651"/>
      <c r="S651"/>
      <c r="U651" s="84"/>
      <c r="V651" s="80"/>
      <c r="W651" s="82"/>
      <c r="X651" s="82"/>
      <c r="Y651" s="94"/>
      <c r="Z651" s="86"/>
      <c r="AA651" s="86"/>
      <c r="AB651" s="86"/>
      <c r="AQ651" s="80"/>
      <c r="AR651" s="80"/>
    </row>
    <row r="652" spans="1:44" ht="14.4">
      <c r="A652" s="144">
        <v>101090</v>
      </c>
      <c r="B652" s="78" t="str">
        <f>VLOOKUP(A652,'TB for financial'!A:B,2,0)</f>
        <v>AR - Volume Rebate</v>
      </c>
      <c r="D652" s="79">
        <f>-VLOOKUP(A652,'TB for financial'!A:F,6,0)</f>
        <v>-1.619999997317791</v>
      </c>
      <c r="E652" s="80"/>
      <c r="F652" s="79">
        <f>-VLOOKUP(A652,'TB for financial'!A:K,11,0)</f>
        <v>-1.619999997317791</v>
      </c>
      <c r="G652" s="80"/>
      <c r="H652" s="81">
        <f>D652-I652</f>
        <v>-1.619999997317791</v>
      </c>
      <c r="I652" s="81">
        <v>0</v>
      </c>
      <c r="J652" s="81">
        <f>+D652-H652-I652</f>
        <v>0</v>
      </c>
      <c r="K652" s="80"/>
      <c r="L652" s="82">
        <f>F652-M652</f>
        <v>-1.619999997317791</v>
      </c>
      <c r="M652" s="82">
        <v>0</v>
      </c>
      <c r="N652" s="82">
        <f>+F652-L652-M652</f>
        <v>0</v>
      </c>
      <c r="O652" s="83"/>
      <c r="P652"/>
      <c r="Q652"/>
      <c r="R652"/>
      <c r="S652"/>
      <c r="U652" s="84" t="s">
        <v>535</v>
      </c>
      <c r="V652" s="80"/>
      <c r="W652" s="82" t="s">
        <v>47</v>
      </c>
      <c r="X652" s="82" t="s">
        <v>597</v>
      </c>
      <c r="Y652" s="85" t="s">
        <v>603</v>
      </c>
      <c r="Z652" s="86" t="s">
        <v>572</v>
      </c>
      <c r="AA652" s="86" t="s">
        <v>40</v>
      </c>
      <c r="AB652" s="86" t="s">
        <v>40</v>
      </c>
      <c r="AC652" s="87">
        <v>0</v>
      </c>
      <c r="AD652" s="88">
        <f>+D652-AC652</f>
        <v>-1.619999997317791</v>
      </c>
      <c r="AF652" s="54">
        <v>101090</v>
      </c>
      <c r="AQ652" s="80"/>
      <c r="AR652" s="80">
        <f>D652</f>
        <v>-1.619999997317791</v>
      </c>
    </row>
    <row r="653" spans="1:44" ht="14.4">
      <c r="A653" s="70">
        <v>205095</v>
      </c>
      <c r="B653" s="78" t="str">
        <f>VLOOKUP(A653,'TB for financial'!A:B,2,0)</f>
        <v>Liability - Deposits Recd</v>
      </c>
      <c r="D653" s="79">
        <f>-VLOOKUP(A653,'TB for financial'!A:F,6,0)</f>
        <v>0</v>
      </c>
      <c r="E653" s="80"/>
      <c r="F653" s="79">
        <f>-VLOOKUP(A653,'TB for financial'!A:K,11,0)</f>
        <v>0</v>
      </c>
      <c r="G653" s="80"/>
      <c r="H653" s="81">
        <f>D653-I653</f>
        <v>0</v>
      </c>
      <c r="I653" s="81">
        <v>0</v>
      </c>
      <c r="J653" s="81">
        <f>+D653-H653-I653</f>
        <v>0</v>
      </c>
      <c r="K653" s="80"/>
      <c r="L653" s="82">
        <f>F653-M653</f>
        <v>0</v>
      </c>
      <c r="M653" s="82">
        <v>0</v>
      </c>
      <c r="N653" s="82">
        <f>+F653-L653-M653</f>
        <v>0</v>
      </c>
      <c r="O653" s="83"/>
      <c r="P653"/>
      <c r="Q653"/>
      <c r="R653"/>
      <c r="S653"/>
      <c r="U653" s="84" t="s">
        <v>530</v>
      </c>
      <c r="V653" s="80"/>
      <c r="W653" s="82" t="s">
        <v>47</v>
      </c>
      <c r="X653" s="82" t="s">
        <v>597</v>
      </c>
      <c r="Y653" s="85" t="s">
        <v>603</v>
      </c>
      <c r="Z653" s="86" t="s">
        <v>572</v>
      </c>
      <c r="AA653" s="86" t="s">
        <v>40</v>
      </c>
      <c r="AB653" s="86" t="s">
        <v>40</v>
      </c>
      <c r="AC653" s="87">
        <v>0</v>
      </c>
      <c r="AD653" s="88">
        <f>+D653-AC653</f>
        <v>0</v>
      </c>
      <c r="AF653" s="54">
        <v>205095</v>
      </c>
      <c r="AQ653" s="80"/>
      <c r="AR653" s="80"/>
    </row>
    <row r="654" spans="1:44" ht="3.75" customHeight="1">
      <c r="A654" s="70"/>
      <c r="B654" s="78"/>
      <c r="D654" s="79"/>
      <c r="E654" s="80"/>
      <c r="F654" s="79"/>
      <c r="G654" s="80"/>
      <c r="H654" s="81"/>
      <c r="I654" s="81"/>
      <c r="J654" s="81"/>
      <c r="K654" s="80"/>
      <c r="L654" s="82"/>
      <c r="M654" s="82"/>
      <c r="N654" s="82"/>
      <c r="O654" s="83"/>
      <c r="P654"/>
      <c r="Q654"/>
      <c r="R654"/>
      <c r="S654"/>
      <c r="T654" s="88"/>
      <c r="U654" s="84"/>
      <c r="V654" s="80"/>
      <c r="W654" s="82"/>
      <c r="X654" s="82"/>
      <c r="Y654" s="125"/>
      <c r="Z654" s="86"/>
      <c r="AA654" s="86"/>
      <c r="AB654" s="86"/>
      <c r="AQ654" s="80"/>
      <c r="AR654" s="80"/>
    </row>
    <row r="655" spans="1:44" ht="15" thickBot="1">
      <c r="A655" s="105"/>
      <c r="B655" s="71"/>
      <c r="D655" s="95">
        <f>SUM(D652:D654)</f>
        <v>-1.619999997317791</v>
      </c>
      <c r="E655" s="96"/>
      <c r="F655" s="97">
        <f>SUM(F652:F654)</f>
        <v>-1.619999997317791</v>
      </c>
      <c r="G655" s="80"/>
      <c r="H655" s="99">
        <f>SUM(H652:H653)</f>
        <v>-1.619999997317791</v>
      </c>
      <c r="I655" s="99">
        <f>SUM(I652:I653)</f>
        <v>0</v>
      </c>
      <c r="J655" s="99">
        <f>SUM(J652:J653)</f>
        <v>0</v>
      </c>
      <c r="K655" s="80"/>
      <c r="L655" s="99">
        <f>SUM(L652:L653)</f>
        <v>-1.619999997317791</v>
      </c>
      <c r="M655" s="99">
        <f>SUM(M652:M653)</f>
        <v>0</v>
      </c>
      <c r="N655" s="99">
        <f>SUM(N652:N653)</f>
        <v>0</v>
      </c>
      <c r="O655" s="100"/>
      <c r="P655"/>
      <c r="Q655"/>
      <c r="R655"/>
      <c r="S655"/>
      <c r="U655" s="101"/>
      <c r="V655" s="80"/>
      <c r="W655" s="102"/>
      <c r="X655" s="102"/>
      <c r="Y655" s="94"/>
      <c r="Z655" s="86"/>
      <c r="AA655" s="86"/>
      <c r="AB655" s="86"/>
      <c r="AQ655" s="80"/>
      <c r="AR655" s="80"/>
    </row>
    <row r="656" spans="1:44" ht="3" customHeight="1" thickTop="1">
      <c r="A656" s="105"/>
      <c r="B656" s="71"/>
      <c r="D656" s="115"/>
      <c r="E656" s="96"/>
      <c r="F656" s="115"/>
      <c r="G656" s="80"/>
      <c r="H656" s="116"/>
      <c r="I656" s="116"/>
      <c r="J656" s="116"/>
      <c r="K656" s="80"/>
      <c r="L656" s="118"/>
      <c r="M656" s="118"/>
      <c r="N656" s="118"/>
      <c r="O656" s="119"/>
      <c r="P656"/>
      <c r="Q656"/>
      <c r="R656"/>
      <c r="S656"/>
      <c r="U656" s="117"/>
      <c r="V656" s="80"/>
      <c r="W656" s="118"/>
      <c r="X656" s="118"/>
      <c r="Y656" s="94"/>
      <c r="Z656" s="86"/>
      <c r="AA656" s="86"/>
      <c r="AB656" s="86"/>
      <c r="AQ656" s="80"/>
      <c r="AR656" s="80"/>
    </row>
    <row r="657" spans="1:44" ht="14.4">
      <c r="A657" s="70">
        <v>205043</v>
      </c>
      <c r="B657" s="78" t="str">
        <f>VLOOKUP(A657,'TB for financial'!A:B,2,0)</f>
        <v>Deferred Lease equalisation</v>
      </c>
      <c r="D657" s="79">
        <f>-VLOOKUP(A657,'TB for financial'!A:F,6,0)</f>
        <v>-0.27890000439947471</v>
      </c>
      <c r="E657" s="80"/>
      <c r="F657" s="79">
        <f>-VLOOKUP(A657,'TB for financial'!A:K,11,0)</f>
        <v>-0.27890000439947471</v>
      </c>
      <c r="G657" s="80"/>
      <c r="H657" s="81">
        <f t="shared" ref="H657:H662" si="140">D657-I657</f>
        <v>-0.27890000439947471</v>
      </c>
      <c r="I657" s="81"/>
      <c r="J657" s="81">
        <f t="shared" ref="J657:J662" si="141">+D657-H657-I657</f>
        <v>0</v>
      </c>
      <c r="K657" s="80"/>
      <c r="L657" s="82">
        <f t="shared" ref="L657:L662" si="142">F657-M657</f>
        <v>-0.27890000439947471</v>
      </c>
      <c r="M657" s="82">
        <v>0</v>
      </c>
      <c r="N657" s="82">
        <f t="shared" ref="N657:N662" si="143">+F657-L657-M657</f>
        <v>0</v>
      </c>
      <c r="O657" s="83"/>
      <c r="P657"/>
      <c r="Q657"/>
      <c r="R657"/>
      <c r="S657"/>
      <c r="U657" s="84" t="s">
        <v>535</v>
      </c>
      <c r="V657" s="80"/>
      <c r="W657" s="82" t="s">
        <v>47</v>
      </c>
      <c r="X657" s="82" t="s">
        <v>597</v>
      </c>
      <c r="Y657" s="85" t="s">
        <v>603</v>
      </c>
      <c r="Z657" s="86" t="s">
        <v>569</v>
      </c>
      <c r="AA657" s="86" t="s">
        <v>47</v>
      </c>
      <c r="AB657" s="86" t="s">
        <v>43</v>
      </c>
      <c r="AC657" s="87">
        <v>0</v>
      </c>
      <c r="AD657" s="88">
        <f t="shared" ref="AD657:AD665" si="144">+D657-AC657</f>
        <v>-0.27890000439947471</v>
      </c>
      <c r="AF657" s="54">
        <v>205043</v>
      </c>
      <c r="AQ657" s="80"/>
      <c r="AR657" s="80">
        <f>D657</f>
        <v>-0.27890000439947471</v>
      </c>
    </row>
    <row r="658" spans="1:44" ht="14.4">
      <c r="A658" s="70">
        <v>220020</v>
      </c>
      <c r="B658" s="78" t="str">
        <f>VLOOKUP(A658,'TB for financial'!A:B,2,0)</f>
        <v>Advanced Billing Receipts</v>
      </c>
      <c r="D658" s="79">
        <f>-VLOOKUP(A658,'TB for financial'!A:F,6,0)</f>
        <v>0</v>
      </c>
      <c r="E658" s="80"/>
      <c r="F658" s="79">
        <f>-VLOOKUP(A658,'TB for financial'!A:K,11,0)</f>
        <v>0</v>
      </c>
      <c r="G658" s="80"/>
      <c r="H658" s="81">
        <f t="shared" si="140"/>
        <v>0</v>
      </c>
      <c r="I658" s="81">
        <v>0</v>
      </c>
      <c r="J658" s="81">
        <f t="shared" si="141"/>
        <v>0</v>
      </c>
      <c r="K658" s="80"/>
      <c r="L658" s="82">
        <f t="shared" si="142"/>
        <v>0</v>
      </c>
      <c r="M658" s="82">
        <v>0</v>
      </c>
      <c r="N658" s="82">
        <f t="shared" si="143"/>
        <v>0</v>
      </c>
      <c r="O658" s="83"/>
      <c r="P658"/>
      <c r="Q658"/>
      <c r="R658"/>
      <c r="S658"/>
      <c r="U658" s="84" t="s">
        <v>535</v>
      </c>
      <c r="V658" s="80"/>
      <c r="W658" s="82" t="s">
        <v>47</v>
      </c>
      <c r="X658" s="82" t="s">
        <v>597</v>
      </c>
      <c r="Y658" s="85" t="s">
        <v>603</v>
      </c>
      <c r="Z658" s="86" t="s">
        <v>569</v>
      </c>
      <c r="AA658" s="86" t="s">
        <v>47</v>
      </c>
      <c r="AB658" s="86" t="s">
        <v>43</v>
      </c>
      <c r="AC658" s="87">
        <v>0</v>
      </c>
      <c r="AD658" s="88">
        <f t="shared" si="144"/>
        <v>0</v>
      </c>
      <c r="AF658" s="54">
        <v>220020</v>
      </c>
      <c r="AQ658" s="80"/>
      <c r="AR658" s="80"/>
    </row>
    <row r="659" spans="1:44" ht="14.4">
      <c r="A659" s="91">
        <v>220021</v>
      </c>
      <c r="B659" s="78" t="str">
        <f>VLOOKUP(A659,'TB for financial'!A:B,2,0)</f>
        <v>NO SOW - Revenue Deferral</v>
      </c>
      <c r="D659" s="79">
        <f>-VLOOKUP(A659,'TB for financial'!A:F,6,0)</f>
        <v>0</v>
      </c>
      <c r="E659" s="80"/>
      <c r="F659" s="79">
        <f>-VLOOKUP(A659,'TB for financial'!A:K,11,0)</f>
        <v>0</v>
      </c>
      <c r="G659" s="80"/>
      <c r="H659" s="81">
        <f t="shared" si="140"/>
        <v>0</v>
      </c>
      <c r="I659" s="81">
        <v>0</v>
      </c>
      <c r="J659" s="81">
        <f t="shared" si="141"/>
        <v>0</v>
      </c>
      <c r="K659" s="80"/>
      <c r="L659" s="82">
        <f t="shared" si="142"/>
        <v>0</v>
      </c>
      <c r="M659" s="82">
        <v>0</v>
      </c>
      <c r="N659" s="82">
        <f t="shared" si="143"/>
        <v>0</v>
      </c>
      <c r="O659" s="83"/>
      <c r="P659"/>
      <c r="Q659"/>
      <c r="R659"/>
      <c r="S659"/>
      <c r="U659" s="84" t="s">
        <v>535</v>
      </c>
      <c r="V659" s="80"/>
      <c r="W659" s="82" t="s">
        <v>47</v>
      </c>
      <c r="X659" s="82" t="s">
        <v>597</v>
      </c>
      <c r="Y659" s="85" t="s">
        <v>603</v>
      </c>
      <c r="Z659" s="86" t="s">
        <v>569</v>
      </c>
      <c r="AA659" s="86" t="s">
        <v>47</v>
      </c>
      <c r="AB659" s="86" t="s">
        <v>43</v>
      </c>
      <c r="AC659" s="87">
        <v>0</v>
      </c>
      <c r="AD659" s="88">
        <f t="shared" si="144"/>
        <v>0</v>
      </c>
      <c r="AF659" s="54">
        <v>220021</v>
      </c>
      <c r="AQ659" s="80"/>
      <c r="AR659" s="80"/>
    </row>
    <row r="660" spans="1:44" ht="14.4">
      <c r="A660" s="70">
        <v>220030</v>
      </c>
      <c r="B660" s="78" t="str">
        <f>VLOOKUP(A660,'TB for financial'!A:B,2,0)</f>
        <v>AIG Advanced Billing Receipts</v>
      </c>
      <c r="D660" s="79">
        <f>-VLOOKUP(A660,'TB for financial'!A:F,6,0)</f>
        <v>0</v>
      </c>
      <c r="E660" s="80"/>
      <c r="F660" s="79">
        <f>-VLOOKUP(A660,'TB for financial'!A:K,11,0)</f>
        <v>0</v>
      </c>
      <c r="G660" s="80"/>
      <c r="H660" s="81">
        <f t="shared" si="140"/>
        <v>0</v>
      </c>
      <c r="I660" s="81">
        <v>0</v>
      </c>
      <c r="J660" s="81">
        <f t="shared" si="141"/>
        <v>0</v>
      </c>
      <c r="K660" s="80"/>
      <c r="L660" s="82">
        <f t="shared" si="142"/>
        <v>0</v>
      </c>
      <c r="M660" s="82">
        <v>0</v>
      </c>
      <c r="N660" s="82">
        <f t="shared" si="143"/>
        <v>0</v>
      </c>
      <c r="O660" s="83"/>
      <c r="P660"/>
      <c r="Q660"/>
      <c r="R660"/>
      <c r="S660"/>
      <c r="U660" s="84" t="s">
        <v>535</v>
      </c>
      <c r="V660" s="80"/>
      <c r="W660" s="82" t="s">
        <v>47</v>
      </c>
      <c r="X660" s="82" t="s">
        <v>597</v>
      </c>
      <c r="Y660" s="85" t="s">
        <v>603</v>
      </c>
      <c r="Z660" s="86" t="s">
        <v>569</v>
      </c>
      <c r="AA660" s="86" t="s">
        <v>47</v>
      </c>
      <c r="AB660" s="86" t="s">
        <v>43</v>
      </c>
      <c r="AC660" s="87">
        <v>0</v>
      </c>
      <c r="AD660" s="88">
        <f t="shared" si="144"/>
        <v>0</v>
      </c>
      <c r="AF660" s="54">
        <v>220030</v>
      </c>
      <c r="AQ660" s="80"/>
      <c r="AR660" s="80"/>
    </row>
    <row r="661" spans="1:44" ht="14.4">
      <c r="A661" s="70">
        <v>220010</v>
      </c>
      <c r="B661" s="78" t="str">
        <f>VLOOKUP(A661,'TB for financial'!A:B,2,0)</f>
        <v>Deferred Revenues</v>
      </c>
      <c r="D661" s="79">
        <f>-VLOOKUP(A661,'TB for financial'!A:F,6,0)</f>
        <v>0</v>
      </c>
      <c r="E661" s="80"/>
      <c r="F661" s="79">
        <f>-VLOOKUP(A661,'TB for financial'!A:K,11,0)</f>
        <v>0</v>
      </c>
      <c r="G661" s="80"/>
      <c r="H661" s="81">
        <f t="shared" si="140"/>
        <v>0</v>
      </c>
      <c r="I661" s="81">
        <v>0</v>
      </c>
      <c r="J661" s="81">
        <f t="shared" si="141"/>
        <v>0</v>
      </c>
      <c r="K661" s="80"/>
      <c r="L661" s="82">
        <f t="shared" si="142"/>
        <v>0</v>
      </c>
      <c r="M661" s="82">
        <v>0</v>
      </c>
      <c r="N661" s="82">
        <f t="shared" si="143"/>
        <v>0</v>
      </c>
      <c r="O661" s="83"/>
      <c r="P661"/>
      <c r="Q661"/>
      <c r="R661"/>
      <c r="S661"/>
      <c r="U661" s="84" t="s">
        <v>535</v>
      </c>
      <c r="V661" s="80"/>
      <c r="W661" s="82" t="s">
        <v>47</v>
      </c>
      <c r="X661" s="82" t="s">
        <v>597</v>
      </c>
      <c r="Y661" s="85" t="s">
        <v>603</v>
      </c>
      <c r="Z661" s="86" t="s">
        <v>569</v>
      </c>
      <c r="AA661" s="86" t="s">
        <v>47</v>
      </c>
      <c r="AB661" s="86" t="s">
        <v>43</v>
      </c>
      <c r="AC661" s="87">
        <v>0</v>
      </c>
      <c r="AD661" s="88">
        <f t="shared" si="144"/>
        <v>0</v>
      </c>
      <c r="AF661" s="54">
        <v>220010</v>
      </c>
      <c r="AQ661" s="80"/>
      <c r="AR661" s="80"/>
    </row>
    <row r="662" spans="1:44" ht="14.4">
      <c r="A662" s="144">
        <v>220022</v>
      </c>
      <c r="B662" s="78" t="str">
        <f>VLOOKUP(A662,'TB for financial'!A:B,2,0)</f>
        <v>Transition Rev Defferal</v>
      </c>
      <c r="D662" s="79">
        <f>-VLOOKUP(A662,'TB for financial'!A:F,6,0)</f>
        <v>0</v>
      </c>
      <c r="E662" s="80"/>
      <c r="F662" s="79">
        <f>-VLOOKUP(A662,'TB for financial'!A:K,11,0)</f>
        <v>0</v>
      </c>
      <c r="G662" s="80"/>
      <c r="H662" s="81">
        <f t="shared" si="140"/>
        <v>0</v>
      </c>
      <c r="I662" s="81">
        <v>0</v>
      </c>
      <c r="J662" s="81">
        <f t="shared" si="141"/>
        <v>0</v>
      </c>
      <c r="K662" s="80"/>
      <c r="L662" s="82">
        <f t="shared" si="142"/>
        <v>0</v>
      </c>
      <c r="M662" s="82">
        <v>0</v>
      </c>
      <c r="N662" s="82">
        <f t="shared" si="143"/>
        <v>0</v>
      </c>
      <c r="O662" s="83"/>
      <c r="P662"/>
      <c r="Q662"/>
      <c r="R662"/>
      <c r="S662"/>
      <c r="U662" s="84" t="s">
        <v>535</v>
      </c>
      <c r="V662" s="80"/>
      <c r="W662" s="82" t="s">
        <v>47</v>
      </c>
      <c r="X662" s="82" t="s">
        <v>597</v>
      </c>
      <c r="Y662" s="85" t="s">
        <v>603</v>
      </c>
      <c r="Z662" s="86" t="s">
        <v>569</v>
      </c>
      <c r="AA662" s="86" t="s">
        <v>47</v>
      </c>
      <c r="AB662" s="86" t="s">
        <v>43</v>
      </c>
      <c r="AC662" s="87">
        <v>0</v>
      </c>
      <c r="AD662" s="88">
        <f t="shared" si="144"/>
        <v>0</v>
      </c>
      <c r="AF662" s="54">
        <v>220022</v>
      </c>
      <c r="AQ662" s="80"/>
      <c r="AR662" s="80"/>
    </row>
    <row r="663" spans="1:44" ht="14.4">
      <c r="A663" s="144">
        <v>205056</v>
      </c>
      <c r="B663" s="78" t="str">
        <f>VLOOKUP(A663,'TB for financial'!A:B,2,0)</f>
        <v>Deferred Lease equal Inter Co</v>
      </c>
      <c r="D663" s="79">
        <f>-VLOOKUP(A663,'TB for financial'!A:F,6,0)</f>
        <v>8.0000126035884023E-4</v>
      </c>
      <c r="E663" s="80"/>
      <c r="F663" s="79">
        <f>-VLOOKUP(A663,'TB for financial'!A:K,11,0)</f>
        <v>8.0000126035884023E-4</v>
      </c>
      <c r="G663" s="80"/>
      <c r="H663" s="81">
        <f>D663-I663</f>
        <v>8.0000126035884023E-4</v>
      </c>
      <c r="I663" s="81">
        <v>0</v>
      </c>
      <c r="J663" s="81">
        <f>+D663-H663-I663</f>
        <v>0</v>
      </c>
      <c r="K663" s="80"/>
      <c r="L663" s="82">
        <f>F663-M663</f>
        <v>8.0000126035884023E-4</v>
      </c>
      <c r="M663" s="82">
        <v>0</v>
      </c>
      <c r="N663" s="82">
        <f>+F663-L663-M663</f>
        <v>0</v>
      </c>
      <c r="O663" s="83"/>
      <c r="P663"/>
      <c r="Q663"/>
      <c r="R663"/>
      <c r="S663"/>
      <c r="U663" s="84"/>
      <c r="V663" s="80"/>
      <c r="W663" s="82"/>
      <c r="X663" s="82"/>
      <c r="Y663" s="125"/>
      <c r="Z663" s="86"/>
      <c r="AA663" s="86"/>
      <c r="AB663" s="86"/>
      <c r="AC663" s="87">
        <v>0</v>
      </c>
      <c r="AD663" s="88">
        <f t="shared" si="144"/>
        <v>8.0000126035884023E-4</v>
      </c>
      <c r="AF663" s="54">
        <v>205056</v>
      </c>
      <c r="AQ663" s="80"/>
      <c r="AR663" s="80">
        <f>D663</f>
        <v>8.0000126035884023E-4</v>
      </c>
    </row>
    <row r="664" spans="1:44" ht="14.4">
      <c r="A664" s="144">
        <v>205057</v>
      </c>
      <c r="B664" s="78" t="str">
        <f>VLOOKUP(A664,'TB for financial'!A:B,2,0)</f>
        <v>Def Lease equal IC N-Curr Less</v>
      </c>
      <c r="D664" s="79">
        <f>-VLOOKUP(A664,'TB for financial'!A:F,6,0)</f>
        <v>0</v>
      </c>
      <c r="E664" s="80"/>
      <c r="F664" s="79">
        <f>-VLOOKUP(A664,'TB for financial'!A:K,11,0)</f>
        <v>0</v>
      </c>
      <c r="G664" s="80"/>
      <c r="H664" s="81">
        <f>D664-I664</f>
        <v>0</v>
      </c>
      <c r="I664" s="81">
        <v>0</v>
      </c>
      <c r="J664" s="81">
        <f>+D664-H664-I664</f>
        <v>0</v>
      </c>
      <c r="K664" s="80"/>
      <c r="L664" s="82">
        <f>F664-M664</f>
        <v>0</v>
      </c>
      <c r="M664" s="82">
        <v>0</v>
      </c>
      <c r="N664" s="82">
        <f>+F664-L664-M664</f>
        <v>0</v>
      </c>
      <c r="O664" s="83"/>
      <c r="P664"/>
      <c r="Q664"/>
      <c r="R664"/>
      <c r="S664"/>
      <c r="U664" s="84"/>
      <c r="V664" s="80"/>
      <c r="W664" s="82"/>
      <c r="X664" s="82"/>
      <c r="Y664" s="125"/>
      <c r="Z664" s="86"/>
      <c r="AA664" s="86"/>
      <c r="AB664" s="86"/>
      <c r="AC664" s="87">
        <v>0</v>
      </c>
      <c r="AD664" s="88">
        <f t="shared" si="144"/>
        <v>0</v>
      </c>
      <c r="AF664" s="54">
        <v>205057</v>
      </c>
      <c r="AQ664" s="80"/>
      <c r="AR664" s="80"/>
    </row>
    <row r="665" spans="1:44" ht="14.4">
      <c r="A665" s="144">
        <v>240007</v>
      </c>
      <c r="B665" s="78" t="str">
        <f>VLOOKUP(A665,'TB for financial'!A:B,2,0)</f>
        <v>Def Lease equal IC N-Curr Add</v>
      </c>
      <c r="D665" s="79">
        <f>-VLOOKUP(A665,'TB for financial'!A:F,6,0)</f>
        <v>0</v>
      </c>
      <c r="E665" s="80"/>
      <c r="F665" s="79">
        <f>-VLOOKUP(A665,'TB for financial'!A:K,11,0)</f>
        <v>0</v>
      </c>
      <c r="G665" s="80"/>
      <c r="H665" s="81">
        <f>D665-I665</f>
        <v>0</v>
      </c>
      <c r="I665" s="81">
        <v>0</v>
      </c>
      <c r="J665" s="81">
        <f>+D665-H665-I665</f>
        <v>0</v>
      </c>
      <c r="K665" s="80"/>
      <c r="L665" s="82">
        <f>F665-M665</f>
        <v>0</v>
      </c>
      <c r="M665" s="82">
        <v>0</v>
      </c>
      <c r="N665" s="82">
        <f>+F665-L665-M665</f>
        <v>0</v>
      </c>
      <c r="O665" s="83"/>
      <c r="P665"/>
      <c r="Q665"/>
      <c r="R665"/>
      <c r="S665"/>
      <c r="U665" s="84"/>
      <c r="V665" s="80"/>
      <c r="W665" s="82"/>
      <c r="X665" s="82"/>
      <c r="Y665" s="125"/>
      <c r="Z665" s="86"/>
      <c r="AA665" s="86"/>
      <c r="AB665" s="86"/>
      <c r="AC665" s="87">
        <v>0</v>
      </c>
      <c r="AD665" s="88">
        <f t="shared" si="144"/>
        <v>0</v>
      </c>
      <c r="AF665" s="54">
        <v>240007</v>
      </c>
      <c r="AQ665" s="80"/>
      <c r="AR665" s="80"/>
    </row>
    <row r="666" spans="1:44" ht="5.0999999999999996" customHeight="1">
      <c r="A666" s="70"/>
      <c r="B666" s="78"/>
      <c r="D666" s="79"/>
      <c r="E666" s="80"/>
      <c r="F666" s="79"/>
      <c r="G666" s="80"/>
      <c r="H666" s="81"/>
      <c r="I666" s="81"/>
      <c r="J666" s="81"/>
      <c r="K666" s="80"/>
      <c r="L666" s="82"/>
      <c r="M666" s="82"/>
      <c r="N666" s="82"/>
      <c r="O666" s="83"/>
      <c r="P666"/>
      <c r="Q666"/>
      <c r="R666"/>
      <c r="S666"/>
      <c r="U666" s="84"/>
      <c r="V666" s="80"/>
      <c r="W666" s="82"/>
      <c r="X666" s="82"/>
      <c r="Y666" s="94"/>
      <c r="Z666" s="86"/>
      <c r="AA666" s="86"/>
      <c r="AB666" s="86"/>
      <c r="AQ666" s="80"/>
      <c r="AR666" s="80"/>
    </row>
    <row r="667" spans="1:44" ht="22.5" customHeight="1" thickBot="1">
      <c r="A667" s="105"/>
      <c r="B667" s="71" t="s">
        <v>604</v>
      </c>
      <c r="D667" s="95">
        <f>SUM(D657:D666)</f>
        <v>-0.27810000313911587</v>
      </c>
      <c r="E667" s="96"/>
      <c r="F667" s="97">
        <f>SUM(F657:F666)</f>
        <v>-0.27810000313911587</v>
      </c>
      <c r="G667" s="80"/>
      <c r="H667" s="98">
        <f>SUM(H657:H666)</f>
        <v>-0.27810000313911587</v>
      </c>
      <c r="I667" s="98">
        <f>SUM(I657:I666)</f>
        <v>0</v>
      </c>
      <c r="J667" s="99">
        <f>SUM(J657:J666)</f>
        <v>0</v>
      </c>
      <c r="K667" s="80"/>
      <c r="L667" s="99">
        <f>SUM(L657:L666)</f>
        <v>-0.27810000313911587</v>
      </c>
      <c r="M667" s="99">
        <f>SUM(M657:M666)</f>
        <v>0</v>
      </c>
      <c r="N667" s="99">
        <f>SUM(N657:N666)</f>
        <v>0</v>
      </c>
      <c r="O667" s="100"/>
      <c r="P667"/>
      <c r="Q667"/>
      <c r="R667"/>
      <c r="S667"/>
      <c r="U667" s="101"/>
      <c r="V667" s="80"/>
      <c r="W667" s="102"/>
      <c r="X667" s="102"/>
      <c r="Y667" s="94"/>
      <c r="Z667" s="86"/>
      <c r="AA667" s="86"/>
      <c r="AB667" s="86"/>
      <c r="AQ667" s="80"/>
      <c r="AR667" s="80"/>
    </row>
    <row r="668" spans="1:44" ht="3" customHeight="1" thickTop="1">
      <c r="A668" s="105"/>
      <c r="B668" s="71"/>
      <c r="D668" s="115"/>
      <c r="E668" s="96"/>
      <c r="F668" s="115"/>
      <c r="G668" s="80"/>
      <c r="H668" s="116"/>
      <c r="I668" s="116"/>
      <c r="J668" s="116"/>
      <c r="K668" s="80"/>
      <c r="L668" s="118"/>
      <c r="M668" s="118"/>
      <c r="N668" s="118"/>
      <c r="O668" s="119"/>
      <c r="P668"/>
      <c r="Q668"/>
      <c r="R668"/>
      <c r="S668"/>
      <c r="U668" s="117"/>
      <c r="V668" s="80"/>
      <c r="W668" s="118"/>
      <c r="X668" s="118"/>
      <c r="Y668" s="94"/>
      <c r="Z668" s="86"/>
      <c r="AA668" s="86"/>
      <c r="AB668" s="86"/>
      <c r="AQ668" s="80"/>
      <c r="AR668" s="80"/>
    </row>
    <row r="669" spans="1:44" ht="14.4">
      <c r="A669" s="70">
        <v>201211</v>
      </c>
      <c r="B669" s="78" t="str">
        <f>VLOOKUP(A669,'TB for financial'!A:B,2,0)</f>
        <v>TDS - Employees - 2002-03</v>
      </c>
      <c r="D669" s="79">
        <f>-VLOOKUP(A669,'TB for financial'!A:F,6,0)</f>
        <v>0</v>
      </c>
      <c r="E669" s="80"/>
      <c r="F669" s="79">
        <f>-VLOOKUP(A669,'TB for financial'!A:K,11,0)</f>
        <v>0</v>
      </c>
      <c r="G669" s="80"/>
      <c r="H669" s="81">
        <f t="shared" ref="H669:H684" si="145">D669-I669</f>
        <v>0</v>
      </c>
      <c r="I669" s="81">
        <v>0</v>
      </c>
      <c r="J669" s="81">
        <f t="shared" ref="J669:J684" si="146">+D669-H669-I669</f>
        <v>0</v>
      </c>
      <c r="K669" s="80"/>
      <c r="L669" s="82">
        <f t="shared" ref="L669:L684" si="147">F669-M669</f>
        <v>0</v>
      </c>
      <c r="M669" s="82">
        <v>0</v>
      </c>
      <c r="N669" s="82">
        <f>+F669-L669-M669</f>
        <v>0</v>
      </c>
      <c r="O669" s="83"/>
      <c r="P669"/>
      <c r="Q669"/>
      <c r="R669"/>
      <c r="S669"/>
      <c r="U669" s="84" t="s">
        <v>530</v>
      </c>
      <c r="V669" s="80"/>
      <c r="W669" s="82" t="s">
        <v>47</v>
      </c>
      <c r="X669" s="82" t="s">
        <v>597</v>
      </c>
      <c r="Y669" s="85" t="s">
        <v>571</v>
      </c>
      <c r="Z669" s="86" t="s">
        <v>569</v>
      </c>
      <c r="AA669" s="86" t="s">
        <v>47</v>
      </c>
      <c r="AB669" s="86"/>
      <c r="AC669" s="87">
        <v>0</v>
      </c>
      <c r="AD669" s="88">
        <f t="shared" ref="AD669:AD684" si="148">+D669-AC669</f>
        <v>0</v>
      </c>
      <c r="AF669" s="54">
        <v>201211</v>
      </c>
      <c r="AQ669" s="80"/>
      <c r="AR669" s="80"/>
    </row>
    <row r="670" spans="1:44" ht="14.4">
      <c r="A670" s="70">
        <v>201212</v>
      </c>
      <c r="B670" s="78" t="str">
        <f>VLOOKUP(A670,'TB for financial'!A:B,2,0)</f>
        <v>TDS - Employees - 2003-04</v>
      </c>
      <c r="D670" s="79">
        <f>-VLOOKUP(A670,'TB for financial'!A:F,6,0)</f>
        <v>0</v>
      </c>
      <c r="E670" s="80"/>
      <c r="F670" s="79">
        <f>-VLOOKUP(A670,'TB for financial'!A:K,11,0)</f>
        <v>0</v>
      </c>
      <c r="G670" s="80"/>
      <c r="H670" s="81">
        <f t="shared" si="145"/>
        <v>0</v>
      </c>
      <c r="I670" s="81">
        <v>0</v>
      </c>
      <c r="J670" s="81">
        <f t="shared" si="146"/>
        <v>0</v>
      </c>
      <c r="K670" s="80"/>
      <c r="L670" s="82">
        <f t="shared" si="147"/>
        <v>0</v>
      </c>
      <c r="M670" s="82">
        <v>0</v>
      </c>
      <c r="N670" s="82">
        <f>+F670-L670-M670</f>
        <v>0</v>
      </c>
      <c r="O670" s="83"/>
      <c r="P670"/>
      <c r="Q670"/>
      <c r="R670"/>
      <c r="S670"/>
      <c r="U670" s="84" t="s">
        <v>530</v>
      </c>
      <c r="V670" s="80"/>
      <c r="W670" s="82" t="s">
        <v>47</v>
      </c>
      <c r="X670" s="82" t="s">
        <v>597</v>
      </c>
      <c r="Y670" s="85" t="s">
        <v>571</v>
      </c>
      <c r="Z670" s="86" t="s">
        <v>569</v>
      </c>
      <c r="AA670" s="86" t="s">
        <v>47</v>
      </c>
      <c r="AB670" s="86"/>
      <c r="AC670" s="87">
        <v>0</v>
      </c>
      <c r="AD670" s="88">
        <f t="shared" si="148"/>
        <v>0</v>
      </c>
      <c r="AF670" s="54">
        <v>201212</v>
      </c>
      <c r="AQ670" s="80"/>
      <c r="AR670" s="80"/>
    </row>
    <row r="671" spans="1:44" ht="14.4">
      <c r="A671" s="70">
        <v>201214</v>
      </c>
      <c r="B671" s="78" t="str">
        <f>VLOOKUP(A671,'TB for financial'!A:B,2,0)</f>
        <v>TDS - Employees - 2004-05</v>
      </c>
      <c r="D671" s="79">
        <f>-VLOOKUP(A671,'TB for financial'!A:F,6,0)</f>
        <v>0</v>
      </c>
      <c r="E671" s="80"/>
      <c r="F671" s="79">
        <f>-VLOOKUP(A671,'TB for financial'!A:K,11,0)</f>
        <v>0</v>
      </c>
      <c r="G671" s="80"/>
      <c r="H671" s="81">
        <f t="shared" si="145"/>
        <v>0</v>
      </c>
      <c r="I671" s="81">
        <v>0</v>
      </c>
      <c r="J671" s="81">
        <f t="shared" si="146"/>
        <v>0</v>
      </c>
      <c r="K671" s="80"/>
      <c r="L671" s="82">
        <f t="shared" si="147"/>
        <v>0</v>
      </c>
      <c r="M671" s="82">
        <v>0</v>
      </c>
      <c r="N671" s="82">
        <f>+F671-L671-M671</f>
        <v>0</v>
      </c>
      <c r="O671" s="83"/>
      <c r="P671"/>
      <c r="Q671"/>
      <c r="R671"/>
      <c r="S671"/>
      <c r="U671" s="84" t="s">
        <v>530</v>
      </c>
      <c r="V671" s="80"/>
      <c r="W671" s="82" t="s">
        <v>47</v>
      </c>
      <c r="X671" s="82" t="s">
        <v>597</v>
      </c>
      <c r="Y671" s="85" t="s">
        <v>571</v>
      </c>
      <c r="Z671" s="86" t="s">
        <v>569</v>
      </c>
      <c r="AA671" s="86" t="s">
        <v>47</v>
      </c>
      <c r="AB671" s="86"/>
      <c r="AC671" s="87">
        <v>0</v>
      </c>
      <c r="AD671" s="88">
        <f t="shared" si="148"/>
        <v>0</v>
      </c>
      <c r="AF671" s="54">
        <v>201214</v>
      </c>
      <c r="AQ671" s="80"/>
      <c r="AR671" s="80"/>
    </row>
    <row r="672" spans="1:44" ht="14.4">
      <c r="A672" s="70">
        <v>201215</v>
      </c>
      <c r="B672" s="78" t="str">
        <f>VLOOKUP(A672,'TB for financial'!A:B,2,0)</f>
        <v>TDS - Employees - 2006-07</v>
      </c>
      <c r="D672" s="79">
        <f>-VLOOKUP(A672,'TB for financial'!A:F,6,0)</f>
        <v>0</v>
      </c>
      <c r="E672" s="80"/>
      <c r="F672" s="79">
        <f>-VLOOKUP(A672,'TB for financial'!A:K,11,0)</f>
        <v>0</v>
      </c>
      <c r="G672" s="80"/>
      <c r="H672" s="81">
        <f t="shared" si="145"/>
        <v>0</v>
      </c>
      <c r="I672" s="81">
        <v>0</v>
      </c>
      <c r="J672" s="81">
        <f t="shared" si="146"/>
        <v>0</v>
      </c>
      <c r="K672" s="80"/>
      <c r="L672" s="82">
        <f t="shared" si="147"/>
        <v>0</v>
      </c>
      <c r="M672" s="82">
        <v>0</v>
      </c>
      <c r="N672" s="82">
        <f>+F672-L672-M672</f>
        <v>0</v>
      </c>
      <c r="O672" s="83"/>
      <c r="P672"/>
      <c r="Q672"/>
      <c r="R672"/>
      <c r="S672"/>
      <c r="U672" s="84" t="s">
        <v>530</v>
      </c>
      <c r="V672" s="80"/>
      <c r="W672" s="82" t="s">
        <v>47</v>
      </c>
      <c r="X672" s="82" t="s">
        <v>597</v>
      </c>
      <c r="Y672" s="85" t="s">
        <v>571</v>
      </c>
      <c r="Z672" s="86" t="s">
        <v>569</v>
      </c>
      <c r="AA672" s="86" t="s">
        <v>47</v>
      </c>
      <c r="AB672" s="86"/>
      <c r="AC672" s="87">
        <v>0</v>
      </c>
      <c r="AD672" s="88">
        <f t="shared" si="148"/>
        <v>0</v>
      </c>
      <c r="AF672" s="54">
        <v>201215</v>
      </c>
      <c r="AQ672" s="80"/>
      <c r="AR672" s="80"/>
    </row>
    <row r="673" spans="1:44" ht="14.4">
      <c r="A673" s="70">
        <v>205101</v>
      </c>
      <c r="B673" s="78" t="str">
        <f>VLOOKUP(A673,'TB for financial'!A:B,2,0)</f>
        <v>TDS - Contractors</v>
      </c>
      <c r="D673" s="79">
        <f>-VLOOKUP(A673,'TB for financial'!A:F,6,0)</f>
        <v>0.01</v>
      </c>
      <c r="E673" s="80"/>
      <c r="F673" s="79">
        <f>-VLOOKUP(A673,'TB for financial'!A:K,11,0)</f>
        <v>0.01</v>
      </c>
      <c r="G673" s="80"/>
      <c r="H673" s="81">
        <f t="shared" si="145"/>
        <v>0.01</v>
      </c>
      <c r="I673" s="81">
        <v>0</v>
      </c>
      <c r="J673" s="81">
        <f t="shared" si="146"/>
        <v>0</v>
      </c>
      <c r="K673" s="80"/>
      <c r="L673" s="82">
        <f t="shared" si="147"/>
        <v>0.01</v>
      </c>
      <c r="M673" s="82">
        <v>0</v>
      </c>
      <c r="N673" s="82">
        <f t="shared" ref="N673:N683" si="149">+F673-L673-M673</f>
        <v>0</v>
      </c>
      <c r="O673" s="83"/>
      <c r="P673"/>
      <c r="Q673"/>
      <c r="R673"/>
      <c r="S673"/>
      <c r="U673" s="84" t="s">
        <v>530</v>
      </c>
      <c r="V673" s="80"/>
      <c r="W673" s="82" t="s">
        <v>47</v>
      </c>
      <c r="X673" s="82" t="s">
        <v>597</v>
      </c>
      <c r="Y673" s="85" t="s">
        <v>571</v>
      </c>
      <c r="Z673" s="86" t="s">
        <v>569</v>
      </c>
      <c r="AA673" s="86" t="s">
        <v>47</v>
      </c>
      <c r="AB673" s="86"/>
      <c r="AC673" s="87">
        <v>0</v>
      </c>
      <c r="AD673" s="88">
        <f t="shared" si="148"/>
        <v>0.01</v>
      </c>
      <c r="AF673" s="54">
        <v>205101</v>
      </c>
      <c r="AQ673" s="80"/>
      <c r="AR673" s="80"/>
    </row>
    <row r="674" spans="1:44" ht="14.4">
      <c r="A674" s="70">
        <v>205102</v>
      </c>
      <c r="B674" s="78" t="str">
        <f>VLOOKUP(A674,'TB for financial'!A:B,2,0)</f>
        <v>TDS - Professionals</v>
      </c>
      <c r="D674" s="79">
        <f>-VLOOKUP(A674,'TB for financial'!A:F,6,0)</f>
        <v>1.7300000006798655E-2</v>
      </c>
      <c r="E674" s="80"/>
      <c r="F674" s="79">
        <f>-VLOOKUP(A674,'TB for financial'!A:K,11,0)</f>
        <v>1.7300000006798655E-2</v>
      </c>
      <c r="G674" s="80"/>
      <c r="H674" s="81">
        <f t="shared" si="145"/>
        <v>1.7300000006798655E-2</v>
      </c>
      <c r="I674" s="81">
        <v>0</v>
      </c>
      <c r="J674" s="81">
        <f t="shared" si="146"/>
        <v>0</v>
      </c>
      <c r="K674" s="80"/>
      <c r="L674" s="82">
        <f t="shared" si="147"/>
        <v>1.7300000006798655E-2</v>
      </c>
      <c r="M674" s="82">
        <v>0</v>
      </c>
      <c r="N674" s="82">
        <f t="shared" si="149"/>
        <v>0</v>
      </c>
      <c r="O674" s="83"/>
      <c r="P674"/>
      <c r="Q674"/>
      <c r="R674"/>
      <c r="S674"/>
      <c r="U674" s="84" t="s">
        <v>530</v>
      </c>
      <c r="V674" s="80"/>
      <c r="W674" s="82" t="s">
        <v>47</v>
      </c>
      <c r="X674" s="82" t="s">
        <v>597</v>
      </c>
      <c r="Y674" s="85" t="s">
        <v>571</v>
      </c>
      <c r="Z674" s="86" t="s">
        <v>569</v>
      </c>
      <c r="AA674" s="86" t="s">
        <v>47</v>
      </c>
      <c r="AB674" s="86"/>
      <c r="AC674" s="87">
        <v>0</v>
      </c>
      <c r="AD674" s="88">
        <f t="shared" si="148"/>
        <v>1.7300000006798655E-2</v>
      </c>
      <c r="AF674" s="54">
        <v>205102</v>
      </c>
      <c r="AQ674" s="80"/>
      <c r="AR674" s="80"/>
    </row>
    <row r="675" spans="1:44" ht="14.4">
      <c r="A675" s="70">
        <v>205103</v>
      </c>
      <c r="B675" s="78" t="str">
        <f>VLOOKUP(A675,'TB for financial'!A:B,2,0)</f>
        <v>TDS - Rent</v>
      </c>
      <c r="D675" s="79">
        <f>-VLOOKUP(A675,'TB for financial'!A:F,6,0)</f>
        <v>0</v>
      </c>
      <c r="E675" s="80"/>
      <c r="F675" s="79">
        <f>-VLOOKUP(A675,'TB for financial'!A:K,11,0)</f>
        <v>0</v>
      </c>
      <c r="G675" s="80"/>
      <c r="H675" s="81">
        <f t="shared" si="145"/>
        <v>0</v>
      </c>
      <c r="I675" s="81">
        <v>0</v>
      </c>
      <c r="J675" s="81">
        <f t="shared" si="146"/>
        <v>0</v>
      </c>
      <c r="K675" s="80"/>
      <c r="L675" s="82">
        <f t="shared" si="147"/>
        <v>0</v>
      </c>
      <c r="M675" s="82">
        <v>0</v>
      </c>
      <c r="N675" s="82">
        <f t="shared" si="149"/>
        <v>0</v>
      </c>
      <c r="O675" s="83"/>
      <c r="P675"/>
      <c r="Q675"/>
      <c r="R675"/>
      <c r="S675"/>
      <c r="U675" s="84" t="s">
        <v>530</v>
      </c>
      <c r="V675" s="80"/>
      <c r="W675" s="82" t="s">
        <v>47</v>
      </c>
      <c r="X675" s="82" t="s">
        <v>597</v>
      </c>
      <c r="Y675" s="85" t="s">
        <v>571</v>
      </c>
      <c r="Z675" s="86" t="s">
        <v>569</v>
      </c>
      <c r="AA675" s="86" t="s">
        <v>47</v>
      </c>
      <c r="AB675" s="86"/>
      <c r="AC675" s="87">
        <v>0</v>
      </c>
      <c r="AD675" s="88">
        <f t="shared" si="148"/>
        <v>0</v>
      </c>
      <c r="AF675" s="54">
        <v>205103</v>
      </c>
      <c r="AQ675" s="80"/>
      <c r="AR675" s="80"/>
    </row>
    <row r="676" spans="1:44" ht="14.4">
      <c r="A676" s="70">
        <v>205104</v>
      </c>
      <c r="B676" s="78" t="str">
        <f>VLOOKUP(A676,'TB for financial'!A:B,2,0)</f>
        <v>TDS - Advertisement</v>
      </c>
      <c r="D676" s="79">
        <f>-VLOOKUP(A676,'TB for financial'!A:F,6,0)</f>
        <v>0</v>
      </c>
      <c r="E676" s="80"/>
      <c r="F676" s="79">
        <f>-VLOOKUP(A676,'TB for financial'!A:K,11,0)</f>
        <v>0</v>
      </c>
      <c r="G676" s="80"/>
      <c r="H676" s="81">
        <f t="shared" si="145"/>
        <v>0</v>
      </c>
      <c r="I676" s="81">
        <v>0</v>
      </c>
      <c r="J676" s="81">
        <f t="shared" si="146"/>
        <v>0</v>
      </c>
      <c r="K676" s="80"/>
      <c r="L676" s="82">
        <f t="shared" si="147"/>
        <v>0</v>
      </c>
      <c r="M676" s="82">
        <v>0</v>
      </c>
      <c r="N676" s="82">
        <f t="shared" si="149"/>
        <v>0</v>
      </c>
      <c r="O676" s="83"/>
      <c r="P676"/>
      <c r="Q676"/>
      <c r="R676"/>
      <c r="S676"/>
      <c r="U676" s="84" t="s">
        <v>530</v>
      </c>
      <c r="V676" s="80"/>
      <c r="W676" s="82" t="s">
        <v>47</v>
      </c>
      <c r="X676" s="82" t="s">
        <v>597</v>
      </c>
      <c r="Y676" s="85" t="s">
        <v>571</v>
      </c>
      <c r="Z676" s="86" t="s">
        <v>569</v>
      </c>
      <c r="AA676" s="86" t="s">
        <v>47</v>
      </c>
      <c r="AB676" s="86"/>
      <c r="AC676" s="87">
        <v>0</v>
      </c>
      <c r="AD676" s="88">
        <f t="shared" si="148"/>
        <v>0</v>
      </c>
      <c r="AF676" s="54">
        <v>205104</v>
      </c>
      <c r="AQ676" s="80"/>
      <c r="AR676" s="80"/>
    </row>
    <row r="677" spans="1:44" ht="14.4">
      <c r="A677" s="70">
        <v>205105</v>
      </c>
      <c r="B677" s="78" t="str">
        <f>VLOOKUP(A677,'TB for financial'!A:B,2,0)</f>
        <v>TDS - Brokerage</v>
      </c>
      <c r="D677" s="79">
        <f>-VLOOKUP(A677,'TB for financial'!A:F,6,0)</f>
        <v>0</v>
      </c>
      <c r="E677" s="80"/>
      <c r="F677" s="79">
        <f>-VLOOKUP(A677,'TB for financial'!A:K,11,0)</f>
        <v>0</v>
      </c>
      <c r="G677" s="80"/>
      <c r="H677" s="81">
        <f t="shared" si="145"/>
        <v>0</v>
      </c>
      <c r="I677" s="81">
        <v>0</v>
      </c>
      <c r="J677" s="81">
        <f t="shared" si="146"/>
        <v>0</v>
      </c>
      <c r="K677" s="80"/>
      <c r="L677" s="82">
        <f t="shared" si="147"/>
        <v>0</v>
      </c>
      <c r="M677" s="82">
        <v>0</v>
      </c>
      <c r="N677" s="82">
        <f t="shared" si="149"/>
        <v>0</v>
      </c>
      <c r="O677" s="83"/>
      <c r="P677"/>
      <c r="Q677"/>
      <c r="R677"/>
      <c r="S677"/>
      <c r="U677" s="84" t="s">
        <v>530</v>
      </c>
      <c r="V677" s="80"/>
      <c r="W677" s="82" t="s">
        <v>47</v>
      </c>
      <c r="X677" s="82" t="s">
        <v>597</v>
      </c>
      <c r="Y677" s="85" t="s">
        <v>571</v>
      </c>
      <c r="Z677" s="86" t="s">
        <v>569</v>
      </c>
      <c r="AA677" s="86" t="s">
        <v>47</v>
      </c>
      <c r="AB677" s="86"/>
      <c r="AC677" s="87">
        <v>0</v>
      </c>
      <c r="AD677" s="88">
        <f t="shared" si="148"/>
        <v>0</v>
      </c>
      <c r="AF677" s="54">
        <v>205105</v>
      </c>
      <c r="AQ677" s="80"/>
      <c r="AR677" s="80"/>
    </row>
    <row r="678" spans="1:44" ht="14.4">
      <c r="A678" s="70">
        <v>205106</v>
      </c>
      <c r="B678" s="78" t="str">
        <f>VLOOKUP(A678,'TB for financial'!A:B,2,0)</f>
        <v>TDS - WCT</v>
      </c>
      <c r="D678" s="79">
        <f>-VLOOKUP(A678,'TB for financial'!A:F,6,0)</f>
        <v>-1.0000000000218279E-2</v>
      </c>
      <c r="E678" s="80"/>
      <c r="F678" s="79">
        <f>-VLOOKUP(A678,'TB for financial'!A:K,11,0)</f>
        <v>-1.0000000000218279E-2</v>
      </c>
      <c r="G678" s="80"/>
      <c r="H678" s="81">
        <f t="shared" si="145"/>
        <v>-1.0000000000218279E-2</v>
      </c>
      <c r="I678" s="81">
        <v>0</v>
      </c>
      <c r="J678" s="81">
        <f t="shared" si="146"/>
        <v>0</v>
      </c>
      <c r="K678" s="80"/>
      <c r="L678" s="82">
        <f t="shared" si="147"/>
        <v>-1.0000000000218279E-2</v>
      </c>
      <c r="M678" s="82">
        <v>0</v>
      </c>
      <c r="N678" s="82">
        <f t="shared" si="149"/>
        <v>0</v>
      </c>
      <c r="O678" s="83"/>
      <c r="P678"/>
      <c r="Q678"/>
      <c r="R678"/>
      <c r="S678"/>
      <c r="U678" s="84" t="s">
        <v>530</v>
      </c>
      <c r="V678" s="80"/>
      <c r="W678" s="82" t="s">
        <v>47</v>
      </c>
      <c r="X678" s="82" t="s">
        <v>597</v>
      </c>
      <c r="Y678" s="85" t="s">
        <v>571</v>
      </c>
      <c r="Z678" s="86" t="s">
        <v>569</v>
      </c>
      <c r="AA678" s="86" t="s">
        <v>47</v>
      </c>
      <c r="AB678" s="86"/>
      <c r="AC678" s="87">
        <v>0</v>
      </c>
      <c r="AD678" s="88">
        <f t="shared" si="148"/>
        <v>-1.0000000000218279E-2</v>
      </c>
      <c r="AF678" s="54">
        <v>205106</v>
      </c>
      <c r="AQ678" s="80"/>
      <c r="AR678" s="80"/>
    </row>
    <row r="679" spans="1:44" ht="14.4">
      <c r="A679" s="70">
        <v>205109</v>
      </c>
      <c r="B679" s="78" t="str">
        <f>VLOOKUP(A679,'TB for financial'!A:B,2,0)</f>
        <v>TDS - Brokerage - Companies</v>
      </c>
      <c r="D679" s="79">
        <f>-VLOOKUP(A679,'TB for financial'!A:F,6,0)</f>
        <v>3.9999999999999147E-2</v>
      </c>
      <c r="E679" s="80"/>
      <c r="F679" s="79">
        <f>-VLOOKUP(A679,'TB for financial'!A:K,11,0)</f>
        <v>3.9999999999999147E-2</v>
      </c>
      <c r="G679" s="80"/>
      <c r="H679" s="81">
        <f t="shared" si="145"/>
        <v>3.9999999999999147E-2</v>
      </c>
      <c r="I679" s="81">
        <v>0</v>
      </c>
      <c r="J679" s="81">
        <f t="shared" si="146"/>
        <v>0</v>
      </c>
      <c r="K679" s="80"/>
      <c r="L679" s="82">
        <f t="shared" si="147"/>
        <v>3.9999999999999147E-2</v>
      </c>
      <c r="M679" s="82">
        <v>0</v>
      </c>
      <c r="N679" s="82">
        <f t="shared" si="149"/>
        <v>0</v>
      </c>
      <c r="O679" s="83"/>
      <c r="P679"/>
      <c r="Q679"/>
      <c r="R679"/>
      <c r="S679"/>
      <c r="U679" s="84" t="s">
        <v>530</v>
      </c>
      <c r="V679" s="80"/>
      <c r="W679" s="82" t="s">
        <v>47</v>
      </c>
      <c r="X679" s="82" t="s">
        <v>597</v>
      </c>
      <c r="Y679" s="85" t="s">
        <v>571</v>
      </c>
      <c r="Z679" s="86" t="s">
        <v>569</v>
      </c>
      <c r="AA679" s="86" t="s">
        <v>47</v>
      </c>
      <c r="AB679" s="86"/>
      <c r="AC679" s="87">
        <v>0</v>
      </c>
      <c r="AD679" s="88">
        <f t="shared" si="148"/>
        <v>3.9999999999999147E-2</v>
      </c>
      <c r="AF679" s="54">
        <v>205109</v>
      </c>
      <c r="AQ679" s="80"/>
      <c r="AR679" s="80"/>
    </row>
    <row r="680" spans="1:44" ht="14.4">
      <c r="A680" s="70">
        <v>205110</v>
      </c>
      <c r="B680" s="78" t="str">
        <f>VLOOKUP(A680,'TB for financial'!A:B,2,0)</f>
        <v>TDS - Advertisement - Co.</v>
      </c>
      <c r="D680" s="79">
        <f>-VLOOKUP(A680,'TB for financial'!A:F,6,0)</f>
        <v>0</v>
      </c>
      <c r="E680" s="80"/>
      <c r="F680" s="79">
        <f>-VLOOKUP(A680,'TB for financial'!A:K,11,0)</f>
        <v>0</v>
      </c>
      <c r="G680" s="80"/>
      <c r="H680" s="81">
        <f t="shared" si="145"/>
        <v>0</v>
      </c>
      <c r="I680" s="81">
        <v>0</v>
      </c>
      <c r="J680" s="81">
        <f t="shared" si="146"/>
        <v>0</v>
      </c>
      <c r="K680" s="80"/>
      <c r="L680" s="82">
        <f t="shared" si="147"/>
        <v>0</v>
      </c>
      <c r="M680" s="82">
        <v>0</v>
      </c>
      <c r="N680" s="82">
        <f t="shared" si="149"/>
        <v>0</v>
      </c>
      <c r="O680" s="83"/>
      <c r="P680"/>
      <c r="Q680"/>
      <c r="R680"/>
      <c r="S680"/>
      <c r="U680" s="84" t="s">
        <v>530</v>
      </c>
      <c r="V680" s="80"/>
      <c r="W680" s="82" t="s">
        <v>47</v>
      </c>
      <c r="X680" s="82" t="s">
        <v>597</v>
      </c>
      <c r="Y680" s="85" t="s">
        <v>571</v>
      </c>
      <c r="Z680" s="86" t="s">
        <v>569</v>
      </c>
      <c r="AA680" s="86" t="s">
        <v>47</v>
      </c>
      <c r="AB680" s="86"/>
      <c r="AC680" s="87">
        <v>0</v>
      </c>
      <c r="AD680" s="88">
        <f t="shared" si="148"/>
        <v>0</v>
      </c>
      <c r="AF680" s="54">
        <v>205110</v>
      </c>
      <c r="AQ680" s="80"/>
      <c r="AR680" s="80"/>
    </row>
    <row r="681" spans="1:44" ht="14.4">
      <c r="A681" s="70">
        <v>205111</v>
      </c>
      <c r="B681" s="78" t="str">
        <f>VLOOKUP(A681,'TB for financial'!A:B,2,0)</f>
        <v>TDS - Rent - Companies</v>
      </c>
      <c r="D681" s="79">
        <f>-VLOOKUP(A681,'TB for financial'!A:F,6,0)</f>
        <v>0</v>
      </c>
      <c r="E681" s="80"/>
      <c r="F681" s="79">
        <f>-VLOOKUP(A681,'TB for financial'!A:K,11,0)</f>
        <v>0</v>
      </c>
      <c r="G681" s="80"/>
      <c r="H681" s="81">
        <f t="shared" si="145"/>
        <v>0</v>
      </c>
      <c r="I681" s="81">
        <v>0</v>
      </c>
      <c r="J681" s="81">
        <f t="shared" si="146"/>
        <v>0</v>
      </c>
      <c r="K681" s="80"/>
      <c r="L681" s="82">
        <f t="shared" si="147"/>
        <v>0</v>
      </c>
      <c r="M681" s="82">
        <v>0</v>
      </c>
      <c r="N681" s="82">
        <f t="shared" si="149"/>
        <v>0</v>
      </c>
      <c r="O681" s="83"/>
      <c r="P681"/>
      <c r="Q681"/>
      <c r="R681"/>
      <c r="S681"/>
      <c r="U681" s="84" t="s">
        <v>530</v>
      </c>
      <c r="V681" s="80"/>
      <c r="W681" s="82" t="s">
        <v>47</v>
      </c>
      <c r="X681" s="82" t="s">
        <v>597</v>
      </c>
      <c r="Y681" s="85" t="s">
        <v>571</v>
      </c>
      <c r="Z681" s="86" t="s">
        <v>569</v>
      </c>
      <c r="AA681" s="86" t="s">
        <v>47</v>
      </c>
      <c r="AB681" s="86"/>
      <c r="AC681" s="87">
        <v>0</v>
      </c>
      <c r="AD681" s="88">
        <f t="shared" si="148"/>
        <v>0</v>
      </c>
      <c r="AF681" s="54">
        <v>205111</v>
      </c>
      <c r="AQ681" s="80"/>
      <c r="AR681" s="80"/>
    </row>
    <row r="682" spans="1:44" ht="14.4">
      <c r="A682" s="70">
        <v>205112</v>
      </c>
      <c r="B682" s="78" t="str">
        <f>VLOOKUP(A682,'TB for financial'!A:B,2,0)</f>
        <v>TDS - Professionals - Companie</v>
      </c>
      <c r="D682" s="79">
        <f>-VLOOKUP(A682,'TB for financial'!A:F,6,0)</f>
        <v>0</v>
      </c>
      <c r="E682" s="80"/>
      <c r="F682" s="79">
        <f>-VLOOKUP(A682,'TB for financial'!A:K,11,0)</f>
        <v>0</v>
      </c>
      <c r="G682" s="80"/>
      <c r="H682" s="81">
        <f t="shared" si="145"/>
        <v>0</v>
      </c>
      <c r="I682" s="81">
        <v>0</v>
      </c>
      <c r="J682" s="81">
        <f t="shared" si="146"/>
        <v>0</v>
      </c>
      <c r="K682" s="80"/>
      <c r="L682" s="82">
        <f t="shared" si="147"/>
        <v>0</v>
      </c>
      <c r="M682" s="82">
        <v>0</v>
      </c>
      <c r="N682" s="82">
        <f t="shared" si="149"/>
        <v>0</v>
      </c>
      <c r="O682" s="83"/>
      <c r="P682"/>
      <c r="Q682"/>
      <c r="R682"/>
      <c r="S682"/>
      <c r="U682" s="84" t="s">
        <v>530</v>
      </c>
      <c r="V682" s="80"/>
      <c r="W682" s="82" t="s">
        <v>47</v>
      </c>
      <c r="X682" s="82" t="s">
        <v>597</v>
      </c>
      <c r="Y682" s="85" t="s">
        <v>571</v>
      </c>
      <c r="Z682" s="86" t="s">
        <v>569</v>
      </c>
      <c r="AA682" s="86" t="s">
        <v>47</v>
      </c>
      <c r="AB682" s="86"/>
      <c r="AC682" s="87">
        <v>0</v>
      </c>
      <c r="AD682" s="88">
        <f t="shared" si="148"/>
        <v>0</v>
      </c>
      <c r="AF682" s="54">
        <v>205112</v>
      </c>
      <c r="AQ682" s="80"/>
      <c r="AR682" s="80"/>
    </row>
    <row r="683" spans="1:44" ht="14.4">
      <c r="A683" s="70">
        <v>205113</v>
      </c>
      <c r="B683" s="78" t="str">
        <f>VLOOKUP(A683,'TB for financial'!A:B,2,0)</f>
        <v>TDS - Contractors - Companies</v>
      </c>
      <c r="D683" s="79">
        <f>-VLOOKUP(A683,'TB for financial'!A:F,6,0)</f>
        <v>1.01</v>
      </c>
      <c r="E683" s="80"/>
      <c r="F683" s="79">
        <f>-VLOOKUP(A683,'TB for financial'!A:K,11,0)</f>
        <v>1.01</v>
      </c>
      <c r="G683" s="80"/>
      <c r="H683" s="81">
        <f t="shared" si="145"/>
        <v>1.01</v>
      </c>
      <c r="I683" s="81">
        <v>0</v>
      </c>
      <c r="J683" s="81">
        <f t="shared" si="146"/>
        <v>0</v>
      </c>
      <c r="K683" s="80"/>
      <c r="L683" s="82">
        <f t="shared" si="147"/>
        <v>1.01</v>
      </c>
      <c r="M683" s="82">
        <v>0</v>
      </c>
      <c r="N683" s="82">
        <f t="shared" si="149"/>
        <v>0</v>
      </c>
      <c r="O683" s="83"/>
      <c r="P683"/>
      <c r="Q683"/>
      <c r="R683"/>
      <c r="S683"/>
      <c r="U683" s="84" t="s">
        <v>530</v>
      </c>
      <c r="V683" s="80"/>
      <c r="W683" s="82" t="s">
        <v>47</v>
      </c>
      <c r="X683" s="82" t="s">
        <v>597</v>
      </c>
      <c r="Y683" s="85" t="s">
        <v>571</v>
      </c>
      <c r="Z683" s="86" t="s">
        <v>569</v>
      </c>
      <c r="AA683" s="86" t="s">
        <v>47</v>
      </c>
      <c r="AB683" s="86"/>
      <c r="AC683" s="87">
        <v>0</v>
      </c>
      <c r="AD683" s="88">
        <f t="shared" si="148"/>
        <v>1.01</v>
      </c>
      <c r="AF683" s="54">
        <v>205113</v>
      </c>
      <c r="AQ683" s="80"/>
      <c r="AR683" s="80"/>
    </row>
    <row r="684" spans="1:44" ht="14.4">
      <c r="A684" s="70">
        <v>205119</v>
      </c>
      <c r="B684" s="78" t="str">
        <f>VLOOKUP(A684,'TB for financial'!A:B,2,0)</f>
        <v>TDS - Non Resident</v>
      </c>
      <c r="D684" s="79">
        <f>-VLOOKUP(A684,'TB for financial'!A:F,6,0)</f>
        <v>0</v>
      </c>
      <c r="E684" s="80"/>
      <c r="F684" s="79">
        <f>-VLOOKUP(A684,'TB for financial'!A:K,11,0)</f>
        <v>0</v>
      </c>
      <c r="G684" s="80"/>
      <c r="H684" s="81">
        <f t="shared" si="145"/>
        <v>0</v>
      </c>
      <c r="I684" s="81">
        <v>0</v>
      </c>
      <c r="J684" s="81">
        <f t="shared" si="146"/>
        <v>0</v>
      </c>
      <c r="K684" s="80"/>
      <c r="L684" s="82">
        <f t="shared" si="147"/>
        <v>0</v>
      </c>
      <c r="M684" s="82">
        <v>0</v>
      </c>
      <c r="N684" s="82">
        <f t="shared" ref="N684:N691" si="150">+F684-L684-M684</f>
        <v>0</v>
      </c>
      <c r="O684" s="83"/>
      <c r="P684"/>
      <c r="Q684"/>
      <c r="R684"/>
      <c r="S684"/>
      <c r="U684" s="84" t="s">
        <v>530</v>
      </c>
      <c r="V684" s="80"/>
      <c r="W684" s="82" t="s">
        <v>47</v>
      </c>
      <c r="X684" s="82" t="s">
        <v>597</v>
      </c>
      <c r="Y684" s="85" t="s">
        <v>571</v>
      </c>
      <c r="Z684" s="86" t="s">
        <v>569</v>
      </c>
      <c r="AA684" s="86" t="s">
        <v>47</v>
      </c>
      <c r="AB684" s="86"/>
      <c r="AC684" s="87">
        <v>0</v>
      </c>
      <c r="AD684" s="88">
        <f t="shared" si="148"/>
        <v>0</v>
      </c>
      <c r="AF684" s="54">
        <v>205119</v>
      </c>
      <c r="AQ684" s="80"/>
      <c r="AR684" s="80"/>
    </row>
    <row r="685" spans="1:44" ht="14.4">
      <c r="A685" s="1373">
        <v>437407</v>
      </c>
      <c r="B685" s="78" t="str">
        <f>VLOOKUP(A685,'TB for financial'!A:B,2,0)</f>
        <v>TDS - Rent</v>
      </c>
      <c r="D685" s="122">
        <f>-VLOOKUP(A685,'TB for financial'!A:F,6,0)</f>
        <v>31808.299999999545</v>
      </c>
      <c r="E685" s="80"/>
      <c r="F685" s="79">
        <f>-VLOOKUP(A685,'TB for financial'!A:K,11,0)</f>
        <v>26652.499999998799</v>
      </c>
      <c r="G685" s="80"/>
      <c r="H685" s="122">
        <f t="shared" ref="H685:H691" si="151">D685-I685</f>
        <v>31808.299999999545</v>
      </c>
      <c r="I685" s="81">
        <v>0</v>
      </c>
      <c r="J685" s="81">
        <f t="shared" ref="J685:J691" si="152">+D685-H685-I685</f>
        <v>0</v>
      </c>
      <c r="K685" s="80"/>
      <c r="L685" s="82">
        <f t="shared" ref="L685:L691" si="153">F685-M685</f>
        <v>26652.499999998799</v>
      </c>
      <c r="M685" s="82">
        <v>0</v>
      </c>
      <c r="N685" s="82">
        <f t="shared" si="150"/>
        <v>0</v>
      </c>
      <c r="O685" s="83"/>
      <c r="P685"/>
      <c r="Q685"/>
      <c r="R685"/>
      <c r="S685"/>
      <c r="U685" s="84" t="s">
        <v>530</v>
      </c>
      <c r="V685" s="80"/>
      <c r="W685" s="82" t="s">
        <v>47</v>
      </c>
      <c r="X685" s="82" t="s">
        <v>597</v>
      </c>
      <c r="Y685" s="85" t="s">
        <v>571</v>
      </c>
      <c r="Z685" s="86" t="s">
        <v>569</v>
      </c>
      <c r="AA685" s="86" t="s">
        <v>47</v>
      </c>
      <c r="AB685" s="86"/>
      <c r="AC685" s="87">
        <v>-5666.9</v>
      </c>
      <c r="AD685" s="88">
        <f t="shared" ref="AD685:AD691" si="154">+D685-AC685</f>
        <v>37475.199999999546</v>
      </c>
      <c r="AF685" s="54" t="s">
        <v>2536</v>
      </c>
      <c r="AQ685" s="80"/>
      <c r="AR685" s="80">
        <f>D685</f>
        <v>31808.299999999545</v>
      </c>
    </row>
    <row r="686" spans="1:44" ht="14.4">
      <c r="A686" s="1373">
        <v>437408</v>
      </c>
      <c r="B686" s="78" t="str">
        <f>VLOOKUP(A686,'TB for financial'!A:B,2,0)</f>
        <v>TDS - Professional Fees</v>
      </c>
      <c r="D686" s="122">
        <f>-VLOOKUP(A686,'TB for financial'!A:F,6,0)</f>
        <v>164457.47184000089</v>
      </c>
      <c r="E686" s="80"/>
      <c r="F686" s="79">
        <f>-VLOOKUP(A686,'TB for financial'!A:K,11,0)</f>
        <v>88406.621840000327</v>
      </c>
      <c r="G686" s="80"/>
      <c r="H686" s="122">
        <f t="shared" si="151"/>
        <v>164457.47184000089</v>
      </c>
      <c r="I686" s="81">
        <v>0</v>
      </c>
      <c r="J686" s="81">
        <f t="shared" si="152"/>
        <v>0</v>
      </c>
      <c r="K686" s="80"/>
      <c r="L686" s="82">
        <f t="shared" si="153"/>
        <v>88406.621840000327</v>
      </c>
      <c r="M686" s="82">
        <v>0</v>
      </c>
      <c r="N686" s="82">
        <f t="shared" si="150"/>
        <v>0</v>
      </c>
      <c r="O686" s="83"/>
      <c r="P686"/>
      <c r="Q686"/>
      <c r="R686"/>
      <c r="S686"/>
      <c r="U686" s="84" t="s">
        <v>530</v>
      </c>
      <c r="V686" s="80"/>
      <c r="W686" s="82" t="s">
        <v>47</v>
      </c>
      <c r="X686" s="82" t="s">
        <v>597</v>
      </c>
      <c r="Y686" s="85" t="s">
        <v>571</v>
      </c>
      <c r="Z686" s="86" t="s">
        <v>569</v>
      </c>
      <c r="AA686" s="86" t="s">
        <v>47</v>
      </c>
      <c r="AB686" s="86"/>
      <c r="AC686" s="87">
        <v>146450.4</v>
      </c>
      <c r="AD686" s="88">
        <f t="shared" si="154"/>
        <v>18007.071840000892</v>
      </c>
      <c r="AF686" s="54" t="s">
        <v>2536</v>
      </c>
      <c r="AQ686" s="80"/>
      <c r="AR686" s="80">
        <f>D686</f>
        <v>164457.47184000089</v>
      </c>
    </row>
    <row r="687" spans="1:44" ht="14.4">
      <c r="A687" s="1373">
        <v>437409</v>
      </c>
      <c r="B687" s="78" t="str">
        <f>VLOOKUP(A687,'TB for financial'!A:B,2,0)</f>
        <v>TDS - Foreign Payments</v>
      </c>
      <c r="D687" s="122">
        <f>-VLOOKUP(A687,'TB for financial'!A:F,6,0)</f>
        <v>3655.6500000000888</v>
      </c>
      <c r="E687" s="80"/>
      <c r="F687" s="79">
        <f>-VLOOKUP(A687,'TB for financial'!A:K,11,0)</f>
        <v>42542.810000000005</v>
      </c>
      <c r="G687" s="80"/>
      <c r="H687" s="122">
        <f t="shared" si="151"/>
        <v>3655.6500000000888</v>
      </c>
      <c r="I687" s="81">
        <v>0</v>
      </c>
      <c r="J687" s="81">
        <f t="shared" si="152"/>
        <v>0</v>
      </c>
      <c r="K687" s="80"/>
      <c r="L687" s="82">
        <f t="shared" si="153"/>
        <v>42542.810000000005</v>
      </c>
      <c r="M687" s="82">
        <v>0</v>
      </c>
      <c r="N687" s="82">
        <f t="shared" si="150"/>
        <v>0</v>
      </c>
      <c r="O687" s="83"/>
      <c r="P687"/>
      <c r="Q687"/>
      <c r="R687"/>
      <c r="S687"/>
      <c r="U687" s="84"/>
      <c r="V687" s="80"/>
      <c r="W687" s="82"/>
      <c r="X687" s="82"/>
      <c r="Y687" s="85" t="s">
        <v>571</v>
      </c>
      <c r="Z687" s="86" t="s">
        <v>569</v>
      </c>
      <c r="AA687" s="86" t="s">
        <v>47</v>
      </c>
      <c r="AB687" s="86"/>
      <c r="AC687" s="87">
        <v>-64.069999999999993</v>
      </c>
      <c r="AD687" s="88">
        <f t="shared" si="154"/>
        <v>3719.7200000000889</v>
      </c>
      <c r="AF687" s="54" t="s">
        <v>2536</v>
      </c>
      <c r="AQ687" s="80"/>
      <c r="AR687" s="80">
        <f t="shared" ref="AR687:AR692" si="155">D687</f>
        <v>3655.6500000000888</v>
      </c>
    </row>
    <row r="688" spans="1:44" ht="14.4">
      <c r="A688" s="1373">
        <v>438666</v>
      </c>
      <c r="B688" s="78" t="str">
        <f>VLOOKUP(A688,'TB for financial'!A:B,2,0)</f>
        <v>INCOME TAXES ON SALARIES</v>
      </c>
      <c r="D688" s="122">
        <f>-VLOOKUP(A688,'TB for financial'!A:F,6,0)</f>
        <v>48316</v>
      </c>
      <c r="E688" s="80"/>
      <c r="F688" s="79">
        <f>-VLOOKUP(A688,'TB for financial'!A:K,11,0)</f>
        <v>120654</v>
      </c>
      <c r="G688" s="80"/>
      <c r="H688" s="122">
        <f t="shared" si="151"/>
        <v>48316</v>
      </c>
      <c r="I688" s="81">
        <v>0</v>
      </c>
      <c r="J688" s="81">
        <f t="shared" si="152"/>
        <v>0</v>
      </c>
      <c r="K688" s="80"/>
      <c r="L688" s="82">
        <f t="shared" si="153"/>
        <v>120654</v>
      </c>
      <c r="M688" s="82">
        <v>0</v>
      </c>
      <c r="N688" s="82">
        <f t="shared" si="150"/>
        <v>0</v>
      </c>
      <c r="O688" s="83"/>
      <c r="P688"/>
      <c r="Q688"/>
      <c r="R688"/>
      <c r="S688"/>
      <c r="U688" s="84" t="s">
        <v>530</v>
      </c>
      <c r="V688" s="80"/>
      <c r="W688" s="82" t="s">
        <v>47</v>
      </c>
      <c r="X688" s="82" t="s">
        <v>597</v>
      </c>
      <c r="Y688" s="85" t="s">
        <v>571</v>
      </c>
      <c r="Z688" s="86" t="s">
        <v>569</v>
      </c>
      <c r="AA688" s="86" t="s">
        <v>47</v>
      </c>
      <c r="AB688" s="86"/>
      <c r="AC688" s="87">
        <v>147234</v>
      </c>
      <c r="AD688" s="88">
        <f t="shared" si="154"/>
        <v>-98918</v>
      </c>
      <c r="AF688" s="54" t="s">
        <v>2536</v>
      </c>
      <c r="AQ688" s="80"/>
      <c r="AR688" s="80">
        <f t="shared" si="155"/>
        <v>48316</v>
      </c>
    </row>
    <row r="689" spans="1:44" ht="14.4">
      <c r="A689" s="1373">
        <v>4374070</v>
      </c>
      <c r="B689" s="78" t="str">
        <f>VLOOKUP(A689,'TB for financial'!A:B,2,0)</f>
        <v>TDS - Rent</v>
      </c>
      <c r="D689" s="122">
        <f>-VLOOKUP(A689,'TB for financial'!A:F,6,0)</f>
        <v>0</v>
      </c>
      <c r="E689" s="80"/>
      <c r="F689" s="79">
        <f>-VLOOKUP(A689,'TB for financial'!A:K,11,0)</f>
        <v>0</v>
      </c>
      <c r="G689" s="80"/>
      <c r="H689" s="81">
        <f t="shared" si="151"/>
        <v>0</v>
      </c>
      <c r="I689" s="81">
        <v>0</v>
      </c>
      <c r="J689" s="81">
        <f t="shared" si="152"/>
        <v>0</v>
      </c>
      <c r="K689" s="80"/>
      <c r="L689" s="82">
        <f t="shared" si="153"/>
        <v>0</v>
      </c>
      <c r="M689" s="82">
        <v>0</v>
      </c>
      <c r="N689" s="82">
        <f t="shared" si="150"/>
        <v>0</v>
      </c>
      <c r="O689" s="83"/>
      <c r="P689"/>
      <c r="Q689"/>
      <c r="R689"/>
      <c r="S689"/>
      <c r="U689" s="84"/>
      <c r="V689" s="80"/>
      <c r="W689" s="82"/>
      <c r="X689" s="82"/>
      <c r="Y689" s="85" t="s">
        <v>571</v>
      </c>
      <c r="Z689" s="86" t="s">
        <v>569</v>
      </c>
      <c r="AA689" s="86" t="s">
        <v>47</v>
      </c>
      <c r="AB689" s="86"/>
      <c r="AC689" s="87">
        <v>0</v>
      </c>
      <c r="AD689" s="88">
        <f t="shared" si="154"/>
        <v>0</v>
      </c>
      <c r="AF689" s="54" t="s">
        <v>2536</v>
      </c>
      <c r="AQ689" s="80"/>
      <c r="AR689" s="80">
        <f t="shared" si="155"/>
        <v>0</v>
      </c>
    </row>
    <row r="690" spans="1:44" ht="14.4">
      <c r="A690" s="1373">
        <v>4374080</v>
      </c>
      <c r="B690" s="78" t="str">
        <f>VLOOKUP(A690,'TB for financial'!A:B,2,0)</f>
        <v>TDS - Professional Fees</v>
      </c>
      <c r="D690" s="122">
        <f>-VLOOKUP(A690,'TB for financial'!A:F,6,0)</f>
        <v>0</v>
      </c>
      <c r="E690" s="80"/>
      <c r="F690" s="79">
        <f>-VLOOKUP(A690,'TB for financial'!A:K,11,0)</f>
        <v>0</v>
      </c>
      <c r="G690" s="80"/>
      <c r="H690" s="81">
        <f t="shared" si="151"/>
        <v>0</v>
      </c>
      <c r="I690" s="81">
        <v>0</v>
      </c>
      <c r="J690" s="81">
        <f t="shared" si="152"/>
        <v>0</v>
      </c>
      <c r="K690" s="80"/>
      <c r="L690" s="82">
        <f t="shared" si="153"/>
        <v>0</v>
      </c>
      <c r="M690" s="82">
        <v>0</v>
      </c>
      <c r="N690" s="82">
        <f t="shared" si="150"/>
        <v>0</v>
      </c>
      <c r="O690" s="83"/>
      <c r="P690"/>
      <c r="Q690"/>
      <c r="R690"/>
      <c r="S690"/>
      <c r="U690" s="84"/>
      <c r="V690" s="80"/>
      <c r="W690" s="82"/>
      <c r="X690" s="82"/>
      <c r="Y690" s="85" t="s">
        <v>571</v>
      </c>
      <c r="Z690" s="86" t="s">
        <v>569</v>
      </c>
      <c r="AA690" s="86" t="s">
        <v>47</v>
      </c>
      <c r="AB690" s="86"/>
      <c r="AC690" s="87">
        <v>0</v>
      </c>
      <c r="AD690" s="88">
        <f t="shared" si="154"/>
        <v>0</v>
      </c>
      <c r="AF690" s="54" t="s">
        <v>2536</v>
      </c>
      <c r="AQ690" s="80"/>
      <c r="AR690" s="80">
        <f t="shared" si="155"/>
        <v>0</v>
      </c>
    </row>
    <row r="691" spans="1:44" ht="14.4">
      <c r="A691" s="1373">
        <v>4386660</v>
      </c>
      <c r="B691" s="78" t="str">
        <f>VLOOKUP(A691,'TB for financial'!A:B,2,0)</f>
        <v>INCOME TAXES ON SALARIES</v>
      </c>
      <c r="D691" s="122">
        <f>-VLOOKUP(A691,'TB for financial'!A:F,6,0)</f>
        <v>0</v>
      </c>
      <c r="E691" s="80"/>
      <c r="F691" s="79">
        <f>-VLOOKUP(A691,'TB for financial'!A:K,11,0)</f>
        <v>0</v>
      </c>
      <c r="G691" s="80"/>
      <c r="H691" s="81">
        <f t="shared" si="151"/>
        <v>0</v>
      </c>
      <c r="I691" s="81">
        <v>0</v>
      </c>
      <c r="J691" s="81">
        <f t="shared" si="152"/>
        <v>0</v>
      </c>
      <c r="K691" s="80"/>
      <c r="L691" s="82">
        <f t="shared" si="153"/>
        <v>0</v>
      </c>
      <c r="M691" s="82">
        <v>0</v>
      </c>
      <c r="N691" s="82">
        <f t="shared" si="150"/>
        <v>0</v>
      </c>
      <c r="O691" s="83"/>
      <c r="P691"/>
      <c r="Q691"/>
      <c r="R691"/>
      <c r="S691"/>
      <c r="U691" s="84"/>
      <c r="V691" s="80"/>
      <c r="W691" s="82"/>
      <c r="X691" s="82"/>
      <c r="Y691" s="85" t="s">
        <v>571</v>
      </c>
      <c r="Z691" s="86" t="s">
        <v>569</v>
      </c>
      <c r="AA691" s="86" t="s">
        <v>47</v>
      </c>
      <c r="AB691" s="86"/>
      <c r="AC691" s="87">
        <v>0</v>
      </c>
      <c r="AD691" s="88">
        <f t="shared" si="154"/>
        <v>0</v>
      </c>
      <c r="AF691" s="54" t="s">
        <v>2536</v>
      </c>
      <c r="AQ691" s="80"/>
      <c r="AR691" s="80">
        <f t="shared" si="155"/>
        <v>0</v>
      </c>
    </row>
    <row r="692" spans="1:44" ht="5.25" customHeight="1">
      <c r="A692" s="70"/>
      <c r="B692" s="78"/>
      <c r="D692" s="79"/>
      <c r="E692" s="80"/>
      <c r="F692" s="79"/>
      <c r="G692" s="80"/>
      <c r="H692" s="81"/>
      <c r="I692" s="81"/>
      <c r="J692" s="81"/>
      <c r="K692" s="80"/>
      <c r="L692" s="82"/>
      <c r="M692" s="82"/>
      <c r="N692" s="82"/>
      <c r="O692" s="83"/>
      <c r="P692"/>
      <c r="Q692"/>
      <c r="R692"/>
      <c r="S692"/>
      <c r="U692" s="84"/>
      <c r="V692" s="80"/>
      <c r="W692" s="82"/>
      <c r="X692" s="82"/>
      <c r="Y692" s="85"/>
      <c r="Z692" s="86"/>
      <c r="AA692" s="86"/>
      <c r="AB692" s="86"/>
      <c r="AQ692" s="80"/>
      <c r="AR692" s="80">
        <f t="shared" si="155"/>
        <v>0</v>
      </c>
    </row>
    <row r="693" spans="1:44" ht="15" thickBot="1">
      <c r="A693" s="105"/>
      <c r="B693" s="71" t="s">
        <v>605</v>
      </c>
      <c r="D693" s="1646">
        <f>SUM(D669:D692)</f>
        <v>248238.48914000051</v>
      </c>
      <c r="E693" s="96"/>
      <c r="F693" s="97">
        <f>SUM(F669:F692)</f>
        <v>278256.99913999916</v>
      </c>
      <c r="G693" s="80"/>
      <c r="H693" s="1646">
        <f>SUM(H669:H692)</f>
        <v>248238.48914000051</v>
      </c>
      <c r="I693" s="98">
        <f>SUM(I669:I692)</f>
        <v>0</v>
      </c>
      <c r="J693" s="99">
        <f>SUM(J669:J692)</f>
        <v>0</v>
      </c>
      <c r="K693" s="80"/>
      <c r="L693" s="99">
        <f>SUM(L669:L692)</f>
        <v>278256.99913999916</v>
      </c>
      <c r="M693" s="99">
        <f>SUM(M669:M692)</f>
        <v>0</v>
      </c>
      <c r="N693" s="99">
        <f>SUM(N669:N692)</f>
        <v>0</v>
      </c>
      <c r="O693" s="100"/>
      <c r="P693"/>
      <c r="Q693"/>
      <c r="R693"/>
      <c r="S693"/>
      <c r="U693" s="101"/>
      <c r="V693" s="80"/>
      <c r="W693" s="102"/>
      <c r="X693" s="102"/>
      <c r="Y693" s="94"/>
      <c r="Z693" s="86"/>
      <c r="AA693" s="86"/>
      <c r="AB693" s="86"/>
      <c r="AQ693" s="80"/>
      <c r="AR693" s="80"/>
    </row>
    <row r="694" spans="1:44" ht="15" thickTop="1">
      <c r="A694" s="70"/>
      <c r="B694" s="78"/>
      <c r="D694" s="79"/>
      <c r="E694" s="80"/>
      <c r="F694" s="79"/>
      <c r="G694" s="80"/>
      <c r="H694" s="81"/>
      <c r="I694" s="81"/>
      <c r="J694" s="81"/>
      <c r="K694" s="80"/>
      <c r="L694" s="82"/>
      <c r="M694" s="82"/>
      <c r="N694" s="82"/>
      <c r="O694" s="83"/>
      <c r="P694"/>
      <c r="Q694"/>
      <c r="R694"/>
      <c r="S694"/>
      <c r="U694" s="84"/>
      <c r="V694" s="80"/>
      <c r="W694" s="82"/>
      <c r="X694" s="82"/>
      <c r="Y694" s="85"/>
      <c r="Z694" s="86"/>
      <c r="AA694" s="86"/>
      <c r="AB694" s="86"/>
      <c r="AQ694" s="80"/>
      <c r="AR694" s="80"/>
    </row>
    <row r="695" spans="1:44" ht="14.4">
      <c r="A695" s="144">
        <v>201221</v>
      </c>
      <c r="B695" s="78" t="str">
        <f>VLOOKUP(A695,'TB for financial'!A:B,2,0)</f>
        <v>Provision PF - Co. Contribution</v>
      </c>
      <c r="D695" s="79">
        <f>-VLOOKUP(A695,'TB for financial'!A:F,6,0)</f>
        <v>0</v>
      </c>
      <c r="E695" s="80"/>
      <c r="F695" s="79">
        <f>-VLOOKUP(A695,'TB for financial'!A:K,11,0)</f>
        <v>0</v>
      </c>
      <c r="G695" s="80"/>
      <c r="H695" s="81">
        <f t="shared" ref="H695:H704" si="156">D695-I695</f>
        <v>0</v>
      </c>
      <c r="I695" s="81">
        <v>0</v>
      </c>
      <c r="J695" s="81">
        <f t="shared" ref="J695:J704" si="157">+D695-H695-I695</f>
        <v>0</v>
      </c>
      <c r="K695" s="80"/>
      <c r="L695" s="82">
        <f t="shared" ref="L695:L704" si="158">F695-M695</f>
        <v>0</v>
      </c>
      <c r="M695" s="82">
        <v>0</v>
      </c>
      <c r="N695" s="82">
        <f t="shared" ref="N695:N708" si="159">+F695-L695-M695</f>
        <v>0</v>
      </c>
      <c r="O695" s="83"/>
      <c r="P695"/>
      <c r="Q695"/>
      <c r="R695"/>
      <c r="S695"/>
      <c r="U695" s="84" t="s">
        <v>530</v>
      </c>
      <c r="V695" s="80"/>
      <c r="W695" s="82" t="s">
        <v>47</v>
      </c>
      <c r="X695" s="82" t="s">
        <v>597</v>
      </c>
      <c r="Y695" s="85" t="s">
        <v>571</v>
      </c>
      <c r="Z695" s="86" t="s">
        <v>569</v>
      </c>
      <c r="AA695" s="86" t="s">
        <v>47</v>
      </c>
      <c r="AB695" s="86"/>
      <c r="AC695" s="87">
        <v>0</v>
      </c>
      <c r="AD695" s="88">
        <f t="shared" ref="AD695:AD704" si="160">+D695-AC695</f>
        <v>0</v>
      </c>
      <c r="AF695" s="54">
        <v>201221</v>
      </c>
      <c r="AQ695" s="80"/>
      <c r="AR695" s="80"/>
    </row>
    <row r="696" spans="1:44" ht="14.4">
      <c r="A696" s="144">
        <v>201222</v>
      </c>
      <c r="B696" s="78" t="str">
        <f>VLOOKUP(A696,'TB for financial'!A:B,2,0)</f>
        <v>Provision ESIC - Co. Contribution</v>
      </c>
      <c r="D696" s="79">
        <f>-VLOOKUP(A696,'TB for financial'!A:F,6,0)</f>
        <v>0</v>
      </c>
      <c r="E696" s="80"/>
      <c r="F696" s="79">
        <f>-VLOOKUP(A696,'TB for financial'!A:K,11,0)</f>
        <v>0</v>
      </c>
      <c r="G696" s="80"/>
      <c r="H696" s="81">
        <f t="shared" si="156"/>
        <v>0</v>
      </c>
      <c r="I696" s="81">
        <v>0</v>
      </c>
      <c r="J696" s="81">
        <f t="shared" si="157"/>
        <v>0</v>
      </c>
      <c r="K696" s="80"/>
      <c r="L696" s="82">
        <f t="shared" si="158"/>
        <v>0</v>
      </c>
      <c r="M696" s="82">
        <v>0</v>
      </c>
      <c r="N696" s="82">
        <f t="shared" si="159"/>
        <v>0</v>
      </c>
      <c r="O696" s="83"/>
      <c r="P696"/>
      <c r="Q696"/>
      <c r="R696"/>
      <c r="S696"/>
      <c r="U696" s="84" t="s">
        <v>530</v>
      </c>
      <c r="V696" s="80"/>
      <c r="W696" s="82" t="s">
        <v>47</v>
      </c>
      <c r="X696" s="82" t="s">
        <v>597</v>
      </c>
      <c r="Y696" s="85" t="s">
        <v>571</v>
      </c>
      <c r="Z696" s="86" t="s">
        <v>569</v>
      </c>
      <c r="AA696" s="86" t="s">
        <v>47</v>
      </c>
      <c r="AB696" s="86"/>
      <c r="AC696" s="87">
        <v>0</v>
      </c>
      <c r="AD696" s="88">
        <f t="shared" si="160"/>
        <v>0</v>
      </c>
      <c r="AF696" s="54">
        <v>201222</v>
      </c>
      <c r="AQ696" s="80"/>
      <c r="AR696" s="80"/>
    </row>
    <row r="697" spans="1:44" ht="14.4">
      <c r="A697" s="144">
        <v>201223</v>
      </c>
      <c r="B697" s="78" t="str">
        <f>VLOOKUP(A697,'TB for financial'!A:B,2,0)</f>
        <v>Provision MLWF - Co. Contribution</v>
      </c>
      <c r="D697" s="79">
        <f>-VLOOKUP(A697,'TB for financial'!A:F,6,0)</f>
        <v>0</v>
      </c>
      <c r="E697" s="80"/>
      <c r="F697" s="79">
        <f>-VLOOKUP(A697,'TB for financial'!A:K,11,0)</f>
        <v>0</v>
      </c>
      <c r="G697" s="80"/>
      <c r="H697" s="81">
        <f t="shared" si="156"/>
        <v>0</v>
      </c>
      <c r="I697" s="81">
        <v>0</v>
      </c>
      <c r="J697" s="81">
        <f t="shared" si="157"/>
        <v>0</v>
      </c>
      <c r="K697" s="80"/>
      <c r="L697" s="82">
        <f t="shared" si="158"/>
        <v>0</v>
      </c>
      <c r="M697" s="82">
        <v>0</v>
      </c>
      <c r="N697" s="82">
        <f t="shared" si="159"/>
        <v>0</v>
      </c>
      <c r="O697" s="83"/>
      <c r="P697"/>
      <c r="Q697"/>
      <c r="R697"/>
      <c r="S697"/>
      <c r="U697" s="84" t="s">
        <v>530</v>
      </c>
      <c r="V697" s="80"/>
      <c r="W697" s="82" t="s">
        <v>47</v>
      </c>
      <c r="X697" s="82" t="s">
        <v>597</v>
      </c>
      <c r="Y697" s="85" t="s">
        <v>571</v>
      </c>
      <c r="Z697" s="86" t="s">
        <v>569</v>
      </c>
      <c r="AA697" s="86" t="s">
        <v>47</v>
      </c>
      <c r="AB697" s="86"/>
      <c r="AC697" s="87">
        <v>0</v>
      </c>
      <c r="AD697" s="88">
        <f t="shared" si="160"/>
        <v>0</v>
      </c>
      <c r="AF697" s="54">
        <v>201223</v>
      </c>
      <c r="AQ697" s="80"/>
      <c r="AR697" s="80"/>
    </row>
    <row r="698" spans="1:44" ht="14.4">
      <c r="A698" s="144">
        <v>201224</v>
      </c>
      <c r="B698" s="78" t="str">
        <f>VLOOKUP(A698,'TB for financial'!A:B,2,0)</f>
        <v>Provision CLWF - Co. Contribution</v>
      </c>
      <c r="D698" s="79">
        <f>-VLOOKUP(A698,'TB for financial'!A:F,6,0)</f>
        <v>0</v>
      </c>
      <c r="E698" s="80"/>
      <c r="F698" s="79">
        <f>-VLOOKUP(A698,'TB for financial'!A:K,11,0)</f>
        <v>0</v>
      </c>
      <c r="G698" s="80"/>
      <c r="H698" s="81">
        <f t="shared" si="156"/>
        <v>0</v>
      </c>
      <c r="I698" s="81">
        <v>0</v>
      </c>
      <c r="J698" s="81">
        <f t="shared" si="157"/>
        <v>0</v>
      </c>
      <c r="K698" s="80"/>
      <c r="L698" s="82">
        <f t="shared" si="158"/>
        <v>0</v>
      </c>
      <c r="M698" s="82">
        <v>0</v>
      </c>
      <c r="N698" s="82">
        <f t="shared" si="159"/>
        <v>0</v>
      </c>
      <c r="O698" s="83"/>
      <c r="P698"/>
      <c r="Q698"/>
      <c r="R698"/>
      <c r="S698"/>
      <c r="U698" s="84" t="s">
        <v>530</v>
      </c>
      <c r="V698" s="80"/>
      <c r="W698" s="82" t="s">
        <v>47</v>
      </c>
      <c r="X698" s="82" t="s">
        <v>597</v>
      </c>
      <c r="Y698" s="85" t="s">
        <v>571</v>
      </c>
      <c r="Z698" s="86" t="s">
        <v>569</v>
      </c>
      <c r="AA698" s="86" t="s">
        <v>47</v>
      </c>
      <c r="AB698" s="86"/>
      <c r="AC698" s="87">
        <v>0</v>
      </c>
      <c r="AD698" s="88">
        <f t="shared" si="160"/>
        <v>0</v>
      </c>
      <c r="AF698" s="54">
        <v>201224</v>
      </c>
      <c r="AQ698" s="80"/>
      <c r="AR698" s="80"/>
    </row>
    <row r="699" spans="1:44" ht="14.4">
      <c r="A699" s="70">
        <v>201232</v>
      </c>
      <c r="B699" s="78" t="str">
        <f>VLOOKUP(A699,'TB for financial'!A:B,2,0)</f>
        <v>Liability PF - Deduction</v>
      </c>
      <c r="D699" s="79">
        <f>-VLOOKUP(A699,'TB for financial'!A:F,6,0)</f>
        <v>0</v>
      </c>
      <c r="E699" s="80"/>
      <c r="F699" s="79">
        <f>-VLOOKUP(A699,'TB for financial'!A:K,11,0)</f>
        <v>0</v>
      </c>
      <c r="G699" s="80"/>
      <c r="H699" s="81">
        <f t="shared" si="156"/>
        <v>0</v>
      </c>
      <c r="I699" s="81">
        <v>0</v>
      </c>
      <c r="J699" s="81">
        <f t="shared" si="157"/>
        <v>0</v>
      </c>
      <c r="K699" s="80"/>
      <c r="L699" s="82">
        <f t="shared" si="158"/>
        <v>0</v>
      </c>
      <c r="M699" s="82">
        <v>0</v>
      </c>
      <c r="N699" s="82">
        <f t="shared" si="159"/>
        <v>0</v>
      </c>
      <c r="O699" s="83"/>
      <c r="P699"/>
      <c r="Q699"/>
      <c r="R699"/>
      <c r="S699"/>
      <c r="U699" s="84" t="s">
        <v>530</v>
      </c>
      <c r="V699" s="80"/>
      <c r="W699" s="82" t="s">
        <v>47</v>
      </c>
      <c r="X699" s="82" t="s">
        <v>597</v>
      </c>
      <c r="Y699" s="85" t="s">
        <v>571</v>
      </c>
      <c r="Z699" s="86" t="s">
        <v>569</v>
      </c>
      <c r="AA699" s="86" t="s">
        <v>47</v>
      </c>
      <c r="AB699" s="86"/>
      <c r="AC699" s="87">
        <v>0</v>
      </c>
      <c r="AD699" s="88">
        <f t="shared" si="160"/>
        <v>0</v>
      </c>
      <c r="AF699" s="54">
        <v>201232</v>
      </c>
      <c r="AQ699" s="80"/>
      <c r="AR699" s="80"/>
    </row>
    <row r="700" spans="1:44" ht="14.4">
      <c r="A700" s="70">
        <v>201233</v>
      </c>
      <c r="B700" s="78" t="str">
        <f>VLOOKUP(A700,'TB for financial'!A:B,2,0)</f>
        <v>Liability ESIC - Deduction</v>
      </c>
      <c r="D700" s="79">
        <f>-VLOOKUP(A700,'TB for financial'!A:F,6,0)</f>
        <v>0</v>
      </c>
      <c r="E700" s="80"/>
      <c r="F700" s="79">
        <f>-VLOOKUP(A700,'TB for financial'!A:K,11,0)</f>
        <v>0</v>
      </c>
      <c r="G700" s="80"/>
      <c r="H700" s="81">
        <f t="shared" si="156"/>
        <v>0</v>
      </c>
      <c r="I700" s="81">
        <v>0</v>
      </c>
      <c r="J700" s="81">
        <f t="shared" si="157"/>
        <v>0</v>
      </c>
      <c r="K700" s="80"/>
      <c r="L700" s="82">
        <f t="shared" si="158"/>
        <v>0</v>
      </c>
      <c r="M700" s="82">
        <v>0</v>
      </c>
      <c r="N700" s="82">
        <f t="shared" si="159"/>
        <v>0</v>
      </c>
      <c r="O700" s="83"/>
      <c r="P700"/>
      <c r="Q700"/>
      <c r="R700"/>
      <c r="S700"/>
      <c r="U700" s="84" t="s">
        <v>530</v>
      </c>
      <c r="V700" s="80"/>
      <c r="W700" s="82" t="s">
        <v>47</v>
      </c>
      <c r="X700" s="82" t="s">
        <v>597</v>
      </c>
      <c r="Y700" s="85" t="s">
        <v>571</v>
      </c>
      <c r="Z700" s="86" t="s">
        <v>569</v>
      </c>
      <c r="AA700" s="86" t="s">
        <v>47</v>
      </c>
      <c r="AB700" s="86"/>
      <c r="AC700" s="87">
        <v>0</v>
      </c>
      <c r="AD700" s="88">
        <f t="shared" si="160"/>
        <v>0</v>
      </c>
      <c r="AF700" s="54">
        <v>201233</v>
      </c>
      <c r="AQ700" s="80"/>
      <c r="AR700" s="80"/>
    </row>
    <row r="701" spans="1:44" ht="14.4">
      <c r="A701" s="70">
        <v>201234</v>
      </c>
      <c r="B701" s="78" t="str">
        <f>VLOOKUP(A701,'TB for financial'!A:B,2,0)</f>
        <v>Liability MLWF - Deduction</v>
      </c>
      <c r="D701" s="79">
        <f>-VLOOKUP(A701,'TB for financial'!A:F,6,0)</f>
        <v>0</v>
      </c>
      <c r="E701" s="80"/>
      <c r="F701" s="79">
        <f>-VLOOKUP(A701,'TB for financial'!A:K,11,0)</f>
        <v>0</v>
      </c>
      <c r="G701" s="80"/>
      <c r="H701" s="81">
        <f t="shared" si="156"/>
        <v>0</v>
      </c>
      <c r="I701" s="81">
        <v>0</v>
      </c>
      <c r="J701" s="81">
        <f t="shared" si="157"/>
        <v>0</v>
      </c>
      <c r="K701" s="80"/>
      <c r="L701" s="82">
        <f t="shared" si="158"/>
        <v>0</v>
      </c>
      <c r="M701" s="82">
        <v>0</v>
      </c>
      <c r="N701" s="82">
        <f t="shared" si="159"/>
        <v>0</v>
      </c>
      <c r="O701" s="83"/>
      <c r="P701"/>
      <c r="Q701"/>
      <c r="R701"/>
      <c r="S701"/>
      <c r="U701" s="84" t="s">
        <v>530</v>
      </c>
      <c r="V701" s="80"/>
      <c r="W701" s="82" t="s">
        <v>47</v>
      </c>
      <c r="X701" s="82" t="s">
        <v>597</v>
      </c>
      <c r="Y701" s="85" t="s">
        <v>571</v>
      </c>
      <c r="Z701" s="86" t="s">
        <v>569</v>
      </c>
      <c r="AA701" s="86" t="s">
        <v>47</v>
      </c>
      <c r="AB701" s="86"/>
      <c r="AC701" s="87">
        <v>0</v>
      </c>
      <c r="AD701" s="88">
        <f t="shared" si="160"/>
        <v>0</v>
      </c>
      <c r="AF701" s="54">
        <v>201234</v>
      </c>
      <c r="AQ701" s="80"/>
      <c r="AR701" s="80"/>
    </row>
    <row r="702" spans="1:44" ht="14.4">
      <c r="A702" s="70">
        <v>201235</v>
      </c>
      <c r="B702" s="78" t="str">
        <f>VLOOKUP(A702,'TB for financial'!A:B,2,0)</f>
        <v>Liability CLWF - Deduction</v>
      </c>
      <c r="D702" s="79">
        <f>-VLOOKUP(A702,'TB for financial'!A:F,6,0)</f>
        <v>0</v>
      </c>
      <c r="E702" s="80"/>
      <c r="F702" s="79">
        <f>-VLOOKUP(A702,'TB for financial'!A:K,11,0)</f>
        <v>0</v>
      </c>
      <c r="G702" s="80"/>
      <c r="H702" s="81">
        <f t="shared" si="156"/>
        <v>0</v>
      </c>
      <c r="I702" s="81">
        <v>0</v>
      </c>
      <c r="J702" s="81">
        <f t="shared" si="157"/>
        <v>0</v>
      </c>
      <c r="K702" s="80"/>
      <c r="L702" s="82">
        <f t="shared" si="158"/>
        <v>0</v>
      </c>
      <c r="M702" s="82">
        <v>0</v>
      </c>
      <c r="N702" s="82">
        <f t="shared" si="159"/>
        <v>0</v>
      </c>
      <c r="O702" s="83"/>
      <c r="P702"/>
      <c r="Q702"/>
      <c r="R702"/>
      <c r="S702"/>
      <c r="U702" s="84" t="s">
        <v>530</v>
      </c>
      <c r="V702" s="80"/>
      <c r="W702" s="82" t="s">
        <v>47</v>
      </c>
      <c r="X702" s="82" t="s">
        <v>597</v>
      </c>
      <c r="Y702" s="85" t="s">
        <v>571</v>
      </c>
      <c r="Z702" s="86" t="s">
        <v>569</v>
      </c>
      <c r="AA702" s="86" t="s">
        <v>47</v>
      </c>
      <c r="AB702" s="86"/>
      <c r="AC702" s="87">
        <v>0</v>
      </c>
      <c r="AD702" s="88">
        <f t="shared" si="160"/>
        <v>0</v>
      </c>
      <c r="AF702" s="54">
        <v>201235</v>
      </c>
      <c r="AQ702" s="80"/>
      <c r="AR702" s="80"/>
    </row>
    <row r="703" spans="1:44" ht="14.4">
      <c r="A703" s="70">
        <v>201236</v>
      </c>
      <c r="B703" s="78" t="str">
        <f>VLOOKUP(A703,'TB for financial'!A:B,2,0)</f>
        <v>Liability P Tax  - Deduction</v>
      </c>
      <c r="D703" s="79">
        <f>-VLOOKUP(A703,'TB for financial'!A:F,6,0)</f>
        <v>0</v>
      </c>
      <c r="E703" s="80"/>
      <c r="F703" s="79">
        <f>-VLOOKUP(A703,'TB for financial'!A:K,11,0)</f>
        <v>0</v>
      </c>
      <c r="G703" s="80"/>
      <c r="H703" s="81">
        <f t="shared" si="156"/>
        <v>0</v>
      </c>
      <c r="I703" s="81">
        <v>0</v>
      </c>
      <c r="J703" s="81">
        <f t="shared" si="157"/>
        <v>0</v>
      </c>
      <c r="K703" s="80"/>
      <c r="L703" s="82">
        <f t="shared" si="158"/>
        <v>0</v>
      </c>
      <c r="M703" s="82">
        <v>0</v>
      </c>
      <c r="N703" s="82">
        <f t="shared" si="159"/>
        <v>0</v>
      </c>
      <c r="O703" s="83"/>
      <c r="P703"/>
      <c r="Q703"/>
      <c r="R703"/>
      <c r="S703"/>
      <c r="U703" s="84" t="s">
        <v>530</v>
      </c>
      <c r="V703" s="80"/>
      <c r="W703" s="82" t="s">
        <v>47</v>
      </c>
      <c r="X703" s="82" t="s">
        <v>597</v>
      </c>
      <c r="Y703" s="85" t="s">
        <v>571</v>
      </c>
      <c r="Z703" s="86" t="s">
        <v>569</v>
      </c>
      <c r="AA703" s="86" t="s">
        <v>47</v>
      </c>
      <c r="AB703" s="86"/>
      <c r="AC703" s="87">
        <v>0</v>
      </c>
      <c r="AD703" s="88">
        <f t="shared" si="160"/>
        <v>0</v>
      </c>
      <c r="AF703" s="54">
        <v>201236</v>
      </c>
      <c r="AQ703" s="80"/>
      <c r="AR703" s="80"/>
    </row>
    <row r="704" spans="1:44" ht="14.4">
      <c r="A704" s="70">
        <v>201228</v>
      </c>
      <c r="B704" s="78" t="str">
        <f>VLOOKUP(A704,'TB for financial'!A:B,2,0)</f>
        <v>Liability VPF-Voluntary Deduct</v>
      </c>
      <c r="D704" s="79">
        <f>-VLOOKUP(A704,'TB for financial'!A:F,6,0)</f>
        <v>0</v>
      </c>
      <c r="E704" s="80"/>
      <c r="F704" s="79">
        <f>-VLOOKUP(A704,'TB for financial'!A:K,11,0)</f>
        <v>0</v>
      </c>
      <c r="G704" s="80"/>
      <c r="H704" s="81">
        <f t="shared" si="156"/>
        <v>0</v>
      </c>
      <c r="I704" s="81">
        <v>0</v>
      </c>
      <c r="J704" s="81">
        <f t="shared" si="157"/>
        <v>0</v>
      </c>
      <c r="K704" s="80"/>
      <c r="L704" s="82">
        <f t="shared" si="158"/>
        <v>0</v>
      </c>
      <c r="M704" s="82">
        <v>0</v>
      </c>
      <c r="N704" s="82">
        <f t="shared" si="159"/>
        <v>0</v>
      </c>
      <c r="O704" s="83"/>
      <c r="P704"/>
      <c r="Q704"/>
      <c r="R704"/>
      <c r="S704"/>
      <c r="U704" s="84" t="s">
        <v>530</v>
      </c>
      <c r="V704" s="80"/>
      <c r="W704" s="82" t="s">
        <v>47</v>
      </c>
      <c r="X704" s="82" t="s">
        <v>597</v>
      </c>
      <c r="Y704" s="85" t="s">
        <v>531</v>
      </c>
      <c r="Z704" s="86" t="s">
        <v>569</v>
      </c>
      <c r="AA704" s="86" t="s">
        <v>47</v>
      </c>
      <c r="AB704" s="86"/>
      <c r="AC704" s="87">
        <v>0</v>
      </c>
      <c r="AD704" s="88">
        <f t="shared" si="160"/>
        <v>0</v>
      </c>
      <c r="AF704" s="54">
        <v>201228</v>
      </c>
      <c r="AQ704" s="80"/>
      <c r="AR704" s="80"/>
    </row>
    <row r="705" spans="1:44" ht="14.4">
      <c r="A705" s="1373">
        <v>437425</v>
      </c>
      <c r="B705" s="78" t="str">
        <f>VLOOKUP(A705,'TB for financial'!A:B,2,0)</f>
        <v>Emp PF Pension Payable</v>
      </c>
      <c r="D705" s="79">
        <f>-VLOOKUP(A705,'TB for financial'!A:F,6,0)</f>
        <v>14999.989999999976</v>
      </c>
      <c r="E705" s="80"/>
      <c r="F705" s="79">
        <f>-VLOOKUP(A705,'TB for financial'!A:K,11,0)</f>
        <v>20291.989999999976</v>
      </c>
      <c r="G705" s="80"/>
      <c r="H705" s="122">
        <f>D705-I705</f>
        <v>14999.989999999976</v>
      </c>
      <c r="I705" s="81">
        <v>0</v>
      </c>
      <c r="J705" s="81">
        <f>+D705-H705-I705</f>
        <v>0</v>
      </c>
      <c r="K705" s="80"/>
      <c r="L705" s="82">
        <f>F705-M705</f>
        <v>20291.989999999976</v>
      </c>
      <c r="M705" s="82">
        <v>0</v>
      </c>
      <c r="N705" s="82">
        <f t="shared" si="159"/>
        <v>0</v>
      </c>
      <c r="O705" s="83"/>
      <c r="P705"/>
      <c r="Q705"/>
      <c r="R705"/>
      <c r="S705"/>
      <c r="U705" s="84" t="s">
        <v>530</v>
      </c>
      <c r="V705" s="80"/>
      <c r="W705" s="82" t="s">
        <v>47</v>
      </c>
      <c r="X705" s="82" t="s">
        <v>597</v>
      </c>
      <c r="Y705" s="85" t="s">
        <v>531</v>
      </c>
      <c r="Z705" s="86" t="s">
        <v>569</v>
      </c>
      <c r="AA705" s="86" t="s">
        <v>47</v>
      </c>
      <c r="AB705" s="86"/>
      <c r="AC705" s="87">
        <v>23459.57</v>
      </c>
      <c r="AD705" s="88">
        <f>+D705-AC705</f>
        <v>-8459.5800000000236</v>
      </c>
      <c r="AF705" s="54" t="s">
        <v>2536</v>
      </c>
      <c r="AQ705" s="80"/>
      <c r="AR705" s="80">
        <f>D705</f>
        <v>14999.989999999976</v>
      </c>
    </row>
    <row r="706" spans="1:44" ht="14.4">
      <c r="A706" s="1373">
        <v>437427</v>
      </c>
      <c r="B706" s="78" t="str">
        <f>VLOOKUP(A706,'TB for financial'!A:B,2,0)</f>
        <v>Lab Welfare Fund Payable</v>
      </c>
      <c r="D706" s="79">
        <f>-VLOOKUP(A706,'TB for financial'!A:F,6,0)</f>
        <v>261</v>
      </c>
      <c r="E706" s="80"/>
      <c r="F706" s="79">
        <f>-VLOOKUP(A706,'TB for financial'!A:K,11,0)</f>
        <v>281</v>
      </c>
      <c r="G706" s="80"/>
      <c r="H706" s="122">
        <f>D706-I706</f>
        <v>261</v>
      </c>
      <c r="I706" s="81">
        <v>0</v>
      </c>
      <c r="J706" s="81">
        <f>+D706-H706-I706</f>
        <v>0</v>
      </c>
      <c r="K706" s="80"/>
      <c r="L706" s="82">
        <f>F706-M706</f>
        <v>281</v>
      </c>
      <c r="M706" s="82">
        <v>0</v>
      </c>
      <c r="N706" s="82">
        <f t="shared" si="159"/>
        <v>0</v>
      </c>
      <c r="O706" s="83"/>
      <c r="P706"/>
      <c r="Q706"/>
      <c r="R706"/>
      <c r="S706"/>
      <c r="U706" s="84" t="s">
        <v>530</v>
      </c>
      <c r="V706" s="80"/>
      <c r="W706" s="82" t="s">
        <v>47</v>
      </c>
      <c r="X706" s="82" t="s">
        <v>597</v>
      </c>
      <c r="Y706" s="85" t="s">
        <v>531</v>
      </c>
      <c r="Z706" s="86" t="s">
        <v>569</v>
      </c>
      <c r="AA706" s="86" t="s">
        <v>47</v>
      </c>
      <c r="AB706" s="86"/>
      <c r="AC706" s="87">
        <v>301</v>
      </c>
      <c r="AD706" s="88">
        <f>+D706-AC706</f>
        <v>-40</v>
      </c>
      <c r="AF706" s="54" t="s">
        <v>2536</v>
      </c>
      <c r="AQ706" s="80"/>
      <c r="AR706" s="80">
        <f>D706</f>
        <v>261</v>
      </c>
    </row>
    <row r="707" spans="1:44" ht="14.4">
      <c r="A707" s="1373">
        <v>437522</v>
      </c>
      <c r="B707" s="78" t="str">
        <f>VLOOKUP(A707,'TB for financial'!A:B,2,0)</f>
        <v>Emp Prof. Tax Payable</v>
      </c>
      <c r="D707" s="79">
        <f>-VLOOKUP(A707,'TB for financial'!A:F,6,0)</f>
        <v>-134</v>
      </c>
      <c r="E707" s="80"/>
      <c r="F707" s="79">
        <f>-VLOOKUP(A707,'TB for financial'!A:K,11,0)</f>
        <v>266</v>
      </c>
      <c r="G707" s="80"/>
      <c r="H707" s="122">
        <f>D707-I707</f>
        <v>-134</v>
      </c>
      <c r="I707" s="81">
        <v>0</v>
      </c>
      <c r="J707" s="81">
        <f>+D707-H707-I707</f>
        <v>0</v>
      </c>
      <c r="K707" s="80"/>
      <c r="L707" s="82">
        <f>F707-M707</f>
        <v>266</v>
      </c>
      <c r="M707" s="82">
        <v>0</v>
      </c>
      <c r="N707" s="82">
        <f t="shared" si="159"/>
        <v>0</v>
      </c>
      <c r="O707" s="83"/>
      <c r="P707"/>
      <c r="Q707"/>
      <c r="R707"/>
      <c r="S707"/>
      <c r="U707" s="84" t="s">
        <v>530</v>
      </c>
      <c r="V707" s="80"/>
      <c r="W707" s="82" t="s">
        <v>47</v>
      </c>
      <c r="X707" s="82" t="s">
        <v>597</v>
      </c>
      <c r="Y707" s="85" t="s">
        <v>531</v>
      </c>
      <c r="Z707" s="86" t="s">
        <v>569</v>
      </c>
      <c r="AA707" s="86" t="s">
        <v>47</v>
      </c>
      <c r="AB707" s="86"/>
      <c r="AC707" s="87">
        <v>266</v>
      </c>
      <c r="AD707" s="88">
        <f>+D707-AC707</f>
        <v>-400</v>
      </c>
      <c r="AF707" s="54" t="s">
        <v>2536</v>
      </c>
      <c r="AQ707" s="80"/>
      <c r="AR707" s="80">
        <f>D707</f>
        <v>-134</v>
      </c>
    </row>
    <row r="708" spans="1:44" ht="14.4">
      <c r="A708" s="1373">
        <v>4373000</v>
      </c>
      <c r="B708" s="78" t="str">
        <f>VLOOKUP(A708,'TB for financial'!A:B,2,0)</f>
        <v>PENSION FUNDS</v>
      </c>
      <c r="D708" s="79">
        <f>-VLOOKUP(A708,'TB for financial'!A:F,6,0)</f>
        <v>0</v>
      </c>
      <c r="E708" s="80"/>
      <c r="F708" s="79">
        <f>-VLOOKUP(A708,'TB for financial'!A:K,11,0)</f>
        <v>0</v>
      </c>
      <c r="G708" s="80"/>
      <c r="H708" s="81">
        <f>D708-I708</f>
        <v>0</v>
      </c>
      <c r="I708" s="81">
        <v>0</v>
      </c>
      <c r="J708" s="81">
        <f>+D708-H708-I708</f>
        <v>0</v>
      </c>
      <c r="K708" s="80"/>
      <c r="L708" s="82">
        <f>F708-M708</f>
        <v>0</v>
      </c>
      <c r="M708" s="82">
        <v>0</v>
      </c>
      <c r="N708" s="82">
        <f t="shared" si="159"/>
        <v>0</v>
      </c>
      <c r="O708" s="83"/>
      <c r="P708"/>
      <c r="Q708"/>
      <c r="R708"/>
      <c r="S708"/>
      <c r="U708" s="84"/>
      <c r="V708" s="80"/>
      <c r="W708" s="82"/>
      <c r="X708" s="82"/>
      <c r="Y708" s="85" t="s">
        <v>531</v>
      </c>
      <c r="Z708" s="86" t="s">
        <v>569</v>
      </c>
      <c r="AA708" s="86" t="s">
        <v>47</v>
      </c>
      <c r="AB708" s="86"/>
      <c r="AC708" s="87">
        <v>0</v>
      </c>
      <c r="AD708" s="88">
        <f>+D708-AC708</f>
        <v>0</v>
      </c>
      <c r="AF708" s="54" t="s">
        <v>2536</v>
      </c>
      <c r="AQ708" s="80"/>
      <c r="AR708" s="80">
        <f>D708</f>
        <v>0</v>
      </c>
    </row>
    <row r="709" spans="1:44" ht="5.25" customHeight="1">
      <c r="A709" s="70"/>
      <c r="B709" s="78"/>
      <c r="D709" s="79"/>
      <c r="E709" s="80"/>
      <c r="F709" s="79"/>
      <c r="G709" s="80"/>
      <c r="H709" s="81"/>
      <c r="I709" s="81"/>
      <c r="J709" s="81"/>
      <c r="K709" s="80"/>
      <c r="L709" s="82"/>
      <c r="M709" s="82"/>
      <c r="N709" s="82"/>
      <c r="O709" s="83"/>
      <c r="P709"/>
      <c r="Q709"/>
      <c r="R709"/>
      <c r="S709"/>
      <c r="U709" s="84"/>
      <c r="V709" s="80"/>
      <c r="W709" s="82"/>
      <c r="X709" s="82"/>
      <c r="Y709" s="85"/>
      <c r="Z709" s="86"/>
      <c r="AA709" s="86"/>
      <c r="AB709" s="86"/>
      <c r="AQ709" s="80"/>
      <c r="AR709" s="80"/>
    </row>
    <row r="710" spans="1:44" ht="24.6" thickBot="1">
      <c r="A710" s="105"/>
      <c r="B710" s="71" t="s">
        <v>606</v>
      </c>
      <c r="D710" s="1646">
        <f>SUM(D695:D709)</f>
        <v>15126.989999999976</v>
      </c>
      <c r="E710" s="96"/>
      <c r="F710" s="97">
        <f>SUM(F695:F709)</f>
        <v>20838.989999999976</v>
      </c>
      <c r="G710" s="80"/>
      <c r="H710" s="1646">
        <f>SUM(H695:H709)</f>
        <v>15126.989999999976</v>
      </c>
      <c r="I710" s="98">
        <f>SUM(I695:I709)</f>
        <v>0</v>
      </c>
      <c r="J710" s="99">
        <f>SUM(J695:J709)</f>
        <v>0</v>
      </c>
      <c r="K710" s="80"/>
      <c r="L710" s="99">
        <f>SUM(L695:L709)</f>
        <v>20838.989999999976</v>
      </c>
      <c r="M710" s="99">
        <f>SUM(M695:M709)</f>
        <v>0</v>
      </c>
      <c r="N710" s="99">
        <f>SUM(N695:N709)</f>
        <v>0</v>
      </c>
      <c r="O710" s="100"/>
      <c r="P710"/>
      <c r="Q710"/>
      <c r="R710"/>
      <c r="S710"/>
      <c r="U710" s="101"/>
      <c r="V710" s="80"/>
      <c r="W710" s="102"/>
      <c r="X710" s="102"/>
      <c r="Y710" s="94"/>
      <c r="Z710" s="86"/>
      <c r="AA710" s="86"/>
      <c r="AB710" s="86"/>
      <c r="AQ710" s="80"/>
      <c r="AR710" s="80"/>
    </row>
    <row r="711" spans="1:44" ht="15" thickTop="1">
      <c r="A711" s="70"/>
      <c r="B711" s="78"/>
      <c r="D711" s="79"/>
      <c r="E711" s="80"/>
      <c r="F711" s="79"/>
      <c r="G711" s="80"/>
      <c r="H711" s="81"/>
      <c r="I711" s="81"/>
      <c r="J711" s="81"/>
      <c r="K711" s="80"/>
      <c r="L711" s="82"/>
      <c r="M711" s="82"/>
      <c r="N711" s="82"/>
      <c r="O711" s="83"/>
      <c r="P711"/>
      <c r="Q711"/>
      <c r="R711"/>
      <c r="S711"/>
      <c r="U711" s="84"/>
      <c r="V711" s="80"/>
      <c r="W711" s="82"/>
      <c r="X711" s="82"/>
      <c r="Y711" s="85"/>
      <c r="Z711" s="86"/>
      <c r="AA711" s="86"/>
      <c r="AB711" s="86"/>
      <c r="AQ711" s="80"/>
      <c r="AR711" s="80"/>
    </row>
    <row r="712" spans="1:44" ht="14.4">
      <c r="A712" s="144">
        <v>201050</v>
      </c>
      <c r="B712" s="78" t="str">
        <f>VLOOKUP(A712,'TB for financial'!A:B,2,0)</f>
        <v>Accrued US Payroll Taxes</v>
      </c>
      <c r="D712" s="79">
        <f>-VLOOKUP(A712,'TB for financial'!A:F,6,0)</f>
        <v>0</v>
      </c>
      <c r="E712" s="80"/>
      <c r="F712" s="79">
        <f>-VLOOKUP(A712,'TB for financial'!A:K,11,0)</f>
        <v>0</v>
      </c>
      <c r="G712" s="80"/>
      <c r="H712" s="81">
        <f>D712-I712</f>
        <v>0</v>
      </c>
      <c r="I712" s="81">
        <v>0</v>
      </c>
      <c r="J712" s="81">
        <f>+D712-H712-I712</f>
        <v>0</v>
      </c>
      <c r="K712" s="80"/>
      <c r="L712" s="82">
        <f>F712-M712</f>
        <v>0</v>
      </c>
      <c r="M712" s="82">
        <v>0</v>
      </c>
      <c r="N712" s="82">
        <f>+F712-L712-M712</f>
        <v>0</v>
      </c>
      <c r="O712" s="83"/>
      <c r="P712"/>
      <c r="Q712"/>
      <c r="R712"/>
      <c r="S712"/>
      <c r="U712" s="84" t="s">
        <v>530</v>
      </c>
      <c r="V712" s="80"/>
      <c r="W712" s="82" t="s">
        <v>47</v>
      </c>
      <c r="X712" s="82" t="s">
        <v>597</v>
      </c>
      <c r="Y712" s="85" t="s">
        <v>571</v>
      </c>
      <c r="Z712" s="86" t="s">
        <v>569</v>
      </c>
      <c r="AA712" s="86" t="s">
        <v>47</v>
      </c>
      <c r="AB712" s="86"/>
      <c r="AC712" s="87">
        <v>0</v>
      </c>
      <c r="AD712" s="88">
        <f>+D712-AC712</f>
        <v>0</v>
      </c>
      <c r="AF712" s="54">
        <v>201050</v>
      </c>
      <c r="AQ712" s="80"/>
      <c r="AR712" s="80">
        <f>D712</f>
        <v>0</v>
      </c>
    </row>
    <row r="713" spans="1:44" ht="2.25" customHeight="1">
      <c r="A713" s="144"/>
      <c r="B713" s="78"/>
      <c r="D713" s="115"/>
      <c r="E713" s="80"/>
      <c r="F713" s="79"/>
      <c r="G713" s="80"/>
      <c r="H713" s="81"/>
      <c r="I713" s="81"/>
      <c r="J713" s="81"/>
      <c r="K713" s="80"/>
      <c r="L713" s="82"/>
      <c r="M713" s="82"/>
      <c r="N713" s="82"/>
      <c r="O713" s="83"/>
      <c r="P713"/>
      <c r="Q713"/>
      <c r="R713"/>
      <c r="S713"/>
      <c r="U713" s="84"/>
      <c r="V713" s="80"/>
      <c r="W713" s="82"/>
      <c r="X713" s="82"/>
      <c r="Y713" s="85"/>
      <c r="Z713" s="86"/>
      <c r="AA713" s="86"/>
      <c r="AB713" s="86"/>
      <c r="AQ713" s="80"/>
      <c r="AR713" s="80">
        <f>D713</f>
        <v>0</v>
      </c>
    </row>
    <row r="714" spans="1:44" ht="15" thickBot="1">
      <c r="A714" s="105"/>
      <c r="B714" s="71" t="s">
        <v>607</v>
      </c>
      <c r="D714" s="95">
        <f>SUM(D712:D713)</f>
        <v>0</v>
      </c>
      <c r="E714" s="96"/>
      <c r="F714" s="97">
        <f>SUM(F712:F713)</f>
        <v>0</v>
      </c>
      <c r="G714" s="80"/>
      <c r="H714" s="98">
        <f>SUM(H712:H713)</f>
        <v>0</v>
      </c>
      <c r="I714" s="98">
        <f>SUM(I712:I713)</f>
        <v>0</v>
      </c>
      <c r="J714" s="99">
        <f>SUM(J712:J713)</f>
        <v>0</v>
      </c>
      <c r="K714" s="80"/>
      <c r="L714" s="99">
        <f>SUM(L712:L713)</f>
        <v>0</v>
      </c>
      <c r="M714" s="99">
        <f>SUM(M712:M713)</f>
        <v>0</v>
      </c>
      <c r="N714" s="99">
        <f>SUM(N712:N713)</f>
        <v>0</v>
      </c>
      <c r="O714" s="100"/>
      <c r="P714"/>
      <c r="Q714"/>
      <c r="R714"/>
      <c r="S714"/>
      <c r="U714" s="101"/>
      <c r="V714" s="80"/>
      <c r="W714" s="102"/>
      <c r="X714" s="102"/>
      <c r="Y714" s="94"/>
      <c r="Z714" s="86"/>
      <c r="AA714" s="86"/>
      <c r="AB714" s="86"/>
      <c r="AQ714" s="80"/>
      <c r="AR714" s="80"/>
    </row>
    <row r="715" spans="1:44" ht="15" thickTop="1">
      <c r="A715" s="144"/>
      <c r="B715" s="78"/>
      <c r="D715" s="115"/>
      <c r="E715" s="80"/>
      <c r="F715" s="79"/>
      <c r="G715" s="80"/>
      <c r="H715" s="81"/>
      <c r="I715" s="81"/>
      <c r="J715" s="81"/>
      <c r="K715" s="80"/>
      <c r="L715" s="82"/>
      <c r="M715" s="82"/>
      <c r="N715" s="82"/>
      <c r="O715" s="83"/>
      <c r="P715"/>
      <c r="Q715"/>
      <c r="R715"/>
      <c r="S715"/>
      <c r="U715" s="84"/>
      <c r="V715" s="80"/>
      <c r="W715" s="82"/>
      <c r="X715" s="82"/>
      <c r="Y715" s="85"/>
      <c r="Z715" s="86"/>
      <c r="AA715" s="86"/>
      <c r="AB715" s="86"/>
      <c r="AQ715" s="80"/>
      <c r="AR715" s="80"/>
    </row>
    <row r="716" spans="1:44" ht="14.4">
      <c r="A716" s="89">
        <v>201052</v>
      </c>
      <c r="B716" s="78" t="str">
        <f>VLOOKUP(A716,'TB for financial'!A:B,2,0)</f>
        <v>Accrued Canada Payroll Taxes</v>
      </c>
      <c r="D716" s="79">
        <f>-VLOOKUP(A716,'TB for financial'!A:F,6,0)</f>
        <v>0</v>
      </c>
      <c r="E716" s="80"/>
      <c r="F716" s="79">
        <f>-VLOOKUP(A716,'TB for financial'!A:K,11,0)</f>
        <v>0</v>
      </c>
      <c r="G716" s="80"/>
      <c r="H716" s="81">
        <f t="shared" ref="H716:H728" si="161">D716-I716</f>
        <v>0</v>
      </c>
      <c r="I716" s="81">
        <v>0</v>
      </c>
      <c r="J716" s="81">
        <f t="shared" ref="J716:J728" si="162">+D716-H716-I716</f>
        <v>0</v>
      </c>
      <c r="K716" s="80"/>
      <c r="L716" s="82">
        <f t="shared" ref="L716:L728" si="163">F716-M716</f>
        <v>0</v>
      </c>
      <c r="M716" s="82">
        <v>0</v>
      </c>
      <c r="N716" s="82">
        <f t="shared" ref="N716:N727" si="164">+F716-L716-M716</f>
        <v>0</v>
      </c>
      <c r="O716" s="83"/>
      <c r="P716"/>
      <c r="Q716"/>
      <c r="R716"/>
      <c r="S716"/>
      <c r="U716" s="84" t="s">
        <v>530</v>
      </c>
      <c r="V716" s="80"/>
      <c r="W716" s="82" t="s">
        <v>47</v>
      </c>
      <c r="X716" s="82" t="s">
        <v>597</v>
      </c>
      <c r="Y716" s="85" t="s">
        <v>571</v>
      </c>
      <c r="Z716" s="86" t="s">
        <v>569</v>
      </c>
      <c r="AA716" s="86" t="s">
        <v>47</v>
      </c>
      <c r="AB716" s="86"/>
      <c r="AC716" s="87">
        <v>0</v>
      </c>
      <c r="AD716" s="88">
        <f t="shared" ref="AD716:AD728" si="165">+D716-AC716</f>
        <v>0</v>
      </c>
      <c r="AF716" s="54">
        <v>201052</v>
      </c>
      <c r="AQ716" s="80"/>
      <c r="AR716" s="80"/>
    </row>
    <row r="717" spans="1:44" ht="14.4">
      <c r="A717" s="70">
        <v>201066</v>
      </c>
      <c r="B717" s="78" t="str">
        <f>VLOOKUP(A717,'TB for financial'!A:B,2,0)</f>
        <v>Accrued Tennesse</v>
      </c>
      <c r="D717" s="79">
        <f>-VLOOKUP(A717,'TB for financial'!A:F,6,0)</f>
        <v>0</v>
      </c>
      <c r="E717" s="80"/>
      <c r="F717" s="79">
        <f>-VLOOKUP(A717,'TB for financial'!A:K,11,0)</f>
        <v>0</v>
      </c>
      <c r="G717" s="80"/>
      <c r="H717" s="81">
        <f t="shared" si="161"/>
        <v>0</v>
      </c>
      <c r="I717" s="81">
        <v>0</v>
      </c>
      <c r="J717" s="81">
        <f t="shared" si="162"/>
        <v>0</v>
      </c>
      <c r="K717" s="80"/>
      <c r="L717" s="82">
        <f t="shared" si="163"/>
        <v>0</v>
      </c>
      <c r="M717" s="82">
        <v>0</v>
      </c>
      <c r="N717" s="82">
        <f t="shared" si="164"/>
        <v>0</v>
      </c>
      <c r="O717" s="83"/>
      <c r="P717"/>
      <c r="Q717"/>
      <c r="R717"/>
      <c r="S717"/>
      <c r="U717" s="84" t="s">
        <v>530</v>
      </c>
      <c r="V717" s="80"/>
      <c r="W717" s="82" t="s">
        <v>47</v>
      </c>
      <c r="X717" s="82" t="s">
        <v>597</v>
      </c>
      <c r="Y717" s="85" t="s">
        <v>571</v>
      </c>
      <c r="Z717" s="86" t="s">
        <v>569</v>
      </c>
      <c r="AA717" s="86" t="s">
        <v>47</v>
      </c>
      <c r="AB717" s="86"/>
      <c r="AC717" s="87">
        <v>0</v>
      </c>
      <c r="AD717" s="88">
        <f t="shared" si="165"/>
        <v>0</v>
      </c>
      <c r="AF717" s="54">
        <v>201066</v>
      </c>
      <c r="AQ717" s="80"/>
      <c r="AR717" s="80"/>
    </row>
    <row r="718" spans="1:44" ht="14.4">
      <c r="A718" s="70">
        <v>205115</v>
      </c>
      <c r="B718" s="78" t="str">
        <f>VLOOKUP(A718,'TB for financial'!A:B,2,0)</f>
        <v>GST Tax - Canada</v>
      </c>
      <c r="D718" s="79">
        <f>-VLOOKUP(A718,'TB for financial'!A:F,6,0)</f>
        <v>0</v>
      </c>
      <c r="E718" s="80"/>
      <c r="F718" s="79">
        <f>-VLOOKUP(A718,'TB for financial'!A:K,11,0)</f>
        <v>0</v>
      </c>
      <c r="G718" s="80"/>
      <c r="H718" s="81">
        <f t="shared" si="161"/>
        <v>0</v>
      </c>
      <c r="I718" s="81">
        <v>0</v>
      </c>
      <c r="J718" s="81">
        <f t="shared" si="162"/>
        <v>0</v>
      </c>
      <c r="K718" s="80"/>
      <c r="L718" s="82">
        <f t="shared" si="163"/>
        <v>0</v>
      </c>
      <c r="M718" s="82">
        <v>0</v>
      </c>
      <c r="N718" s="82">
        <f t="shared" si="164"/>
        <v>0</v>
      </c>
      <c r="O718" s="83"/>
      <c r="P718"/>
      <c r="Q718"/>
      <c r="R718"/>
      <c r="S718"/>
      <c r="U718" s="84" t="s">
        <v>530</v>
      </c>
      <c r="V718" s="80"/>
      <c r="W718" s="82" t="s">
        <v>47</v>
      </c>
      <c r="X718" s="82" t="s">
        <v>597</v>
      </c>
      <c r="Y718" s="85" t="s">
        <v>571</v>
      </c>
      <c r="Z718" s="86" t="s">
        <v>569</v>
      </c>
      <c r="AA718" s="86" t="s">
        <v>47</v>
      </c>
      <c r="AB718" s="86"/>
      <c r="AC718" s="87">
        <v>0</v>
      </c>
      <c r="AD718" s="88">
        <f t="shared" si="165"/>
        <v>0</v>
      </c>
      <c r="AF718" s="54">
        <v>205115</v>
      </c>
      <c r="AQ718" s="80"/>
      <c r="AR718" s="80"/>
    </row>
    <row r="719" spans="1:44" ht="14.4">
      <c r="A719" s="70">
        <v>205116</v>
      </c>
      <c r="B719" s="78" t="str">
        <f>VLOOKUP(A719,'TB for financial'!A:B,2,0)</f>
        <v>GST Payable - Australia</v>
      </c>
      <c r="D719" s="79">
        <f>-VLOOKUP(A719,'TB for financial'!A:F,6,0)</f>
        <v>0</v>
      </c>
      <c r="E719" s="80"/>
      <c r="F719" s="79">
        <f>-VLOOKUP(A719,'TB for financial'!A:K,11,0)</f>
        <v>0</v>
      </c>
      <c r="G719" s="80"/>
      <c r="H719" s="81">
        <f t="shared" si="161"/>
        <v>0</v>
      </c>
      <c r="I719" s="81">
        <v>0</v>
      </c>
      <c r="J719" s="81">
        <f t="shared" si="162"/>
        <v>0</v>
      </c>
      <c r="K719" s="80"/>
      <c r="L719" s="82">
        <f t="shared" si="163"/>
        <v>0</v>
      </c>
      <c r="M719" s="82">
        <v>0</v>
      </c>
      <c r="N719" s="82">
        <f t="shared" si="164"/>
        <v>0</v>
      </c>
      <c r="O719" s="83"/>
      <c r="P719"/>
      <c r="Q719"/>
      <c r="R719"/>
      <c r="S719"/>
      <c r="U719" s="84" t="s">
        <v>530</v>
      </c>
      <c r="V719" s="80"/>
      <c r="W719" s="82" t="s">
        <v>47</v>
      </c>
      <c r="X719" s="82" t="s">
        <v>597</v>
      </c>
      <c r="Y719" s="85" t="s">
        <v>571</v>
      </c>
      <c r="Z719" s="86" t="s">
        <v>569</v>
      </c>
      <c r="AA719" s="86" t="s">
        <v>47</v>
      </c>
      <c r="AB719" s="86"/>
      <c r="AC719" s="87">
        <v>0</v>
      </c>
      <c r="AD719" s="88">
        <f t="shared" si="165"/>
        <v>0</v>
      </c>
      <c r="AF719" s="54">
        <v>205116</v>
      </c>
      <c r="AQ719" s="80"/>
      <c r="AR719" s="80"/>
    </row>
    <row r="720" spans="1:44" ht="14.4">
      <c r="A720" s="70">
        <v>201213</v>
      </c>
      <c r="B720" s="78" t="str">
        <f>VLOOKUP(A720,'TB for financial'!A:B,2,0)</f>
        <v>Withholding - Salarie</v>
      </c>
      <c r="D720" s="79">
        <f>-VLOOKUP(A720,'TB for financial'!A:F,6,0)</f>
        <v>0</v>
      </c>
      <c r="E720" s="80"/>
      <c r="F720" s="79">
        <f>-VLOOKUP(A720,'TB for financial'!A:K,11,0)</f>
        <v>0</v>
      </c>
      <c r="G720" s="80"/>
      <c r="H720" s="81">
        <f t="shared" si="161"/>
        <v>0</v>
      </c>
      <c r="I720" s="81">
        <v>0</v>
      </c>
      <c r="J720" s="81">
        <f t="shared" si="162"/>
        <v>0</v>
      </c>
      <c r="K720" s="80"/>
      <c r="L720" s="82">
        <f t="shared" si="163"/>
        <v>0</v>
      </c>
      <c r="M720" s="82">
        <v>0</v>
      </c>
      <c r="N720" s="82">
        <f t="shared" si="164"/>
        <v>0</v>
      </c>
      <c r="O720" s="83"/>
      <c r="P720"/>
      <c r="Q720"/>
      <c r="R720"/>
      <c r="S720"/>
      <c r="U720" s="84" t="s">
        <v>530</v>
      </c>
      <c r="V720" s="80"/>
      <c r="W720" s="82" t="s">
        <v>47</v>
      </c>
      <c r="X720" s="82" t="s">
        <v>597</v>
      </c>
      <c r="Y720" s="85" t="s">
        <v>571</v>
      </c>
      <c r="Z720" s="86" t="s">
        <v>569</v>
      </c>
      <c r="AA720" s="86" t="s">
        <v>47</v>
      </c>
      <c r="AB720" s="86"/>
      <c r="AC720" s="87">
        <v>0</v>
      </c>
      <c r="AD720" s="88">
        <f t="shared" si="165"/>
        <v>0</v>
      </c>
      <c r="AF720" s="54">
        <v>201213</v>
      </c>
      <c r="AQ720" s="80"/>
      <c r="AR720" s="80"/>
    </row>
    <row r="721" spans="1:44" ht="14.4">
      <c r="A721" s="70">
        <v>201080</v>
      </c>
      <c r="B721" s="78" t="str">
        <f>VLOOKUP(A721,'TB for financial'!A:B,2,0)</f>
        <v>Withheld-401 (K)</v>
      </c>
      <c r="D721" s="79">
        <f>-VLOOKUP(A721,'TB for financial'!A:F,6,0)</f>
        <v>0</v>
      </c>
      <c r="E721" s="80"/>
      <c r="F721" s="79">
        <f>-VLOOKUP(A721,'TB for financial'!A:K,11,0)</f>
        <v>0</v>
      </c>
      <c r="G721" s="80"/>
      <c r="H721" s="81">
        <f t="shared" si="161"/>
        <v>0</v>
      </c>
      <c r="I721" s="81">
        <v>0</v>
      </c>
      <c r="J721" s="81">
        <f t="shared" si="162"/>
        <v>0</v>
      </c>
      <c r="K721" s="80"/>
      <c r="L721" s="82">
        <f t="shared" si="163"/>
        <v>0</v>
      </c>
      <c r="M721" s="82">
        <v>0</v>
      </c>
      <c r="N721" s="82">
        <f t="shared" si="164"/>
        <v>0</v>
      </c>
      <c r="O721" s="83"/>
      <c r="P721"/>
      <c r="Q721"/>
      <c r="R721"/>
      <c r="S721"/>
      <c r="U721" s="84" t="s">
        <v>530</v>
      </c>
      <c r="V721" s="80"/>
      <c r="W721" s="82" t="s">
        <v>47</v>
      </c>
      <c r="X721" s="82" t="s">
        <v>597</v>
      </c>
      <c r="Y721" s="85" t="s">
        <v>571</v>
      </c>
      <c r="Z721" s="86" t="s">
        <v>569</v>
      </c>
      <c r="AA721" s="86" t="s">
        <v>47</v>
      </c>
      <c r="AB721" s="86"/>
      <c r="AC721" s="87">
        <v>0</v>
      </c>
      <c r="AD721" s="88">
        <f t="shared" si="165"/>
        <v>0</v>
      </c>
      <c r="AF721" s="54">
        <v>201080</v>
      </c>
      <c r="AQ721" s="80"/>
      <c r="AR721" s="80"/>
    </row>
    <row r="722" spans="1:44" ht="14.4">
      <c r="A722" s="70">
        <v>201085</v>
      </c>
      <c r="B722" s="78" t="str">
        <f>VLOOKUP(A722,'TB for financial'!A:B,2,0)</f>
        <v>W/H Friend of Cout</v>
      </c>
      <c r="D722" s="79">
        <f>-VLOOKUP(A722,'TB for financial'!A:F,6,0)</f>
        <v>0</v>
      </c>
      <c r="E722" s="80"/>
      <c r="F722" s="79">
        <f>-VLOOKUP(A722,'TB for financial'!A:K,11,0)</f>
        <v>0</v>
      </c>
      <c r="G722" s="80"/>
      <c r="H722" s="81">
        <f t="shared" si="161"/>
        <v>0</v>
      </c>
      <c r="I722" s="81">
        <v>0</v>
      </c>
      <c r="J722" s="81">
        <f t="shared" si="162"/>
        <v>0</v>
      </c>
      <c r="K722" s="80"/>
      <c r="L722" s="82">
        <f t="shared" si="163"/>
        <v>0</v>
      </c>
      <c r="M722" s="82">
        <v>0</v>
      </c>
      <c r="N722" s="82">
        <f t="shared" si="164"/>
        <v>0</v>
      </c>
      <c r="O722" s="83"/>
      <c r="P722"/>
      <c r="Q722"/>
      <c r="R722"/>
      <c r="S722"/>
      <c r="U722" s="84" t="s">
        <v>530</v>
      </c>
      <c r="V722" s="80"/>
      <c r="W722" s="82" t="s">
        <v>47</v>
      </c>
      <c r="X722" s="82" t="s">
        <v>597</v>
      </c>
      <c r="Y722" s="85" t="s">
        <v>571</v>
      </c>
      <c r="Z722" s="86" t="s">
        <v>569</v>
      </c>
      <c r="AA722" s="86" t="s">
        <v>47</v>
      </c>
      <c r="AB722" s="86"/>
      <c r="AC722" s="87">
        <v>0</v>
      </c>
      <c r="AD722" s="88">
        <f t="shared" si="165"/>
        <v>0</v>
      </c>
      <c r="AF722" s="54">
        <v>201085</v>
      </c>
      <c r="AQ722" s="80"/>
      <c r="AR722" s="80"/>
    </row>
    <row r="723" spans="1:44" ht="14.4">
      <c r="A723" s="70">
        <v>201076</v>
      </c>
      <c r="B723" s="78" t="str">
        <f>VLOOKUP(A723,'TB for financial'!A:B,2,0)</f>
        <v>VAT Taxes Payable</v>
      </c>
      <c r="D723" s="79">
        <f>-VLOOKUP(A723,'TB for financial'!A:F,6,0)</f>
        <v>0</v>
      </c>
      <c r="E723" s="80"/>
      <c r="F723" s="79">
        <f>-VLOOKUP(A723,'TB for financial'!A:K,11,0)</f>
        <v>0</v>
      </c>
      <c r="G723" s="80"/>
      <c r="H723" s="81">
        <f t="shared" si="161"/>
        <v>0</v>
      </c>
      <c r="I723" s="81">
        <v>0</v>
      </c>
      <c r="J723" s="81">
        <f t="shared" si="162"/>
        <v>0</v>
      </c>
      <c r="K723" s="80"/>
      <c r="L723" s="82">
        <f t="shared" si="163"/>
        <v>0</v>
      </c>
      <c r="M723" s="82">
        <v>0</v>
      </c>
      <c r="N723" s="82">
        <f t="shared" si="164"/>
        <v>0</v>
      </c>
      <c r="O723" s="83"/>
      <c r="P723"/>
      <c r="Q723"/>
      <c r="R723"/>
      <c r="S723"/>
      <c r="U723" s="84" t="s">
        <v>530</v>
      </c>
      <c r="V723" s="80"/>
      <c r="W723" s="82" t="s">
        <v>47</v>
      </c>
      <c r="X723" s="82" t="s">
        <v>597</v>
      </c>
      <c r="Y723" s="85" t="s">
        <v>571</v>
      </c>
      <c r="Z723" s="86" t="s">
        <v>569</v>
      </c>
      <c r="AA723" s="86" t="s">
        <v>47</v>
      </c>
      <c r="AB723" s="86"/>
      <c r="AC723" s="87">
        <v>0</v>
      </c>
      <c r="AD723" s="88">
        <f t="shared" si="165"/>
        <v>0</v>
      </c>
      <c r="AF723" s="54">
        <v>201076</v>
      </c>
      <c r="AQ723" s="80"/>
      <c r="AR723" s="80"/>
    </row>
    <row r="724" spans="1:44" ht="14.4">
      <c r="A724" s="70">
        <v>205091</v>
      </c>
      <c r="B724" s="78" t="str">
        <f>VLOOKUP(A724,'TB for financial'!A:B,2,0)</f>
        <v>Accrued - Wealth tax</v>
      </c>
      <c r="D724" s="79">
        <f>-VLOOKUP(A724,'TB for financial'!A:F,6,0)</f>
        <v>0</v>
      </c>
      <c r="E724" s="80"/>
      <c r="F724" s="79">
        <f>-VLOOKUP(A724,'TB for financial'!A:K,11,0)</f>
        <v>0</v>
      </c>
      <c r="G724" s="80"/>
      <c r="H724" s="81">
        <f t="shared" si="161"/>
        <v>0</v>
      </c>
      <c r="I724" s="81">
        <v>0</v>
      </c>
      <c r="J724" s="81">
        <f t="shared" si="162"/>
        <v>0</v>
      </c>
      <c r="K724" s="80"/>
      <c r="L724" s="82">
        <f t="shared" si="163"/>
        <v>0</v>
      </c>
      <c r="M724" s="82">
        <v>0</v>
      </c>
      <c r="N724" s="82">
        <f t="shared" si="164"/>
        <v>0</v>
      </c>
      <c r="O724" s="83"/>
      <c r="P724"/>
      <c r="Q724"/>
      <c r="R724"/>
      <c r="S724"/>
      <c r="U724" s="84" t="s">
        <v>530</v>
      </c>
      <c r="V724" s="80"/>
      <c r="W724" s="82" t="s">
        <v>47</v>
      </c>
      <c r="X724" s="82" t="s">
        <v>597</v>
      </c>
      <c r="Y724" s="85" t="s">
        <v>571</v>
      </c>
      <c r="Z724" s="86" t="s">
        <v>569</v>
      </c>
      <c r="AA724" s="86" t="s">
        <v>47</v>
      </c>
      <c r="AB724" s="86"/>
      <c r="AC724" s="87">
        <v>0</v>
      </c>
      <c r="AD724" s="88">
        <f t="shared" si="165"/>
        <v>0</v>
      </c>
      <c r="AF724" s="54">
        <v>205091</v>
      </c>
      <c r="AQ724" s="80"/>
      <c r="AR724" s="80"/>
    </row>
    <row r="725" spans="1:44" ht="14.4">
      <c r="A725" s="70">
        <v>205092</v>
      </c>
      <c r="B725" s="78" t="str">
        <f>VLOOKUP(A725,'TB for financial'!A:B,2,0)</f>
        <v>Accrued - Sales tax</v>
      </c>
      <c r="D725" s="79">
        <f>-VLOOKUP(A725,'TB for financial'!A:F,6,0)</f>
        <v>0</v>
      </c>
      <c r="E725" s="80"/>
      <c r="F725" s="79">
        <f>-VLOOKUP(A725,'TB for financial'!A:K,11,0)</f>
        <v>0</v>
      </c>
      <c r="G725" s="80"/>
      <c r="H725" s="81">
        <f t="shared" si="161"/>
        <v>0</v>
      </c>
      <c r="I725" s="81">
        <v>0</v>
      </c>
      <c r="J725" s="81">
        <f t="shared" si="162"/>
        <v>0</v>
      </c>
      <c r="K725" s="80"/>
      <c r="L725" s="82">
        <f t="shared" si="163"/>
        <v>0</v>
      </c>
      <c r="M725" s="82">
        <v>0</v>
      </c>
      <c r="N725" s="82">
        <f t="shared" si="164"/>
        <v>0</v>
      </c>
      <c r="O725" s="83"/>
      <c r="P725"/>
      <c r="Q725"/>
      <c r="R725"/>
      <c r="S725"/>
      <c r="U725" s="84" t="s">
        <v>530</v>
      </c>
      <c r="V725" s="80"/>
      <c r="W725" s="82" t="s">
        <v>47</v>
      </c>
      <c r="X725" s="82" t="s">
        <v>597</v>
      </c>
      <c r="Y725" s="85" t="s">
        <v>571</v>
      </c>
      <c r="Z725" s="86" t="s">
        <v>569</v>
      </c>
      <c r="AA725" s="86" t="s">
        <v>47</v>
      </c>
      <c r="AB725" s="86"/>
      <c r="AC725" s="87">
        <v>0</v>
      </c>
      <c r="AD725" s="88">
        <f t="shared" si="165"/>
        <v>0</v>
      </c>
      <c r="AF725" s="54">
        <v>205092</v>
      </c>
      <c r="AQ725" s="80"/>
      <c r="AR725" s="80"/>
    </row>
    <row r="726" spans="1:44" ht="14.4">
      <c r="A726" s="70">
        <v>205107</v>
      </c>
      <c r="B726" s="78" t="str">
        <f>VLOOKUP(A726,'TB for financial'!A:B,2,0)</f>
        <v>Sales Tax payable</v>
      </c>
      <c r="D726" s="79">
        <f>-VLOOKUP(A726,'TB for financial'!A:F,6,0)</f>
        <v>0</v>
      </c>
      <c r="E726" s="80"/>
      <c r="F726" s="79">
        <f>-VLOOKUP(A726,'TB for financial'!A:K,11,0)</f>
        <v>0</v>
      </c>
      <c r="G726" s="80"/>
      <c r="H726" s="81">
        <f t="shared" si="161"/>
        <v>0</v>
      </c>
      <c r="I726" s="81">
        <v>0</v>
      </c>
      <c r="J726" s="81">
        <f t="shared" si="162"/>
        <v>0</v>
      </c>
      <c r="K726" s="80"/>
      <c r="L726" s="82">
        <f t="shared" si="163"/>
        <v>0</v>
      </c>
      <c r="M726" s="82">
        <v>0</v>
      </c>
      <c r="N726" s="82">
        <f t="shared" si="164"/>
        <v>0</v>
      </c>
      <c r="O726" s="83"/>
      <c r="P726"/>
      <c r="Q726"/>
      <c r="R726"/>
      <c r="S726"/>
      <c r="U726" s="84" t="s">
        <v>530</v>
      </c>
      <c r="V726" s="80"/>
      <c r="W726" s="82" t="s">
        <v>47</v>
      </c>
      <c r="X726" s="82" t="s">
        <v>597</v>
      </c>
      <c r="Y726" s="85" t="s">
        <v>571</v>
      </c>
      <c r="Z726" s="86" t="s">
        <v>569</v>
      </c>
      <c r="AA726" s="86" t="s">
        <v>47</v>
      </c>
      <c r="AB726" s="86"/>
      <c r="AC726" s="87">
        <v>0</v>
      </c>
      <c r="AD726" s="88">
        <f t="shared" si="165"/>
        <v>0</v>
      </c>
      <c r="AF726" s="54">
        <v>205107</v>
      </c>
      <c r="AQ726" s="80"/>
      <c r="AR726" s="80"/>
    </row>
    <row r="727" spans="1:44" ht="14.4">
      <c r="A727" s="70">
        <v>205108</v>
      </c>
      <c r="B727" s="78" t="str">
        <f>VLOOKUP(A727,'TB for financial'!A:B,2,0)</f>
        <v>CPF Payable</v>
      </c>
      <c r="D727" s="79">
        <f>-VLOOKUP(A727,'TB for financial'!A:F,6,0)</f>
        <v>0</v>
      </c>
      <c r="E727" s="80"/>
      <c r="F727" s="79">
        <f>-VLOOKUP(A727,'TB for financial'!A:K,11,0)</f>
        <v>0</v>
      </c>
      <c r="G727" s="80"/>
      <c r="H727" s="81">
        <f t="shared" si="161"/>
        <v>0</v>
      </c>
      <c r="I727" s="81">
        <v>0</v>
      </c>
      <c r="J727" s="81">
        <f t="shared" si="162"/>
        <v>0</v>
      </c>
      <c r="K727" s="80"/>
      <c r="L727" s="82">
        <f t="shared" si="163"/>
        <v>0</v>
      </c>
      <c r="M727" s="82">
        <v>0</v>
      </c>
      <c r="N727" s="82">
        <f t="shared" si="164"/>
        <v>0</v>
      </c>
      <c r="O727" s="83"/>
      <c r="P727"/>
      <c r="Q727"/>
      <c r="R727"/>
      <c r="S727"/>
      <c r="U727" s="84" t="s">
        <v>530</v>
      </c>
      <c r="V727" s="80"/>
      <c r="W727" s="82" t="s">
        <v>47</v>
      </c>
      <c r="X727" s="82" t="s">
        <v>597</v>
      </c>
      <c r="Y727" s="85" t="s">
        <v>571</v>
      </c>
      <c r="Z727" s="86" t="s">
        <v>569</v>
      </c>
      <c r="AA727" s="86" t="s">
        <v>47</v>
      </c>
      <c r="AB727" s="86"/>
      <c r="AC727" s="87">
        <v>0</v>
      </c>
      <c r="AD727" s="88">
        <f t="shared" si="165"/>
        <v>0</v>
      </c>
      <c r="AF727" s="54">
        <v>205108</v>
      </c>
      <c r="AQ727" s="80"/>
      <c r="AR727" s="80"/>
    </row>
    <row r="728" spans="1:44" ht="14.4">
      <c r="A728" s="70">
        <v>205014</v>
      </c>
      <c r="B728" s="49" t="str">
        <f>VLOOKUP(A728,'TB for financial'!A:B,2,0)</f>
        <v>Tax Collected at source</v>
      </c>
      <c r="D728" s="79">
        <f>-VLOOKUP(A728,'TB for financial'!A:F,6,0)</f>
        <v>0</v>
      </c>
      <c r="E728" s="80"/>
      <c r="F728" s="79">
        <f>-VLOOKUP(A728,'TB for financial'!A:K,11,0)</f>
        <v>0</v>
      </c>
      <c r="G728" s="80"/>
      <c r="H728" s="81">
        <f t="shared" si="161"/>
        <v>0</v>
      </c>
      <c r="I728" s="81">
        <v>0</v>
      </c>
      <c r="J728" s="81">
        <f t="shared" si="162"/>
        <v>0</v>
      </c>
      <c r="K728" s="80"/>
      <c r="L728" s="82">
        <f t="shared" si="163"/>
        <v>0</v>
      </c>
      <c r="M728" s="82">
        <v>0</v>
      </c>
      <c r="N728" s="82">
        <f>+F728-L728-M728</f>
        <v>0</v>
      </c>
      <c r="O728" s="83"/>
      <c r="P728"/>
      <c r="Q728"/>
      <c r="R728"/>
      <c r="S728"/>
      <c r="U728" s="84" t="s">
        <v>530</v>
      </c>
      <c r="V728" s="80"/>
      <c r="W728" s="82" t="s">
        <v>47</v>
      </c>
      <c r="X728" s="82" t="s">
        <v>597</v>
      </c>
      <c r="Y728" s="85" t="s">
        <v>571</v>
      </c>
      <c r="Z728" s="86" t="s">
        <v>569</v>
      </c>
      <c r="AA728" s="86" t="s">
        <v>47</v>
      </c>
      <c r="AB728" s="86"/>
      <c r="AC728" s="87">
        <v>0</v>
      </c>
      <c r="AD728" s="88">
        <f t="shared" si="165"/>
        <v>0</v>
      </c>
      <c r="AF728" s="54">
        <v>205014</v>
      </c>
      <c r="AQ728" s="80"/>
      <c r="AR728" s="80"/>
    </row>
    <row r="729" spans="1:44" ht="3" customHeight="1">
      <c r="A729" s="70"/>
      <c r="D729" s="79"/>
      <c r="E729" s="80"/>
      <c r="F729" s="79"/>
      <c r="G729" s="80"/>
      <c r="H729" s="81"/>
      <c r="I729" s="81"/>
      <c r="J729" s="81"/>
      <c r="K729" s="80"/>
      <c r="L729" s="82"/>
      <c r="M729" s="82"/>
      <c r="N729" s="82"/>
      <c r="O729" s="83"/>
      <c r="P729"/>
      <c r="Q729"/>
      <c r="R729"/>
      <c r="S729"/>
      <c r="U729" s="84"/>
      <c r="V729" s="80"/>
      <c r="W729" s="82"/>
      <c r="X729" s="82"/>
      <c r="Y729" s="85"/>
      <c r="Z729" s="86"/>
      <c r="AA729" s="86"/>
      <c r="AB729" s="86"/>
      <c r="AQ729" s="80"/>
      <c r="AR729" s="80">
        <f>D729</f>
        <v>0</v>
      </c>
    </row>
    <row r="730" spans="1:44" ht="15" thickBot="1">
      <c r="A730" s="105"/>
      <c r="B730" s="71" t="s">
        <v>608</v>
      </c>
      <c r="D730" s="95">
        <f>SUM(D716:D729)</f>
        <v>0</v>
      </c>
      <c r="E730" s="96"/>
      <c r="F730" s="97">
        <f>SUM(F716:F729)</f>
        <v>0</v>
      </c>
      <c r="G730" s="80"/>
      <c r="H730" s="98">
        <f>SUM(H716:H729)</f>
        <v>0</v>
      </c>
      <c r="I730" s="98">
        <f>SUM(I716:I729)</f>
        <v>0</v>
      </c>
      <c r="J730" s="99">
        <f>SUM(J716:J729)</f>
        <v>0</v>
      </c>
      <c r="K730" s="80"/>
      <c r="L730" s="99">
        <f>SUM(L716:L729)</f>
        <v>0</v>
      </c>
      <c r="M730" s="99">
        <f>SUM(M716:M729)</f>
        <v>0</v>
      </c>
      <c r="N730" s="99">
        <f>SUM(N716:N729)</f>
        <v>0</v>
      </c>
      <c r="O730" s="100"/>
      <c r="P730"/>
      <c r="Q730"/>
      <c r="R730"/>
      <c r="S730"/>
      <c r="U730" s="101"/>
      <c r="V730" s="80"/>
      <c r="W730" s="102"/>
      <c r="X730" s="102"/>
      <c r="Y730" s="94"/>
      <c r="Z730" s="86"/>
      <c r="AA730" s="86"/>
      <c r="AB730" s="86"/>
      <c r="AQ730" s="80"/>
      <c r="AR730" s="80"/>
    </row>
    <row r="731" spans="1:44" ht="15" thickTop="1">
      <c r="A731" s="70"/>
      <c r="D731" s="79"/>
      <c r="E731" s="80"/>
      <c r="F731" s="79"/>
      <c r="G731" s="80"/>
      <c r="H731" s="81"/>
      <c r="I731" s="81"/>
      <c r="J731" s="81"/>
      <c r="K731" s="80"/>
      <c r="L731" s="82"/>
      <c r="M731" s="82"/>
      <c r="N731" s="82"/>
      <c r="O731" s="83"/>
      <c r="P731"/>
      <c r="Q731"/>
      <c r="R731"/>
      <c r="S731"/>
      <c r="U731" s="84"/>
      <c r="V731" s="80"/>
      <c r="W731" s="82"/>
      <c r="X731" s="82"/>
      <c r="Y731" s="85"/>
      <c r="Z731" s="86"/>
      <c r="AA731" s="86"/>
      <c r="AB731" s="86"/>
      <c r="AQ731" s="80"/>
      <c r="AR731" s="80"/>
    </row>
    <row r="732" spans="1:44" ht="3" customHeight="1">
      <c r="A732" s="105"/>
      <c r="B732" s="71"/>
      <c r="D732" s="115"/>
      <c r="E732" s="96"/>
      <c r="F732" s="115"/>
      <c r="G732" s="80"/>
      <c r="H732" s="116"/>
      <c r="I732" s="116"/>
      <c r="J732" s="116"/>
      <c r="K732" s="80"/>
      <c r="L732" s="118"/>
      <c r="M732" s="118"/>
      <c r="N732" s="118"/>
      <c r="O732" s="119"/>
      <c r="P732"/>
      <c r="Q732"/>
      <c r="R732"/>
      <c r="S732"/>
      <c r="U732" s="117"/>
      <c r="V732" s="80"/>
      <c r="W732" s="118"/>
      <c r="X732" s="118"/>
      <c r="Y732" s="94"/>
      <c r="Z732" s="86"/>
      <c r="AA732" s="86"/>
      <c r="AB732" s="86"/>
      <c r="AQ732" s="80"/>
      <c r="AR732" s="80"/>
    </row>
    <row r="733" spans="1:44" ht="14.4">
      <c r="A733" s="70">
        <v>205123</v>
      </c>
      <c r="B733" s="78" t="str">
        <f>VLOOKUP(A733,'TB for financial'!A:B,2,0)</f>
        <v>Liability - Emp. benefit cont.</v>
      </c>
      <c r="D733" s="79">
        <f>-VLOOKUP(A733,'TB for financial'!A:F,6,0)</f>
        <v>0</v>
      </c>
      <c r="E733" s="80"/>
      <c r="F733" s="79">
        <f>-VLOOKUP(A733,'TB for financial'!A:K,11,0)</f>
        <v>0</v>
      </c>
      <c r="G733" s="80"/>
      <c r="H733" s="81">
        <f t="shared" ref="H733:H762" si="166">D733-I733</f>
        <v>0</v>
      </c>
      <c r="I733" s="81">
        <v>0</v>
      </c>
      <c r="J733" s="81">
        <f t="shared" ref="J733:J762" si="167">+D733-H733-I733</f>
        <v>0</v>
      </c>
      <c r="K733" s="80"/>
      <c r="L733" s="82">
        <f t="shared" ref="L733:L762" si="168">F733-M733</f>
        <v>0</v>
      </c>
      <c r="M733" s="82">
        <v>0</v>
      </c>
      <c r="N733" s="82">
        <f t="shared" ref="N733:N762" si="169">+F733-L733-M733</f>
        <v>0</v>
      </c>
      <c r="O733" s="83"/>
      <c r="P733"/>
      <c r="Q733"/>
      <c r="R733"/>
      <c r="S733"/>
      <c r="U733" s="84" t="s">
        <v>530</v>
      </c>
      <c r="V733" s="80"/>
      <c r="W733" s="82" t="s">
        <v>47</v>
      </c>
      <c r="X733" s="82" t="s">
        <v>597</v>
      </c>
      <c r="Y733" s="85" t="s">
        <v>571</v>
      </c>
      <c r="Z733" s="86" t="s">
        <v>572</v>
      </c>
      <c r="AA733" s="86" t="s">
        <v>40</v>
      </c>
      <c r="AB733" s="86" t="s">
        <v>40</v>
      </c>
      <c r="AC733" s="87">
        <v>0</v>
      </c>
      <c r="AD733" s="88">
        <f t="shared" ref="AD733:AD762" si="170">+D733-AC733</f>
        <v>0</v>
      </c>
      <c r="AF733" s="54">
        <v>205123</v>
      </c>
      <c r="AQ733" s="80"/>
      <c r="AR733" s="80"/>
    </row>
    <row r="734" spans="1:44" ht="14.4">
      <c r="A734" s="144">
        <v>201231</v>
      </c>
      <c r="B734" s="78" t="str">
        <f>VLOOKUP(A734,'TB for financial'!A:B,2,0)</f>
        <v>Liability Payroll Processed</v>
      </c>
      <c r="D734" s="79">
        <f>-VLOOKUP(A734,'TB for financial'!A:F,6,0)</f>
        <v>0</v>
      </c>
      <c r="E734" s="80"/>
      <c r="F734" s="79">
        <f>-VLOOKUP(A734,'TB for financial'!A:K,11,0)</f>
        <v>0</v>
      </c>
      <c r="G734" s="80"/>
      <c r="H734" s="81">
        <f t="shared" si="166"/>
        <v>0</v>
      </c>
      <c r="I734" s="81">
        <v>0</v>
      </c>
      <c r="J734" s="81">
        <f t="shared" si="167"/>
        <v>0</v>
      </c>
      <c r="K734" s="80"/>
      <c r="L734" s="82">
        <f t="shared" si="168"/>
        <v>0</v>
      </c>
      <c r="M734" s="82">
        <v>0</v>
      </c>
      <c r="N734" s="82">
        <f t="shared" si="169"/>
        <v>0</v>
      </c>
      <c r="O734" s="83"/>
      <c r="P734"/>
      <c r="Q734"/>
      <c r="R734"/>
      <c r="S734"/>
      <c r="U734" s="84" t="s">
        <v>530</v>
      </c>
      <c r="V734" s="80"/>
      <c r="W734" s="82" t="s">
        <v>47</v>
      </c>
      <c r="X734" s="82" t="s">
        <v>597</v>
      </c>
      <c r="Y734" s="85" t="s">
        <v>571</v>
      </c>
      <c r="Z734" s="86" t="s">
        <v>572</v>
      </c>
      <c r="AA734" s="86" t="s">
        <v>40</v>
      </c>
      <c r="AB734" s="86" t="s">
        <v>40</v>
      </c>
      <c r="AC734" s="87">
        <v>0</v>
      </c>
      <c r="AD734" s="88">
        <f t="shared" si="170"/>
        <v>0</v>
      </c>
      <c r="AF734" s="54">
        <v>201231</v>
      </c>
      <c r="AQ734" s="80"/>
      <c r="AR734" s="80"/>
    </row>
    <row r="735" spans="1:44" ht="14.4">
      <c r="A735" s="144">
        <v>201202</v>
      </c>
      <c r="B735" s="78" t="str">
        <f>VLOOKUP(A735,'TB for financial'!A:B,2,0)</f>
        <v>Provisions - FFS</v>
      </c>
      <c r="D735" s="79">
        <f>-VLOOKUP(A735,'TB for financial'!A:F,6,0)</f>
        <v>-0.12</v>
      </c>
      <c r="E735" s="80"/>
      <c r="F735" s="79">
        <f>-VLOOKUP(A735,'TB for financial'!A:K,11,0)</f>
        <v>-0.12</v>
      </c>
      <c r="G735" s="80"/>
      <c r="H735" s="81">
        <f t="shared" si="166"/>
        <v>-0.12</v>
      </c>
      <c r="I735" s="81">
        <v>0</v>
      </c>
      <c r="J735" s="81">
        <f t="shared" si="167"/>
        <v>0</v>
      </c>
      <c r="K735" s="80"/>
      <c r="L735" s="82">
        <f t="shared" si="168"/>
        <v>-0.12</v>
      </c>
      <c r="M735" s="82">
        <v>0</v>
      </c>
      <c r="N735" s="82">
        <f t="shared" si="169"/>
        <v>0</v>
      </c>
      <c r="O735" s="83"/>
      <c r="P735"/>
      <c r="Q735"/>
      <c r="R735"/>
      <c r="S735"/>
      <c r="U735" s="84" t="s">
        <v>530</v>
      </c>
      <c r="V735" s="80"/>
      <c r="W735" s="82" t="s">
        <v>47</v>
      </c>
      <c r="X735" s="82" t="s">
        <v>597</v>
      </c>
      <c r="Y735" s="85" t="s">
        <v>571</v>
      </c>
      <c r="Z735" s="86" t="s">
        <v>572</v>
      </c>
      <c r="AA735" s="86" t="s">
        <v>40</v>
      </c>
      <c r="AB735" s="86" t="s">
        <v>40</v>
      </c>
      <c r="AC735" s="87">
        <v>0</v>
      </c>
      <c r="AD735" s="88">
        <f t="shared" si="170"/>
        <v>-0.12</v>
      </c>
      <c r="AF735" s="54">
        <v>201202</v>
      </c>
      <c r="AQ735" s="80"/>
      <c r="AR735" s="80"/>
    </row>
    <row r="736" spans="1:44" ht="14.4">
      <c r="A736" s="144">
        <v>201203</v>
      </c>
      <c r="B736" s="78" t="str">
        <f>VLOOKUP(A736,'TB for financial'!A:B,2,0)</f>
        <v>Provision NPS-Co.Contribution</v>
      </c>
      <c r="D736" s="79">
        <f>-VLOOKUP(A736,'TB for financial'!A:F,6,0)</f>
        <v>0</v>
      </c>
      <c r="E736" s="80"/>
      <c r="F736" s="79">
        <f>-VLOOKUP(A736,'TB for financial'!A:K,11,0)</f>
        <v>0</v>
      </c>
      <c r="G736" s="80"/>
      <c r="H736" s="81">
        <f t="shared" si="166"/>
        <v>0</v>
      </c>
      <c r="I736" s="81">
        <v>0</v>
      </c>
      <c r="J736" s="81">
        <f t="shared" si="167"/>
        <v>0</v>
      </c>
      <c r="K736" s="80"/>
      <c r="L736" s="82">
        <f t="shared" si="168"/>
        <v>0</v>
      </c>
      <c r="M736" s="82">
        <v>0</v>
      </c>
      <c r="N736" s="82">
        <f t="shared" si="169"/>
        <v>0</v>
      </c>
      <c r="O736" s="83"/>
      <c r="P736"/>
      <c r="Q736"/>
      <c r="R736"/>
      <c r="S736"/>
      <c r="U736" s="84" t="s">
        <v>530</v>
      </c>
      <c r="V736" s="80"/>
      <c r="W736" s="82" t="s">
        <v>47</v>
      </c>
      <c r="X736" s="82" t="s">
        <v>597</v>
      </c>
      <c r="Y736" s="85" t="s">
        <v>571</v>
      </c>
      <c r="Z736" s="86" t="s">
        <v>572</v>
      </c>
      <c r="AA736" s="86" t="s">
        <v>40</v>
      </c>
      <c r="AB736" s="86" t="s">
        <v>40</v>
      </c>
      <c r="AC736" s="87">
        <v>0</v>
      </c>
      <c r="AD736" s="88">
        <f t="shared" si="170"/>
        <v>0</v>
      </c>
      <c r="AF736" s="54">
        <v>201203</v>
      </c>
      <c r="AQ736" s="80"/>
      <c r="AR736" s="80"/>
    </row>
    <row r="737" spans="1:44" ht="14.4">
      <c r="A737" s="144">
        <v>201243</v>
      </c>
      <c r="B737" s="78" t="str">
        <f>VLOOKUP(A737,'TB for financial'!A:B,2,0)</f>
        <v>Provision - Leave Travel</v>
      </c>
      <c r="D737" s="79">
        <f>-VLOOKUP(A737,'TB for financial'!A:F,6,0)</f>
        <v>0.48999999999068677</v>
      </c>
      <c r="E737" s="80"/>
      <c r="F737" s="79">
        <f>-VLOOKUP(A737,'TB for financial'!A:K,11,0)</f>
        <v>0.48999999999068677</v>
      </c>
      <c r="G737" s="80"/>
      <c r="H737" s="81">
        <f t="shared" si="166"/>
        <v>0.48999999999068677</v>
      </c>
      <c r="I737" s="81">
        <v>0</v>
      </c>
      <c r="J737" s="81">
        <f t="shared" si="167"/>
        <v>0</v>
      </c>
      <c r="K737" s="80"/>
      <c r="L737" s="82">
        <f t="shared" si="168"/>
        <v>0.48999999999068677</v>
      </c>
      <c r="M737" s="82">
        <v>0</v>
      </c>
      <c r="N737" s="82">
        <f t="shared" si="169"/>
        <v>0</v>
      </c>
      <c r="O737" s="83"/>
      <c r="P737"/>
      <c r="Q737"/>
      <c r="R737"/>
      <c r="S737"/>
      <c r="U737" s="84" t="s">
        <v>530</v>
      </c>
      <c r="V737" s="80"/>
      <c r="W737" s="82" t="s">
        <v>47</v>
      </c>
      <c r="X737" s="82" t="s">
        <v>597</v>
      </c>
      <c r="Y737" s="85" t="s">
        <v>571</v>
      </c>
      <c r="Z737" s="86" t="s">
        <v>572</v>
      </c>
      <c r="AA737" s="86" t="s">
        <v>40</v>
      </c>
      <c r="AB737" s="86" t="s">
        <v>40</v>
      </c>
      <c r="AC737" s="87">
        <v>0</v>
      </c>
      <c r="AD737" s="88">
        <f t="shared" si="170"/>
        <v>0.48999999999068677</v>
      </c>
      <c r="AF737" s="54">
        <v>201243</v>
      </c>
      <c r="AQ737" s="80"/>
      <c r="AR737" s="80"/>
    </row>
    <row r="738" spans="1:44" ht="24">
      <c r="A738" s="144">
        <v>201244</v>
      </c>
      <c r="B738" s="78" t="str">
        <f>VLOOKUP(A738,'TB for financial'!A:B,2,0)</f>
        <v>Provision - Medical Reimbursement</v>
      </c>
      <c r="D738" s="79">
        <f>-VLOOKUP(A738,'TB for financial'!A:F,6,0)</f>
        <v>0</v>
      </c>
      <c r="E738" s="80"/>
      <c r="F738" s="79">
        <f>-VLOOKUP(A738,'TB for financial'!A:K,11,0)</f>
        <v>0</v>
      </c>
      <c r="G738" s="80"/>
      <c r="H738" s="81">
        <f t="shared" si="166"/>
        <v>0</v>
      </c>
      <c r="I738" s="81">
        <v>0</v>
      </c>
      <c r="J738" s="81">
        <f t="shared" si="167"/>
        <v>0</v>
      </c>
      <c r="K738" s="80"/>
      <c r="L738" s="82">
        <f t="shared" si="168"/>
        <v>0</v>
      </c>
      <c r="M738" s="82">
        <v>0</v>
      </c>
      <c r="N738" s="82">
        <f t="shared" si="169"/>
        <v>0</v>
      </c>
      <c r="O738" s="83"/>
      <c r="P738"/>
      <c r="Q738"/>
      <c r="R738"/>
      <c r="S738"/>
      <c r="U738" s="84" t="s">
        <v>530</v>
      </c>
      <c r="V738" s="80"/>
      <c r="W738" s="82" t="s">
        <v>47</v>
      </c>
      <c r="X738" s="82" t="s">
        <v>597</v>
      </c>
      <c r="Y738" s="85" t="s">
        <v>571</v>
      </c>
      <c r="Z738" s="86" t="s">
        <v>572</v>
      </c>
      <c r="AA738" s="86" t="s">
        <v>40</v>
      </c>
      <c r="AB738" s="86" t="s">
        <v>40</v>
      </c>
      <c r="AC738" s="87">
        <v>0</v>
      </c>
      <c r="AD738" s="88">
        <f t="shared" si="170"/>
        <v>0</v>
      </c>
      <c r="AF738" s="54">
        <v>201244</v>
      </c>
      <c r="AQ738" s="80"/>
      <c r="AR738" s="80"/>
    </row>
    <row r="739" spans="1:44" ht="14.4">
      <c r="A739" s="144">
        <v>201201</v>
      </c>
      <c r="B739" s="78" t="str">
        <f>VLOOKUP(A739,'TB for financial'!A:B,2,0)</f>
        <v>Full &amp; Final Settlement</v>
      </c>
      <c r="D739" s="79">
        <f>-VLOOKUP(A739,'TB for financial'!A:F,6,0)</f>
        <v>0</v>
      </c>
      <c r="E739" s="80"/>
      <c r="F739" s="79">
        <f>-VLOOKUP(A739,'TB for financial'!A:K,11,0)</f>
        <v>0</v>
      </c>
      <c r="G739" s="80"/>
      <c r="H739" s="81">
        <f t="shared" si="166"/>
        <v>0</v>
      </c>
      <c r="I739" s="81">
        <v>0</v>
      </c>
      <c r="J739" s="81">
        <f t="shared" si="167"/>
        <v>0</v>
      </c>
      <c r="K739" s="80"/>
      <c r="L739" s="82">
        <f t="shared" si="168"/>
        <v>0</v>
      </c>
      <c r="M739" s="82">
        <v>0</v>
      </c>
      <c r="N739" s="82">
        <f t="shared" si="169"/>
        <v>0</v>
      </c>
      <c r="O739" s="83"/>
      <c r="P739"/>
      <c r="Q739"/>
      <c r="R739"/>
      <c r="S739"/>
      <c r="U739" s="84" t="s">
        <v>530</v>
      </c>
      <c r="V739" s="80"/>
      <c r="W739" s="82" t="s">
        <v>47</v>
      </c>
      <c r="X739" s="82" t="s">
        <v>597</v>
      </c>
      <c r="Y739" s="85" t="s">
        <v>571</v>
      </c>
      <c r="Z739" s="86" t="s">
        <v>572</v>
      </c>
      <c r="AA739" s="86" t="s">
        <v>40</v>
      </c>
      <c r="AB739" s="86" t="s">
        <v>40</v>
      </c>
      <c r="AC739" s="87">
        <v>0</v>
      </c>
      <c r="AD739" s="88">
        <f t="shared" si="170"/>
        <v>0</v>
      </c>
      <c r="AF739" s="54">
        <v>201201</v>
      </c>
      <c r="AQ739" s="80"/>
      <c r="AR739" s="80"/>
    </row>
    <row r="740" spans="1:44" ht="14.4">
      <c r="A740" s="144">
        <v>201010</v>
      </c>
      <c r="B740" s="78" t="str">
        <f>VLOOKUP(A740,'TB for financial'!A:B,2,0)</f>
        <v>Accrued Payroll</v>
      </c>
      <c r="D740" s="79">
        <f>-VLOOKUP(A740,'TB for financial'!A:F,6,0)</f>
        <v>0</v>
      </c>
      <c r="E740" s="80"/>
      <c r="F740" s="79">
        <f>-VLOOKUP(A740,'TB for financial'!A:K,11,0)</f>
        <v>0</v>
      </c>
      <c r="G740" s="80"/>
      <c r="H740" s="81">
        <f t="shared" si="166"/>
        <v>0</v>
      </c>
      <c r="I740" s="81">
        <v>0</v>
      </c>
      <c r="J740" s="81">
        <f t="shared" si="167"/>
        <v>0</v>
      </c>
      <c r="K740" s="80"/>
      <c r="L740" s="82">
        <f t="shared" si="168"/>
        <v>0</v>
      </c>
      <c r="M740" s="82">
        <v>0</v>
      </c>
      <c r="N740" s="82">
        <f t="shared" si="169"/>
        <v>0</v>
      </c>
      <c r="O740" s="83"/>
      <c r="P740"/>
      <c r="Q740"/>
      <c r="R740"/>
      <c r="S740"/>
      <c r="U740" s="84" t="s">
        <v>530</v>
      </c>
      <c r="V740" s="80"/>
      <c r="W740" s="82" t="s">
        <v>47</v>
      </c>
      <c r="X740" s="82" t="s">
        <v>597</v>
      </c>
      <c r="Y740" s="85" t="s">
        <v>571</v>
      </c>
      <c r="Z740" s="86" t="s">
        <v>572</v>
      </c>
      <c r="AA740" s="86" t="s">
        <v>40</v>
      </c>
      <c r="AB740" s="86" t="s">
        <v>40</v>
      </c>
      <c r="AC740" s="87">
        <v>0</v>
      </c>
      <c r="AD740" s="88">
        <f t="shared" si="170"/>
        <v>0</v>
      </c>
      <c r="AF740" s="54">
        <v>201010</v>
      </c>
      <c r="AQ740" s="80"/>
      <c r="AR740" s="80"/>
    </row>
    <row r="741" spans="1:44" ht="14.4">
      <c r="A741" s="144">
        <v>201015</v>
      </c>
      <c r="B741" s="78" t="str">
        <f>VLOOKUP(A741,'TB for financial'!A:B,2,0)</f>
        <v>Accrued Bonus</v>
      </c>
      <c r="D741" s="79">
        <f>-VLOOKUP(A741,'TB for financial'!A:F,6,0)</f>
        <v>0</v>
      </c>
      <c r="E741" s="80"/>
      <c r="F741" s="79">
        <f>-VLOOKUP(A741,'TB for financial'!A:K,11,0)</f>
        <v>0</v>
      </c>
      <c r="G741" s="80"/>
      <c r="H741" s="81">
        <f t="shared" si="166"/>
        <v>0</v>
      </c>
      <c r="I741" s="81">
        <v>0</v>
      </c>
      <c r="J741" s="81">
        <f t="shared" si="167"/>
        <v>0</v>
      </c>
      <c r="K741" s="80"/>
      <c r="L741" s="82">
        <f t="shared" si="168"/>
        <v>0</v>
      </c>
      <c r="M741" s="82">
        <v>0</v>
      </c>
      <c r="N741" s="82">
        <f t="shared" si="169"/>
        <v>0</v>
      </c>
      <c r="O741" s="83"/>
      <c r="P741"/>
      <c r="Q741"/>
      <c r="R741"/>
      <c r="S741"/>
      <c r="U741" s="84" t="s">
        <v>530</v>
      </c>
      <c r="V741" s="80"/>
      <c r="W741" s="82" t="s">
        <v>47</v>
      </c>
      <c r="X741" s="82" t="s">
        <v>597</v>
      </c>
      <c r="Y741" s="85" t="s">
        <v>571</v>
      </c>
      <c r="Z741" s="86" t="s">
        <v>572</v>
      </c>
      <c r="AA741" s="86" t="s">
        <v>40</v>
      </c>
      <c r="AB741" s="86" t="s">
        <v>40</v>
      </c>
      <c r="AC741" s="87">
        <v>0</v>
      </c>
      <c r="AD741" s="88">
        <f t="shared" si="170"/>
        <v>0</v>
      </c>
      <c r="AF741" s="54">
        <v>201015</v>
      </c>
      <c r="AQ741" s="80"/>
      <c r="AR741" s="80"/>
    </row>
    <row r="742" spans="1:44" ht="14.4">
      <c r="A742" s="144">
        <v>201017</v>
      </c>
      <c r="B742" s="78" t="str">
        <f>VLOOKUP(A742,'TB for financial'!A:B,2,0)</f>
        <v>Accrued Awards</v>
      </c>
      <c r="D742" s="79">
        <f>-VLOOKUP(A742,'TB for financial'!A:F,6,0)</f>
        <v>0</v>
      </c>
      <c r="E742" s="80"/>
      <c r="F742" s="79">
        <f>-VLOOKUP(A742,'TB for financial'!A:K,11,0)</f>
        <v>0</v>
      </c>
      <c r="G742" s="80"/>
      <c r="H742" s="81">
        <f t="shared" si="166"/>
        <v>0</v>
      </c>
      <c r="I742" s="81">
        <v>0</v>
      </c>
      <c r="J742" s="81">
        <f t="shared" si="167"/>
        <v>0</v>
      </c>
      <c r="K742" s="80"/>
      <c r="L742" s="82">
        <f t="shared" si="168"/>
        <v>0</v>
      </c>
      <c r="M742" s="82">
        <v>0</v>
      </c>
      <c r="N742" s="82">
        <f t="shared" si="169"/>
        <v>0</v>
      </c>
      <c r="O742" s="83"/>
      <c r="P742"/>
      <c r="Q742"/>
      <c r="R742"/>
      <c r="S742"/>
      <c r="U742" s="84" t="s">
        <v>530</v>
      </c>
      <c r="V742" s="80"/>
      <c r="W742" s="82" t="s">
        <v>47</v>
      </c>
      <c r="X742" s="82" t="s">
        <v>597</v>
      </c>
      <c r="Y742" s="85" t="s">
        <v>571</v>
      </c>
      <c r="Z742" s="86" t="s">
        <v>572</v>
      </c>
      <c r="AA742" s="86" t="s">
        <v>40</v>
      </c>
      <c r="AB742" s="86" t="s">
        <v>40</v>
      </c>
      <c r="AC742" s="87">
        <v>0</v>
      </c>
      <c r="AD742" s="88">
        <f t="shared" si="170"/>
        <v>0</v>
      </c>
      <c r="AF742" s="54">
        <v>201017</v>
      </c>
      <c r="AQ742" s="80"/>
      <c r="AR742" s="80"/>
    </row>
    <row r="743" spans="1:44" ht="14.4">
      <c r="A743" s="144">
        <v>201020</v>
      </c>
      <c r="B743" s="78" t="str">
        <f>VLOOKUP(A743,'TB for financial'!A:B,2,0)</f>
        <v>Accrued Wages</v>
      </c>
      <c r="D743" s="79">
        <f>-VLOOKUP(A743,'TB for financial'!A:F,6,0)</f>
        <v>0</v>
      </c>
      <c r="E743" s="80"/>
      <c r="F743" s="79">
        <f>-VLOOKUP(A743,'TB for financial'!A:K,11,0)</f>
        <v>0</v>
      </c>
      <c r="G743" s="80"/>
      <c r="H743" s="81">
        <f t="shared" si="166"/>
        <v>0</v>
      </c>
      <c r="I743" s="81">
        <v>0</v>
      </c>
      <c r="J743" s="81">
        <f t="shared" si="167"/>
        <v>0</v>
      </c>
      <c r="K743" s="80"/>
      <c r="L743" s="82">
        <f t="shared" si="168"/>
        <v>0</v>
      </c>
      <c r="M743" s="82">
        <v>0</v>
      </c>
      <c r="N743" s="82">
        <f t="shared" si="169"/>
        <v>0</v>
      </c>
      <c r="O743" s="83"/>
      <c r="P743"/>
      <c r="Q743"/>
      <c r="R743"/>
      <c r="S743"/>
      <c r="U743" s="84" t="s">
        <v>530</v>
      </c>
      <c r="V743" s="80"/>
      <c r="W743" s="82" t="s">
        <v>47</v>
      </c>
      <c r="X743" s="82" t="s">
        <v>597</v>
      </c>
      <c r="Y743" s="85" t="s">
        <v>571</v>
      </c>
      <c r="Z743" s="86" t="s">
        <v>572</v>
      </c>
      <c r="AA743" s="86" t="s">
        <v>40</v>
      </c>
      <c r="AB743" s="86" t="s">
        <v>40</v>
      </c>
      <c r="AC743" s="87">
        <v>0</v>
      </c>
      <c r="AD743" s="88">
        <f t="shared" si="170"/>
        <v>0</v>
      </c>
      <c r="AF743" s="54">
        <v>201020</v>
      </c>
      <c r="AQ743" s="80"/>
      <c r="AR743" s="80"/>
    </row>
    <row r="744" spans="1:44" ht="14.4">
      <c r="A744" s="144">
        <v>201023</v>
      </c>
      <c r="B744" s="78" t="str">
        <f>VLOOKUP(A744,'TB for financial'!A:B,2,0)</f>
        <v>Accrued Wages - Troy payroll</v>
      </c>
      <c r="D744" s="79">
        <f>-VLOOKUP(A744,'TB for financial'!A:F,6,0)</f>
        <v>0</v>
      </c>
      <c r="E744" s="80"/>
      <c r="F744" s="79">
        <f>-VLOOKUP(A744,'TB for financial'!A:K,11,0)</f>
        <v>0</v>
      </c>
      <c r="G744" s="80"/>
      <c r="H744" s="81">
        <f t="shared" si="166"/>
        <v>0</v>
      </c>
      <c r="I744" s="81">
        <v>0</v>
      </c>
      <c r="J744" s="81">
        <f t="shared" si="167"/>
        <v>0</v>
      </c>
      <c r="K744" s="80"/>
      <c r="L744" s="82">
        <f t="shared" si="168"/>
        <v>0</v>
      </c>
      <c r="M744" s="82">
        <v>0</v>
      </c>
      <c r="N744" s="82">
        <f t="shared" si="169"/>
        <v>0</v>
      </c>
      <c r="O744" s="83"/>
      <c r="P744"/>
      <c r="Q744"/>
      <c r="R744"/>
      <c r="S744"/>
      <c r="U744" s="84" t="s">
        <v>530</v>
      </c>
      <c r="V744" s="80"/>
      <c r="W744" s="82" t="s">
        <v>47</v>
      </c>
      <c r="X744" s="82" t="s">
        <v>597</v>
      </c>
      <c r="Y744" s="85" t="s">
        <v>571</v>
      </c>
      <c r="Z744" s="86" t="s">
        <v>572</v>
      </c>
      <c r="AA744" s="86" t="s">
        <v>40</v>
      </c>
      <c r="AB744" s="86" t="s">
        <v>40</v>
      </c>
      <c r="AC744" s="87">
        <v>0</v>
      </c>
      <c r="AD744" s="88">
        <f t="shared" si="170"/>
        <v>0</v>
      </c>
      <c r="AF744" s="54">
        <v>201023</v>
      </c>
      <c r="AQ744" s="80"/>
      <c r="AR744" s="80"/>
    </row>
    <row r="745" spans="1:44" ht="14.4">
      <c r="A745" s="144">
        <v>205048</v>
      </c>
      <c r="B745" s="78" t="str">
        <f>VLOOKUP(A745,'TB for financial'!A:B,2,0)</f>
        <v>Accrued Comp – Sp Dividend</v>
      </c>
      <c r="D745" s="79">
        <f>-VLOOKUP(A745,'TB for financial'!A:F,6,0)</f>
        <v>0</v>
      </c>
      <c r="E745" s="80"/>
      <c r="F745" s="79">
        <f>-VLOOKUP(A745,'TB for financial'!A:K,11,0)</f>
        <v>0</v>
      </c>
      <c r="G745" s="80"/>
      <c r="H745" s="81">
        <f t="shared" si="166"/>
        <v>0</v>
      </c>
      <c r="I745" s="81">
        <v>0</v>
      </c>
      <c r="J745" s="81">
        <f t="shared" si="167"/>
        <v>0</v>
      </c>
      <c r="K745" s="80"/>
      <c r="L745" s="82">
        <f t="shared" si="168"/>
        <v>0</v>
      </c>
      <c r="M745" s="82">
        <v>0</v>
      </c>
      <c r="N745" s="82">
        <f t="shared" si="169"/>
        <v>0</v>
      </c>
      <c r="O745" s="83"/>
      <c r="P745"/>
      <c r="Q745"/>
      <c r="R745"/>
      <c r="S745"/>
      <c r="U745" s="84" t="s">
        <v>530</v>
      </c>
      <c r="V745" s="80"/>
      <c r="W745" s="82" t="s">
        <v>47</v>
      </c>
      <c r="X745" s="82" t="s">
        <v>597</v>
      </c>
      <c r="Y745" s="85" t="s">
        <v>571</v>
      </c>
      <c r="Z745" s="86" t="s">
        <v>572</v>
      </c>
      <c r="AA745" s="86" t="s">
        <v>40</v>
      </c>
      <c r="AB745" s="86" t="s">
        <v>40</v>
      </c>
      <c r="AC745" s="87">
        <v>0</v>
      </c>
      <c r="AD745" s="88">
        <f t="shared" si="170"/>
        <v>0</v>
      </c>
      <c r="AF745" s="54">
        <v>205048</v>
      </c>
      <c r="AQ745" s="80"/>
      <c r="AR745" s="80"/>
    </row>
    <row r="746" spans="1:44" ht="14.4">
      <c r="A746" s="144">
        <v>201045</v>
      </c>
      <c r="B746" s="78" t="str">
        <f>VLOOKUP(A746,'TB for financial'!A:B,2,0)</f>
        <v>Accum Stock Purch-Oct-Sep</v>
      </c>
      <c r="D746" s="79">
        <f>-VLOOKUP(A746,'TB for financial'!A:F,6,0)</f>
        <v>0</v>
      </c>
      <c r="E746" s="80"/>
      <c r="F746" s="79">
        <f>-VLOOKUP(A746,'TB for financial'!A:K,11,0)</f>
        <v>0</v>
      </c>
      <c r="G746" s="80"/>
      <c r="H746" s="81">
        <f t="shared" si="166"/>
        <v>0</v>
      </c>
      <c r="I746" s="81">
        <v>0</v>
      </c>
      <c r="J746" s="81">
        <f t="shared" si="167"/>
        <v>0</v>
      </c>
      <c r="K746" s="80"/>
      <c r="L746" s="82">
        <f t="shared" si="168"/>
        <v>0</v>
      </c>
      <c r="M746" s="82">
        <v>0</v>
      </c>
      <c r="N746" s="82">
        <f t="shared" si="169"/>
        <v>0</v>
      </c>
      <c r="O746" s="83"/>
      <c r="P746"/>
      <c r="Q746"/>
      <c r="R746"/>
      <c r="S746"/>
      <c r="U746" s="84" t="s">
        <v>530</v>
      </c>
      <c r="V746" s="80"/>
      <c r="W746" s="82" t="s">
        <v>47</v>
      </c>
      <c r="X746" s="82" t="s">
        <v>597</v>
      </c>
      <c r="Y746" s="85" t="s">
        <v>571</v>
      </c>
      <c r="Z746" s="86" t="s">
        <v>572</v>
      </c>
      <c r="AA746" s="86" t="s">
        <v>40</v>
      </c>
      <c r="AB746" s="86" t="s">
        <v>40</v>
      </c>
      <c r="AC746" s="87">
        <v>0</v>
      </c>
      <c r="AD746" s="88">
        <f t="shared" si="170"/>
        <v>0</v>
      </c>
      <c r="AF746" s="54">
        <v>201045</v>
      </c>
      <c r="AQ746" s="80"/>
      <c r="AR746" s="80"/>
    </row>
    <row r="747" spans="1:44" ht="14.4">
      <c r="A747" s="144">
        <v>201046</v>
      </c>
      <c r="B747" s="78" t="str">
        <f>VLOOKUP(A747,'TB for financial'!A:B,2,0)</f>
        <v>Accum Stock Plan-Apr-Mar</v>
      </c>
      <c r="D747" s="79">
        <f>-VLOOKUP(A747,'TB for financial'!A:F,6,0)</f>
        <v>0</v>
      </c>
      <c r="E747" s="80"/>
      <c r="F747" s="79">
        <f>-VLOOKUP(A747,'TB for financial'!A:K,11,0)</f>
        <v>0</v>
      </c>
      <c r="G747" s="80"/>
      <c r="H747" s="81">
        <f t="shared" si="166"/>
        <v>0</v>
      </c>
      <c r="I747" s="81">
        <v>0</v>
      </c>
      <c r="J747" s="81">
        <f t="shared" si="167"/>
        <v>0</v>
      </c>
      <c r="K747" s="80"/>
      <c r="L747" s="82">
        <f t="shared" si="168"/>
        <v>0</v>
      </c>
      <c r="M747" s="82">
        <v>0</v>
      </c>
      <c r="N747" s="82">
        <f t="shared" si="169"/>
        <v>0</v>
      </c>
      <c r="O747" s="83"/>
      <c r="P747"/>
      <c r="Q747"/>
      <c r="R747"/>
      <c r="S747"/>
      <c r="U747" s="84" t="s">
        <v>530</v>
      </c>
      <c r="V747" s="80"/>
      <c r="W747" s="82" t="s">
        <v>47</v>
      </c>
      <c r="X747" s="82" t="s">
        <v>597</v>
      </c>
      <c r="Y747" s="85" t="s">
        <v>571</v>
      </c>
      <c r="Z747" s="86" t="s">
        <v>572</v>
      </c>
      <c r="AA747" s="86" t="s">
        <v>40</v>
      </c>
      <c r="AB747" s="86" t="s">
        <v>40</v>
      </c>
      <c r="AC747" s="87">
        <v>0</v>
      </c>
      <c r="AD747" s="88">
        <f t="shared" si="170"/>
        <v>0</v>
      </c>
      <c r="AF747" s="54">
        <v>201046</v>
      </c>
      <c r="AQ747" s="80"/>
      <c r="AR747" s="80"/>
    </row>
    <row r="748" spans="1:44" ht="14.4">
      <c r="A748" s="144">
        <v>201047</v>
      </c>
      <c r="B748" s="78" t="str">
        <f>VLOOKUP(A748,'TB for financial'!A:B,2,0)</f>
        <v>Accumulated Stock Plan</v>
      </c>
      <c r="D748" s="79">
        <f>-VLOOKUP(A748,'TB for financial'!A:F,6,0)</f>
        <v>0</v>
      </c>
      <c r="E748" s="80"/>
      <c r="F748" s="79">
        <f>-VLOOKUP(A748,'TB for financial'!A:K,11,0)</f>
        <v>0</v>
      </c>
      <c r="G748" s="80"/>
      <c r="H748" s="81">
        <f t="shared" si="166"/>
        <v>0</v>
      </c>
      <c r="I748" s="81">
        <v>0</v>
      </c>
      <c r="J748" s="81">
        <f t="shared" si="167"/>
        <v>0</v>
      </c>
      <c r="K748" s="80"/>
      <c r="L748" s="82">
        <f t="shared" si="168"/>
        <v>0</v>
      </c>
      <c r="M748" s="82">
        <v>0</v>
      </c>
      <c r="N748" s="82">
        <f t="shared" si="169"/>
        <v>0</v>
      </c>
      <c r="O748" s="83"/>
      <c r="P748"/>
      <c r="Q748"/>
      <c r="R748"/>
      <c r="S748"/>
      <c r="U748" s="84" t="s">
        <v>530</v>
      </c>
      <c r="V748" s="80"/>
      <c r="W748" s="82" t="s">
        <v>47</v>
      </c>
      <c r="X748" s="82" t="s">
        <v>597</v>
      </c>
      <c r="Y748" s="85" t="s">
        <v>571</v>
      </c>
      <c r="Z748" s="86" t="s">
        <v>572</v>
      </c>
      <c r="AA748" s="86" t="s">
        <v>40</v>
      </c>
      <c r="AB748" s="86" t="s">
        <v>40</v>
      </c>
      <c r="AC748" s="87">
        <v>0</v>
      </c>
      <c r="AD748" s="88">
        <f t="shared" si="170"/>
        <v>0</v>
      </c>
      <c r="AF748" s="54">
        <v>201047</v>
      </c>
      <c r="AQ748" s="80"/>
      <c r="AR748" s="80"/>
    </row>
    <row r="749" spans="1:44" ht="14.4">
      <c r="A749" s="70">
        <v>200016</v>
      </c>
      <c r="B749" s="78" t="str">
        <f>VLOOKUP(A749,'TB for financial'!A:B,2,0)</f>
        <v>Expenses Payable</v>
      </c>
      <c r="D749" s="79">
        <f>-VLOOKUP(A749,'TB for financial'!A:F,6,0)</f>
        <v>0</v>
      </c>
      <c r="E749" s="80"/>
      <c r="F749" s="79">
        <f>-VLOOKUP(A749,'TB for financial'!A:K,11,0)</f>
        <v>0</v>
      </c>
      <c r="G749" s="80"/>
      <c r="H749" s="81">
        <f t="shared" si="166"/>
        <v>0</v>
      </c>
      <c r="I749" s="81">
        <v>0</v>
      </c>
      <c r="J749" s="81">
        <f t="shared" si="167"/>
        <v>0</v>
      </c>
      <c r="K749" s="80"/>
      <c r="L749" s="82">
        <f t="shared" si="168"/>
        <v>0</v>
      </c>
      <c r="M749" s="82">
        <v>0</v>
      </c>
      <c r="N749" s="82">
        <f t="shared" si="169"/>
        <v>0</v>
      </c>
      <c r="O749" s="83"/>
      <c r="P749"/>
      <c r="Q749"/>
      <c r="R749"/>
      <c r="S749"/>
      <c r="U749" s="84" t="s">
        <v>530</v>
      </c>
      <c r="V749" s="80"/>
      <c r="W749" s="82" t="s">
        <v>47</v>
      </c>
      <c r="X749" s="82" t="s">
        <v>597</v>
      </c>
      <c r="Y749" s="85" t="s">
        <v>571</v>
      </c>
      <c r="Z749" s="86" t="s">
        <v>572</v>
      </c>
      <c r="AA749" s="86" t="s">
        <v>40</v>
      </c>
      <c r="AB749" s="86" t="s">
        <v>40</v>
      </c>
      <c r="AC749" s="87">
        <v>0</v>
      </c>
      <c r="AD749" s="88">
        <f t="shared" si="170"/>
        <v>0</v>
      </c>
      <c r="AF749" s="54">
        <v>200016</v>
      </c>
      <c r="AQ749" s="80"/>
      <c r="AR749" s="80"/>
    </row>
    <row r="750" spans="1:44" ht="14.4">
      <c r="A750" s="144">
        <v>201035</v>
      </c>
      <c r="B750" s="78" t="str">
        <f>VLOOKUP(A750,'TB for financial'!A:B,2,0)</f>
        <v>Accrued - Variable Pay</v>
      </c>
      <c r="D750" s="79">
        <f>-VLOOKUP(A750,'TB for financial'!A:F,6,0)</f>
        <v>0</v>
      </c>
      <c r="E750" s="80"/>
      <c r="F750" s="79">
        <f>-VLOOKUP(A750,'TB for financial'!A:K,11,0)</f>
        <v>0</v>
      </c>
      <c r="G750" s="80"/>
      <c r="H750" s="81">
        <f t="shared" si="166"/>
        <v>0</v>
      </c>
      <c r="I750" s="81">
        <v>0</v>
      </c>
      <c r="J750" s="81">
        <f t="shared" si="167"/>
        <v>0</v>
      </c>
      <c r="K750" s="80"/>
      <c r="L750" s="82">
        <f t="shared" si="168"/>
        <v>0</v>
      </c>
      <c r="M750" s="82">
        <v>0</v>
      </c>
      <c r="N750" s="82">
        <f t="shared" si="169"/>
        <v>0</v>
      </c>
      <c r="O750" s="83"/>
      <c r="P750"/>
      <c r="Q750"/>
      <c r="R750"/>
      <c r="S750"/>
      <c r="U750" s="84" t="s">
        <v>530</v>
      </c>
      <c r="V750" s="80"/>
      <c r="W750" s="82" t="s">
        <v>47</v>
      </c>
      <c r="X750" s="82" t="s">
        <v>597</v>
      </c>
      <c r="Y750" s="85" t="s">
        <v>571</v>
      </c>
      <c r="Z750" s="86" t="s">
        <v>572</v>
      </c>
      <c r="AA750" s="86" t="s">
        <v>40</v>
      </c>
      <c r="AB750" s="86" t="s">
        <v>40</v>
      </c>
      <c r="AC750" s="87">
        <v>0</v>
      </c>
      <c r="AD750" s="88">
        <f t="shared" si="170"/>
        <v>0</v>
      </c>
      <c r="AF750" s="54">
        <v>201035</v>
      </c>
      <c r="AQ750" s="80"/>
      <c r="AR750" s="80"/>
    </row>
    <row r="751" spans="1:44" ht="14.4">
      <c r="A751" s="70">
        <v>201101</v>
      </c>
      <c r="B751" s="78" t="str">
        <f>VLOOKUP(A751,'TB for financial'!A:B,2,0)</f>
        <v>Accrued Bonus - Leadership</v>
      </c>
      <c r="D751" s="79">
        <f>-VLOOKUP(A751,'TB for financial'!A:F,6,0)</f>
        <v>0</v>
      </c>
      <c r="E751" s="80"/>
      <c r="F751" s="79">
        <f>-VLOOKUP(A751,'TB for financial'!A:K,11,0)</f>
        <v>0</v>
      </c>
      <c r="G751" s="80"/>
      <c r="H751" s="81">
        <f t="shared" si="166"/>
        <v>0</v>
      </c>
      <c r="I751" s="81">
        <v>0</v>
      </c>
      <c r="J751" s="81">
        <f t="shared" si="167"/>
        <v>0</v>
      </c>
      <c r="K751" s="80"/>
      <c r="L751" s="82">
        <f t="shared" si="168"/>
        <v>0</v>
      </c>
      <c r="M751" s="82">
        <v>0</v>
      </c>
      <c r="N751" s="82">
        <f t="shared" si="169"/>
        <v>0</v>
      </c>
      <c r="O751" s="83"/>
      <c r="P751"/>
      <c r="Q751"/>
      <c r="R751"/>
      <c r="S751"/>
      <c r="U751" s="84" t="s">
        <v>530</v>
      </c>
      <c r="V751" s="80"/>
      <c r="W751" s="82" t="s">
        <v>47</v>
      </c>
      <c r="X751" s="82" t="s">
        <v>597</v>
      </c>
      <c r="Y751" s="85" t="s">
        <v>571</v>
      </c>
      <c r="Z751" s="86" t="s">
        <v>572</v>
      </c>
      <c r="AA751" s="86" t="s">
        <v>40</v>
      </c>
      <c r="AB751" s="86" t="s">
        <v>40</v>
      </c>
      <c r="AC751" s="87">
        <v>0</v>
      </c>
      <c r="AD751" s="88">
        <f t="shared" si="170"/>
        <v>0</v>
      </c>
      <c r="AF751" s="54">
        <v>201101</v>
      </c>
      <c r="AQ751" s="80"/>
      <c r="AR751" s="80"/>
    </row>
    <row r="752" spans="1:44" ht="14.4">
      <c r="A752" s="70">
        <v>201102</v>
      </c>
      <c r="B752" s="78" t="str">
        <f>VLOOKUP(A752,'TB for financial'!A:B,2,0)</f>
        <v>Accrued Bonus - Vertical Team</v>
      </c>
      <c r="D752" s="79">
        <f>-VLOOKUP(A752,'TB for financial'!A:F,6,0)</f>
        <v>0</v>
      </c>
      <c r="E752" s="80"/>
      <c r="F752" s="79">
        <f>-VLOOKUP(A752,'TB for financial'!A:K,11,0)</f>
        <v>0</v>
      </c>
      <c r="G752" s="80"/>
      <c r="H752" s="81">
        <f t="shared" si="166"/>
        <v>0</v>
      </c>
      <c r="I752" s="81">
        <v>0</v>
      </c>
      <c r="J752" s="81">
        <f t="shared" si="167"/>
        <v>0</v>
      </c>
      <c r="K752" s="80"/>
      <c r="L752" s="82">
        <f t="shared" si="168"/>
        <v>0</v>
      </c>
      <c r="M752" s="82">
        <v>0</v>
      </c>
      <c r="N752" s="82">
        <f t="shared" si="169"/>
        <v>0</v>
      </c>
      <c r="O752" s="83"/>
      <c r="P752"/>
      <c r="Q752"/>
      <c r="R752"/>
      <c r="S752"/>
      <c r="U752" s="84" t="s">
        <v>530</v>
      </c>
      <c r="V752" s="80"/>
      <c r="W752" s="82" t="s">
        <v>47</v>
      </c>
      <c r="X752" s="82" t="s">
        <v>597</v>
      </c>
      <c r="Y752" s="85" t="s">
        <v>571</v>
      </c>
      <c r="Z752" s="86" t="s">
        <v>572</v>
      </c>
      <c r="AA752" s="86" t="s">
        <v>40</v>
      </c>
      <c r="AB752" s="86" t="s">
        <v>40</v>
      </c>
      <c r="AC752" s="87">
        <v>0</v>
      </c>
      <c r="AD752" s="88">
        <f t="shared" si="170"/>
        <v>0</v>
      </c>
      <c r="AF752" s="54">
        <v>201102</v>
      </c>
      <c r="AQ752" s="80"/>
      <c r="AR752" s="80"/>
    </row>
    <row r="753" spans="1:44" ht="14.4">
      <c r="A753" s="70">
        <v>201103</v>
      </c>
      <c r="B753" s="78" t="str">
        <f>VLOOKUP(A753,'TB for financial'!A:B,2,0)</f>
        <v>Accrued Bonus - Practice Team</v>
      </c>
      <c r="D753" s="79">
        <f>-VLOOKUP(A753,'TB for financial'!A:F,6,0)</f>
        <v>0</v>
      </c>
      <c r="E753" s="80"/>
      <c r="F753" s="79">
        <f>-VLOOKUP(A753,'TB for financial'!A:K,11,0)</f>
        <v>0</v>
      </c>
      <c r="G753" s="80"/>
      <c r="H753" s="81">
        <f t="shared" si="166"/>
        <v>0</v>
      </c>
      <c r="I753" s="81">
        <v>0</v>
      </c>
      <c r="J753" s="81">
        <f t="shared" si="167"/>
        <v>0</v>
      </c>
      <c r="K753" s="80"/>
      <c r="L753" s="82">
        <f t="shared" si="168"/>
        <v>0</v>
      </c>
      <c r="M753" s="82">
        <v>0</v>
      </c>
      <c r="N753" s="82">
        <f t="shared" si="169"/>
        <v>0</v>
      </c>
      <c r="O753" s="83"/>
      <c r="P753"/>
      <c r="Q753"/>
      <c r="R753"/>
      <c r="S753"/>
      <c r="U753" s="84" t="s">
        <v>530</v>
      </c>
      <c r="V753" s="80"/>
      <c r="W753" s="82" t="s">
        <v>47</v>
      </c>
      <c r="X753" s="82" t="s">
        <v>597</v>
      </c>
      <c r="Y753" s="85" t="s">
        <v>571</v>
      </c>
      <c r="Z753" s="86" t="s">
        <v>572</v>
      </c>
      <c r="AA753" s="86" t="s">
        <v>40</v>
      </c>
      <c r="AB753" s="86" t="s">
        <v>40</v>
      </c>
      <c r="AC753" s="87">
        <v>0</v>
      </c>
      <c r="AD753" s="88">
        <f t="shared" si="170"/>
        <v>0</v>
      </c>
      <c r="AF753" s="54">
        <v>201103</v>
      </c>
      <c r="AQ753" s="80"/>
      <c r="AR753" s="80"/>
    </row>
    <row r="754" spans="1:44" ht="14.4">
      <c r="A754" s="70">
        <v>201104</v>
      </c>
      <c r="B754" s="78" t="str">
        <f>VLOOKUP(A754,'TB for financial'!A:B,2,0)</f>
        <v>Accrued Bonus - Engagement Mgr</v>
      </c>
      <c r="D754" s="79">
        <f>-VLOOKUP(A754,'TB for financial'!A:F,6,0)</f>
        <v>0</v>
      </c>
      <c r="E754" s="80"/>
      <c r="F754" s="79">
        <f>-VLOOKUP(A754,'TB for financial'!A:K,11,0)</f>
        <v>0</v>
      </c>
      <c r="G754" s="80"/>
      <c r="H754" s="81">
        <f t="shared" si="166"/>
        <v>0</v>
      </c>
      <c r="I754" s="81">
        <v>0</v>
      </c>
      <c r="J754" s="81">
        <f t="shared" si="167"/>
        <v>0</v>
      </c>
      <c r="K754" s="80"/>
      <c r="L754" s="82">
        <f t="shared" si="168"/>
        <v>0</v>
      </c>
      <c r="M754" s="82">
        <v>0</v>
      </c>
      <c r="N754" s="82">
        <f t="shared" si="169"/>
        <v>0</v>
      </c>
      <c r="O754" s="83"/>
      <c r="P754"/>
      <c r="Q754"/>
      <c r="R754"/>
      <c r="S754"/>
      <c r="U754" s="84" t="s">
        <v>530</v>
      </c>
      <c r="V754" s="80"/>
      <c r="W754" s="82" t="s">
        <v>47</v>
      </c>
      <c r="X754" s="82" t="s">
        <v>597</v>
      </c>
      <c r="Y754" s="85" t="s">
        <v>571</v>
      </c>
      <c r="Z754" s="86" t="s">
        <v>572</v>
      </c>
      <c r="AA754" s="86" t="s">
        <v>40</v>
      </c>
      <c r="AB754" s="86" t="s">
        <v>40</v>
      </c>
      <c r="AC754" s="87">
        <v>0</v>
      </c>
      <c r="AD754" s="88">
        <f t="shared" si="170"/>
        <v>0</v>
      </c>
      <c r="AF754" s="54">
        <v>201104</v>
      </c>
      <c r="AQ754" s="80"/>
      <c r="AR754" s="80"/>
    </row>
    <row r="755" spans="1:44" ht="14.4">
      <c r="A755" s="70">
        <v>201105</v>
      </c>
      <c r="B755" s="78" t="str">
        <f>VLOOKUP(A755,'TB for financial'!A:B,2,0)</f>
        <v>Accrued Bonus - TIA for Revenu</v>
      </c>
      <c r="D755" s="79">
        <f>-VLOOKUP(A755,'TB for financial'!A:F,6,0)</f>
        <v>0</v>
      </c>
      <c r="E755" s="80"/>
      <c r="F755" s="79">
        <f>-VLOOKUP(A755,'TB for financial'!A:K,11,0)</f>
        <v>0</v>
      </c>
      <c r="G755" s="80"/>
      <c r="H755" s="81">
        <f t="shared" si="166"/>
        <v>0</v>
      </c>
      <c r="I755" s="81">
        <v>0</v>
      </c>
      <c r="J755" s="81">
        <f t="shared" si="167"/>
        <v>0</v>
      </c>
      <c r="K755" s="80"/>
      <c r="L755" s="82">
        <f t="shared" si="168"/>
        <v>0</v>
      </c>
      <c r="M755" s="82">
        <v>0</v>
      </c>
      <c r="N755" s="82">
        <f t="shared" si="169"/>
        <v>0</v>
      </c>
      <c r="O755" s="83"/>
      <c r="P755"/>
      <c r="Q755"/>
      <c r="R755"/>
      <c r="S755"/>
      <c r="U755" s="84" t="s">
        <v>530</v>
      </c>
      <c r="V755" s="80"/>
      <c r="W755" s="82" t="s">
        <v>47</v>
      </c>
      <c r="X755" s="82" t="s">
        <v>597</v>
      </c>
      <c r="Y755" s="85" t="s">
        <v>571</v>
      </c>
      <c r="Z755" s="86" t="s">
        <v>572</v>
      </c>
      <c r="AA755" s="86" t="s">
        <v>40</v>
      </c>
      <c r="AB755" s="86" t="s">
        <v>40</v>
      </c>
      <c r="AC755" s="87">
        <v>0</v>
      </c>
      <c r="AD755" s="88">
        <f t="shared" si="170"/>
        <v>0</v>
      </c>
      <c r="AF755" s="54">
        <v>201105</v>
      </c>
      <c r="AQ755" s="80"/>
      <c r="AR755" s="80"/>
    </row>
    <row r="756" spans="1:44" ht="14.4">
      <c r="A756" s="70">
        <v>201106</v>
      </c>
      <c r="B756" s="78" t="str">
        <f>VLOOKUP(A756,'TB for financial'!A:B,2,0)</f>
        <v>Accrued Bonus - TIA for TCV</v>
      </c>
      <c r="D756" s="79">
        <f>-VLOOKUP(A756,'TB for financial'!A:F,6,0)</f>
        <v>0</v>
      </c>
      <c r="E756" s="80"/>
      <c r="F756" s="79">
        <f>-VLOOKUP(A756,'TB for financial'!A:K,11,0)</f>
        <v>0</v>
      </c>
      <c r="G756" s="80"/>
      <c r="H756" s="81">
        <f t="shared" si="166"/>
        <v>0</v>
      </c>
      <c r="I756" s="81">
        <v>0</v>
      </c>
      <c r="J756" s="81">
        <f t="shared" si="167"/>
        <v>0</v>
      </c>
      <c r="K756" s="80"/>
      <c r="L756" s="82">
        <f t="shared" si="168"/>
        <v>0</v>
      </c>
      <c r="M756" s="82">
        <v>0</v>
      </c>
      <c r="N756" s="82">
        <f t="shared" si="169"/>
        <v>0</v>
      </c>
      <c r="O756" s="83"/>
      <c r="P756"/>
      <c r="Q756"/>
      <c r="R756"/>
      <c r="S756"/>
      <c r="U756" s="84" t="s">
        <v>530</v>
      </c>
      <c r="V756" s="80"/>
      <c r="W756" s="82" t="s">
        <v>47</v>
      </c>
      <c r="X756" s="82" t="s">
        <v>597</v>
      </c>
      <c r="Y756" s="85" t="s">
        <v>571</v>
      </c>
      <c r="Z756" s="86" t="s">
        <v>572</v>
      </c>
      <c r="AA756" s="86" t="s">
        <v>40</v>
      </c>
      <c r="AB756" s="86" t="s">
        <v>40</v>
      </c>
      <c r="AC756" s="87">
        <v>0</v>
      </c>
      <c r="AD756" s="88">
        <f t="shared" si="170"/>
        <v>0</v>
      </c>
      <c r="AF756" s="54">
        <v>201106</v>
      </c>
      <c r="AQ756" s="80"/>
      <c r="AR756" s="80"/>
    </row>
    <row r="757" spans="1:44" ht="14.4">
      <c r="A757" s="70">
        <v>201107</v>
      </c>
      <c r="B757" s="78" t="str">
        <f>VLOOKUP(A757,'TB for financial'!A:B,2,0)</f>
        <v>Accrued Bonus - Billable</v>
      </c>
      <c r="D757" s="79">
        <f>-VLOOKUP(A757,'TB for financial'!A:F,6,0)</f>
        <v>0</v>
      </c>
      <c r="E757" s="80"/>
      <c r="F757" s="79">
        <f>-VLOOKUP(A757,'TB for financial'!A:K,11,0)</f>
        <v>0</v>
      </c>
      <c r="G757" s="80"/>
      <c r="H757" s="81">
        <f t="shared" si="166"/>
        <v>0</v>
      </c>
      <c r="I757" s="81">
        <v>0</v>
      </c>
      <c r="J757" s="81">
        <f t="shared" si="167"/>
        <v>0</v>
      </c>
      <c r="K757" s="80"/>
      <c r="L757" s="82">
        <f t="shared" si="168"/>
        <v>0</v>
      </c>
      <c r="M757" s="82">
        <v>0</v>
      </c>
      <c r="N757" s="82">
        <f t="shared" si="169"/>
        <v>0</v>
      </c>
      <c r="O757" s="83"/>
      <c r="P757"/>
      <c r="Q757"/>
      <c r="R757"/>
      <c r="S757"/>
      <c r="U757" s="84" t="s">
        <v>530</v>
      </c>
      <c r="V757" s="80"/>
      <c r="W757" s="82" t="s">
        <v>47</v>
      </c>
      <c r="X757" s="82" t="s">
        <v>597</v>
      </c>
      <c r="Y757" s="85" t="s">
        <v>571</v>
      </c>
      <c r="Z757" s="86" t="s">
        <v>572</v>
      </c>
      <c r="AA757" s="86" t="s">
        <v>40</v>
      </c>
      <c r="AB757" s="86" t="s">
        <v>40</v>
      </c>
      <c r="AC757" s="87">
        <v>0</v>
      </c>
      <c r="AD757" s="88">
        <f t="shared" si="170"/>
        <v>0</v>
      </c>
      <c r="AF757" s="54">
        <v>201107</v>
      </c>
      <c r="AQ757" s="80"/>
      <c r="AR757" s="80"/>
    </row>
    <row r="758" spans="1:44" ht="14.4">
      <c r="A758" s="70">
        <v>201108</v>
      </c>
      <c r="B758" s="78" t="str">
        <f>VLOOKUP(A758,'TB for financial'!A:B,2,0)</f>
        <v>Accrued Bonus - Corporate</v>
      </c>
      <c r="D758" s="79">
        <f>-VLOOKUP(A758,'TB for financial'!A:F,6,0)</f>
        <v>0</v>
      </c>
      <c r="E758" s="80"/>
      <c r="F758" s="79">
        <f>-VLOOKUP(A758,'TB for financial'!A:K,11,0)</f>
        <v>0</v>
      </c>
      <c r="G758" s="80"/>
      <c r="H758" s="81">
        <f t="shared" si="166"/>
        <v>0</v>
      </c>
      <c r="I758" s="81">
        <v>0</v>
      </c>
      <c r="J758" s="81">
        <f t="shared" si="167"/>
        <v>0</v>
      </c>
      <c r="K758" s="80"/>
      <c r="L758" s="82">
        <f t="shared" si="168"/>
        <v>0</v>
      </c>
      <c r="M758" s="82">
        <v>0</v>
      </c>
      <c r="N758" s="82">
        <f t="shared" si="169"/>
        <v>0</v>
      </c>
      <c r="O758" s="83"/>
      <c r="P758"/>
      <c r="Q758"/>
      <c r="R758"/>
      <c r="S758"/>
      <c r="U758" s="84" t="s">
        <v>530</v>
      </c>
      <c r="V758" s="80"/>
      <c r="W758" s="82" t="s">
        <v>47</v>
      </c>
      <c r="X758" s="82" t="s">
        <v>597</v>
      </c>
      <c r="Y758" s="85" t="s">
        <v>571</v>
      </c>
      <c r="Z758" s="86" t="s">
        <v>572</v>
      </c>
      <c r="AA758" s="86" t="s">
        <v>40</v>
      </c>
      <c r="AB758" s="86" t="s">
        <v>40</v>
      </c>
      <c r="AC758" s="87">
        <v>0</v>
      </c>
      <c r="AD758" s="88">
        <f t="shared" si="170"/>
        <v>0</v>
      </c>
      <c r="AF758" s="54">
        <v>201108</v>
      </c>
      <c r="AQ758" s="80"/>
      <c r="AR758" s="80"/>
    </row>
    <row r="759" spans="1:44" ht="14.4">
      <c r="A759" s="70">
        <v>201109</v>
      </c>
      <c r="B759" s="78" t="str">
        <f>VLOOKUP(A759,'TB for financial'!A:B,2,0)</f>
        <v>Accrued Bonus - Others</v>
      </c>
      <c r="D759" s="79">
        <f>-VLOOKUP(A759,'TB for financial'!A:F,6,0)</f>
        <v>0</v>
      </c>
      <c r="E759" s="80"/>
      <c r="F759" s="79">
        <f>-VLOOKUP(A759,'TB for financial'!A:K,11,0)</f>
        <v>0</v>
      </c>
      <c r="G759" s="80"/>
      <c r="H759" s="81">
        <f t="shared" si="166"/>
        <v>0</v>
      </c>
      <c r="I759" s="81">
        <v>0</v>
      </c>
      <c r="J759" s="81">
        <f t="shared" si="167"/>
        <v>0</v>
      </c>
      <c r="K759" s="80"/>
      <c r="L759" s="82">
        <f t="shared" si="168"/>
        <v>0</v>
      </c>
      <c r="M759" s="82">
        <v>0</v>
      </c>
      <c r="N759" s="82">
        <f t="shared" si="169"/>
        <v>0</v>
      </c>
      <c r="O759" s="83"/>
      <c r="P759"/>
      <c r="Q759"/>
      <c r="R759"/>
      <c r="S759"/>
      <c r="U759" s="84" t="s">
        <v>530</v>
      </c>
      <c r="V759" s="80"/>
      <c r="W759" s="82" t="s">
        <v>47</v>
      </c>
      <c r="X759" s="82" t="s">
        <v>597</v>
      </c>
      <c r="Y759" s="85" t="s">
        <v>571</v>
      </c>
      <c r="Z759" s="86" t="s">
        <v>572</v>
      </c>
      <c r="AA759" s="86" t="s">
        <v>40</v>
      </c>
      <c r="AB759" s="86" t="s">
        <v>40</v>
      </c>
      <c r="AC759" s="87">
        <v>0</v>
      </c>
      <c r="AD759" s="88">
        <f t="shared" si="170"/>
        <v>0</v>
      </c>
      <c r="AF759" s="54">
        <v>201109</v>
      </c>
      <c r="AQ759" s="80"/>
      <c r="AR759" s="80"/>
    </row>
    <row r="760" spans="1:44" ht="14.4">
      <c r="A760" s="70">
        <v>201114</v>
      </c>
      <c r="B760" s="78" t="str">
        <f>VLOOKUP(A760,'TB for financial'!A:B,2,0)</f>
        <v>HCA Billable Bonus</v>
      </c>
      <c r="D760" s="79">
        <f>-VLOOKUP(A760,'TB for financial'!A:F,6,0)</f>
        <v>0</v>
      </c>
      <c r="E760" s="80"/>
      <c r="F760" s="79">
        <f>-VLOOKUP(A760,'TB for financial'!A:K,11,0)</f>
        <v>0</v>
      </c>
      <c r="G760" s="80"/>
      <c r="H760" s="81">
        <f t="shared" si="166"/>
        <v>0</v>
      </c>
      <c r="I760" s="81">
        <v>0</v>
      </c>
      <c r="J760" s="81">
        <f t="shared" si="167"/>
        <v>0</v>
      </c>
      <c r="K760" s="80"/>
      <c r="L760" s="82">
        <f t="shared" si="168"/>
        <v>0</v>
      </c>
      <c r="M760" s="82">
        <v>0</v>
      </c>
      <c r="N760" s="82">
        <f t="shared" si="169"/>
        <v>0</v>
      </c>
      <c r="O760" s="83"/>
      <c r="P760"/>
      <c r="Q760"/>
      <c r="R760"/>
      <c r="S760"/>
      <c r="U760" s="84" t="s">
        <v>530</v>
      </c>
      <c r="V760" s="80"/>
      <c r="W760" s="82" t="s">
        <v>47</v>
      </c>
      <c r="X760" s="82" t="s">
        <v>597</v>
      </c>
      <c r="Y760" s="85" t="s">
        <v>571</v>
      </c>
      <c r="Z760" s="86" t="s">
        <v>572</v>
      </c>
      <c r="AA760" s="86" t="s">
        <v>40</v>
      </c>
      <c r="AB760" s="86" t="s">
        <v>40</v>
      </c>
      <c r="AC760" s="87">
        <v>0</v>
      </c>
      <c r="AD760" s="88">
        <f t="shared" si="170"/>
        <v>0</v>
      </c>
      <c r="AF760" s="54">
        <v>201114</v>
      </c>
      <c r="AQ760" s="80"/>
      <c r="AR760" s="80"/>
    </row>
    <row r="761" spans="1:44" ht="14.4">
      <c r="A761" s="70">
        <v>201115</v>
      </c>
      <c r="B761" s="78" t="str">
        <f>VLOOKUP(A761,'TB for financial'!A:B,2,0)</f>
        <v>Prov for Increment-Comp/Bonus</v>
      </c>
      <c r="D761" s="79">
        <f>-VLOOKUP(A761,'TB for financial'!A:F,6,0)</f>
        <v>0</v>
      </c>
      <c r="E761" s="80"/>
      <c r="F761" s="79">
        <f>-VLOOKUP(A761,'TB for financial'!A:K,11,0)</f>
        <v>0</v>
      </c>
      <c r="G761" s="80"/>
      <c r="H761" s="81">
        <f t="shared" si="166"/>
        <v>0</v>
      </c>
      <c r="I761" s="81">
        <v>0</v>
      </c>
      <c r="J761" s="81">
        <f t="shared" si="167"/>
        <v>0</v>
      </c>
      <c r="K761" s="80"/>
      <c r="L761" s="82">
        <f t="shared" si="168"/>
        <v>0</v>
      </c>
      <c r="M761" s="82">
        <v>0</v>
      </c>
      <c r="N761" s="82">
        <f t="shared" si="169"/>
        <v>0</v>
      </c>
      <c r="O761" s="83"/>
      <c r="P761"/>
      <c r="Q761"/>
      <c r="R761"/>
      <c r="S761"/>
      <c r="U761" s="84" t="s">
        <v>530</v>
      </c>
      <c r="V761" s="80"/>
      <c r="W761" s="82" t="s">
        <v>47</v>
      </c>
      <c r="X761" s="82" t="s">
        <v>597</v>
      </c>
      <c r="Y761" s="85" t="s">
        <v>571</v>
      </c>
      <c r="Z761" s="86" t="s">
        <v>572</v>
      </c>
      <c r="AA761" s="86" t="s">
        <v>40</v>
      </c>
      <c r="AB761" s="86" t="s">
        <v>40</v>
      </c>
      <c r="AC761" s="87">
        <v>0</v>
      </c>
      <c r="AD761" s="88">
        <f t="shared" si="170"/>
        <v>0</v>
      </c>
      <c r="AF761" s="54">
        <v>201115</v>
      </c>
      <c r="AQ761" s="80"/>
      <c r="AR761" s="80"/>
    </row>
    <row r="762" spans="1:44" ht="14.4">
      <c r="A762" s="89">
        <v>201117</v>
      </c>
      <c r="B762" s="78" t="str">
        <f>VLOOKUP(A762,'TB for financial'!A:B,2,0)</f>
        <v>Accrued Long term incentive Plan</v>
      </c>
      <c r="D762" s="79">
        <f>-VLOOKUP(A762,'TB for financial'!A:F,6,0)</f>
        <v>0</v>
      </c>
      <c r="E762" s="80"/>
      <c r="F762" s="79">
        <f>-VLOOKUP(A762,'TB for financial'!A:K,11,0)</f>
        <v>0</v>
      </c>
      <c r="G762" s="80"/>
      <c r="H762" s="81">
        <f t="shared" si="166"/>
        <v>0</v>
      </c>
      <c r="I762" s="81">
        <v>0</v>
      </c>
      <c r="J762" s="81">
        <f t="shared" si="167"/>
        <v>0</v>
      </c>
      <c r="K762" s="80"/>
      <c r="L762" s="82">
        <f t="shared" si="168"/>
        <v>0</v>
      </c>
      <c r="M762" s="82">
        <v>0</v>
      </c>
      <c r="N762" s="82">
        <f t="shared" si="169"/>
        <v>0</v>
      </c>
      <c r="O762" s="83"/>
      <c r="P762"/>
      <c r="Q762"/>
      <c r="R762"/>
      <c r="S762"/>
      <c r="U762" s="84" t="s">
        <v>530</v>
      </c>
      <c r="V762" s="80"/>
      <c r="W762" s="82" t="s">
        <v>47</v>
      </c>
      <c r="X762" s="82" t="s">
        <v>597</v>
      </c>
      <c r="Y762" s="85" t="s">
        <v>571</v>
      </c>
      <c r="Z762" s="86" t="s">
        <v>572</v>
      </c>
      <c r="AA762" s="86" t="s">
        <v>40</v>
      </c>
      <c r="AB762" s="86" t="s">
        <v>40</v>
      </c>
      <c r="AC762" s="87">
        <v>0</v>
      </c>
      <c r="AD762" s="88">
        <f t="shared" si="170"/>
        <v>0</v>
      </c>
      <c r="AF762" s="54">
        <v>201117</v>
      </c>
      <c r="AQ762" s="80"/>
      <c r="AR762" s="80"/>
    </row>
    <row r="763" spans="1:44" ht="14.4">
      <c r="A763" s="1375">
        <v>427101</v>
      </c>
      <c r="B763" s="78" t="str">
        <f>VLOOKUP(A763,'TB for financial'!A:B,2,0)</f>
        <v>Net Salary Payable</v>
      </c>
      <c r="D763" s="122">
        <f>-VLOOKUP(A763,'TB for financial'!A:F,6,0)</f>
        <v>-15811</v>
      </c>
      <c r="E763" s="80"/>
      <c r="F763" s="79">
        <f>-VLOOKUP(A763,'TB for financial'!A:K,11,0)</f>
        <v>119574</v>
      </c>
      <c r="G763" s="80"/>
      <c r="H763" s="122">
        <f t="shared" ref="H763:H770" si="171">D763-I763</f>
        <v>-15811</v>
      </c>
      <c r="I763" s="81">
        <v>0</v>
      </c>
      <c r="J763" s="81">
        <f t="shared" ref="J763:J770" si="172">+D763-H763-I763</f>
        <v>0</v>
      </c>
      <c r="K763" s="80"/>
      <c r="L763" s="82">
        <f t="shared" ref="L763:L770" si="173">F763-M763</f>
        <v>119574</v>
      </c>
      <c r="M763" s="82">
        <v>0</v>
      </c>
      <c r="N763" s="82">
        <f t="shared" ref="N763:N770" si="174">+F763-L763-M763</f>
        <v>0</v>
      </c>
      <c r="O763" s="83"/>
      <c r="P763"/>
      <c r="Q763"/>
      <c r="R763"/>
      <c r="S763"/>
      <c r="U763" s="84" t="s">
        <v>530</v>
      </c>
      <c r="V763" s="80"/>
      <c r="W763" s="82" t="s">
        <v>47</v>
      </c>
      <c r="X763" s="82" t="s">
        <v>597</v>
      </c>
      <c r="Y763" s="85" t="s">
        <v>571</v>
      </c>
      <c r="Z763" s="86" t="s">
        <v>572</v>
      </c>
      <c r="AA763" s="86" t="s">
        <v>40</v>
      </c>
      <c r="AB763" s="86" t="s">
        <v>40</v>
      </c>
      <c r="AC763" s="87">
        <v>-15811</v>
      </c>
      <c r="AD763" s="88">
        <f t="shared" ref="AD763:AD770" si="175">+D763-AC763</f>
        <v>0</v>
      </c>
      <c r="AF763" s="54" t="s">
        <v>2536</v>
      </c>
      <c r="AQ763" s="80"/>
      <c r="AR763" s="80">
        <f>D763</f>
        <v>-15811</v>
      </c>
    </row>
    <row r="764" spans="1:44" ht="14.4">
      <c r="A764" s="1375">
        <v>427103</v>
      </c>
      <c r="B764" s="78" t="str">
        <f>VLOOKUP(A764,'TB for financial'!A:B,2,0)</f>
        <v>Provision - LTA</v>
      </c>
      <c r="D764" s="122">
        <f>-VLOOKUP(A764,'TB for financial'!A:F,6,0)</f>
        <v>139675.51</v>
      </c>
      <c r="E764" s="80"/>
      <c r="F764" s="79">
        <f>-VLOOKUP(A764,'TB for financial'!A:K,11,0)</f>
        <v>187245.51</v>
      </c>
      <c r="G764" s="80"/>
      <c r="H764" s="122">
        <f t="shared" si="171"/>
        <v>139675.51</v>
      </c>
      <c r="I764" s="81">
        <v>0</v>
      </c>
      <c r="J764" s="81">
        <f t="shared" si="172"/>
        <v>0</v>
      </c>
      <c r="K764" s="80"/>
      <c r="L764" s="82">
        <f t="shared" si="173"/>
        <v>187245.51</v>
      </c>
      <c r="M764" s="82">
        <v>0</v>
      </c>
      <c r="N764" s="82">
        <f t="shared" si="174"/>
        <v>0</v>
      </c>
      <c r="O764" s="83"/>
      <c r="P764"/>
      <c r="Q764"/>
      <c r="R764"/>
      <c r="S764"/>
      <c r="U764" s="84" t="s">
        <v>530</v>
      </c>
      <c r="V764" s="80"/>
      <c r="W764" s="82" t="s">
        <v>47</v>
      </c>
      <c r="X764" s="82" t="s">
        <v>597</v>
      </c>
      <c r="Y764" s="85" t="s">
        <v>571</v>
      </c>
      <c r="Z764" s="86" t="s">
        <v>572</v>
      </c>
      <c r="AA764" s="86" t="s">
        <v>40</v>
      </c>
      <c r="AB764" s="86" t="s">
        <v>40</v>
      </c>
      <c r="AC764" s="87">
        <v>174496</v>
      </c>
      <c r="AD764" s="88">
        <f t="shared" si="175"/>
        <v>-34820.489999999991</v>
      </c>
      <c r="AF764" s="54" t="s">
        <v>2536</v>
      </c>
      <c r="AQ764" s="80"/>
      <c r="AR764" s="80">
        <f t="shared" ref="AR764:AR770" si="176">D764</f>
        <v>139675.51</v>
      </c>
    </row>
    <row r="765" spans="1:44" ht="24">
      <c r="A765" s="1375">
        <v>428400</v>
      </c>
      <c r="B765" s="78" t="str">
        <f>VLOOKUP(A765,'TB for financial'!A:B,2,0)</f>
        <v>PROVISION - EMPLOYEE PROFIT-SHARING</v>
      </c>
      <c r="D765" s="122">
        <f>-VLOOKUP(A765,'TB for financial'!A:F,6,0)</f>
        <v>-163</v>
      </c>
      <c r="E765" s="80"/>
      <c r="F765" s="79">
        <f>-VLOOKUP(A765,'TB for financial'!A:K,11,0)</f>
        <v>-163</v>
      </c>
      <c r="G765" s="80"/>
      <c r="H765" s="122">
        <f t="shared" si="171"/>
        <v>-163</v>
      </c>
      <c r="I765" s="81">
        <v>0</v>
      </c>
      <c r="J765" s="81">
        <f t="shared" si="172"/>
        <v>0</v>
      </c>
      <c r="K765" s="80"/>
      <c r="L765" s="82">
        <f t="shared" si="173"/>
        <v>-163</v>
      </c>
      <c r="M765" s="82">
        <v>0</v>
      </c>
      <c r="N765" s="82">
        <f t="shared" si="174"/>
        <v>0</v>
      </c>
      <c r="O765" s="83"/>
      <c r="P765"/>
      <c r="Q765"/>
      <c r="R765"/>
      <c r="S765"/>
      <c r="U765" s="84" t="s">
        <v>530</v>
      </c>
      <c r="V765" s="80"/>
      <c r="W765" s="82" t="s">
        <v>47</v>
      </c>
      <c r="X765" s="82" t="s">
        <v>597</v>
      </c>
      <c r="Y765" s="85" t="s">
        <v>571</v>
      </c>
      <c r="Z765" s="86" t="s">
        <v>572</v>
      </c>
      <c r="AA765" s="86" t="s">
        <v>40</v>
      </c>
      <c r="AB765" s="86" t="s">
        <v>40</v>
      </c>
      <c r="AC765" s="87">
        <v>-163</v>
      </c>
      <c r="AD765" s="88">
        <f t="shared" si="175"/>
        <v>0</v>
      </c>
      <c r="AF765" s="54" t="s">
        <v>2536</v>
      </c>
      <c r="AQ765" s="80"/>
      <c r="AR765" s="80">
        <f t="shared" si="176"/>
        <v>-163</v>
      </c>
    </row>
    <row r="766" spans="1:44" ht="24">
      <c r="A766" s="1375">
        <v>428610</v>
      </c>
      <c r="B766" s="78" t="str">
        <f>VLOOKUP(A766,'TB for financial'!A:B,2,0)</f>
        <v>ACCRUED EXPENSES - YEAR-END BONUS</v>
      </c>
      <c r="D766" s="122">
        <f>-VLOOKUP(A766,'TB for financial'!A:F,6,0)</f>
        <v>127552.99999999994</v>
      </c>
      <c r="E766" s="80"/>
      <c r="F766" s="79">
        <f>-VLOOKUP(A766,'TB for financial'!A:K,11,0)</f>
        <v>68528.999999999942</v>
      </c>
      <c r="G766" s="80"/>
      <c r="H766" s="122">
        <f t="shared" si="171"/>
        <v>127552.99999999994</v>
      </c>
      <c r="I766" s="81">
        <v>0</v>
      </c>
      <c r="J766" s="81">
        <f t="shared" si="172"/>
        <v>0</v>
      </c>
      <c r="K766" s="80"/>
      <c r="L766" s="82">
        <f t="shared" si="173"/>
        <v>68528.999999999942</v>
      </c>
      <c r="M766" s="82">
        <v>0</v>
      </c>
      <c r="N766" s="82">
        <f t="shared" si="174"/>
        <v>0</v>
      </c>
      <c r="O766" s="83"/>
      <c r="P766"/>
      <c r="Q766"/>
      <c r="R766"/>
      <c r="S766"/>
      <c r="U766" s="84" t="s">
        <v>530</v>
      </c>
      <c r="V766" s="80"/>
      <c r="W766" s="82" t="s">
        <v>47</v>
      </c>
      <c r="X766" s="82" t="s">
        <v>597</v>
      </c>
      <c r="Y766" s="85" t="s">
        <v>571</v>
      </c>
      <c r="Z766" s="86" t="s">
        <v>572</v>
      </c>
      <c r="AA766" s="86" t="s">
        <v>40</v>
      </c>
      <c r="AB766" s="86" t="s">
        <v>40</v>
      </c>
      <c r="AC766" s="87">
        <v>30710.51</v>
      </c>
      <c r="AD766" s="88">
        <f t="shared" si="175"/>
        <v>96842.489999999947</v>
      </c>
      <c r="AF766" s="54" t="s">
        <v>2536</v>
      </c>
      <c r="AQ766" s="80"/>
      <c r="AR766" s="80">
        <f t="shared" si="176"/>
        <v>127552.99999999994</v>
      </c>
    </row>
    <row r="767" spans="1:44" ht="14.4">
      <c r="A767" s="1375">
        <v>428611</v>
      </c>
      <c r="B767" s="78" t="s">
        <v>2844</v>
      </c>
      <c r="D767" s="122">
        <f>-VLOOKUP(A767,'TB for financial'!A:F,6,0)</f>
        <v>-32160</v>
      </c>
      <c r="E767" s="80"/>
      <c r="F767" s="79">
        <f>-VLOOKUP(A767,'TB for financial'!A:K,11,0)</f>
        <v>0</v>
      </c>
      <c r="G767" s="80"/>
      <c r="H767" s="122">
        <f t="shared" si="171"/>
        <v>-32160</v>
      </c>
      <c r="I767" s="81"/>
      <c r="J767" s="81"/>
      <c r="K767" s="80"/>
      <c r="L767" s="82"/>
      <c r="M767" s="82"/>
      <c r="N767" s="82"/>
      <c r="O767" s="83"/>
      <c r="P767"/>
      <c r="Q767"/>
      <c r="R767"/>
      <c r="S767"/>
      <c r="U767" s="84"/>
      <c r="V767" s="80"/>
      <c r="W767" s="82"/>
      <c r="X767" s="82"/>
      <c r="Y767" s="85"/>
      <c r="Z767" s="86"/>
      <c r="AA767" s="86"/>
      <c r="AB767" s="86"/>
      <c r="AC767" s="87"/>
      <c r="AD767" s="88"/>
      <c r="AQ767" s="80"/>
      <c r="AR767" s="80">
        <f t="shared" si="176"/>
        <v>-32160</v>
      </c>
    </row>
    <row r="768" spans="1:44" ht="14.4">
      <c r="A768" s="1375">
        <v>437000</v>
      </c>
      <c r="B768" s="78" t="s">
        <v>2845</v>
      </c>
      <c r="D768" s="122">
        <f>-VLOOKUP(A768,'TB for financial'!A:F,6,0)</f>
        <v>119178</v>
      </c>
      <c r="E768" s="80"/>
      <c r="F768" s="79">
        <f>-VLOOKUP(A768,'TB for financial'!A:K,11,0)</f>
        <v>67156</v>
      </c>
      <c r="G768" s="80"/>
      <c r="H768" s="122">
        <f t="shared" si="171"/>
        <v>119178</v>
      </c>
      <c r="I768" s="81"/>
      <c r="J768" s="81"/>
      <c r="K768" s="80"/>
      <c r="L768" s="82">
        <f t="shared" si="173"/>
        <v>67156</v>
      </c>
      <c r="M768" s="82">
        <v>0</v>
      </c>
      <c r="N768" s="82"/>
      <c r="O768" s="83"/>
      <c r="P768"/>
      <c r="Q768"/>
      <c r="R768"/>
      <c r="S768"/>
      <c r="U768" s="84"/>
      <c r="V768" s="80"/>
      <c r="W768" s="82"/>
      <c r="X768" s="82"/>
      <c r="Y768" s="85"/>
      <c r="Z768" s="86"/>
      <c r="AA768" s="86"/>
      <c r="AB768" s="86"/>
      <c r="AC768" s="87"/>
      <c r="AD768" s="88"/>
      <c r="AQ768" s="80"/>
      <c r="AR768" s="80">
        <f t="shared" si="176"/>
        <v>119178</v>
      </c>
    </row>
    <row r="769" spans="1:44" ht="24">
      <c r="A769" s="1375">
        <v>428616</v>
      </c>
      <c r="B769" s="78" t="str">
        <f>VLOOKUP(A769,'TB for financial'!A:B,2,0)</f>
        <v>ACCRUED EXPENSES - PROV. OBJECTIVES BON</v>
      </c>
      <c r="D769" s="122">
        <f>-VLOOKUP(A769,'TB for financial'!A:F,6,0)</f>
        <v>16172.600000000006</v>
      </c>
      <c r="E769" s="80"/>
      <c r="F769" s="79">
        <f>-VLOOKUP(A769,'TB for financial'!A:K,11,0)</f>
        <v>21343.600000000006</v>
      </c>
      <c r="G769" s="80"/>
      <c r="H769" s="122">
        <f t="shared" si="171"/>
        <v>16172.600000000006</v>
      </c>
      <c r="I769" s="81">
        <v>0</v>
      </c>
      <c r="J769" s="81">
        <f t="shared" si="172"/>
        <v>0</v>
      </c>
      <c r="K769" s="80"/>
      <c r="L769" s="82">
        <f t="shared" si="173"/>
        <v>21343.600000000006</v>
      </c>
      <c r="M769" s="82">
        <v>0</v>
      </c>
      <c r="N769" s="82">
        <f t="shared" si="174"/>
        <v>0</v>
      </c>
      <c r="O769" s="83"/>
      <c r="P769"/>
      <c r="Q769"/>
      <c r="R769"/>
      <c r="S769"/>
      <c r="U769" s="84" t="s">
        <v>530</v>
      </c>
      <c r="V769" s="80"/>
      <c r="W769" s="82" t="s">
        <v>47</v>
      </c>
      <c r="X769" s="82" t="s">
        <v>597</v>
      </c>
      <c r="Y769" s="85" t="s">
        <v>571</v>
      </c>
      <c r="Z769" s="86" t="s">
        <v>572</v>
      </c>
      <c r="AA769" s="86" t="s">
        <v>40</v>
      </c>
      <c r="AB769" s="86" t="s">
        <v>40</v>
      </c>
      <c r="AC769" s="87">
        <v>1343.6</v>
      </c>
      <c r="AD769" s="88">
        <f t="shared" si="175"/>
        <v>14829.000000000005</v>
      </c>
      <c r="AF769" s="54" t="s">
        <v>2536</v>
      </c>
      <c r="AQ769" s="80"/>
      <c r="AR769" s="80">
        <f t="shared" si="176"/>
        <v>16172.600000000006</v>
      </c>
    </row>
    <row r="770" spans="1:44" ht="24">
      <c r="A770" s="1375">
        <v>4286100</v>
      </c>
      <c r="B770" s="78" t="str">
        <f>VLOOKUP(A770,'TB for financial'!A:B,2,0)</f>
        <v>ACCRUED EXPENSES - YEAR-END BONUS</v>
      </c>
      <c r="D770" s="122">
        <f>-VLOOKUP(A770,'TB for financial'!A:F,6,0)</f>
        <v>0</v>
      </c>
      <c r="E770" s="80"/>
      <c r="F770" s="79">
        <f>-VLOOKUP(A770,'TB for financial'!A:K,11,0)</f>
        <v>0</v>
      </c>
      <c r="G770" s="80"/>
      <c r="H770" s="81">
        <f t="shared" si="171"/>
        <v>0</v>
      </c>
      <c r="I770" s="81">
        <v>0</v>
      </c>
      <c r="J770" s="81">
        <f t="shared" si="172"/>
        <v>0</v>
      </c>
      <c r="K770" s="80"/>
      <c r="L770" s="82">
        <f t="shared" si="173"/>
        <v>0</v>
      </c>
      <c r="M770" s="82">
        <v>0</v>
      </c>
      <c r="N770" s="82">
        <f t="shared" si="174"/>
        <v>0</v>
      </c>
      <c r="O770" s="83"/>
      <c r="P770"/>
      <c r="Q770"/>
      <c r="R770"/>
      <c r="S770"/>
      <c r="U770" s="84"/>
      <c r="V770" s="80"/>
      <c r="W770" s="82"/>
      <c r="X770" s="82"/>
      <c r="Y770" s="85" t="s">
        <v>571</v>
      </c>
      <c r="Z770" s="86" t="s">
        <v>572</v>
      </c>
      <c r="AA770" s="86" t="s">
        <v>40</v>
      </c>
      <c r="AB770" s="86" t="s">
        <v>40</v>
      </c>
      <c r="AC770" s="87">
        <v>0</v>
      </c>
      <c r="AD770" s="88">
        <f t="shared" si="175"/>
        <v>0</v>
      </c>
      <c r="AF770" s="54" t="s">
        <v>2536</v>
      </c>
      <c r="AQ770" s="80"/>
      <c r="AR770" s="80">
        <f t="shared" si="176"/>
        <v>0</v>
      </c>
    </row>
    <row r="771" spans="1:44" ht="14.4">
      <c r="A771" s="89"/>
      <c r="B771" s="78"/>
      <c r="D771" s="79"/>
      <c r="E771" s="80"/>
      <c r="F771" s="79"/>
      <c r="G771" s="80"/>
      <c r="H771" s="81"/>
      <c r="I771" s="81"/>
      <c r="J771" s="81"/>
      <c r="K771" s="80"/>
      <c r="L771" s="82"/>
      <c r="M771" s="82"/>
      <c r="N771" s="82"/>
      <c r="O771" s="83"/>
      <c r="P771"/>
      <c r="Q771"/>
      <c r="R771"/>
      <c r="S771"/>
      <c r="U771" s="84"/>
      <c r="V771" s="80"/>
      <c r="W771" s="82"/>
      <c r="X771" s="82"/>
      <c r="Y771" s="85"/>
      <c r="Z771" s="86"/>
      <c r="AA771" s="86"/>
      <c r="AB771" s="86"/>
      <c r="AQ771" s="80"/>
      <c r="AR771" s="80"/>
    </row>
    <row r="772" spans="1:44" ht="24">
      <c r="A772" s="105"/>
      <c r="B772" s="71" t="s">
        <v>289</v>
      </c>
      <c r="D772" s="1648">
        <f>SUM(D733:D771)</f>
        <v>354445.48</v>
      </c>
      <c r="E772" s="96"/>
      <c r="F772" s="139">
        <f>SUM(F733:F771)</f>
        <v>463685.48</v>
      </c>
      <c r="G772" s="80"/>
      <c r="H772" s="1648">
        <f>SUM(H733:H771)</f>
        <v>354445.48</v>
      </c>
      <c r="I772" s="140">
        <f>SUM(I733:I771)</f>
        <v>0</v>
      </c>
      <c r="J772" s="141">
        <f>SUM(J733:J771)</f>
        <v>0</v>
      </c>
      <c r="K772" s="80"/>
      <c r="L772" s="141">
        <f>SUM(L733:L771)</f>
        <v>463685.48</v>
      </c>
      <c r="M772" s="141">
        <f>SUM(M733:M771)</f>
        <v>0</v>
      </c>
      <c r="N772" s="141">
        <f>SUM(N733:N771)</f>
        <v>0</v>
      </c>
      <c r="O772" s="100"/>
      <c r="P772"/>
      <c r="Q772"/>
      <c r="R772"/>
      <c r="S772"/>
      <c r="U772" s="142"/>
      <c r="V772" s="80"/>
      <c r="W772" s="143"/>
      <c r="X772" s="143"/>
      <c r="Y772" s="94"/>
      <c r="Z772" s="86"/>
      <c r="AA772" s="86"/>
      <c r="AB772" s="86"/>
      <c r="AQ772" s="80"/>
      <c r="AR772" s="80"/>
    </row>
    <row r="773" spans="1:44" ht="14.4">
      <c r="A773" s="144"/>
      <c r="B773" s="78"/>
      <c r="D773" s="79"/>
      <c r="E773" s="80"/>
      <c r="F773" s="79"/>
      <c r="G773" s="80"/>
      <c r="H773" s="81"/>
      <c r="I773" s="81"/>
      <c r="J773" s="81"/>
      <c r="K773" s="80"/>
      <c r="L773" s="82"/>
      <c r="M773" s="82"/>
      <c r="N773" s="82"/>
      <c r="O773" s="83"/>
      <c r="P773"/>
      <c r="Q773"/>
      <c r="R773"/>
      <c r="S773"/>
      <c r="U773" s="84"/>
      <c r="V773" s="80"/>
      <c r="W773" s="82"/>
      <c r="X773" s="82"/>
      <c r="Y773" s="85"/>
      <c r="Z773" s="86"/>
      <c r="AA773" s="86"/>
      <c r="AB773" s="86"/>
      <c r="AQ773" s="80"/>
      <c r="AR773" s="80"/>
    </row>
    <row r="774" spans="1:44" ht="14.4">
      <c r="A774" s="144">
        <v>205046</v>
      </c>
      <c r="B774" s="78" t="str">
        <f>VLOOKUP(A774,'TB for financial'!A:B,2,0)</f>
        <v>Accrued F Travel Expe</v>
      </c>
      <c r="D774" s="79">
        <f>-VLOOKUP(A774,'TB for financial'!A:F,6,0)</f>
        <v>0</v>
      </c>
      <c r="E774" s="80"/>
      <c r="F774" s="79">
        <f>-VLOOKUP(A774,'TB for financial'!A:K,11,0)</f>
        <v>0</v>
      </c>
      <c r="G774" s="80"/>
      <c r="H774" s="81">
        <f t="shared" ref="H774:H802" si="177">D774-I774</f>
        <v>0</v>
      </c>
      <c r="I774" s="81">
        <v>0</v>
      </c>
      <c r="J774" s="81">
        <f t="shared" ref="J774:J802" si="178">+D774-H774-I774</f>
        <v>0</v>
      </c>
      <c r="K774" s="80"/>
      <c r="L774" s="82">
        <f t="shared" ref="L774:L802" si="179">F774-M774</f>
        <v>0</v>
      </c>
      <c r="M774" s="82">
        <v>0</v>
      </c>
      <c r="N774" s="82">
        <f>+F774-L774-M774</f>
        <v>0</v>
      </c>
      <c r="O774" s="83"/>
      <c r="P774"/>
      <c r="Q774"/>
      <c r="R774"/>
      <c r="S774"/>
      <c r="U774" s="84" t="s">
        <v>530</v>
      </c>
      <c r="V774" s="80"/>
      <c r="W774" s="82" t="s">
        <v>47</v>
      </c>
      <c r="X774" s="82" t="s">
        <v>597</v>
      </c>
      <c r="Y774" s="85" t="s">
        <v>531</v>
      </c>
      <c r="Z774" s="86" t="s">
        <v>572</v>
      </c>
      <c r="AA774" s="86" t="s">
        <v>40</v>
      </c>
      <c r="AB774" s="86" t="s">
        <v>40</v>
      </c>
      <c r="AC774" s="87">
        <v>0</v>
      </c>
      <c r="AD774" s="88">
        <f t="shared" ref="AD774:AD802" si="180">+D774-AC774</f>
        <v>0</v>
      </c>
      <c r="AF774" s="54">
        <v>205046</v>
      </c>
      <c r="AQ774" s="80"/>
      <c r="AR774" s="80"/>
    </row>
    <row r="775" spans="1:44" ht="14.4">
      <c r="A775" s="70">
        <v>200013</v>
      </c>
      <c r="B775" s="78" t="str">
        <f>VLOOKUP(A775,'TB for financial'!A:B,2,0)</f>
        <v>Insurance claim payable</v>
      </c>
      <c r="D775" s="79">
        <f>-VLOOKUP(A775,'TB for financial'!A:F,6,0)</f>
        <v>0</v>
      </c>
      <c r="E775" s="80"/>
      <c r="F775" s="79">
        <f>-VLOOKUP(A775,'TB for financial'!A:K,11,0)</f>
        <v>0</v>
      </c>
      <c r="G775" s="80"/>
      <c r="H775" s="81">
        <f t="shared" si="177"/>
        <v>0</v>
      </c>
      <c r="I775" s="81">
        <v>0</v>
      </c>
      <c r="J775" s="81">
        <f t="shared" si="178"/>
        <v>0</v>
      </c>
      <c r="K775" s="80"/>
      <c r="L775" s="82">
        <f t="shared" si="179"/>
        <v>0</v>
      </c>
      <c r="M775" s="82">
        <v>0</v>
      </c>
      <c r="N775" s="82">
        <f t="shared" ref="N775:N799" si="181">+F775-L775-M775</f>
        <v>0</v>
      </c>
      <c r="O775" s="83"/>
      <c r="P775"/>
      <c r="Q775"/>
      <c r="R775"/>
      <c r="S775"/>
      <c r="U775" s="84" t="s">
        <v>530</v>
      </c>
      <c r="V775" s="80"/>
      <c r="W775" s="82" t="s">
        <v>47</v>
      </c>
      <c r="X775" s="82" t="s">
        <v>597</v>
      </c>
      <c r="Y775" s="85" t="s">
        <v>531</v>
      </c>
      <c r="Z775" s="86" t="s">
        <v>572</v>
      </c>
      <c r="AA775" s="86" t="s">
        <v>40</v>
      </c>
      <c r="AB775" s="86" t="s">
        <v>40</v>
      </c>
      <c r="AC775" s="87">
        <v>0</v>
      </c>
      <c r="AD775" s="88">
        <f t="shared" si="180"/>
        <v>0</v>
      </c>
      <c r="AF775" s="54">
        <v>200013</v>
      </c>
      <c r="AQ775" s="80"/>
      <c r="AR775" s="80"/>
    </row>
    <row r="776" spans="1:44" ht="14.4">
      <c r="A776" s="70">
        <v>200014</v>
      </c>
      <c r="B776" s="78" t="str">
        <f>VLOOKUP(A776,'TB for financial'!A:B,2,0)</f>
        <v>Other Payables</v>
      </c>
      <c r="D776" s="79">
        <f>-VLOOKUP(A776,'TB for financial'!A:F,6,0)</f>
        <v>0</v>
      </c>
      <c r="E776" s="80"/>
      <c r="F776" s="79">
        <f>-VLOOKUP(A776,'TB for financial'!A:K,11,0)</f>
        <v>0</v>
      </c>
      <c r="G776" s="80"/>
      <c r="H776" s="81">
        <f t="shared" si="177"/>
        <v>0</v>
      </c>
      <c r="I776" s="81">
        <v>0</v>
      </c>
      <c r="J776" s="81">
        <f t="shared" si="178"/>
        <v>0</v>
      </c>
      <c r="K776" s="80"/>
      <c r="L776" s="82">
        <f t="shared" si="179"/>
        <v>0</v>
      </c>
      <c r="M776" s="82">
        <v>0</v>
      </c>
      <c r="N776" s="82">
        <f t="shared" si="181"/>
        <v>0</v>
      </c>
      <c r="O776" s="83"/>
      <c r="P776"/>
      <c r="Q776"/>
      <c r="R776"/>
      <c r="S776"/>
      <c r="U776" s="84" t="s">
        <v>530</v>
      </c>
      <c r="V776" s="80"/>
      <c r="W776" s="82" t="s">
        <v>47</v>
      </c>
      <c r="X776" s="82" t="s">
        <v>597</v>
      </c>
      <c r="Y776" s="85" t="s">
        <v>531</v>
      </c>
      <c r="Z776" s="86" t="s">
        <v>572</v>
      </c>
      <c r="AA776" s="86" t="s">
        <v>40</v>
      </c>
      <c r="AB776" s="86" t="s">
        <v>40</v>
      </c>
      <c r="AC776" s="87">
        <v>0</v>
      </c>
      <c r="AD776" s="88">
        <f t="shared" si="180"/>
        <v>0</v>
      </c>
      <c r="AF776" s="54">
        <v>200014</v>
      </c>
      <c r="AQ776" s="80"/>
      <c r="AR776" s="80"/>
    </row>
    <row r="777" spans="1:44" ht="14.4">
      <c r="A777" s="70">
        <v>205030</v>
      </c>
      <c r="B777" s="78" t="str">
        <f>VLOOKUP(A777,'TB for financial'!A:B,2,0)</f>
        <v>Accrued Cigna Health</v>
      </c>
      <c r="D777" s="79">
        <f>-VLOOKUP(A777,'TB for financial'!A:F,6,0)</f>
        <v>0</v>
      </c>
      <c r="E777" s="80"/>
      <c r="F777" s="79">
        <f>-VLOOKUP(A777,'TB for financial'!A:K,11,0)</f>
        <v>0</v>
      </c>
      <c r="G777" s="80"/>
      <c r="H777" s="81">
        <f t="shared" si="177"/>
        <v>0</v>
      </c>
      <c r="I777" s="81">
        <v>0</v>
      </c>
      <c r="J777" s="81">
        <f t="shared" si="178"/>
        <v>0</v>
      </c>
      <c r="K777" s="80"/>
      <c r="L777" s="82">
        <f t="shared" si="179"/>
        <v>0</v>
      </c>
      <c r="M777" s="82">
        <v>0</v>
      </c>
      <c r="N777" s="82">
        <f t="shared" si="181"/>
        <v>0</v>
      </c>
      <c r="O777" s="83"/>
      <c r="P777"/>
      <c r="Q777"/>
      <c r="R777"/>
      <c r="S777"/>
      <c r="U777" s="84" t="s">
        <v>530</v>
      </c>
      <c r="V777" s="80"/>
      <c r="W777" s="82" t="s">
        <v>47</v>
      </c>
      <c r="X777" s="82" t="s">
        <v>597</v>
      </c>
      <c r="Y777" s="85" t="s">
        <v>531</v>
      </c>
      <c r="Z777" s="86" t="s">
        <v>572</v>
      </c>
      <c r="AA777" s="86" t="s">
        <v>40</v>
      </c>
      <c r="AB777" s="86" t="s">
        <v>40</v>
      </c>
      <c r="AC777" s="87">
        <v>0</v>
      </c>
      <c r="AD777" s="88">
        <f t="shared" si="180"/>
        <v>0</v>
      </c>
      <c r="AF777" s="54">
        <v>205030</v>
      </c>
      <c r="AQ777" s="80"/>
      <c r="AR777" s="80"/>
    </row>
    <row r="778" spans="1:44" ht="14.4">
      <c r="A778" s="70">
        <v>205010</v>
      </c>
      <c r="B778" s="78" t="str">
        <f>VLOOKUP(A778,'TB for financial'!A:B,2,0)</f>
        <v>Health Insurance Accrual</v>
      </c>
      <c r="D778" s="79">
        <f>-VLOOKUP(A778,'TB for financial'!A:F,6,0)</f>
        <v>0</v>
      </c>
      <c r="E778" s="80"/>
      <c r="F778" s="79">
        <f>-VLOOKUP(A778,'TB for financial'!A:K,11,0)</f>
        <v>0</v>
      </c>
      <c r="G778" s="80"/>
      <c r="H778" s="81">
        <f t="shared" si="177"/>
        <v>0</v>
      </c>
      <c r="I778" s="81">
        <v>0</v>
      </c>
      <c r="J778" s="81">
        <f t="shared" si="178"/>
        <v>0</v>
      </c>
      <c r="K778" s="80"/>
      <c r="L778" s="82">
        <f t="shared" si="179"/>
        <v>0</v>
      </c>
      <c r="M778" s="82">
        <v>0</v>
      </c>
      <c r="N778" s="82">
        <f t="shared" si="181"/>
        <v>0</v>
      </c>
      <c r="O778" s="83"/>
      <c r="P778"/>
      <c r="Q778"/>
      <c r="R778"/>
      <c r="S778"/>
      <c r="U778" s="84" t="s">
        <v>530</v>
      </c>
      <c r="V778" s="80"/>
      <c r="W778" s="82" t="s">
        <v>47</v>
      </c>
      <c r="X778" s="82" t="s">
        <v>597</v>
      </c>
      <c r="Y778" s="85" t="s">
        <v>531</v>
      </c>
      <c r="Z778" s="86" t="s">
        <v>572</v>
      </c>
      <c r="AA778" s="86" t="s">
        <v>40</v>
      </c>
      <c r="AB778" s="86" t="s">
        <v>40</v>
      </c>
      <c r="AC778" s="87">
        <v>0</v>
      </c>
      <c r="AD778" s="88">
        <f t="shared" si="180"/>
        <v>0</v>
      </c>
      <c r="AF778" s="54">
        <v>205010</v>
      </c>
      <c r="AQ778" s="80"/>
      <c r="AR778" s="80"/>
    </row>
    <row r="779" spans="1:44" ht="14.4">
      <c r="A779" s="70">
        <v>205032</v>
      </c>
      <c r="B779" s="78" t="str">
        <f>VLOOKUP(A779,'TB for financial'!A:B,2,0)</f>
        <v>Accrued Aetna Health</v>
      </c>
      <c r="D779" s="79">
        <f>-VLOOKUP(A779,'TB for financial'!A:F,6,0)</f>
        <v>0</v>
      </c>
      <c r="E779" s="80"/>
      <c r="F779" s="79">
        <f>-VLOOKUP(A779,'TB for financial'!A:K,11,0)</f>
        <v>0</v>
      </c>
      <c r="G779" s="80"/>
      <c r="H779" s="81">
        <f t="shared" si="177"/>
        <v>0</v>
      </c>
      <c r="I779" s="81">
        <v>0</v>
      </c>
      <c r="J779" s="81">
        <f t="shared" si="178"/>
        <v>0</v>
      </c>
      <c r="K779" s="80"/>
      <c r="L779" s="82">
        <f t="shared" si="179"/>
        <v>0</v>
      </c>
      <c r="M779" s="82">
        <v>0</v>
      </c>
      <c r="N779" s="82">
        <f t="shared" si="181"/>
        <v>0</v>
      </c>
      <c r="O779" s="83"/>
      <c r="P779"/>
      <c r="Q779"/>
      <c r="R779"/>
      <c r="S779"/>
      <c r="U779" s="84" t="s">
        <v>530</v>
      </c>
      <c r="V779" s="80"/>
      <c r="W779" s="82" t="s">
        <v>47</v>
      </c>
      <c r="X779" s="82" t="s">
        <v>597</v>
      </c>
      <c r="Y779" s="85" t="s">
        <v>531</v>
      </c>
      <c r="Z779" s="86" t="s">
        <v>572</v>
      </c>
      <c r="AA779" s="86" t="s">
        <v>40</v>
      </c>
      <c r="AB779" s="86" t="s">
        <v>40</v>
      </c>
      <c r="AC779" s="87">
        <v>0</v>
      </c>
      <c r="AD779" s="88">
        <f t="shared" si="180"/>
        <v>0</v>
      </c>
      <c r="AF779" s="54">
        <v>205032</v>
      </c>
      <c r="AQ779" s="80"/>
      <c r="AR779" s="80"/>
    </row>
    <row r="780" spans="1:44" ht="14.4">
      <c r="A780" s="70">
        <v>205041</v>
      </c>
      <c r="B780" s="78" t="str">
        <f>VLOOKUP(A780,'TB for financial'!A:B,2,0)</f>
        <v>Accrued Expenses-Metier</v>
      </c>
      <c r="D780" s="79">
        <f>-VLOOKUP(A780,'TB for financial'!A:F,6,0)</f>
        <v>0</v>
      </c>
      <c r="E780" s="80"/>
      <c r="F780" s="79">
        <f>-VLOOKUP(A780,'TB for financial'!A:K,11,0)</f>
        <v>0</v>
      </c>
      <c r="G780" s="80"/>
      <c r="H780" s="81">
        <f t="shared" si="177"/>
        <v>0</v>
      </c>
      <c r="I780" s="81">
        <v>0</v>
      </c>
      <c r="J780" s="81">
        <f t="shared" si="178"/>
        <v>0</v>
      </c>
      <c r="K780" s="80"/>
      <c r="L780" s="82">
        <f t="shared" si="179"/>
        <v>0</v>
      </c>
      <c r="M780" s="82">
        <v>0</v>
      </c>
      <c r="N780" s="82">
        <f t="shared" si="181"/>
        <v>0</v>
      </c>
      <c r="O780" s="83"/>
      <c r="P780"/>
      <c r="Q780"/>
      <c r="R780"/>
      <c r="S780"/>
      <c r="U780" s="84" t="s">
        <v>530</v>
      </c>
      <c r="V780" s="80"/>
      <c r="W780" s="82" t="s">
        <v>47</v>
      </c>
      <c r="X780" s="82" t="s">
        <v>597</v>
      </c>
      <c r="Y780" s="85" t="s">
        <v>531</v>
      </c>
      <c r="Z780" s="86" t="s">
        <v>572</v>
      </c>
      <c r="AA780" s="86" t="s">
        <v>40</v>
      </c>
      <c r="AB780" s="86" t="s">
        <v>40</v>
      </c>
      <c r="AC780" s="87">
        <v>0</v>
      </c>
      <c r="AD780" s="88">
        <f t="shared" si="180"/>
        <v>0</v>
      </c>
      <c r="AF780" s="54">
        <v>205041</v>
      </c>
      <c r="AQ780" s="80"/>
      <c r="AR780" s="80"/>
    </row>
    <row r="781" spans="1:44" ht="14.4">
      <c r="A781" s="70">
        <v>205042</v>
      </c>
      <c r="B781" s="78" t="str">
        <f>VLOOKUP(A781,'TB for financial'!A:B,2,0)</f>
        <v>Accrued Expenses-IMG</v>
      </c>
      <c r="D781" s="79">
        <f>-VLOOKUP(A781,'TB for financial'!A:F,6,0)</f>
        <v>0</v>
      </c>
      <c r="E781" s="80"/>
      <c r="F781" s="79">
        <f>-VLOOKUP(A781,'TB for financial'!A:K,11,0)</f>
        <v>0</v>
      </c>
      <c r="G781" s="80"/>
      <c r="H781" s="81">
        <f t="shared" si="177"/>
        <v>0</v>
      </c>
      <c r="I781" s="81">
        <v>0</v>
      </c>
      <c r="J781" s="81">
        <f t="shared" si="178"/>
        <v>0</v>
      </c>
      <c r="K781" s="80"/>
      <c r="L781" s="82">
        <f t="shared" si="179"/>
        <v>0</v>
      </c>
      <c r="M781" s="82">
        <v>0</v>
      </c>
      <c r="N781" s="82">
        <f t="shared" si="181"/>
        <v>0</v>
      </c>
      <c r="O781" s="83"/>
      <c r="P781"/>
      <c r="Q781"/>
      <c r="R781"/>
      <c r="S781"/>
      <c r="U781" s="84" t="s">
        <v>530</v>
      </c>
      <c r="V781" s="80"/>
      <c r="W781" s="82" t="s">
        <v>47</v>
      </c>
      <c r="X781" s="82" t="s">
        <v>597</v>
      </c>
      <c r="Y781" s="85" t="s">
        <v>531</v>
      </c>
      <c r="Z781" s="86" t="s">
        <v>572</v>
      </c>
      <c r="AA781" s="86" t="s">
        <v>40</v>
      </c>
      <c r="AB781" s="86" t="s">
        <v>40</v>
      </c>
      <c r="AC781" s="87">
        <v>0</v>
      </c>
      <c r="AD781" s="88">
        <f t="shared" si="180"/>
        <v>0</v>
      </c>
      <c r="AF781" s="54">
        <v>205042</v>
      </c>
      <c r="AQ781" s="80"/>
      <c r="AR781" s="80"/>
    </row>
    <row r="782" spans="1:44" ht="14.4">
      <c r="A782" s="70">
        <v>205087</v>
      </c>
      <c r="B782" s="78" t="str">
        <f>VLOOKUP(A782,'TB for financial'!A:B,2,0)</f>
        <v>Accrued Interest</v>
      </c>
      <c r="D782" s="79">
        <f>-VLOOKUP(A782,'TB for financial'!A:F,6,0)</f>
        <v>0</v>
      </c>
      <c r="E782" s="80"/>
      <c r="F782" s="79">
        <f>-VLOOKUP(A782,'TB for financial'!A:K,11,0)</f>
        <v>0</v>
      </c>
      <c r="G782" s="80"/>
      <c r="H782" s="81">
        <f t="shared" si="177"/>
        <v>0</v>
      </c>
      <c r="I782" s="81">
        <v>0</v>
      </c>
      <c r="J782" s="81">
        <f t="shared" si="178"/>
        <v>0</v>
      </c>
      <c r="K782" s="80"/>
      <c r="L782" s="82">
        <f t="shared" si="179"/>
        <v>0</v>
      </c>
      <c r="M782" s="82">
        <v>0</v>
      </c>
      <c r="N782" s="82">
        <f t="shared" si="181"/>
        <v>0</v>
      </c>
      <c r="O782" s="83"/>
      <c r="P782"/>
      <c r="Q782"/>
      <c r="R782"/>
      <c r="S782"/>
      <c r="U782" s="84" t="s">
        <v>530</v>
      </c>
      <c r="V782" s="80"/>
      <c r="W782" s="82" t="s">
        <v>47</v>
      </c>
      <c r="X782" s="82" t="s">
        <v>597</v>
      </c>
      <c r="Y782" s="85" t="s">
        <v>531</v>
      </c>
      <c r="Z782" s="86" t="s">
        <v>572</v>
      </c>
      <c r="AA782" s="86" t="s">
        <v>40</v>
      </c>
      <c r="AB782" s="86" t="s">
        <v>40</v>
      </c>
      <c r="AC782" s="87">
        <v>0</v>
      </c>
      <c r="AD782" s="88">
        <f t="shared" si="180"/>
        <v>0</v>
      </c>
      <c r="AF782" s="54">
        <v>205087</v>
      </c>
      <c r="AQ782" s="80"/>
      <c r="AR782" s="80"/>
    </row>
    <row r="783" spans="1:44" ht="14.4">
      <c r="A783" s="70">
        <v>205011</v>
      </c>
      <c r="B783" s="78" t="str">
        <f>VLOOKUP(A783,'TB for financial'!A:B,2,0)</f>
        <v>Insurance - Parental Coverage</v>
      </c>
      <c r="D783" s="79">
        <f>-VLOOKUP(A783,'TB for financial'!A:F,6,0)</f>
        <v>0</v>
      </c>
      <c r="E783" s="80"/>
      <c r="F783" s="79">
        <f>-VLOOKUP(A783,'TB for financial'!A:K,11,0)</f>
        <v>0</v>
      </c>
      <c r="G783" s="80"/>
      <c r="H783" s="81">
        <f t="shared" si="177"/>
        <v>0</v>
      </c>
      <c r="I783" s="81">
        <v>0</v>
      </c>
      <c r="J783" s="81">
        <f t="shared" si="178"/>
        <v>0</v>
      </c>
      <c r="K783" s="80"/>
      <c r="L783" s="82">
        <f t="shared" si="179"/>
        <v>0</v>
      </c>
      <c r="M783" s="82">
        <v>0</v>
      </c>
      <c r="N783" s="82">
        <f t="shared" si="181"/>
        <v>0</v>
      </c>
      <c r="O783" s="83"/>
      <c r="P783"/>
      <c r="Q783"/>
      <c r="R783"/>
      <c r="S783"/>
      <c r="U783" s="84" t="s">
        <v>530</v>
      </c>
      <c r="V783" s="80"/>
      <c r="W783" s="82" t="s">
        <v>47</v>
      </c>
      <c r="X783" s="82" t="s">
        <v>597</v>
      </c>
      <c r="Y783" s="85" t="s">
        <v>531</v>
      </c>
      <c r="Z783" s="86" t="s">
        <v>572</v>
      </c>
      <c r="AA783" s="86" t="s">
        <v>40</v>
      </c>
      <c r="AB783" s="86" t="s">
        <v>40</v>
      </c>
      <c r="AC783" s="87">
        <v>0</v>
      </c>
      <c r="AD783" s="88">
        <f t="shared" si="180"/>
        <v>0</v>
      </c>
      <c r="AF783" s="54">
        <v>205011</v>
      </c>
      <c r="AQ783" s="80"/>
      <c r="AR783" s="80"/>
    </row>
    <row r="784" spans="1:44" ht="14.4">
      <c r="A784" s="144">
        <v>205012</v>
      </c>
      <c r="B784" s="78" t="str">
        <f>VLOOKUP(A784,'TB for financial'!A:B,2,0)</f>
        <v>Insurance-Volunt Life &amp; Medi</v>
      </c>
      <c r="D784" s="79">
        <f>-VLOOKUP(A784,'TB for financial'!A:F,6,0)</f>
        <v>0</v>
      </c>
      <c r="E784" s="80"/>
      <c r="F784" s="79">
        <f>-VLOOKUP(A784,'TB for financial'!A:K,11,0)</f>
        <v>0</v>
      </c>
      <c r="G784" s="80"/>
      <c r="H784" s="81">
        <f t="shared" si="177"/>
        <v>0</v>
      </c>
      <c r="I784" s="81">
        <v>0</v>
      </c>
      <c r="J784" s="81">
        <f t="shared" si="178"/>
        <v>0</v>
      </c>
      <c r="K784" s="80"/>
      <c r="L784" s="82">
        <f t="shared" si="179"/>
        <v>0</v>
      </c>
      <c r="M784" s="82">
        <v>0</v>
      </c>
      <c r="N784" s="82">
        <f>+F784-L784-M784</f>
        <v>0</v>
      </c>
      <c r="O784" s="83"/>
      <c r="P784"/>
      <c r="Q784"/>
      <c r="R784"/>
      <c r="S784"/>
      <c r="U784" s="84" t="s">
        <v>530</v>
      </c>
      <c r="V784" s="80"/>
      <c r="W784" s="82" t="s">
        <v>47</v>
      </c>
      <c r="X784" s="82" t="s">
        <v>597</v>
      </c>
      <c r="Y784" s="85" t="s">
        <v>531</v>
      </c>
      <c r="Z784" s="86" t="s">
        <v>572</v>
      </c>
      <c r="AA784" s="86" t="s">
        <v>40</v>
      </c>
      <c r="AB784" s="86" t="s">
        <v>40</v>
      </c>
      <c r="AC784" s="87">
        <v>0</v>
      </c>
      <c r="AD784" s="88">
        <f t="shared" si="180"/>
        <v>0</v>
      </c>
      <c r="AF784" s="54">
        <v>205012</v>
      </c>
      <c r="AQ784" s="80"/>
      <c r="AR784" s="80"/>
    </row>
    <row r="785" spans="1:44" ht="14.4">
      <c r="A785" s="144">
        <v>205015</v>
      </c>
      <c r="B785" s="78" t="str">
        <f>VLOOKUP(A785,'TB for financial'!A:B,2,0)</f>
        <v>Connecticut Sales and Use Tax</v>
      </c>
      <c r="D785" s="79">
        <f>-VLOOKUP(A785,'TB for financial'!A:F,6,0)</f>
        <v>0</v>
      </c>
      <c r="E785" s="80"/>
      <c r="F785" s="79">
        <f>-VLOOKUP(A785,'TB for financial'!A:K,11,0)</f>
        <v>0</v>
      </c>
      <c r="G785" s="80"/>
      <c r="H785" s="81">
        <f t="shared" si="177"/>
        <v>0</v>
      </c>
      <c r="I785" s="81">
        <v>0</v>
      </c>
      <c r="J785" s="81">
        <f t="shared" si="178"/>
        <v>0</v>
      </c>
      <c r="K785" s="80"/>
      <c r="L785" s="82">
        <f t="shared" si="179"/>
        <v>0</v>
      </c>
      <c r="M785" s="82">
        <v>0</v>
      </c>
      <c r="N785" s="82">
        <f>+F785-L785-M785</f>
        <v>0</v>
      </c>
      <c r="O785" s="83"/>
      <c r="P785"/>
      <c r="Q785"/>
      <c r="R785"/>
      <c r="S785"/>
      <c r="U785" s="84" t="s">
        <v>530</v>
      </c>
      <c r="V785" s="80"/>
      <c r="W785" s="82" t="s">
        <v>47</v>
      </c>
      <c r="X785" s="82" t="s">
        <v>597</v>
      </c>
      <c r="Y785" s="85" t="s">
        <v>531</v>
      </c>
      <c r="Z785" s="86" t="s">
        <v>572</v>
      </c>
      <c r="AA785" s="86" t="s">
        <v>40</v>
      </c>
      <c r="AB785" s="86" t="s">
        <v>40</v>
      </c>
      <c r="AC785" s="87">
        <v>0</v>
      </c>
      <c r="AD785" s="88">
        <f t="shared" si="180"/>
        <v>0</v>
      </c>
      <c r="AF785" s="54">
        <v>205015</v>
      </c>
      <c r="AQ785" s="80"/>
      <c r="AR785" s="80"/>
    </row>
    <row r="786" spans="1:44" ht="14.4">
      <c r="A786" s="70">
        <v>205122</v>
      </c>
      <c r="B786" s="78" t="str">
        <f>VLOOKUP(A786,'TB for financial'!A:B,2,0)</f>
        <v>Earnest Money - Contractors</v>
      </c>
      <c r="D786" s="79">
        <f>-VLOOKUP(A786,'TB for financial'!A:F,6,0)</f>
        <v>0</v>
      </c>
      <c r="E786" s="80"/>
      <c r="F786" s="79">
        <f>-VLOOKUP(A786,'TB for financial'!A:K,11,0)</f>
        <v>0</v>
      </c>
      <c r="G786" s="80"/>
      <c r="H786" s="81">
        <f t="shared" si="177"/>
        <v>0</v>
      </c>
      <c r="I786" s="81">
        <v>0</v>
      </c>
      <c r="J786" s="81">
        <f t="shared" si="178"/>
        <v>0</v>
      </c>
      <c r="K786" s="80"/>
      <c r="L786" s="82">
        <f t="shared" si="179"/>
        <v>0</v>
      </c>
      <c r="M786" s="82">
        <v>0</v>
      </c>
      <c r="N786" s="82">
        <f t="shared" si="181"/>
        <v>0</v>
      </c>
      <c r="O786" s="83"/>
      <c r="P786"/>
      <c r="Q786"/>
      <c r="R786"/>
      <c r="S786"/>
      <c r="U786" s="84" t="s">
        <v>530</v>
      </c>
      <c r="V786" s="80"/>
      <c r="W786" s="82" t="s">
        <v>47</v>
      </c>
      <c r="X786" s="82" t="s">
        <v>597</v>
      </c>
      <c r="Y786" s="85" t="s">
        <v>531</v>
      </c>
      <c r="Z786" s="86" t="s">
        <v>572</v>
      </c>
      <c r="AA786" s="86" t="s">
        <v>40</v>
      </c>
      <c r="AB786" s="86" t="s">
        <v>40</v>
      </c>
      <c r="AC786" s="87">
        <v>0</v>
      </c>
      <c r="AD786" s="88">
        <f t="shared" si="180"/>
        <v>0</v>
      </c>
      <c r="AF786" s="54">
        <v>205122</v>
      </c>
      <c r="AQ786" s="80"/>
      <c r="AR786" s="80"/>
    </row>
    <row r="787" spans="1:44" ht="14.4">
      <c r="A787" s="70">
        <v>200018</v>
      </c>
      <c r="B787" s="78" t="str">
        <f>VLOOKUP(A787,'TB for financial'!A:B,2,0)</f>
        <v>ICICI Bank Control Account-Exp</v>
      </c>
      <c r="D787" s="79">
        <f>-VLOOKUP(A787,'TB for financial'!A:F,6,0)</f>
        <v>0.9</v>
      </c>
      <c r="E787" s="80"/>
      <c r="F787" s="79">
        <f>-VLOOKUP(A787,'TB for financial'!A:K,11,0)</f>
        <v>0.9</v>
      </c>
      <c r="G787" s="80"/>
      <c r="H787" s="81">
        <f t="shared" si="177"/>
        <v>0.9</v>
      </c>
      <c r="I787" s="81">
        <v>0</v>
      </c>
      <c r="J787" s="81">
        <f t="shared" si="178"/>
        <v>0</v>
      </c>
      <c r="K787" s="80"/>
      <c r="L787" s="82">
        <f t="shared" si="179"/>
        <v>0.9</v>
      </c>
      <c r="M787" s="82">
        <v>0</v>
      </c>
      <c r="N787" s="82">
        <f t="shared" si="181"/>
        <v>0</v>
      </c>
      <c r="O787" s="83"/>
      <c r="P787"/>
      <c r="Q787"/>
      <c r="R787"/>
      <c r="S787"/>
      <c r="U787" s="84" t="s">
        <v>530</v>
      </c>
      <c r="V787" s="80"/>
      <c r="W787" s="82" t="s">
        <v>47</v>
      </c>
      <c r="X787" s="82" t="s">
        <v>597</v>
      </c>
      <c r="Y787" s="85" t="s">
        <v>531</v>
      </c>
      <c r="Z787" s="86" t="s">
        <v>572</v>
      </c>
      <c r="AA787" s="86" t="s">
        <v>40</v>
      </c>
      <c r="AB787" s="86" t="s">
        <v>40</v>
      </c>
      <c r="AC787" s="87">
        <v>0</v>
      </c>
      <c r="AD787" s="88">
        <f t="shared" si="180"/>
        <v>0.9</v>
      </c>
      <c r="AF787" s="54">
        <v>200018</v>
      </c>
      <c r="AQ787" s="80"/>
      <c r="AR787" s="80"/>
    </row>
    <row r="788" spans="1:44" ht="14.4">
      <c r="A788" s="144">
        <v>205047</v>
      </c>
      <c r="B788" s="78" t="str">
        <f>VLOOKUP(A788,'TB for financial'!A:B,2,0)</f>
        <v>Accrued Marketing Fee</v>
      </c>
      <c r="D788" s="79">
        <f>-VLOOKUP(A788,'TB for financial'!A:F,6,0)</f>
        <v>0</v>
      </c>
      <c r="E788" s="80"/>
      <c r="F788" s="79">
        <f>-VLOOKUP(A788,'TB for financial'!A:K,11,0)</f>
        <v>0</v>
      </c>
      <c r="G788" s="80"/>
      <c r="H788" s="81">
        <f t="shared" si="177"/>
        <v>0</v>
      </c>
      <c r="I788" s="81">
        <v>0</v>
      </c>
      <c r="J788" s="81">
        <f t="shared" si="178"/>
        <v>0</v>
      </c>
      <c r="K788" s="80"/>
      <c r="L788" s="82">
        <f t="shared" si="179"/>
        <v>0</v>
      </c>
      <c r="M788" s="82">
        <v>0</v>
      </c>
      <c r="N788" s="82">
        <f t="shared" si="181"/>
        <v>0</v>
      </c>
      <c r="O788" s="83"/>
      <c r="P788"/>
      <c r="Q788"/>
      <c r="R788"/>
      <c r="S788"/>
      <c r="U788" s="84" t="s">
        <v>530</v>
      </c>
      <c r="V788" s="80"/>
      <c r="W788" s="82" t="s">
        <v>47</v>
      </c>
      <c r="X788" s="82" t="s">
        <v>597</v>
      </c>
      <c r="Y788" s="85" t="s">
        <v>531</v>
      </c>
      <c r="Z788" s="86" t="s">
        <v>572</v>
      </c>
      <c r="AA788" s="86" t="s">
        <v>40</v>
      </c>
      <c r="AB788" s="86" t="s">
        <v>40</v>
      </c>
      <c r="AC788" s="87">
        <v>0</v>
      </c>
      <c r="AD788" s="88">
        <f t="shared" si="180"/>
        <v>0</v>
      </c>
      <c r="AF788" s="54">
        <v>205047</v>
      </c>
      <c r="AQ788" s="80"/>
      <c r="AR788" s="80"/>
    </row>
    <row r="789" spans="1:44" ht="14.4">
      <c r="A789" s="144">
        <v>205085</v>
      </c>
      <c r="B789" s="78" t="str">
        <f>VLOOKUP(A789,'TB for financial'!A:B,2,0)</f>
        <v>Other Current Liabilities</v>
      </c>
      <c r="D789" s="79">
        <f>-VLOOKUP(A789,'TB for financial'!A:F,6,0)</f>
        <v>-9.3132257461547852E-10</v>
      </c>
      <c r="E789" s="80"/>
      <c r="F789" s="79">
        <f>-VLOOKUP(A789,'TB for financial'!A:K,11,0)</f>
        <v>-9.3132257461547852E-10</v>
      </c>
      <c r="G789" s="80"/>
      <c r="H789" s="81">
        <f t="shared" si="177"/>
        <v>-9.3132257461547852E-10</v>
      </c>
      <c r="I789" s="81">
        <v>0</v>
      </c>
      <c r="J789" s="81">
        <f t="shared" si="178"/>
        <v>0</v>
      </c>
      <c r="K789" s="80"/>
      <c r="L789" s="82">
        <f t="shared" si="179"/>
        <v>-9.3132257461547852E-10</v>
      </c>
      <c r="M789" s="82">
        <v>0</v>
      </c>
      <c r="N789" s="82">
        <f t="shared" si="181"/>
        <v>0</v>
      </c>
      <c r="O789" s="83"/>
      <c r="P789"/>
      <c r="Q789"/>
      <c r="R789"/>
      <c r="S789"/>
      <c r="U789" s="84" t="s">
        <v>530</v>
      </c>
      <c r="V789" s="80"/>
      <c r="W789" s="82" t="s">
        <v>47</v>
      </c>
      <c r="X789" s="82" t="s">
        <v>597</v>
      </c>
      <c r="Y789" s="85" t="s">
        <v>531</v>
      </c>
      <c r="Z789" s="86" t="s">
        <v>572</v>
      </c>
      <c r="AA789" s="86" t="s">
        <v>40</v>
      </c>
      <c r="AB789" s="86" t="s">
        <v>40</v>
      </c>
      <c r="AC789" s="87">
        <v>0</v>
      </c>
      <c r="AD789" s="88">
        <f t="shared" si="180"/>
        <v>-9.3132257461547852E-10</v>
      </c>
      <c r="AF789" s="54">
        <v>205085</v>
      </c>
      <c r="AQ789" s="80"/>
      <c r="AR789" s="80"/>
    </row>
    <row r="790" spans="1:44" ht="14.4">
      <c r="A790" s="70">
        <v>205020</v>
      </c>
      <c r="B790" s="78" t="str">
        <f>VLOOKUP(A790,'TB for financial'!A:B,2,0)</f>
        <v>Health Insurance Reserve</v>
      </c>
      <c r="D790" s="79">
        <f>-VLOOKUP(A790,'TB for financial'!A:F,6,0)</f>
        <v>0</v>
      </c>
      <c r="E790" s="80"/>
      <c r="F790" s="79">
        <f>-VLOOKUP(A790,'TB for financial'!A:K,11,0)</f>
        <v>0</v>
      </c>
      <c r="G790" s="80"/>
      <c r="H790" s="81">
        <f t="shared" si="177"/>
        <v>0</v>
      </c>
      <c r="I790" s="81">
        <v>0</v>
      </c>
      <c r="J790" s="81">
        <f t="shared" si="178"/>
        <v>0</v>
      </c>
      <c r="K790" s="80"/>
      <c r="L790" s="82">
        <f t="shared" si="179"/>
        <v>0</v>
      </c>
      <c r="M790" s="82">
        <v>0</v>
      </c>
      <c r="N790" s="82">
        <f t="shared" si="181"/>
        <v>0</v>
      </c>
      <c r="O790" s="83"/>
      <c r="P790"/>
      <c r="Q790"/>
      <c r="R790"/>
      <c r="S790"/>
      <c r="U790" s="84" t="s">
        <v>530</v>
      </c>
      <c r="V790" s="80"/>
      <c r="W790" s="82" t="s">
        <v>47</v>
      </c>
      <c r="X790" s="82" t="s">
        <v>597</v>
      </c>
      <c r="Y790" s="85" t="s">
        <v>531</v>
      </c>
      <c r="Z790" s="86" t="s">
        <v>572</v>
      </c>
      <c r="AA790" s="86" t="s">
        <v>40</v>
      </c>
      <c r="AB790" s="86" t="s">
        <v>40</v>
      </c>
      <c r="AC790" s="87">
        <v>0</v>
      </c>
      <c r="AD790" s="88">
        <f t="shared" si="180"/>
        <v>0</v>
      </c>
      <c r="AF790" s="54">
        <v>205020</v>
      </c>
      <c r="AQ790" s="80"/>
      <c r="AR790" s="80"/>
    </row>
    <row r="791" spans="1:44" ht="14.4">
      <c r="A791" s="70">
        <v>205080</v>
      </c>
      <c r="B791" s="78" t="str">
        <f>VLOOKUP(A791,'TB for financial'!A:B,2,0)</f>
        <v>Accumulated  Productivity reserve</v>
      </c>
      <c r="D791" s="79">
        <f>-VLOOKUP(A791,'TB for financial'!A:F,6,0)</f>
        <v>0</v>
      </c>
      <c r="E791" s="80"/>
      <c r="F791" s="79">
        <f>-VLOOKUP(A791,'TB for financial'!A:K,11,0)</f>
        <v>0</v>
      </c>
      <c r="G791" s="80"/>
      <c r="H791" s="81">
        <f t="shared" si="177"/>
        <v>0</v>
      </c>
      <c r="I791" s="81">
        <v>0</v>
      </c>
      <c r="J791" s="81">
        <f t="shared" si="178"/>
        <v>0</v>
      </c>
      <c r="K791" s="80"/>
      <c r="L791" s="82">
        <f t="shared" si="179"/>
        <v>0</v>
      </c>
      <c r="M791" s="82">
        <v>0</v>
      </c>
      <c r="N791" s="82">
        <f t="shared" si="181"/>
        <v>0</v>
      </c>
      <c r="O791" s="83"/>
      <c r="P791"/>
      <c r="Q791"/>
      <c r="R791"/>
      <c r="S791"/>
      <c r="U791" s="84" t="s">
        <v>530</v>
      </c>
      <c r="V791" s="80"/>
      <c r="W791" s="82" t="s">
        <v>47</v>
      </c>
      <c r="X791" s="82" t="s">
        <v>597</v>
      </c>
      <c r="Y791" s="85" t="s">
        <v>531</v>
      </c>
      <c r="Z791" s="86" t="s">
        <v>572</v>
      </c>
      <c r="AA791" s="86" t="s">
        <v>40</v>
      </c>
      <c r="AB791" s="86" t="s">
        <v>40</v>
      </c>
      <c r="AC791" s="87">
        <v>0</v>
      </c>
      <c r="AD791" s="88">
        <f t="shared" si="180"/>
        <v>0</v>
      </c>
      <c r="AF791" s="54">
        <v>205080</v>
      </c>
      <c r="AQ791" s="80"/>
      <c r="AR791" s="80"/>
    </row>
    <row r="792" spans="1:44" ht="14.4">
      <c r="A792" s="70">
        <v>205121</v>
      </c>
      <c r="B792" s="78" t="str">
        <f>VLOOKUP(A792,'TB for financial'!A:B,2,0)</f>
        <v>Amount held in trust Trambak</v>
      </c>
      <c r="D792" s="79">
        <f>-VLOOKUP(A792,'TB for financial'!A:F,6,0)</f>
        <v>0</v>
      </c>
      <c r="E792" s="80"/>
      <c r="F792" s="79">
        <f>-VLOOKUP(A792,'TB for financial'!A:K,11,0)</f>
        <v>0</v>
      </c>
      <c r="G792" s="80"/>
      <c r="H792" s="81">
        <f t="shared" si="177"/>
        <v>0</v>
      </c>
      <c r="I792" s="81">
        <v>0</v>
      </c>
      <c r="J792" s="81">
        <f t="shared" si="178"/>
        <v>0</v>
      </c>
      <c r="K792" s="80"/>
      <c r="L792" s="82">
        <f t="shared" si="179"/>
        <v>0</v>
      </c>
      <c r="M792" s="82">
        <v>0</v>
      </c>
      <c r="N792" s="82">
        <f t="shared" si="181"/>
        <v>0</v>
      </c>
      <c r="O792" s="83"/>
      <c r="P792"/>
      <c r="Q792"/>
      <c r="R792"/>
      <c r="S792"/>
      <c r="U792" s="84" t="s">
        <v>530</v>
      </c>
      <c r="V792" s="80"/>
      <c r="W792" s="82" t="s">
        <v>47</v>
      </c>
      <c r="X792" s="82" t="s">
        <v>597</v>
      </c>
      <c r="Y792" s="85" t="s">
        <v>531</v>
      </c>
      <c r="Z792" s="86" t="s">
        <v>572</v>
      </c>
      <c r="AA792" s="86" t="s">
        <v>40</v>
      </c>
      <c r="AB792" s="86" t="s">
        <v>40</v>
      </c>
      <c r="AC792" s="87">
        <v>0</v>
      </c>
      <c r="AD792" s="88">
        <f t="shared" si="180"/>
        <v>0</v>
      </c>
      <c r="AF792" s="54">
        <v>205121</v>
      </c>
      <c r="AQ792" s="80"/>
      <c r="AR792" s="80"/>
    </row>
    <row r="793" spans="1:44" ht="14.4">
      <c r="A793" s="70">
        <v>201005</v>
      </c>
      <c r="B793" s="78" t="str">
        <f>VLOOKUP(A793,'TB for financial'!A:B,2,0)</f>
        <v>Accrued PC Purchases</v>
      </c>
      <c r="D793" s="79">
        <f>-VLOOKUP(A793,'TB for financial'!A:F,6,0)</f>
        <v>0</v>
      </c>
      <c r="E793" s="80"/>
      <c r="F793" s="79">
        <f>-VLOOKUP(A793,'TB for financial'!A:K,11,0)</f>
        <v>0</v>
      </c>
      <c r="G793" s="80"/>
      <c r="H793" s="81">
        <f t="shared" si="177"/>
        <v>0</v>
      </c>
      <c r="I793" s="81">
        <v>0</v>
      </c>
      <c r="J793" s="81">
        <f t="shared" si="178"/>
        <v>0</v>
      </c>
      <c r="K793" s="80"/>
      <c r="L793" s="82">
        <f t="shared" si="179"/>
        <v>0</v>
      </c>
      <c r="M793" s="82">
        <v>0</v>
      </c>
      <c r="N793" s="82">
        <f t="shared" si="181"/>
        <v>0</v>
      </c>
      <c r="O793" s="83"/>
      <c r="P793"/>
      <c r="Q793"/>
      <c r="R793"/>
      <c r="S793"/>
      <c r="U793" s="84" t="s">
        <v>530</v>
      </c>
      <c r="V793" s="80"/>
      <c r="W793" s="82" t="s">
        <v>47</v>
      </c>
      <c r="X793" s="82" t="s">
        <v>597</v>
      </c>
      <c r="Y793" s="85" t="s">
        <v>531</v>
      </c>
      <c r="Z793" s="86" t="s">
        <v>572</v>
      </c>
      <c r="AA793" s="86" t="s">
        <v>40</v>
      </c>
      <c r="AB793" s="86" t="s">
        <v>40</v>
      </c>
      <c r="AC793" s="87">
        <v>0</v>
      </c>
      <c r="AD793" s="88">
        <f t="shared" si="180"/>
        <v>0</v>
      </c>
      <c r="AF793" s="54">
        <v>201005</v>
      </c>
      <c r="AQ793" s="80"/>
      <c r="AR793" s="80"/>
    </row>
    <row r="794" spans="1:44" ht="14.4">
      <c r="A794" s="70">
        <v>201030</v>
      </c>
      <c r="B794" s="78" t="str">
        <f>VLOOKUP(A794,'TB for financial'!A:B,2,0)</f>
        <v>Accr Vacation Payout</v>
      </c>
      <c r="D794" s="79">
        <f>-VLOOKUP(A794,'TB for financial'!A:F,6,0)</f>
        <v>0</v>
      </c>
      <c r="E794" s="80"/>
      <c r="F794" s="79">
        <f>-VLOOKUP(A794,'TB for financial'!A:K,11,0)</f>
        <v>0</v>
      </c>
      <c r="G794" s="80"/>
      <c r="H794" s="81">
        <f t="shared" si="177"/>
        <v>0</v>
      </c>
      <c r="I794" s="81">
        <v>0</v>
      </c>
      <c r="J794" s="81">
        <f t="shared" si="178"/>
        <v>0</v>
      </c>
      <c r="K794" s="80"/>
      <c r="L794" s="82">
        <f t="shared" si="179"/>
        <v>0</v>
      </c>
      <c r="M794" s="82">
        <v>0</v>
      </c>
      <c r="N794" s="82">
        <f t="shared" si="181"/>
        <v>0</v>
      </c>
      <c r="O794" s="83"/>
      <c r="P794"/>
      <c r="Q794"/>
      <c r="R794"/>
      <c r="S794"/>
      <c r="U794" s="84" t="s">
        <v>530</v>
      </c>
      <c r="V794" s="80"/>
      <c r="W794" s="82" t="s">
        <v>47</v>
      </c>
      <c r="X794" s="82" t="s">
        <v>597</v>
      </c>
      <c r="Y794" s="85" t="s">
        <v>531</v>
      </c>
      <c r="Z794" s="86" t="s">
        <v>572</v>
      </c>
      <c r="AA794" s="86" t="s">
        <v>40</v>
      </c>
      <c r="AB794" s="86" t="s">
        <v>40</v>
      </c>
      <c r="AC794" s="87">
        <v>0</v>
      </c>
      <c r="AD794" s="88">
        <f t="shared" si="180"/>
        <v>0</v>
      </c>
      <c r="AF794" s="54">
        <v>201030</v>
      </c>
      <c r="AQ794" s="80"/>
      <c r="AR794" s="80"/>
    </row>
    <row r="795" spans="1:44" ht="14.4">
      <c r="A795" s="70">
        <v>201040</v>
      </c>
      <c r="B795" s="78" t="str">
        <f>VLOOKUP(A795,'TB for financial'!A:B,2,0)</f>
        <v>Flexible Spending Liability</v>
      </c>
      <c r="D795" s="79">
        <f>-VLOOKUP(A795,'TB for financial'!A:F,6,0)</f>
        <v>0</v>
      </c>
      <c r="E795" s="80"/>
      <c r="F795" s="79">
        <f>-VLOOKUP(A795,'TB for financial'!A:K,11,0)</f>
        <v>0</v>
      </c>
      <c r="G795" s="80"/>
      <c r="H795" s="81">
        <f t="shared" si="177"/>
        <v>0</v>
      </c>
      <c r="I795" s="81">
        <v>0</v>
      </c>
      <c r="J795" s="81">
        <f t="shared" si="178"/>
        <v>0</v>
      </c>
      <c r="K795" s="80"/>
      <c r="L795" s="82">
        <f t="shared" si="179"/>
        <v>0</v>
      </c>
      <c r="M795" s="82">
        <v>0</v>
      </c>
      <c r="N795" s="82">
        <f t="shared" si="181"/>
        <v>0</v>
      </c>
      <c r="O795" s="83"/>
      <c r="P795"/>
      <c r="Q795"/>
      <c r="R795"/>
      <c r="S795"/>
      <c r="U795" s="84" t="s">
        <v>530</v>
      </c>
      <c r="V795" s="80"/>
      <c r="W795" s="82" t="s">
        <v>47</v>
      </c>
      <c r="X795" s="82" t="s">
        <v>597</v>
      </c>
      <c r="Y795" s="85" t="s">
        <v>531</v>
      </c>
      <c r="Z795" s="86" t="s">
        <v>572</v>
      </c>
      <c r="AA795" s="86" t="s">
        <v>40</v>
      </c>
      <c r="AB795" s="86" t="s">
        <v>40</v>
      </c>
      <c r="AC795" s="87">
        <v>0</v>
      </c>
      <c r="AD795" s="88">
        <f t="shared" si="180"/>
        <v>0</v>
      </c>
      <c r="AF795" s="54">
        <v>201040</v>
      </c>
      <c r="AQ795" s="80"/>
      <c r="AR795" s="80"/>
    </row>
    <row r="796" spans="1:44" ht="14.4">
      <c r="A796" s="70">
        <v>201065</v>
      </c>
      <c r="B796" s="78" t="str">
        <f>VLOOKUP(A796,'TB for financial'!A:B,2,0)</f>
        <v>Accrued SBT</v>
      </c>
      <c r="D796" s="79">
        <f>-VLOOKUP(A796,'TB for financial'!A:F,6,0)</f>
        <v>0</v>
      </c>
      <c r="E796" s="80"/>
      <c r="F796" s="79">
        <f>-VLOOKUP(A796,'TB for financial'!A:K,11,0)</f>
        <v>0</v>
      </c>
      <c r="G796" s="80"/>
      <c r="H796" s="81">
        <f t="shared" si="177"/>
        <v>0</v>
      </c>
      <c r="I796" s="81">
        <v>0</v>
      </c>
      <c r="J796" s="81">
        <f t="shared" si="178"/>
        <v>0</v>
      </c>
      <c r="K796" s="80"/>
      <c r="L796" s="82">
        <f t="shared" si="179"/>
        <v>0</v>
      </c>
      <c r="M796" s="82">
        <v>0</v>
      </c>
      <c r="N796" s="82">
        <f t="shared" si="181"/>
        <v>0</v>
      </c>
      <c r="O796" s="83"/>
      <c r="P796"/>
      <c r="Q796"/>
      <c r="R796"/>
      <c r="S796"/>
      <c r="U796" s="84" t="s">
        <v>530</v>
      </c>
      <c r="V796" s="80"/>
      <c r="W796" s="82" t="s">
        <v>47</v>
      </c>
      <c r="X796" s="82" t="s">
        <v>597</v>
      </c>
      <c r="Y796" s="85" t="s">
        <v>531</v>
      </c>
      <c r="Z796" s="86" t="s">
        <v>572</v>
      </c>
      <c r="AA796" s="86" t="s">
        <v>40</v>
      </c>
      <c r="AB796" s="86" t="s">
        <v>40</v>
      </c>
      <c r="AC796" s="87">
        <v>0</v>
      </c>
      <c r="AD796" s="88">
        <f t="shared" si="180"/>
        <v>0</v>
      </c>
      <c r="AF796" s="54">
        <v>201065</v>
      </c>
      <c r="AQ796" s="80"/>
      <c r="AR796" s="80"/>
    </row>
    <row r="797" spans="1:44" ht="14.4">
      <c r="A797" s="70">
        <v>201070</v>
      </c>
      <c r="B797" s="78" t="str">
        <f>VLOOKUP(A797,'TB for financial'!A:B,2,0)</f>
        <v>Accrued NM SUI</v>
      </c>
      <c r="D797" s="79">
        <f>-VLOOKUP(A797,'TB for financial'!A:F,6,0)</f>
        <v>0</v>
      </c>
      <c r="E797" s="80"/>
      <c r="F797" s="79">
        <f>-VLOOKUP(A797,'TB for financial'!A:K,11,0)</f>
        <v>0</v>
      </c>
      <c r="G797" s="80"/>
      <c r="H797" s="81">
        <f t="shared" si="177"/>
        <v>0</v>
      </c>
      <c r="I797" s="81">
        <v>0</v>
      </c>
      <c r="J797" s="81">
        <f t="shared" si="178"/>
        <v>0</v>
      </c>
      <c r="K797" s="80"/>
      <c r="L797" s="82">
        <f t="shared" si="179"/>
        <v>0</v>
      </c>
      <c r="M797" s="82">
        <v>0</v>
      </c>
      <c r="N797" s="82">
        <f t="shared" si="181"/>
        <v>0</v>
      </c>
      <c r="O797" s="83"/>
      <c r="P797"/>
      <c r="Q797"/>
      <c r="R797"/>
      <c r="S797"/>
      <c r="U797" s="84" t="s">
        <v>530</v>
      </c>
      <c r="V797" s="80"/>
      <c r="W797" s="82" t="s">
        <v>47</v>
      </c>
      <c r="X797" s="82" t="s">
        <v>597</v>
      </c>
      <c r="Y797" s="85" t="s">
        <v>531</v>
      </c>
      <c r="Z797" s="86" t="s">
        <v>572</v>
      </c>
      <c r="AA797" s="86" t="s">
        <v>40</v>
      </c>
      <c r="AB797" s="86" t="s">
        <v>40</v>
      </c>
      <c r="AC797" s="87">
        <v>0</v>
      </c>
      <c r="AD797" s="88">
        <f t="shared" si="180"/>
        <v>0</v>
      </c>
      <c r="AF797" s="54">
        <v>201070</v>
      </c>
      <c r="AQ797" s="80"/>
      <c r="AR797" s="80"/>
    </row>
    <row r="798" spans="1:44" ht="14.4">
      <c r="A798" s="70">
        <v>201225</v>
      </c>
      <c r="B798" s="78" t="str">
        <f>VLOOKUP(A798,'TB for financial'!A:B,2,0)</f>
        <v>TSUNAMI Contribution from Emp</v>
      </c>
      <c r="D798" s="79">
        <f>-VLOOKUP(A798,'TB for financial'!A:F,6,0)</f>
        <v>0</v>
      </c>
      <c r="E798" s="80"/>
      <c r="F798" s="79">
        <f>-VLOOKUP(A798,'TB for financial'!A:K,11,0)</f>
        <v>0</v>
      </c>
      <c r="G798" s="80"/>
      <c r="H798" s="81">
        <f t="shared" si="177"/>
        <v>0</v>
      </c>
      <c r="I798" s="81">
        <v>0</v>
      </c>
      <c r="J798" s="81">
        <f t="shared" si="178"/>
        <v>0</v>
      </c>
      <c r="K798" s="80"/>
      <c r="L798" s="82">
        <f t="shared" si="179"/>
        <v>0</v>
      </c>
      <c r="M798" s="82">
        <v>0</v>
      </c>
      <c r="N798" s="82">
        <f t="shared" si="181"/>
        <v>0</v>
      </c>
      <c r="O798" s="83"/>
      <c r="P798"/>
      <c r="Q798"/>
      <c r="R798"/>
      <c r="S798"/>
      <c r="U798" s="84" t="s">
        <v>530</v>
      </c>
      <c r="V798" s="80"/>
      <c r="W798" s="82" t="s">
        <v>47</v>
      </c>
      <c r="X798" s="82" t="s">
        <v>597</v>
      </c>
      <c r="Y798" s="85" t="s">
        <v>531</v>
      </c>
      <c r="Z798" s="86" t="s">
        <v>572</v>
      </c>
      <c r="AA798" s="86" t="s">
        <v>40</v>
      </c>
      <c r="AB798" s="86" t="s">
        <v>40</v>
      </c>
      <c r="AC798" s="87">
        <v>0</v>
      </c>
      <c r="AD798" s="88">
        <f t="shared" si="180"/>
        <v>0</v>
      </c>
      <c r="AF798" s="54">
        <v>201225</v>
      </c>
      <c r="AQ798" s="80"/>
      <c r="AR798" s="80"/>
    </row>
    <row r="799" spans="1:44" ht="14.4">
      <c r="A799" s="70">
        <v>201226</v>
      </c>
      <c r="B799" s="78" t="str">
        <f>VLOOKUP(A799,'TB for financial'!A:B,2,0)</f>
        <v>Accident Victim Fund</v>
      </c>
      <c r="D799" s="79">
        <f>-VLOOKUP(A799,'TB for financial'!A:F,6,0)</f>
        <v>0</v>
      </c>
      <c r="E799" s="80"/>
      <c r="F799" s="79">
        <f>-VLOOKUP(A799,'TB for financial'!A:K,11,0)</f>
        <v>0</v>
      </c>
      <c r="G799" s="80"/>
      <c r="H799" s="81">
        <f t="shared" si="177"/>
        <v>0</v>
      </c>
      <c r="I799" s="81">
        <v>0</v>
      </c>
      <c r="J799" s="81">
        <f t="shared" si="178"/>
        <v>0</v>
      </c>
      <c r="K799" s="80"/>
      <c r="L799" s="82">
        <f t="shared" si="179"/>
        <v>0</v>
      </c>
      <c r="M799" s="82">
        <v>0</v>
      </c>
      <c r="N799" s="82">
        <f t="shared" si="181"/>
        <v>0</v>
      </c>
      <c r="O799" s="83"/>
      <c r="P799"/>
      <c r="Q799"/>
      <c r="R799"/>
      <c r="S799"/>
      <c r="U799" s="84" t="s">
        <v>530</v>
      </c>
      <c r="V799" s="80"/>
      <c r="W799" s="82" t="s">
        <v>47</v>
      </c>
      <c r="X799" s="82" t="s">
        <v>597</v>
      </c>
      <c r="Y799" s="85" t="s">
        <v>531</v>
      </c>
      <c r="Z799" s="86" t="s">
        <v>572</v>
      </c>
      <c r="AA799" s="86" t="s">
        <v>40</v>
      </c>
      <c r="AB799" s="86" t="s">
        <v>40</v>
      </c>
      <c r="AC799" s="87">
        <v>0</v>
      </c>
      <c r="AD799" s="88">
        <f t="shared" si="180"/>
        <v>0</v>
      </c>
      <c r="AF799" s="54">
        <v>201226</v>
      </c>
      <c r="AQ799" s="80"/>
      <c r="AR799" s="80"/>
    </row>
    <row r="800" spans="1:44" ht="14.4">
      <c r="A800" s="70">
        <v>201230</v>
      </c>
      <c r="B800" s="78" t="str">
        <f>VLOOKUP(A800,'TB for financial'!A:B,2,0)</f>
        <v>Employee welfare trust</v>
      </c>
      <c r="D800" s="79">
        <f>-VLOOKUP(A800,'TB for financial'!A:F,6,0)</f>
        <v>0</v>
      </c>
      <c r="E800" s="80"/>
      <c r="F800" s="79">
        <f>-VLOOKUP(A800,'TB for financial'!A:K,11,0)</f>
        <v>0</v>
      </c>
      <c r="G800" s="80"/>
      <c r="H800" s="81">
        <f t="shared" si="177"/>
        <v>0</v>
      </c>
      <c r="I800" s="81">
        <v>0</v>
      </c>
      <c r="J800" s="81">
        <f t="shared" si="178"/>
        <v>0</v>
      </c>
      <c r="K800" s="80"/>
      <c r="L800" s="82">
        <f t="shared" si="179"/>
        <v>0</v>
      </c>
      <c r="M800" s="82">
        <v>0</v>
      </c>
      <c r="N800" s="82">
        <f t="shared" ref="N800:N805" si="182">+F800-L800-M800</f>
        <v>0</v>
      </c>
      <c r="O800" s="83"/>
      <c r="P800"/>
      <c r="Q800"/>
      <c r="R800"/>
      <c r="S800"/>
      <c r="U800" s="84" t="s">
        <v>530</v>
      </c>
      <c r="V800" s="80"/>
      <c r="W800" s="82" t="s">
        <v>47</v>
      </c>
      <c r="X800" s="82" t="s">
        <v>597</v>
      </c>
      <c r="Y800" s="85" t="s">
        <v>531</v>
      </c>
      <c r="Z800" s="86" t="s">
        <v>572</v>
      </c>
      <c r="AA800" s="86" t="s">
        <v>40</v>
      </c>
      <c r="AB800" s="86" t="s">
        <v>40</v>
      </c>
      <c r="AC800" s="87">
        <v>0</v>
      </c>
      <c r="AD800" s="88">
        <f t="shared" si="180"/>
        <v>0</v>
      </c>
      <c r="AF800" s="54">
        <v>201230</v>
      </c>
      <c r="AQ800" s="80"/>
      <c r="AR800" s="80"/>
    </row>
    <row r="801" spans="1:44" ht="14.4">
      <c r="A801" s="144">
        <v>205130</v>
      </c>
      <c r="B801" s="78" t="str">
        <f>VLOOKUP(A801,'TB for financial'!A:B,2,0)</f>
        <v>Derivative Liabilities</v>
      </c>
      <c r="D801" s="79">
        <f>-VLOOKUP(A801,'TB for financial'!A:F,6,0)</f>
        <v>0</v>
      </c>
      <c r="E801" s="80"/>
      <c r="F801" s="79">
        <f>-VLOOKUP(A801,'TB for financial'!A:K,11,0)</f>
        <v>0</v>
      </c>
      <c r="G801" s="80"/>
      <c r="H801" s="81">
        <f t="shared" si="177"/>
        <v>0</v>
      </c>
      <c r="I801" s="81">
        <v>0</v>
      </c>
      <c r="J801" s="81">
        <f t="shared" si="178"/>
        <v>0</v>
      </c>
      <c r="K801" s="80"/>
      <c r="L801" s="82">
        <f t="shared" si="179"/>
        <v>0</v>
      </c>
      <c r="M801" s="82">
        <v>0</v>
      </c>
      <c r="N801" s="82">
        <f t="shared" si="182"/>
        <v>0</v>
      </c>
      <c r="O801" s="83"/>
      <c r="P801"/>
      <c r="Q801"/>
      <c r="R801"/>
      <c r="S801"/>
      <c r="U801" s="84" t="s">
        <v>530</v>
      </c>
      <c r="V801" s="80"/>
      <c r="W801" s="82" t="s">
        <v>47</v>
      </c>
      <c r="X801" s="82" t="s">
        <v>597</v>
      </c>
      <c r="Y801" s="85" t="s">
        <v>609</v>
      </c>
      <c r="Z801" s="86" t="s">
        <v>572</v>
      </c>
      <c r="AA801" s="86" t="s">
        <v>40</v>
      </c>
      <c r="AB801" s="86" t="s">
        <v>40</v>
      </c>
      <c r="AC801" s="87">
        <v>0</v>
      </c>
      <c r="AD801" s="88">
        <f t="shared" si="180"/>
        <v>0</v>
      </c>
      <c r="AF801" s="54">
        <v>205130</v>
      </c>
      <c r="AQ801" s="80"/>
      <c r="AR801" s="80"/>
    </row>
    <row r="802" spans="1:44" ht="14.4">
      <c r="A802" s="70">
        <v>205090</v>
      </c>
      <c r="B802" s="78" t="str">
        <f>VLOOKUP(A802,'TB for financial'!A:B,2,0)</f>
        <v>Capital Leases-IMG</v>
      </c>
      <c r="D802" s="79">
        <f>-VLOOKUP(A802,'TB for financial'!A:F,6,0)</f>
        <v>0</v>
      </c>
      <c r="E802" s="80"/>
      <c r="F802" s="79">
        <f>-VLOOKUP(A802,'TB for financial'!A:K,11,0)</f>
        <v>0</v>
      </c>
      <c r="G802" s="80"/>
      <c r="H802" s="81">
        <f t="shared" si="177"/>
        <v>0</v>
      </c>
      <c r="I802" s="81">
        <v>0</v>
      </c>
      <c r="J802" s="81">
        <f t="shared" si="178"/>
        <v>0</v>
      </c>
      <c r="K802" s="80"/>
      <c r="L802" s="82">
        <f t="shared" si="179"/>
        <v>0</v>
      </c>
      <c r="M802" s="82">
        <v>0</v>
      </c>
      <c r="N802" s="82">
        <f t="shared" si="182"/>
        <v>0</v>
      </c>
      <c r="O802" s="83"/>
      <c r="P802"/>
      <c r="Q802"/>
      <c r="R802"/>
      <c r="S802"/>
      <c r="T802" s="88"/>
      <c r="U802" s="84" t="s">
        <v>535</v>
      </c>
      <c r="V802" s="80"/>
      <c r="W802" s="82" t="s">
        <v>47</v>
      </c>
      <c r="X802" s="82" t="s">
        <v>610</v>
      </c>
      <c r="Y802" s="85" t="s">
        <v>531</v>
      </c>
      <c r="Z802" s="86" t="s">
        <v>572</v>
      </c>
      <c r="AA802" s="86" t="s">
        <v>40</v>
      </c>
      <c r="AB802" s="86" t="s">
        <v>40</v>
      </c>
      <c r="AC802" s="87">
        <v>0</v>
      </c>
      <c r="AD802" s="88">
        <f t="shared" si="180"/>
        <v>0</v>
      </c>
      <c r="AF802" s="54">
        <v>205090</v>
      </c>
      <c r="AQ802" s="80"/>
      <c r="AR802" s="80"/>
    </row>
    <row r="803" spans="1:44" ht="14.4">
      <c r="A803" s="70">
        <v>201225</v>
      </c>
      <c r="B803" s="78" t="str">
        <f>VLOOKUP(A803,'TB for financial'!A:B,2,0)</f>
        <v>TSUNAMI Contribution from Emp</v>
      </c>
      <c r="D803" s="79">
        <f>-VLOOKUP(A803,'TB for financial'!A:F,6,0)</f>
        <v>0</v>
      </c>
      <c r="E803" s="80"/>
      <c r="F803" s="79">
        <f>-VLOOKUP(A803,'TB for financial'!A:K,11,0)</f>
        <v>0</v>
      </c>
      <c r="G803" s="80"/>
      <c r="H803" s="81">
        <f>D803-I803</f>
        <v>0</v>
      </c>
      <c r="I803" s="81">
        <v>0</v>
      </c>
      <c r="J803" s="81">
        <f>+D803-H803-I803</f>
        <v>0</v>
      </c>
      <c r="K803" s="80"/>
      <c r="L803" s="82">
        <f>F803-M803</f>
        <v>0</v>
      </c>
      <c r="M803" s="82">
        <v>0</v>
      </c>
      <c r="N803" s="82">
        <f t="shared" si="182"/>
        <v>0</v>
      </c>
      <c r="O803" s="83"/>
      <c r="P803"/>
      <c r="Q803"/>
      <c r="R803"/>
      <c r="S803"/>
      <c r="T803" s="88"/>
      <c r="U803" s="84" t="s">
        <v>535</v>
      </c>
      <c r="V803" s="80"/>
      <c r="W803" s="82" t="s">
        <v>47</v>
      </c>
      <c r="X803" s="82" t="s">
        <v>610</v>
      </c>
      <c r="Y803" s="85" t="s">
        <v>531</v>
      </c>
      <c r="Z803" s="86" t="s">
        <v>572</v>
      </c>
      <c r="AA803" s="86" t="s">
        <v>40</v>
      </c>
      <c r="AB803" s="86" t="s">
        <v>40</v>
      </c>
      <c r="AC803" s="87">
        <v>0</v>
      </c>
      <c r="AD803" s="88">
        <f>+D803-AC803</f>
        <v>0</v>
      </c>
      <c r="AF803" s="54">
        <v>201225</v>
      </c>
      <c r="AQ803" s="80"/>
      <c r="AR803" s="80"/>
    </row>
    <row r="804" spans="1:44" ht="14.4">
      <c r="A804" s="1373">
        <v>437200</v>
      </c>
      <c r="B804" s="78" t="str">
        <f>VLOOKUP(A804,'TB for financial'!A:B,2,0)</f>
        <v>WELFARE INSTITUTIONS</v>
      </c>
      <c r="D804" s="122">
        <f>-VLOOKUP(A804,'TB for financial'!A:F,6,0)</f>
        <v>200</v>
      </c>
      <c r="E804" s="80"/>
      <c r="F804" s="79">
        <f>-VLOOKUP(A804,'TB for financial'!A:K,11,0)</f>
        <v>300</v>
      </c>
      <c r="G804" s="80"/>
      <c r="H804" s="122">
        <f>D804-I804</f>
        <v>200</v>
      </c>
      <c r="I804" s="81">
        <v>0</v>
      </c>
      <c r="J804" s="81">
        <f>+D804-H804-I804</f>
        <v>0</v>
      </c>
      <c r="K804" s="80"/>
      <c r="L804" s="82">
        <f>F804-M804</f>
        <v>300</v>
      </c>
      <c r="M804" s="82">
        <v>0</v>
      </c>
      <c r="N804" s="82">
        <f t="shared" si="182"/>
        <v>0</v>
      </c>
      <c r="O804" s="83"/>
      <c r="P804"/>
      <c r="Q804"/>
      <c r="R804"/>
      <c r="S804"/>
      <c r="T804" s="88"/>
      <c r="U804" s="84" t="s">
        <v>535</v>
      </c>
      <c r="V804" s="80"/>
      <c r="W804" s="82" t="s">
        <v>47</v>
      </c>
      <c r="X804" s="82" t="s">
        <v>610</v>
      </c>
      <c r="Y804" s="85" t="s">
        <v>531</v>
      </c>
      <c r="Z804" s="86" t="s">
        <v>572</v>
      </c>
      <c r="AA804" s="86" t="s">
        <v>40</v>
      </c>
      <c r="AB804" s="86" t="s">
        <v>40</v>
      </c>
      <c r="AC804" s="87">
        <v>250</v>
      </c>
      <c r="AD804" s="88">
        <f>+D804-AC804</f>
        <v>-50</v>
      </c>
      <c r="AF804" s="54" t="s">
        <v>2536</v>
      </c>
      <c r="AQ804" s="80"/>
      <c r="AR804" s="80">
        <f>D804</f>
        <v>200</v>
      </c>
    </row>
    <row r="805" spans="1:44" ht="14.4">
      <c r="A805" s="1373">
        <v>467100</v>
      </c>
      <c r="B805" s="78" t="str">
        <f>VLOOKUP(A805,'TB for financial'!A:B,2,0)</f>
        <v>OTHER ACCOUNTS IN CREDIT</v>
      </c>
      <c r="D805" s="122">
        <f>-VLOOKUP(A805,'TB for financial'!A:F,6,0)</f>
        <v>0</v>
      </c>
      <c r="E805" s="80"/>
      <c r="F805" s="79">
        <f>-VLOOKUP(A805,'TB for financial'!A:K,11,0)</f>
        <v>0</v>
      </c>
      <c r="G805" s="80"/>
      <c r="H805" s="122">
        <f>D805-I805</f>
        <v>0</v>
      </c>
      <c r="I805" s="81">
        <v>0</v>
      </c>
      <c r="J805" s="81">
        <f>+D805-H805-I805</f>
        <v>0</v>
      </c>
      <c r="K805" s="80"/>
      <c r="L805" s="82">
        <f>F805-M805</f>
        <v>0</v>
      </c>
      <c r="M805" s="82">
        <v>0</v>
      </c>
      <c r="N805" s="82">
        <f t="shared" si="182"/>
        <v>0</v>
      </c>
      <c r="O805" s="83"/>
      <c r="P805"/>
      <c r="Q805"/>
      <c r="R805"/>
      <c r="S805"/>
      <c r="T805" s="88"/>
      <c r="U805" s="84" t="s">
        <v>535</v>
      </c>
      <c r="V805" s="80"/>
      <c r="W805" s="82" t="s">
        <v>47</v>
      </c>
      <c r="X805" s="82" t="s">
        <v>610</v>
      </c>
      <c r="Y805" s="85" t="s">
        <v>531</v>
      </c>
      <c r="Z805" s="86" t="s">
        <v>572</v>
      </c>
      <c r="AA805" s="86" t="s">
        <v>40</v>
      </c>
      <c r="AB805" s="86" t="s">
        <v>40</v>
      </c>
      <c r="AC805" s="87">
        <v>0</v>
      </c>
      <c r="AD805" s="88">
        <f>+D805-AC805</f>
        <v>0</v>
      </c>
      <c r="AF805" s="54" t="s">
        <v>2536</v>
      </c>
      <c r="AQ805" s="80"/>
      <c r="AR805" s="80">
        <f>D805</f>
        <v>0</v>
      </c>
    </row>
    <row r="806" spans="1:44" ht="14.4">
      <c r="A806" s="1373">
        <v>4372000</v>
      </c>
      <c r="B806" s="78" t="str">
        <f>VLOOKUP(A806,'TB for financial'!A:B,2,0)</f>
        <v>WELFARE INSTITUTIONS</v>
      </c>
      <c r="D806" s="122">
        <f>-VLOOKUP(A806,'TB for financial'!A:F,6,0)</f>
        <v>0</v>
      </c>
      <c r="E806" s="80"/>
      <c r="F806" s="79">
        <f>-VLOOKUP(A806,'TB for financial'!A:K,11,0)</f>
        <v>0</v>
      </c>
      <c r="G806" s="80"/>
      <c r="H806" s="81">
        <f>D806-I806</f>
        <v>0</v>
      </c>
      <c r="I806" s="81">
        <v>0</v>
      </c>
      <c r="J806" s="81">
        <f>+D806-H806-I806</f>
        <v>0</v>
      </c>
      <c r="K806" s="80"/>
      <c r="L806" s="82">
        <f>F806-M806</f>
        <v>0</v>
      </c>
      <c r="M806" s="82">
        <v>0</v>
      </c>
      <c r="N806" s="82">
        <f>+F806-L806-M806</f>
        <v>0</v>
      </c>
      <c r="O806" s="83"/>
      <c r="P806"/>
      <c r="Q806"/>
      <c r="R806"/>
      <c r="S806"/>
      <c r="T806" s="88"/>
      <c r="U806" s="84"/>
      <c r="V806" s="80"/>
      <c r="W806" s="82"/>
      <c r="X806" s="82"/>
      <c r="Y806" s="85" t="s">
        <v>531</v>
      </c>
      <c r="Z806" s="86" t="s">
        <v>572</v>
      </c>
      <c r="AA806" s="86" t="s">
        <v>40</v>
      </c>
      <c r="AB806" s="86" t="s">
        <v>40</v>
      </c>
      <c r="AC806" s="87">
        <v>0</v>
      </c>
      <c r="AD806" s="88">
        <f>+D806-AC806</f>
        <v>0</v>
      </c>
      <c r="AF806" s="54" t="s">
        <v>2536</v>
      </c>
      <c r="AQ806" s="80"/>
      <c r="AR806" s="80">
        <f>D806</f>
        <v>0</v>
      </c>
    </row>
    <row r="807" spans="1:44" ht="5.0999999999999996" customHeight="1">
      <c r="A807" s="70"/>
      <c r="B807" s="78"/>
      <c r="D807" s="79"/>
      <c r="E807" s="80"/>
      <c r="F807" s="79"/>
      <c r="G807" s="80"/>
      <c r="H807" s="81"/>
      <c r="I807" s="81"/>
      <c r="J807" s="81"/>
      <c r="K807" s="80"/>
      <c r="L807" s="82"/>
      <c r="M807" s="82"/>
      <c r="N807" s="82"/>
      <c r="O807" s="83"/>
      <c r="P807"/>
      <c r="Q807"/>
      <c r="R807"/>
      <c r="S807"/>
      <c r="U807" s="84"/>
      <c r="V807" s="80"/>
      <c r="W807" s="82"/>
      <c r="X807" s="82"/>
      <c r="Y807" s="94"/>
      <c r="Z807" s="86"/>
      <c r="AA807" s="86"/>
      <c r="AB807" s="86"/>
      <c r="AQ807" s="80"/>
      <c r="AR807" s="80"/>
    </row>
    <row r="808" spans="1:44" ht="14.4">
      <c r="A808" s="105"/>
      <c r="B808" s="71" t="s">
        <v>611</v>
      </c>
      <c r="D808" s="1648">
        <f>SUM(D774:D807)</f>
        <v>200.89999999906868</v>
      </c>
      <c r="E808" s="96"/>
      <c r="F808" s="139">
        <f>SUM(F774:F807)</f>
        <v>300.89999999906865</v>
      </c>
      <c r="G808" s="80"/>
      <c r="H808" s="1648">
        <f>SUM(H774:H807)</f>
        <v>200.89999999906868</v>
      </c>
      <c r="I808" s="140">
        <f>SUM(I774:I807)</f>
        <v>0</v>
      </c>
      <c r="J808" s="141">
        <f>SUM(J774:J807)</f>
        <v>0</v>
      </c>
      <c r="K808" s="80"/>
      <c r="L808" s="141">
        <f>SUM(L774:L807)</f>
        <v>300.89999999906865</v>
      </c>
      <c r="M808" s="141">
        <f>SUM(M774:M807)</f>
        <v>0</v>
      </c>
      <c r="N808" s="141">
        <f>SUM(N774:N807)</f>
        <v>0</v>
      </c>
      <c r="O808" s="100"/>
      <c r="P808"/>
      <c r="Q808"/>
      <c r="R808"/>
      <c r="S808"/>
      <c r="U808" s="142"/>
      <c r="V808" s="80"/>
      <c r="W808" s="143"/>
      <c r="X808" s="143"/>
      <c r="Y808" s="94"/>
      <c r="Z808" s="86"/>
      <c r="AA808" s="86"/>
      <c r="AB808" s="86"/>
      <c r="AQ808" s="80"/>
      <c r="AR808" s="80"/>
    </row>
    <row r="809" spans="1:44" ht="5.0999999999999996" customHeight="1">
      <c r="A809" s="105"/>
      <c r="B809" s="71"/>
      <c r="D809" s="79"/>
      <c r="E809" s="80"/>
      <c r="F809" s="79"/>
      <c r="G809" s="80"/>
      <c r="H809" s="81"/>
      <c r="I809" s="81"/>
      <c r="J809" s="81"/>
      <c r="K809" s="80"/>
      <c r="L809" s="82"/>
      <c r="M809" s="82"/>
      <c r="N809" s="82"/>
      <c r="O809" s="83"/>
      <c r="P809"/>
      <c r="Q809"/>
      <c r="R809"/>
      <c r="S809"/>
      <c r="U809" s="84"/>
      <c r="V809" s="80"/>
      <c r="W809" s="82"/>
      <c r="X809" s="82"/>
      <c r="Y809" s="94"/>
      <c r="Z809" s="86"/>
      <c r="AA809" s="86"/>
      <c r="AB809" s="86"/>
      <c r="AQ809" s="80"/>
      <c r="AR809" s="80"/>
    </row>
    <row r="810" spans="1:44" ht="14.4">
      <c r="A810" s="70"/>
      <c r="B810" s="78"/>
      <c r="D810" s="79"/>
      <c r="E810" s="80"/>
      <c r="F810" s="79"/>
      <c r="G810" s="80"/>
      <c r="H810" s="81"/>
      <c r="I810" s="81"/>
      <c r="J810" s="81"/>
      <c r="K810" s="80"/>
      <c r="L810" s="82"/>
      <c r="M810" s="82"/>
      <c r="N810" s="82"/>
      <c r="O810" s="83"/>
      <c r="P810"/>
      <c r="Q810"/>
      <c r="R810"/>
      <c r="S810"/>
      <c r="U810" s="84"/>
      <c r="V810" s="80"/>
      <c r="W810" s="82"/>
      <c r="X810" s="82"/>
      <c r="Y810" s="94"/>
      <c r="Z810" s="86"/>
      <c r="AA810" s="86"/>
      <c r="AB810" s="86"/>
      <c r="AQ810" s="80"/>
      <c r="AR810" s="80"/>
    </row>
    <row r="811" spans="1:44" ht="14.4">
      <c r="A811" s="70">
        <v>200026</v>
      </c>
      <c r="B811" s="78" t="s">
        <v>612</v>
      </c>
      <c r="D811" s="79">
        <f>-VLOOKUP(A811,'TB for financial'!A:F,6,0)</f>
        <v>0</v>
      </c>
      <c r="E811" s="80"/>
      <c r="F811" s="79">
        <f>-VLOOKUP(A811,'TB for financial'!A:K,11,0)</f>
        <v>0</v>
      </c>
      <c r="G811" s="80"/>
      <c r="H811" s="81">
        <f>D811-I811</f>
        <v>0</v>
      </c>
      <c r="I811" s="81">
        <v>0</v>
      </c>
      <c r="J811" s="81">
        <f>+D811-H811-I811</f>
        <v>0</v>
      </c>
      <c r="K811" s="80"/>
      <c r="L811" s="82">
        <f>F811-M811</f>
        <v>0</v>
      </c>
      <c r="M811" s="82">
        <v>0</v>
      </c>
      <c r="N811" s="82">
        <f>+F811-L811-M811</f>
        <v>0</v>
      </c>
      <c r="O811" s="83"/>
      <c r="P811"/>
      <c r="Q811"/>
      <c r="R811"/>
      <c r="S811"/>
      <c r="U811" s="84" t="s">
        <v>530</v>
      </c>
      <c r="V811" s="80"/>
      <c r="W811" s="82" t="s">
        <v>47</v>
      </c>
      <c r="X811" s="82"/>
      <c r="Y811" s="85" t="s">
        <v>45</v>
      </c>
      <c r="Z811" s="86" t="s">
        <v>569</v>
      </c>
      <c r="AA811" s="86" t="s">
        <v>47</v>
      </c>
      <c r="AB811" s="86"/>
      <c r="AC811" s="87">
        <v>0</v>
      </c>
      <c r="AD811" s="88">
        <f>+D811-AC811</f>
        <v>0</v>
      </c>
      <c r="AF811" s="54">
        <v>200026</v>
      </c>
      <c r="AQ811" s="80"/>
      <c r="AR811" s="80"/>
    </row>
    <row r="812" spans="1:44" ht="5.0999999999999996" customHeight="1">
      <c r="A812" s="70"/>
      <c r="B812" s="78"/>
      <c r="D812" s="79"/>
      <c r="E812" s="80"/>
      <c r="F812" s="79"/>
      <c r="G812" s="80"/>
      <c r="H812" s="81"/>
      <c r="I812" s="81"/>
      <c r="J812" s="81"/>
      <c r="K812" s="80"/>
      <c r="L812" s="82"/>
      <c r="M812" s="82"/>
      <c r="N812" s="82"/>
      <c r="O812" s="83"/>
      <c r="P812"/>
      <c r="Q812"/>
      <c r="R812"/>
      <c r="S812"/>
      <c r="U812" s="84"/>
      <c r="V812" s="80"/>
      <c r="W812" s="82"/>
      <c r="X812" s="82"/>
      <c r="Y812" s="94"/>
      <c r="Z812" s="86"/>
      <c r="AA812" s="86"/>
      <c r="AB812" s="86"/>
      <c r="AQ812" s="80"/>
      <c r="AR812" s="80"/>
    </row>
    <row r="813" spans="1:44" ht="14.4">
      <c r="A813" s="105"/>
      <c r="B813" s="71" t="s">
        <v>613</v>
      </c>
      <c r="D813" s="138">
        <f>SUM(D811:D812)</f>
        <v>0</v>
      </c>
      <c r="E813" s="96"/>
      <c r="F813" s="139">
        <f>SUM(F811:F812)</f>
        <v>0</v>
      </c>
      <c r="G813" s="80"/>
      <c r="H813" s="140">
        <f>SUM(H811:H812)</f>
        <v>0</v>
      </c>
      <c r="I813" s="140">
        <f>SUM(I811:I812)</f>
        <v>0</v>
      </c>
      <c r="J813" s="141">
        <f>SUM(J811:J812)</f>
        <v>0</v>
      </c>
      <c r="K813" s="80"/>
      <c r="L813" s="141">
        <f>SUM(L811:L812)</f>
        <v>0</v>
      </c>
      <c r="M813" s="141">
        <f>SUM(M811:M812)</f>
        <v>0</v>
      </c>
      <c r="N813" s="141">
        <f>SUM(N811:N812)</f>
        <v>0</v>
      </c>
      <c r="O813" s="100"/>
      <c r="P813"/>
      <c r="Q813"/>
      <c r="R813"/>
      <c r="S813"/>
      <c r="U813" s="142"/>
      <c r="V813" s="80"/>
      <c r="W813" s="143"/>
      <c r="X813" s="143"/>
      <c r="Y813" s="94"/>
      <c r="Z813" s="86"/>
      <c r="AA813" s="86"/>
      <c r="AB813" s="86"/>
      <c r="AQ813" s="80"/>
      <c r="AR813" s="80"/>
    </row>
    <row r="814" spans="1:44" ht="14.4">
      <c r="A814" s="70"/>
      <c r="B814" s="78"/>
      <c r="D814" s="79"/>
      <c r="E814" s="80"/>
      <c r="F814" s="79"/>
      <c r="G814" s="80"/>
      <c r="H814" s="81"/>
      <c r="I814" s="81"/>
      <c r="J814" s="81"/>
      <c r="K814" s="80"/>
      <c r="L814" s="82"/>
      <c r="M814" s="82"/>
      <c r="N814" s="82"/>
      <c r="O814" s="83"/>
      <c r="P814"/>
      <c r="Q814"/>
      <c r="R814"/>
      <c r="S814"/>
      <c r="U814" s="84"/>
      <c r="V814" s="80"/>
      <c r="W814" s="82"/>
      <c r="X814" s="82"/>
      <c r="Y814" s="94"/>
      <c r="Z814" s="86"/>
      <c r="AA814" s="86"/>
      <c r="AB814" s="86"/>
      <c r="AQ814" s="80"/>
      <c r="AR814" s="80"/>
    </row>
    <row r="815" spans="1:44" ht="5.0999999999999996" customHeight="1">
      <c r="A815" s="105"/>
      <c r="B815" s="71"/>
      <c r="D815" s="79"/>
      <c r="E815" s="80"/>
      <c r="F815" s="79"/>
      <c r="G815" s="80"/>
      <c r="H815" s="81"/>
      <c r="I815" s="81"/>
      <c r="J815" s="81"/>
      <c r="K815" s="80"/>
      <c r="L815" s="82"/>
      <c r="M815" s="82"/>
      <c r="N815" s="82"/>
      <c r="O815" s="83"/>
      <c r="P815"/>
      <c r="Q815"/>
      <c r="R815"/>
      <c r="S815"/>
      <c r="U815" s="84"/>
      <c r="V815" s="80"/>
      <c r="W815" s="82"/>
      <c r="X815" s="82"/>
      <c r="Y815" s="94"/>
      <c r="Z815" s="86"/>
      <c r="AA815" s="86"/>
      <c r="AB815" s="86"/>
      <c r="AQ815" s="80"/>
      <c r="AR815" s="80"/>
    </row>
    <row r="816" spans="1:44" ht="14.4">
      <c r="A816" s="70">
        <v>206035</v>
      </c>
      <c r="B816" s="78" t="str">
        <f>VLOOKUP(A816,'TB for financial'!A:B,2,0)</f>
        <v>Indian Income taxes Payable</v>
      </c>
      <c r="D816" s="79">
        <f>-VLOOKUP(A816,'TB for financial'!A:F,6,0)</f>
        <v>0</v>
      </c>
      <c r="E816" s="80"/>
      <c r="F816" s="79">
        <f>-VLOOKUP(A816,'TB for financial'!A:K,11,0)</f>
        <v>0</v>
      </c>
      <c r="G816" s="80"/>
      <c r="H816" s="81">
        <f t="shared" ref="H816:H825" si="183">D816-I816</f>
        <v>0</v>
      </c>
      <c r="I816" s="81">
        <v>0</v>
      </c>
      <c r="J816" s="81">
        <f t="shared" ref="J816:J825" si="184">+D816-H816-I816</f>
        <v>0</v>
      </c>
      <c r="K816" s="80"/>
      <c r="L816" s="82">
        <f t="shared" ref="L816:L825" si="185">F816-M816</f>
        <v>0</v>
      </c>
      <c r="M816" s="82">
        <v>0</v>
      </c>
      <c r="N816" s="82">
        <f t="shared" ref="N816:N827" si="186">+F816-L816-M816</f>
        <v>0</v>
      </c>
      <c r="O816" s="83"/>
      <c r="P816"/>
      <c r="Q816"/>
      <c r="R816"/>
      <c r="S816"/>
      <c r="U816" s="84" t="s">
        <v>535</v>
      </c>
      <c r="V816" s="80"/>
      <c r="W816" s="82" t="s">
        <v>600</v>
      </c>
      <c r="X816" s="82" t="s">
        <v>601</v>
      </c>
      <c r="Y816" s="85" t="s">
        <v>537</v>
      </c>
      <c r="Z816" s="86" t="s">
        <v>569</v>
      </c>
      <c r="AA816" s="86" t="s">
        <v>614</v>
      </c>
      <c r="AB816" s="86" t="s">
        <v>614</v>
      </c>
      <c r="AC816" s="87">
        <v>0</v>
      </c>
      <c r="AD816" s="88">
        <f t="shared" ref="AD816:AD825" si="187">+D816-AC816</f>
        <v>0</v>
      </c>
      <c r="AF816" s="54">
        <v>206035</v>
      </c>
      <c r="AQ816" s="80"/>
      <c r="AR816" s="80"/>
    </row>
    <row r="817" spans="1:44" ht="14.4">
      <c r="A817" s="70">
        <v>206036</v>
      </c>
      <c r="B817" s="78" t="str">
        <f>VLOOKUP(A817,'TB for financial'!A:B,2,0)</f>
        <v>Corporation Tax UK</v>
      </c>
      <c r="D817" s="79">
        <f>-VLOOKUP(A817,'TB for financial'!A:F,6,0)</f>
        <v>0</v>
      </c>
      <c r="E817" s="80"/>
      <c r="F817" s="79">
        <f>-VLOOKUP(A817,'TB for financial'!A:K,11,0)</f>
        <v>0</v>
      </c>
      <c r="G817" s="80"/>
      <c r="H817" s="81">
        <f t="shared" si="183"/>
        <v>0</v>
      </c>
      <c r="I817" s="81">
        <v>0</v>
      </c>
      <c r="J817" s="81">
        <f t="shared" si="184"/>
        <v>0</v>
      </c>
      <c r="K817" s="80"/>
      <c r="L817" s="82">
        <f t="shared" si="185"/>
        <v>0</v>
      </c>
      <c r="M817" s="82">
        <v>0</v>
      </c>
      <c r="N817" s="82">
        <f>+F817-L817-M817</f>
        <v>0</v>
      </c>
      <c r="O817" s="83"/>
      <c r="P817"/>
      <c r="Q817"/>
      <c r="R817"/>
      <c r="S817"/>
      <c r="U817" s="84" t="s">
        <v>535</v>
      </c>
      <c r="V817" s="80"/>
      <c r="W817" s="82" t="s">
        <v>600</v>
      </c>
      <c r="X817" s="82" t="s">
        <v>601</v>
      </c>
      <c r="Y817" s="85" t="s">
        <v>537</v>
      </c>
      <c r="Z817" s="86" t="s">
        <v>569</v>
      </c>
      <c r="AA817" s="86" t="s">
        <v>614</v>
      </c>
      <c r="AB817" s="86" t="s">
        <v>614</v>
      </c>
      <c r="AC817" s="87">
        <v>0</v>
      </c>
      <c r="AD817" s="88">
        <f t="shared" si="187"/>
        <v>0</v>
      </c>
      <c r="AF817" s="54">
        <v>206036</v>
      </c>
      <c r="AQ817" s="80"/>
      <c r="AR817" s="80"/>
    </row>
    <row r="818" spans="1:44" ht="14.4">
      <c r="A818" s="70">
        <v>206039</v>
      </c>
      <c r="B818" s="78" t="str">
        <f>VLOOKUP(A818,'TB for financial'!A:B,2,0)</f>
        <v>City Corp Income Tax Provision</v>
      </c>
      <c r="D818" s="79">
        <f>-VLOOKUP(A818,'TB for financial'!A:F,6,0)</f>
        <v>0</v>
      </c>
      <c r="E818" s="80"/>
      <c r="F818" s="79">
        <f>-VLOOKUP(A818,'TB for financial'!A:K,11,0)</f>
        <v>0</v>
      </c>
      <c r="G818" s="80"/>
      <c r="H818" s="81">
        <f t="shared" si="183"/>
        <v>0</v>
      </c>
      <c r="I818" s="81">
        <v>0</v>
      </c>
      <c r="J818" s="81">
        <f t="shared" si="184"/>
        <v>0</v>
      </c>
      <c r="K818" s="80"/>
      <c r="L818" s="82">
        <f t="shared" si="185"/>
        <v>0</v>
      </c>
      <c r="M818" s="82">
        <v>0</v>
      </c>
      <c r="N818" s="82">
        <f>+F818-L818-M818</f>
        <v>0</v>
      </c>
      <c r="O818" s="83"/>
      <c r="P818"/>
      <c r="Q818"/>
      <c r="R818"/>
      <c r="S818"/>
      <c r="U818" s="84" t="s">
        <v>535</v>
      </c>
      <c r="V818" s="80"/>
      <c r="W818" s="82" t="s">
        <v>600</v>
      </c>
      <c r="X818" s="82" t="s">
        <v>601</v>
      </c>
      <c r="Y818" s="85" t="s">
        <v>537</v>
      </c>
      <c r="Z818" s="86" t="s">
        <v>569</v>
      </c>
      <c r="AA818" s="86" t="s">
        <v>614</v>
      </c>
      <c r="AB818" s="86" t="s">
        <v>614</v>
      </c>
      <c r="AC818" s="87">
        <v>0</v>
      </c>
      <c r="AD818" s="88">
        <f t="shared" si="187"/>
        <v>0</v>
      </c>
      <c r="AF818" s="54">
        <v>206039</v>
      </c>
      <c r="AQ818" s="80"/>
      <c r="AR818" s="80"/>
    </row>
    <row r="819" spans="1:44" ht="14.4">
      <c r="A819" s="70">
        <v>206037</v>
      </c>
      <c r="B819" s="78" t="str">
        <f>VLOOKUP(A819,'TB for financial'!A:B,2,0)</f>
        <v>Fringe Benefit Tax</v>
      </c>
      <c r="D819" s="79">
        <f>-VLOOKUP(A819,'TB for financial'!A:F,6,0)</f>
        <v>0</v>
      </c>
      <c r="E819" s="80"/>
      <c r="F819" s="79">
        <f>-VLOOKUP(A819,'TB for financial'!A:K,11,0)</f>
        <v>0</v>
      </c>
      <c r="G819" s="80"/>
      <c r="H819" s="81">
        <f t="shared" si="183"/>
        <v>0</v>
      </c>
      <c r="I819" s="81">
        <v>0</v>
      </c>
      <c r="J819" s="81">
        <f t="shared" si="184"/>
        <v>0</v>
      </c>
      <c r="K819" s="80"/>
      <c r="L819" s="82">
        <f t="shared" si="185"/>
        <v>0</v>
      </c>
      <c r="M819" s="82">
        <v>0</v>
      </c>
      <c r="N819" s="82">
        <f t="shared" si="186"/>
        <v>0</v>
      </c>
      <c r="O819" s="83"/>
      <c r="P819"/>
      <c r="Q819"/>
      <c r="R819"/>
      <c r="S819"/>
      <c r="U819" s="84" t="s">
        <v>535</v>
      </c>
      <c r="V819" s="80"/>
      <c r="W819" s="82" t="s">
        <v>600</v>
      </c>
      <c r="X819" s="82" t="s">
        <v>601</v>
      </c>
      <c r="Y819" s="85" t="s">
        <v>537</v>
      </c>
      <c r="Z819" s="86" t="s">
        <v>569</v>
      </c>
      <c r="AA819" s="86" t="s">
        <v>614</v>
      </c>
      <c r="AB819" s="86" t="s">
        <v>614</v>
      </c>
      <c r="AC819" s="87">
        <v>0</v>
      </c>
      <c r="AD819" s="88">
        <f t="shared" si="187"/>
        <v>0</v>
      </c>
      <c r="AF819" s="54">
        <v>206037</v>
      </c>
      <c r="AQ819" s="80"/>
      <c r="AR819" s="80"/>
    </row>
    <row r="820" spans="1:44" ht="14.4">
      <c r="A820" s="70">
        <v>206010</v>
      </c>
      <c r="B820" s="78" t="str">
        <f>VLOOKUP(A820,'TB for financial'!A:B,2,0)</f>
        <v>Tax Reserve</v>
      </c>
      <c r="D820" s="79">
        <f>-VLOOKUP(A820,'TB for financial'!A:F,6,0)</f>
        <v>0</v>
      </c>
      <c r="E820" s="80"/>
      <c r="F820" s="79">
        <f>-VLOOKUP(A820,'TB for financial'!A:K,11,0)</f>
        <v>0</v>
      </c>
      <c r="G820" s="80"/>
      <c r="H820" s="81">
        <f t="shared" si="183"/>
        <v>0</v>
      </c>
      <c r="I820" s="81">
        <v>0</v>
      </c>
      <c r="J820" s="81">
        <f t="shared" si="184"/>
        <v>0</v>
      </c>
      <c r="K820" s="80"/>
      <c r="L820" s="82">
        <f t="shared" si="185"/>
        <v>0</v>
      </c>
      <c r="M820" s="82">
        <v>0</v>
      </c>
      <c r="N820" s="82">
        <f t="shared" si="186"/>
        <v>0</v>
      </c>
      <c r="O820" s="83"/>
      <c r="P820"/>
      <c r="Q820"/>
      <c r="R820"/>
      <c r="S820"/>
      <c r="U820" s="84" t="s">
        <v>535</v>
      </c>
      <c r="V820" s="80"/>
      <c r="W820" s="82" t="s">
        <v>600</v>
      </c>
      <c r="X820" s="82" t="s">
        <v>601</v>
      </c>
      <c r="Y820" s="85" t="s">
        <v>537</v>
      </c>
      <c r="Z820" s="86" t="s">
        <v>569</v>
      </c>
      <c r="AA820" s="86" t="s">
        <v>614</v>
      </c>
      <c r="AB820" s="86" t="s">
        <v>614</v>
      </c>
      <c r="AC820" s="87">
        <v>0</v>
      </c>
      <c r="AD820" s="88">
        <f t="shared" si="187"/>
        <v>0</v>
      </c>
      <c r="AF820" s="54">
        <v>206010</v>
      </c>
      <c r="AQ820" s="80"/>
      <c r="AR820" s="80"/>
    </row>
    <row r="821" spans="1:44" ht="14.4">
      <c r="A821" s="70">
        <v>206020</v>
      </c>
      <c r="B821" s="78" t="str">
        <f>VLOOKUP(A821,'TB for financial'!A:B,2,0)</f>
        <v>Federal Inc Taxes Payable-Curr</v>
      </c>
      <c r="D821" s="79">
        <f>-VLOOKUP(A821,'TB for financial'!A:F,6,0)</f>
        <v>0</v>
      </c>
      <c r="E821" s="80"/>
      <c r="F821" s="79">
        <f>-VLOOKUP(A821,'TB for financial'!A:K,11,0)</f>
        <v>0</v>
      </c>
      <c r="G821" s="80">
        <f>+D821-F821</f>
        <v>0</v>
      </c>
      <c r="H821" s="81">
        <f t="shared" si="183"/>
        <v>0</v>
      </c>
      <c r="I821" s="81">
        <v>0</v>
      </c>
      <c r="J821" s="81">
        <f t="shared" si="184"/>
        <v>0</v>
      </c>
      <c r="K821" s="80"/>
      <c r="L821" s="82">
        <f t="shared" si="185"/>
        <v>0</v>
      </c>
      <c r="M821" s="82">
        <v>0</v>
      </c>
      <c r="N821" s="82">
        <f t="shared" si="186"/>
        <v>0</v>
      </c>
      <c r="O821" s="83"/>
      <c r="P821"/>
      <c r="Q821"/>
      <c r="R821"/>
      <c r="S821"/>
      <c r="U821" s="84" t="s">
        <v>535</v>
      </c>
      <c r="V821" s="80"/>
      <c r="W821" s="82" t="s">
        <v>600</v>
      </c>
      <c r="X821" s="82" t="s">
        <v>601</v>
      </c>
      <c r="Y821" s="85" t="s">
        <v>537</v>
      </c>
      <c r="Z821" s="86" t="s">
        <v>569</v>
      </c>
      <c r="AA821" s="86" t="s">
        <v>614</v>
      </c>
      <c r="AB821" s="86" t="s">
        <v>614</v>
      </c>
      <c r="AC821" s="87">
        <v>0</v>
      </c>
      <c r="AD821" s="88">
        <f t="shared" si="187"/>
        <v>0</v>
      </c>
      <c r="AF821" s="54">
        <v>206020</v>
      </c>
      <c r="AQ821" s="80"/>
      <c r="AR821" s="80"/>
    </row>
    <row r="822" spans="1:44" ht="14.4">
      <c r="A822" s="70">
        <v>206030</v>
      </c>
      <c r="B822" s="78" t="str">
        <f>VLOOKUP(A822,'TB for financial'!A:B,2,0)</f>
        <v>State Inc Taxes Payable - Curr</v>
      </c>
      <c r="D822" s="79">
        <f>-VLOOKUP(A822,'TB for financial'!A:F,6,0)</f>
        <v>0</v>
      </c>
      <c r="E822" s="80"/>
      <c r="F822" s="79">
        <f>-VLOOKUP(A822,'TB for financial'!A:K,11,0)</f>
        <v>0</v>
      </c>
      <c r="G822" s="80"/>
      <c r="H822" s="81">
        <f t="shared" si="183"/>
        <v>0</v>
      </c>
      <c r="I822" s="81">
        <v>0</v>
      </c>
      <c r="J822" s="81">
        <f t="shared" si="184"/>
        <v>0</v>
      </c>
      <c r="K822" s="80"/>
      <c r="L822" s="82">
        <f t="shared" si="185"/>
        <v>0</v>
      </c>
      <c r="M822" s="82">
        <v>0</v>
      </c>
      <c r="N822" s="82">
        <f t="shared" si="186"/>
        <v>0</v>
      </c>
      <c r="O822" s="83"/>
      <c r="P822"/>
      <c r="Q822"/>
      <c r="R822"/>
      <c r="S822"/>
      <c r="U822" s="84" t="s">
        <v>535</v>
      </c>
      <c r="V822" s="80"/>
      <c r="W822" s="82" t="s">
        <v>600</v>
      </c>
      <c r="X822" s="82" t="s">
        <v>601</v>
      </c>
      <c r="Y822" s="85" t="s">
        <v>537</v>
      </c>
      <c r="Z822" s="86" t="s">
        <v>569</v>
      </c>
      <c r="AA822" s="86" t="s">
        <v>614</v>
      </c>
      <c r="AB822" s="86" t="s">
        <v>614</v>
      </c>
      <c r="AC822" s="87">
        <v>0</v>
      </c>
      <c r="AD822" s="88">
        <f t="shared" si="187"/>
        <v>0</v>
      </c>
      <c r="AF822" s="54">
        <v>206030</v>
      </c>
      <c r="AQ822" s="80"/>
      <c r="AR822" s="80"/>
    </row>
    <row r="823" spans="1:44" ht="14.4">
      <c r="A823" s="132">
        <v>206034</v>
      </c>
      <c r="B823" s="78" t="str">
        <f>VLOOKUP(A823,'TB for financial'!A:B,2,0)</f>
        <v>Canada - State Inc Tax Pay Cur</v>
      </c>
      <c r="D823" s="79">
        <f>-VLOOKUP(A823,'TB for financial'!A:F,6,0)</f>
        <v>0</v>
      </c>
      <c r="E823" s="80"/>
      <c r="F823" s="79">
        <f>-VLOOKUP(A823,'TB for financial'!A:K,11,0)</f>
        <v>0</v>
      </c>
      <c r="G823" s="80"/>
      <c r="H823" s="81">
        <f t="shared" si="183"/>
        <v>0</v>
      </c>
      <c r="I823" s="81">
        <v>0</v>
      </c>
      <c r="J823" s="81">
        <f t="shared" si="184"/>
        <v>0</v>
      </c>
      <c r="K823" s="80"/>
      <c r="L823" s="82">
        <f t="shared" si="185"/>
        <v>0</v>
      </c>
      <c r="M823" s="82">
        <v>0</v>
      </c>
      <c r="N823" s="82">
        <f t="shared" si="186"/>
        <v>0</v>
      </c>
      <c r="O823" s="83"/>
      <c r="P823"/>
      <c r="Q823"/>
      <c r="R823"/>
      <c r="S823"/>
      <c r="U823" s="84" t="s">
        <v>535</v>
      </c>
      <c r="V823" s="80"/>
      <c r="W823" s="82" t="s">
        <v>600</v>
      </c>
      <c r="X823" s="82" t="s">
        <v>601</v>
      </c>
      <c r="Y823" s="85" t="s">
        <v>537</v>
      </c>
      <c r="Z823" s="86" t="s">
        <v>569</v>
      </c>
      <c r="AA823" s="86" t="s">
        <v>614</v>
      </c>
      <c r="AB823" s="86" t="s">
        <v>614</v>
      </c>
      <c r="AC823" s="87">
        <v>0</v>
      </c>
      <c r="AD823" s="88">
        <f t="shared" si="187"/>
        <v>0</v>
      </c>
      <c r="AF823" s="54">
        <v>206034</v>
      </c>
      <c r="AQ823" s="80"/>
      <c r="AR823" s="80"/>
    </row>
    <row r="824" spans="1:44" ht="14.4">
      <c r="A824" s="132">
        <v>206023</v>
      </c>
      <c r="B824" s="78" t="str">
        <f>VLOOKUP(A824,'TB for financial'!A:B,2,0)</f>
        <v>Canada - Fed Inc Taxes Pay Cur</v>
      </c>
      <c r="D824" s="79">
        <f>-VLOOKUP(A824,'TB for financial'!A:F,6,0)</f>
        <v>0</v>
      </c>
      <c r="E824" s="80"/>
      <c r="F824" s="79">
        <f>-VLOOKUP(A824,'TB for financial'!A:K,11,0)</f>
        <v>0</v>
      </c>
      <c r="G824" s="80"/>
      <c r="H824" s="81">
        <f t="shared" si="183"/>
        <v>0</v>
      </c>
      <c r="I824" s="81">
        <v>0</v>
      </c>
      <c r="J824" s="81">
        <f t="shared" si="184"/>
        <v>0</v>
      </c>
      <c r="K824" s="80"/>
      <c r="L824" s="82">
        <f t="shared" si="185"/>
        <v>0</v>
      </c>
      <c r="M824" s="82">
        <v>0</v>
      </c>
      <c r="N824" s="82">
        <f t="shared" si="186"/>
        <v>0</v>
      </c>
      <c r="O824" s="83"/>
      <c r="P824"/>
      <c r="Q824"/>
      <c r="R824"/>
      <c r="S824"/>
      <c r="U824" s="84" t="s">
        <v>535</v>
      </c>
      <c r="V824" s="80"/>
      <c r="W824" s="82" t="s">
        <v>600</v>
      </c>
      <c r="X824" s="82" t="s">
        <v>601</v>
      </c>
      <c r="Y824" s="85" t="s">
        <v>537</v>
      </c>
      <c r="Z824" s="86" t="s">
        <v>569</v>
      </c>
      <c r="AA824" s="86" t="s">
        <v>614</v>
      </c>
      <c r="AB824" s="86" t="s">
        <v>614</v>
      </c>
      <c r="AC824" s="87">
        <v>0</v>
      </c>
      <c r="AD824" s="88">
        <f t="shared" si="187"/>
        <v>0</v>
      </c>
      <c r="AF824" s="54">
        <v>206023</v>
      </c>
      <c r="AQ824" s="80"/>
      <c r="AR824" s="80"/>
    </row>
    <row r="825" spans="1:44" ht="14.4">
      <c r="A825" s="132">
        <v>206026</v>
      </c>
      <c r="B825" s="78" t="str">
        <f>VLOOKUP(A825,'TB for financial'!A:B,2,0)</f>
        <v>Advance US city Income Tax</v>
      </c>
      <c r="D825" s="79">
        <f>-VLOOKUP(A825,'TB for financial'!A:F,6,0)</f>
        <v>0</v>
      </c>
      <c r="E825" s="80"/>
      <c r="F825" s="79">
        <f>-VLOOKUP(A825,'TB for financial'!A:K,11,0)</f>
        <v>0</v>
      </c>
      <c r="G825" s="80"/>
      <c r="H825" s="81">
        <f t="shared" si="183"/>
        <v>0</v>
      </c>
      <c r="I825" s="81">
        <v>0</v>
      </c>
      <c r="J825" s="81">
        <f t="shared" si="184"/>
        <v>0</v>
      </c>
      <c r="K825" s="80"/>
      <c r="L825" s="82">
        <f t="shared" si="185"/>
        <v>0</v>
      </c>
      <c r="M825" s="82">
        <v>0</v>
      </c>
      <c r="N825" s="82">
        <f>+F825-L825-M825</f>
        <v>0</v>
      </c>
      <c r="O825" s="83"/>
      <c r="P825"/>
      <c r="Q825"/>
      <c r="R825"/>
      <c r="S825"/>
      <c r="U825" s="84" t="s">
        <v>535</v>
      </c>
      <c r="V825" s="80"/>
      <c r="W825" s="82" t="s">
        <v>600</v>
      </c>
      <c r="X825" s="82" t="s">
        <v>601</v>
      </c>
      <c r="Y825" s="85" t="s">
        <v>537</v>
      </c>
      <c r="Z825" s="86" t="s">
        <v>569</v>
      </c>
      <c r="AA825" s="86" t="s">
        <v>614</v>
      </c>
      <c r="AB825" s="86" t="s">
        <v>614</v>
      </c>
      <c r="AC825" s="87">
        <v>0</v>
      </c>
      <c r="AD825" s="88">
        <f t="shared" si="187"/>
        <v>0</v>
      </c>
      <c r="AF825" s="54">
        <v>206026</v>
      </c>
      <c r="AQ825" s="80"/>
      <c r="AR825" s="80"/>
    </row>
    <row r="826" spans="1:44" ht="24">
      <c r="A826" s="1376">
        <v>444000</v>
      </c>
      <c r="B826" s="78" t="str">
        <f>VLOOKUP(A826,'TB for financial'!A:B,2,0)</f>
        <v>Corporate Income Tax and Accrued Income</v>
      </c>
      <c r="D826" s="79">
        <f>-VLOOKUP(A826,'TB for financial'!A:F,6,0)</f>
        <v>289275711.52326167</v>
      </c>
      <c r="E826" s="80"/>
      <c r="F826" s="79">
        <f>-VLOOKUP(A826,'TB for financial'!A:K,11,0)</f>
        <v>246662002.97564703</v>
      </c>
      <c r="G826" s="80"/>
      <c r="H826" s="122">
        <f>D826-I826</f>
        <v>289275711.52326167</v>
      </c>
      <c r="I826" s="81">
        <v>0</v>
      </c>
      <c r="J826" s="81">
        <f>+D826-H826-I826</f>
        <v>0</v>
      </c>
      <c r="K826" s="80"/>
      <c r="L826" s="82">
        <f>F826-M826</f>
        <v>246662002.97564703</v>
      </c>
      <c r="M826" s="82">
        <v>0</v>
      </c>
      <c r="N826" s="82">
        <f>+F826-L826-M826</f>
        <v>0</v>
      </c>
      <c r="O826" s="83"/>
      <c r="P826"/>
      <c r="Q826"/>
      <c r="R826"/>
      <c r="S826"/>
      <c r="U826" s="84" t="s">
        <v>535</v>
      </c>
      <c r="V826" s="80"/>
      <c r="W826" s="82" t="s">
        <v>600</v>
      </c>
      <c r="X826" s="82" t="s">
        <v>601</v>
      </c>
      <c r="Y826" s="85" t="s">
        <v>537</v>
      </c>
      <c r="Z826" s="86" t="s">
        <v>569</v>
      </c>
      <c r="AA826" s="86" t="s">
        <v>614</v>
      </c>
      <c r="AB826" s="86" t="s">
        <v>614</v>
      </c>
      <c r="AC826" s="87">
        <v>628.75</v>
      </c>
      <c r="AD826" s="88">
        <f>+D826-AC826</f>
        <v>289275082.77326167</v>
      </c>
      <c r="AF826" s="54" t="s">
        <v>2536</v>
      </c>
      <c r="AQ826" s="80"/>
      <c r="AR826" s="80">
        <f>D826</f>
        <v>289275711.52326167</v>
      </c>
    </row>
    <row r="827" spans="1:44" ht="14.4">
      <c r="A827" s="160"/>
      <c r="B827" s="161" t="s">
        <v>581</v>
      </c>
      <c r="D827" s="171">
        <f>-SUM(D816:D826)</f>
        <v>-289275711.52326167</v>
      </c>
      <c r="E827" s="96"/>
      <c r="F827" s="172">
        <f>-SUM(F816:F826)</f>
        <v>-246662002.97564703</v>
      </c>
      <c r="G827" s="80"/>
      <c r="H827" s="122">
        <f>D827</f>
        <v>-289275711.52326167</v>
      </c>
      <c r="I827" s="122">
        <v>0</v>
      </c>
      <c r="J827" s="137">
        <f>+D827-H827-I827</f>
        <v>0</v>
      </c>
      <c r="K827" s="80"/>
      <c r="L827" s="82">
        <f>F827</f>
        <v>-246662002.97564703</v>
      </c>
      <c r="M827" s="82">
        <v>0</v>
      </c>
      <c r="N827" s="82">
        <f t="shared" si="186"/>
        <v>0</v>
      </c>
      <c r="O827" s="83"/>
      <c r="P827"/>
      <c r="Q827"/>
      <c r="R827"/>
      <c r="S827"/>
      <c r="U827" s="84" t="s">
        <v>535</v>
      </c>
      <c r="V827" s="80"/>
      <c r="W827" s="82" t="s">
        <v>600</v>
      </c>
      <c r="X827" s="82" t="s">
        <v>601</v>
      </c>
      <c r="Y827" s="85" t="s">
        <v>537</v>
      </c>
      <c r="Z827" s="86" t="s">
        <v>569</v>
      </c>
      <c r="AA827" s="86" t="s">
        <v>614</v>
      </c>
      <c r="AB827" s="86" t="s">
        <v>614</v>
      </c>
      <c r="AQ827" s="80"/>
      <c r="AR827" s="80"/>
    </row>
    <row r="828" spans="1:44" ht="5.0999999999999996" customHeight="1">
      <c r="A828" s="70"/>
      <c r="B828" s="78"/>
      <c r="D828" s="79"/>
      <c r="E828" s="80"/>
      <c r="F828" s="79"/>
      <c r="G828" s="80"/>
      <c r="H828" s="81"/>
      <c r="I828" s="81"/>
      <c r="J828" s="81"/>
      <c r="K828" s="80"/>
      <c r="L828" s="82"/>
      <c r="M828" s="82"/>
      <c r="N828" s="82"/>
      <c r="O828" s="83"/>
      <c r="P828"/>
      <c r="Q828"/>
      <c r="R828"/>
      <c r="S828"/>
      <c r="U828" s="84"/>
      <c r="V828" s="80"/>
      <c r="W828" s="82"/>
      <c r="X828" s="82"/>
      <c r="Y828" s="94"/>
      <c r="Z828" s="86"/>
      <c r="AA828" s="86"/>
      <c r="AB828" s="86"/>
      <c r="AQ828" s="80"/>
      <c r="AR828" s="80"/>
    </row>
    <row r="829" spans="1:44" ht="15" thickBot="1">
      <c r="A829" s="105"/>
      <c r="B829" s="71" t="s">
        <v>615</v>
      </c>
      <c r="D829" s="95">
        <f>SUM(D816:D828)</f>
        <v>0</v>
      </c>
      <c r="E829" s="96"/>
      <c r="F829" s="97">
        <f>SUM(F816:F828)</f>
        <v>0</v>
      </c>
      <c r="G829" s="80"/>
      <c r="H829" s="98">
        <f>SUM(H816:H828)</f>
        <v>0</v>
      </c>
      <c r="I829" s="99">
        <f>SUM(I816:I828)</f>
        <v>0</v>
      </c>
      <c r="J829" s="99">
        <f>SUM(J816:J828)</f>
        <v>0</v>
      </c>
      <c r="K829" s="80"/>
      <c r="L829" s="99">
        <f>SUM(L816:L828)</f>
        <v>0</v>
      </c>
      <c r="M829" s="99">
        <f>SUM(M816:M828)</f>
        <v>0</v>
      </c>
      <c r="N829" s="99">
        <f>SUM(N816:N828)</f>
        <v>0</v>
      </c>
      <c r="O829" s="100"/>
      <c r="P829"/>
      <c r="Q829"/>
      <c r="R829"/>
      <c r="S829"/>
      <c r="U829" s="101"/>
      <c r="V829" s="80"/>
      <c r="W829" s="102"/>
      <c r="X829" s="102"/>
      <c r="Y829" s="94"/>
      <c r="Z829" s="86"/>
      <c r="AA829" s="86"/>
      <c r="AB829" s="86"/>
      <c r="AQ829" s="80"/>
      <c r="AR829" s="80"/>
    </row>
    <row r="830" spans="1:44" ht="5.0999999999999996" customHeight="1" thickTop="1">
      <c r="A830" s="105"/>
      <c r="B830" s="71"/>
      <c r="D830" s="79"/>
      <c r="E830" s="80"/>
      <c r="F830" s="79"/>
      <c r="G830" s="80"/>
      <c r="H830" s="81"/>
      <c r="I830" s="81"/>
      <c r="J830" s="81"/>
      <c r="K830" s="80"/>
      <c r="L830" s="82"/>
      <c r="M830" s="82"/>
      <c r="N830" s="82"/>
      <c r="O830" s="83"/>
      <c r="P830"/>
      <c r="Q830"/>
      <c r="R830"/>
      <c r="S830"/>
      <c r="U830" s="84"/>
      <c r="V830" s="80"/>
      <c r="W830" s="82"/>
      <c r="X830" s="82"/>
      <c r="Y830" s="94"/>
      <c r="Z830" s="86"/>
      <c r="AA830" s="86"/>
      <c r="AB830" s="86"/>
      <c r="AQ830" s="80"/>
      <c r="AR830" s="80"/>
    </row>
    <row r="831" spans="1:44" ht="14.4">
      <c r="A831" s="70">
        <v>202010</v>
      </c>
      <c r="B831" s="78" t="str">
        <f>VLOOKUP(A831,'TB for financial'!A:B,2,0)</f>
        <v>Accumulated Warranty reserves</v>
      </c>
      <c r="D831" s="79">
        <f>-VLOOKUP(A831,'TB for financial'!A:F,6,0)</f>
        <v>0</v>
      </c>
      <c r="E831" s="80"/>
      <c r="F831" s="79">
        <f>-VLOOKUP(A831,'TB for financial'!A:K,11,0)</f>
        <v>0</v>
      </c>
      <c r="G831" s="80"/>
      <c r="H831" s="81">
        <f>D831-I831</f>
        <v>0</v>
      </c>
      <c r="I831" s="81">
        <v>0</v>
      </c>
      <c r="J831" s="81">
        <f>+D831-H831-I831</f>
        <v>0</v>
      </c>
      <c r="K831" s="80"/>
      <c r="L831" s="82">
        <f>F831-M831</f>
        <v>0</v>
      </c>
      <c r="M831" s="82">
        <v>0</v>
      </c>
      <c r="N831" s="82">
        <f t="shared" ref="N831:N865" si="188">+F831-L831-M831</f>
        <v>0</v>
      </c>
      <c r="O831" s="83"/>
      <c r="P831"/>
      <c r="Q831"/>
      <c r="R831"/>
      <c r="S831"/>
      <c r="U831" s="84"/>
      <c r="V831" s="80"/>
      <c r="W831" s="82"/>
      <c r="X831" s="82"/>
      <c r="Y831" s="94" t="s">
        <v>616</v>
      </c>
      <c r="Z831" s="86" t="s">
        <v>572</v>
      </c>
      <c r="AA831" s="86" t="s">
        <v>48</v>
      </c>
      <c r="AB831" s="86"/>
      <c r="AC831" s="87">
        <v>0</v>
      </c>
      <c r="AD831" s="88">
        <f>+D831-AC831</f>
        <v>0</v>
      </c>
      <c r="AF831" s="54">
        <v>202010</v>
      </c>
      <c r="AQ831" s="80"/>
      <c r="AR831" s="80">
        <f>D831</f>
        <v>0</v>
      </c>
    </row>
    <row r="832" spans="1:44" ht="5.0999999999999996" customHeight="1">
      <c r="A832" s="70"/>
      <c r="B832" s="78"/>
      <c r="D832" s="79"/>
      <c r="E832" s="80"/>
      <c r="F832" s="79"/>
      <c r="G832" s="80"/>
      <c r="H832" s="81"/>
      <c r="I832" s="81"/>
      <c r="J832" s="81"/>
      <c r="K832" s="80"/>
      <c r="L832" s="82"/>
      <c r="M832" s="82"/>
      <c r="N832" s="82"/>
      <c r="O832" s="83"/>
      <c r="P832"/>
      <c r="Q832"/>
      <c r="R832"/>
      <c r="S832"/>
      <c r="U832" s="84"/>
      <c r="V832" s="80"/>
      <c r="W832" s="82"/>
      <c r="X832" s="82"/>
      <c r="Y832" s="94"/>
      <c r="Z832" s="86"/>
      <c r="AA832" s="86"/>
      <c r="AB832" s="86"/>
      <c r="AQ832" s="80"/>
      <c r="AR832" s="80">
        <f>D832</f>
        <v>0</v>
      </c>
    </row>
    <row r="833" spans="1:44" ht="15" thickBot="1">
      <c r="A833" s="105"/>
      <c r="B833" s="71" t="s">
        <v>617</v>
      </c>
      <c r="D833" s="97">
        <f>SUM(D831:D832)</f>
        <v>0</v>
      </c>
      <c r="E833" s="96"/>
      <c r="F833" s="97">
        <f>SUM(F831:F832)</f>
        <v>0</v>
      </c>
      <c r="G833" s="80"/>
      <c r="H833" s="98">
        <f>SUM(H831:H832)</f>
        <v>0</v>
      </c>
      <c r="I833" s="99">
        <f>SUM(I831:I832)</f>
        <v>0</v>
      </c>
      <c r="J833" s="99">
        <f>SUM(J831:J832)</f>
        <v>0</v>
      </c>
      <c r="K833" s="80"/>
      <c r="L833" s="99">
        <f>SUM(L831:L832)</f>
        <v>0</v>
      </c>
      <c r="M833" s="99">
        <f>SUM(M831:M832)</f>
        <v>0</v>
      </c>
      <c r="N833" s="99">
        <f>SUM(N831:N832)</f>
        <v>0</v>
      </c>
      <c r="O833" s="100"/>
      <c r="P833"/>
      <c r="Q833"/>
      <c r="R833"/>
      <c r="S833"/>
      <c r="U833" s="101"/>
      <c r="V833" s="80"/>
      <c r="W833" s="102"/>
      <c r="X833" s="102"/>
      <c r="Y833" s="94"/>
      <c r="Z833" s="86"/>
      <c r="AA833" s="86"/>
      <c r="AB833" s="86"/>
      <c r="AQ833" s="80"/>
      <c r="AR833" s="80"/>
    </row>
    <row r="834" spans="1:44" ht="5.0999999999999996" customHeight="1" thickTop="1">
      <c r="A834" s="105"/>
      <c r="B834" s="71"/>
      <c r="D834" s="79"/>
      <c r="E834" s="80"/>
      <c r="F834" s="79"/>
      <c r="G834" s="80"/>
      <c r="H834" s="81"/>
      <c r="I834" s="81"/>
      <c r="J834" s="81"/>
      <c r="K834" s="80"/>
      <c r="L834" s="82"/>
      <c r="M834" s="82"/>
      <c r="N834" s="82"/>
      <c r="O834" s="83"/>
      <c r="P834"/>
      <c r="Q834"/>
      <c r="R834"/>
      <c r="S834"/>
      <c r="U834" s="84"/>
      <c r="V834" s="80"/>
      <c r="W834" s="82"/>
      <c r="X834" s="82"/>
      <c r="Y834" s="94"/>
      <c r="Z834" s="86"/>
      <c r="AA834" s="86"/>
      <c r="AB834" s="86"/>
      <c r="AQ834" s="80"/>
      <c r="AR834" s="80"/>
    </row>
    <row r="835" spans="1:44" ht="14.4">
      <c r="A835" s="91">
        <v>206045</v>
      </c>
      <c r="B835" s="78" t="str">
        <f>VLOOKUP(A835,'TB for financial'!A:B,2,0)</f>
        <v>Dividend Distribtion</v>
      </c>
      <c r="D835" s="79">
        <f>-VLOOKUP(A835,'TB for financial'!A:F,6,0)</f>
        <v>-0.16826666666758683</v>
      </c>
      <c r="E835" s="80"/>
      <c r="F835" s="79">
        <f>-VLOOKUP(A835,'TB for financial'!A:K,11,0)</f>
        <v>-0.16826666666758683</v>
      </c>
      <c r="G835" s="80"/>
      <c r="H835" s="81">
        <f>D835-I835</f>
        <v>-0.16826666666758683</v>
      </c>
      <c r="I835" s="81">
        <v>0</v>
      </c>
      <c r="J835" s="81">
        <f>+D835-H835-I835</f>
        <v>0</v>
      </c>
      <c r="K835" s="80"/>
      <c r="L835" s="82">
        <f>F835-M835</f>
        <v>-0.16826666666758683</v>
      </c>
      <c r="M835" s="82">
        <v>0</v>
      </c>
      <c r="N835" s="82">
        <f t="shared" si="188"/>
        <v>0</v>
      </c>
      <c r="O835" s="83"/>
      <c r="P835"/>
      <c r="Q835"/>
      <c r="R835"/>
      <c r="S835"/>
      <c r="U835" s="84"/>
      <c r="V835" s="80"/>
      <c r="W835" s="82"/>
      <c r="X835" s="82"/>
      <c r="Y835" s="94" t="s">
        <v>616</v>
      </c>
      <c r="Z835" s="86" t="s">
        <v>572</v>
      </c>
      <c r="AA835" s="86" t="s">
        <v>47</v>
      </c>
      <c r="AB835" s="86" t="s">
        <v>43</v>
      </c>
      <c r="AC835" s="87">
        <v>0</v>
      </c>
      <c r="AD835" s="88">
        <f>+D835-AC835</f>
        <v>-0.16826666666758683</v>
      </c>
      <c r="AF835" s="54">
        <v>206045</v>
      </c>
      <c r="AQ835" s="80"/>
      <c r="AR835" s="80">
        <f>D835</f>
        <v>-0.16826666666758683</v>
      </c>
    </row>
    <row r="836" spans="1:44" ht="5.0999999999999996" customHeight="1">
      <c r="A836" s="91"/>
      <c r="B836" s="173"/>
      <c r="D836" s="79"/>
      <c r="E836" s="80"/>
      <c r="F836" s="79"/>
      <c r="G836" s="80"/>
      <c r="H836" s="81"/>
      <c r="I836" s="81"/>
      <c r="J836" s="81"/>
      <c r="K836" s="80"/>
      <c r="L836" s="82"/>
      <c r="M836" s="82"/>
      <c r="N836" s="82"/>
      <c r="O836" s="83"/>
      <c r="P836"/>
      <c r="Q836"/>
      <c r="R836"/>
      <c r="S836"/>
      <c r="U836" s="84"/>
      <c r="V836" s="80"/>
      <c r="W836" s="82"/>
      <c r="X836" s="82"/>
      <c r="Y836" s="94"/>
      <c r="Z836" s="86"/>
      <c r="AA836" s="86"/>
      <c r="AB836" s="86"/>
      <c r="AQ836" s="80"/>
      <c r="AR836" s="80"/>
    </row>
    <row r="837" spans="1:44" ht="15" thickBot="1">
      <c r="A837" s="174"/>
      <c r="B837" s="175" t="s">
        <v>618</v>
      </c>
      <c r="D837" s="97">
        <f>SUM(D835:D836)</f>
        <v>-0.16826666666758683</v>
      </c>
      <c r="E837" s="96"/>
      <c r="F837" s="97">
        <f>SUM(F835:F836)</f>
        <v>-0.16826666666758683</v>
      </c>
      <c r="G837" s="80"/>
      <c r="H837" s="98">
        <f>SUM(H835:H836)</f>
        <v>-0.16826666666758683</v>
      </c>
      <c r="I837" s="99">
        <f>SUM(I835:I836)</f>
        <v>0</v>
      </c>
      <c r="J837" s="99">
        <f>SUM(J835:J836)</f>
        <v>0</v>
      </c>
      <c r="K837" s="80"/>
      <c r="L837" s="99">
        <f>SUM(L835:L836)</f>
        <v>-0.16826666666758683</v>
      </c>
      <c r="M837" s="99">
        <f>SUM(M835:M836)</f>
        <v>0</v>
      </c>
      <c r="N837" s="99">
        <f>SUM(N835:N836)</f>
        <v>0</v>
      </c>
      <c r="O837" s="100"/>
      <c r="P837"/>
      <c r="Q837"/>
      <c r="R837"/>
      <c r="S837"/>
      <c r="U837" s="101"/>
      <c r="V837" s="80"/>
      <c r="W837" s="102"/>
      <c r="X837" s="102"/>
      <c r="Y837" s="94"/>
      <c r="Z837" s="86"/>
      <c r="AA837" s="86"/>
      <c r="AB837" s="86"/>
      <c r="AQ837" s="80"/>
      <c r="AR837" s="80"/>
    </row>
    <row r="838" spans="1:44" ht="5.0999999999999996" customHeight="1" thickTop="1">
      <c r="A838" s="105"/>
      <c r="B838" s="71"/>
      <c r="D838" s="79"/>
      <c r="E838" s="80"/>
      <c r="F838" s="79"/>
      <c r="G838" s="80"/>
      <c r="H838" s="81"/>
      <c r="I838" s="81"/>
      <c r="J838" s="81"/>
      <c r="K838" s="80"/>
      <c r="L838" s="82"/>
      <c r="M838" s="82"/>
      <c r="N838" s="82"/>
      <c r="O838" s="83"/>
      <c r="P838"/>
      <c r="Q838"/>
      <c r="R838"/>
      <c r="S838"/>
      <c r="U838" s="84"/>
      <c r="V838" s="80"/>
      <c r="W838" s="82"/>
      <c r="X838" s="82"/>
      <c r="Y838" s="94"/>
      <c r="Z838" s="86"/>
      <c r="AA838" s="86"/>
      <c r="AB838" s="86"/>
      <c r="AQ838" s="80"/>
      <c r="AR838" s="80"/>
    </row>
    <row r="839" spans="1:44" ht="14.4">
      <c r="A839" s="70">
        <v>207010</v>
      </c>
      <c r="B839" s="78" t="str">
        <f>VLOOKUP(A839,'TB for financial'!A:B,2,0)</f>
        <v>Dividends Payable</v>
      </c>
      <c r="D839" s="79">
        <f>-VLOOKUP(A839,'TB for financial'!A:F,6,0)</f>
        <v>0</v>
      </c>
      <c r="E839" s="80"/>
      <c r="F839" s="79">
        <f>-VLOOKUP(A839,'TB for financial'!A:K,11,0)</f>
        <v>0</v>
      </c>
      <c r="G839" s="80"/>
      <c r="H839" s="81">
        <f>D839-I839</f>
        <v>0</v>
      </c>
      <c r="I839" s="81">
        <v>0</v>
      </c>
      <c r="J839" s="81">
        <f>+D839-H839-I839</f>
        <v>0</v>
      </c>
      <c r="K839" s="80"/>
      <c r="L839" s="82">
        <f>F839-M839</f>
        <v>0</v>
      </c>
      <c r="M839" s="82">
        <v>0</v>
      </c>
      <c r="N839" s="82">
        <f t="shared" si="188"/>
        <v>0</v>
      </c>
      <c r="O839" s="83"/>
      <c r="P839"/>
      <c r="Q839"/>
      <c r="R839"/>
      <c r="S839"/>
      <c r="U839" s="84"/>
      <c r="V839" s="80"/>
      <c r="W839" s="82"/>
      <c r="X839" s="82"/>
      <c r="Y839" s="94" t="s">
        <v>616</v>
      </c>
      <c r="Z839" s="86" t="s">
        <v>572</v>
      </c>
      <c r="AA839" s="86" t="s">
        <v>40</v>
      </c>
      <c r="AB839" s="86"/>
      <c r="AC839" s="87">
        <v>0</v>
      </c>
      <c r="AD839" s="88">
        <f>+D839-AC839</f>
        <v>0</v>
      </c>
      <c r="AF839" s="54">
        <v>207010</v>
      </c>
      <c r="AQ839" s="80"/>
      <c r="AR839" s="80">
        <f>D839</f>
        <v>0</v>
      </c>
    </row>
    <row r="840" spans="1:44" ht="14.4">
      <c r="A840" s="1373">
        <v>457000</v>
      </c>
      <c r="B840" s="78" t="str">
        <f>VLOOKUP(A840,'TB for financial'!A:B,2,0)</f>
        <v>DIVIDENDS TO BE PAID</v>
      </c>
      <c r="D840" s="79">
        <f>-VLOOKUP(A840,'TB for financial'!A:F,6,0)</f>
        <v>0</v>
      </c>
      <c r="E840" s="80"/>
      <c r="F840" s="79">
        <f>-VLOOKUP(A840,'TB for financial'!A:K,11,0)</f>
        <v>0</v>
      </c>
      <c r="G840" s="80"/>
      <c r="H840" s="81">
        <f>D840-I840</f>
        <v>0</v>
      </c>
      <c r="I840" s="81">
        <v>0</v>
      </c>
      <c r="J840" s="81">
        <f>+D840-H840-I840</f>
        <v>0</v>
      </c>
      <c r="K840" s="80"/>
      <c r="L840" s="82">
        <f>F840-M840</f>
        <v>0</v>
      </c>
      <c r="M840" s="82">
        <v>0</v>
      </c>
      <c r="N840" s="82">
        <f>+F840-L840-M840</f>
        <v>0</v>
      </c>
      <c r="O840" s="83"/>
      <c r="P840"/>
      <c r="Q840"/>
      <c r="R840"/>
      <c r="S840"/>
      <c r="U840" s="84"/>
      <c r="V840" s="80"/>
      <c r="W840" s="82"/>
      <c r="X840" s="82"/>
      <c r="Y840" s="94" t="s">
        <v>616</v>
      </c>
      <c r="Z840" s="86" t="s">
        <v>572</v>
      </c>
      <c r="AA840" s="86" t="s">
        <v>40</v>
      </c>
      <c r="AB840" s="86"/>
      <c r="AC840" s="87">
        <v>0</v>
      </c>
      <c r="AD840" s="88">
        <f>+D840-AC840</f>
        <v>0</v>
      </c>
      <c r="AF840" s="54">
        <v>207010</v>
      </c>
      <c r="AQ840" s="80"/>
      <c r="AR840" s="80">
        <f>D840</f>
        <v>0</v>
      </c>
    </row>
    <row r="841" spans="1:44" ht="5.0999999999999996" customHeight="1">
      <c r="A841" s="70"/>
      <c r="B841" s="78"/>
      <c r="D841" s="79"/>
      <c r="E841" s="80"/>
      <c r="F841" s="79"/>
      <c r="G841" s="80"/>
      <c r="H841" s="81"/>
      <c r="I841" s="81"/>
      <c r="J841" s="81"/>
      <c r="K841" s="80"/>
      <c r="L841" s="82"/>
      <c r="M841" s="82"/>
      <c r="N841" s="82"/>
      <c r="O841" s="83"/>
      <c r="P841"/>
      <c r="Q841"/>
      <c r="R841"/>
      <c r="S841"/>
      <c r="U841" s="84"/>
      <c r="V841" s="80"/>
      <c r="W841" s="82"/>
      <c r="X841" s="82"/>
      <c r="Y841" s="94"/>
      <c r="Z841" s="86"/>
      <c r="AA841" s="86"/>
      <c r="AB841" s="86"/>
      <c r="AQ841" s="80"/>
      <c r="AR841" s="80"/>
    </row>
    <row r="842" spans="1:44" ht="15" thickBot="1">
      <c r="A842" s="105"/>
      <c r="B842" s="71" t="s">
        <v>619</v>
      </c>
      <c r="D842" s="1646">
        <f>SUM(D839:D841)</f>
        <v>0</v>
      </c>
      <c r="E842" s="96"/>
      <c r="F842" s="97">
        <f>SUM(F839:F841)</f>
        <v>0</v>
      </c>
      <c r="G842" s="80"/>
      <c r="H842" s="1646">
        <f>SUM(H839:H841)</f>
        <v>0</v>
      </c>
      <c r="I842" s="99">
        <f>SUM(I839:I841)</f>
        <v>0</v>
      </c>
      <c r="J842" s="99">
        <f>SUM(J839:J841)</f>
        <v>0</v>
      </c>
      <c r="K842" s="80"/>
      <c r="L842" s="99">
        <f>SUM(L839:L841)</f>
        <v>0</v>
      </c>
      <c r="M842" s="99">
        <f>SUM(M839:M841)</f>
        <v>0</v>
      </c>
      <c r="N842" s="99">
        <f>SUM(N839:N841)</f>
        <v>0</v>
      </c>
      <c r="O842" s="100"/>
      <c r="P842"/>
      <c r="Q842"/>
      <c r="R842"/>
      <c r="S842"/>
      <c r="U842" s="101"/>
      <c r="V842" s="80"/>
      <c r="W842" s="102"/>
      <c r="X842" s="102"/>
      <c r="Y842" s="94"/>
      <c r="Z842" s="86"/>
      <c r="AA842" s="86"/>
      <c r="AB842" s="86"/>
      <c r="AQ842" s="80"/>
      <c r="AR842" s="80"/>
    </row>
    <row r="843" spans="1:44" ht="5.0999999999999996" customHeight="1" thickTop="1">
      <c r="A843" s="105"/>
      <c r="B843" s="71"/>
      <c r="D843" s="79"/>
      <c r="E843" s="80"/>
      <c r="F843" s="79"/>
      <c r="G843" s="80"/>
      <c r="H843" s="81"/>
      <c r="I843" s="81"/>
      <c r="J843" s="81"/>
      <c r="K843" s="80"/>
      <c r="L843" s="82"/>
      <c r="M843" s="82"/>
      <c r="N843" s="82"/>
      <c r="O843" s="83"/>
      <c r="P843"/>
      <c r="Q843"/>
      <c r="R843"/>
      <c r="S843"/>
      <c r="U843" s="84"/>
      <c r="V843" s="80"/>
      <c r="W843" s="82"/>
      <c r="X843" s="82"/>
      <c r="Y843" s="94"/>
      <c r="Z843" s="86"/>
      <c r="AA843" s="86"/>
      <c r="AB843" s="86"/>
      <c r="AQ843" s="80"/>
      <c r="AR843" s="80"/>
    </row>
    <row r="844" spans="1:44" ht="14.4">
      <c r="A844" s="70">
        <v>210110</v>
      </c>
      <c r="B844" s="78" t="str">
        <f>VLOOKUP(A844,'TB for financial'!A:B,2,0)</f>
        <v>Due to India</v>
      </c>
      <c r="D844" s="79">
        <f>-VLOOKUP(A844,'TB for financial'!A:F,6,0)</f>
        <v>20714115838.976997</v>
      </c>
      <c r="E844" s="80"/>
      <c r="F844" s="79">
        <f>-VLOOKUP(A844,'TB for financial'!A:K,11,0)</f>
        <v>20714115838.976997</v>
      </c>
      <c r="G844" s="80"/>
      <c r="H844" s="81">
        <f t="shared" ref="H844:H865" si="189">D844-I844</f>
        <v>20714115838.976997</v>
      </c>
      <c r="I844" s="81">
        <v>0</v>
      </c>
      <c r="J844" s="81">
        <f t="shared" ref="J844:J865" si="190">+D844-H844-I844</f>
        <v>0</v>
      </c>
      <c r="K844" s="80"/>
      <c r="L844" s="82">
        <f t="shared" ref="L844:L865" si="191">F844-M844</f>
        <v>20714115838.976997</v>
      </c>
      <c r="M844" s="82">
        <v>0</v>
      </c>
      <c r="N844" s="82">
        <f t="shared" si="188"/>
        <v>0</v>
      </c>
      <c r="O844" s="83"/>
      <c r="P844"/>
      <c r="Q844"/>
      <c r="R844"/>
      <c r="S844"/>
      <c r="U844" s="84" t="s">
        <v>530</v>
      </c>
      <c r="V844" s="80"/>
      <c r="W844" s="82" t="s">
        <v>562</v>
      </c>
      <c r="X844" s="82"/>
      <c r="Y844" s="94" t="s">
        <v>603</v>
      </c>
      <c r="Z844" s="86" t="s">
        <v>572</v>
      </c>
      <c r="AA844" s="86" t="s">
        <v>40</v>
      </c>
      <c r="AB844" s="86" t="s">
        <v>40</v>
      </c>
      <c r="AC844" s="87">
        <v>0</v>
      </c>
      <c r="AD844" s="88">
        <f t="shared" ref="AD844:AD865" si="192">+D844-AC844</f>
        <v>20714115838.976997</v>
      </c>
      <c r="AF844" s="54">
        <v>210110</v>
      </c>
      <c r="AQ844" s="80"/>
      <c r="AR844" s="80">
        <f>D844</f>
        <v>20714115838.976997</v>
      </c>
    </row>
    <row r="845" spans="1:44" ht="14.4">
      <c r="A845" s="92">
        <v>210111</v>
      </c>
      <c r="B845" s="78" t="str">
        <f>VLOOKUP(A845,'TB for financial'!A:B,2,0)</f>
        <v>Due to Syntel Australia</v>
      </c>
      <c r="D845" s="79">
        <f>-VLOOKUP(A845,'TB for financial'!A:F,6,0)</f>
        <v>0</v>
      </c>
      <c r="E845" s="80"/>
      <c r="F845" s="79">
        <f>-VLOOKUP(A845,'TB for financial'!A:K,11,0)</f>
        <v>0</v>
      </c>
      <c r="G845" s="80"/>
      <c r="H845" s="81">
        <f t="shared" si="189"/>
        <v>0</v>
      </c>
      <c r="I845" s="81">
        <v>0</v>
      </c>
      <c r="J845" s="81">
        <f t="shared" si="190"/>
        <v>0</v>
      </c>
      <c r="K845" s="80"/>
      <c r="L845" s="82">
        <f t="shared" si="191"/>
        <v>0</v>
      </c>
      <c r="M845" s="82">
        <v>0</v>
      </c>
      <c r="N845" s="82">
        <f t="shared" si="188"/>
        <v>0</v>
      </c>
      <c r="O845" s="83"/>
      <c r="P845"/>
      <c r="Q845"/>
      <c r="R845"/>
      <c r="S845"/>
      <c r="U845" s="84" t="s">
        <v>530</v>
      </c>
      <c r="V845" s="80"/>
      <c r="W845" s="82" t="s">
        <v>562</v>
      </c>
      <c r="X845" s="82"/>
      <c r="Y845" s="94" t="s">
        <v>603</v>
      </c>
      <c r="Z845" s="86" t="s">
        <v>572</v>
      </c>
      <c r="AA845" s="86" t="s">
        <v>40</v>
      </c>
      <c r="AB845" s="86" t="s">
        <v>40</v>
      </c>
      <c r="AC845" s="87">
        <v>0</v>
      </c>
      <c r="AD845" s="88">
        <f t="shared" si="192"/>
        <v>0</v>
      </c>
      <c r="AF845" s="54">
        <v>210111</v>
      </c>
      <c r="AQ845" s="80"/>
      <c r="AR845" s="80"/>
    </row>
    <row r="846" spans="1:44" ht="14.4">
      <c r="A846" s="92">
        <v>210112</v>
      </c>
      <c r="B846" s="78" t="str">
        <f>VLOOKUP(A846,'TB for financial'!A:B,2,0)</f>
        <v>Due from Syntel Australia</v>
      </c>
      <c r="D846" s="79">
        <f>-VLOOKUP(A846,'TB for financial'!A:F,6,0)</f>
        <v>0</v>
      </c>
      <c r="E846" s="80"/>
      <c r="F846" s="79">
        <f>-VLOOKUP(A846,'TB for financial'!A:K,11,0)</f>
        <v>0</v>
      </c>
      <c r="G846" s="80"/>
      <c r="H846" s="81">
        <f t="shared" si="189"/>
        <v>0</v>
      </c>
      <c r="I846" s="81">
        <v>0</v>
      </c>
      <c r="J846" s="81">
        <f t="shared" si="190"/>
        <v>0</v>
      </c>
      <c r="K846" s="80"/>
      <c r="L846" s="82">
        <f t="shared" si="191"/>
        <v>0</v>
      </c>
      <c r="M846" s="82">
        <v>0</v>
      </c>
      <c r="N846" s="82">
        <f t="shared" si="188"/>
        <v>0</v>
      </c>
      <c r="O846" s="83"/>
      <c r="P846"/>
      <c r="Q846"/>
      <c r="R846"/>
      <c r="S846"/>
      <c r="U846" s="84" t="s">
        <v>530</v>
      </c>
      <c r="V846" s="80"/>
      <c r="W846" s="82" t="s">
        <v>562</v>
      </c>
      <c r="X846" s="82"/>
      <c r="Y846" s="94" t="s">
        <v>603</v>
      </c>
      <c r="Z846" s="86" t="s">
        <v>572</v>
      </c>
      <c r="AA846" s="86" t="s">
        <v>40</v>
      </c>
      <c r="AB846" s="86" t="s">
        <v>40</v>
      </c>
      <c r="AC846" s="87">
        <v>0</v>
      </c>
      <c r="AD846" s="88">
        <f t="shared" si="192"/>
        <v>0</v>
      </c>
      <c r="AF846" s="54">
        <v>210112</v>
      </c>
      <c r="AQ846" s="80"/>
      <c r="AR846" s="80"/>
    </row>
    <row r="847" spans="1:44" ht="14.4">
      <c r="A847" s="70">
        <v>210115</v>
      </c>
      <c r="B847" s="78" t="str">
        <f>VLOOKUP(A847,'TB for financial'!A:B,2,0)</f>
        <v>Due from India</v>
      </c>
      <c r="D847" s="79">
        <f>-VLOOKUP(A847,'TB for financial'!A:F,6,0)</f>
        <v>-20714115839.927002</v>
      </c>
      <c r="E847" s="80"/>
      <c r="F847" s="79">
        <f>-VLOOKUP(A847,'TB for financial'!A:K,11,0)</f>
        <v>-20714115839.927002</v>
      </c>
      <c r="G847" s="80"/>
      <c r="H847" s="81">
        <f t="shared" si="189"/>
        <v>-20714115839.927002</v>
      </c>
      <c r="I847" s="81">
        <v>0</v>
      </c>
      <c r="J847" s="81">
        <f t="shared" si="190"/>
        <v>0</v>
      </c>
      <c r="K847" s="80"/>
      <c r="L847" s="82">
        <f t="shared" si="191"/>
        <v>-20714115839.927002</v>
      </c>
      <c r="M847" s="82">
        <v>0</v>
      </c>
      <c r="N847" s="82">
        <f t="shared" si="188"/>
        <v>0</v>
      </c>
      <c r="O847" s="83"/>
      <c r="P847"/>
      <c r="Q847"/>
      <c r="R847"/>
      <c r="S847"/>
      <c r="U847" s="84" t="s">
        <v>530</v>
      </c>
      <c r="V847" s="80"/>
      <c r="W847" s="82" t="s">
        <v>562</v>
      </c>
      <c r="X847" s="82"/>
      <c r="Y847" s="94" t="s">
        <v>603</v>
      </c>
      <c r="Z847" s="86" t="s">
        <v>572</v>
      </c>
      <c r="AA847" s="86" t="s">
        <v>40</v>
      </c>
      <c r="AB847" s="86" t="s">
        <v>40</v>
      </c>
      <c r="AC847" s="87">
        <v>0</v>
      </c>
      <c r="AD847" s="88">
        <f t="shared" si="192"/>
        <v>-20714115839.927002</v>
      </c>
      <c r="AF847" s="54">
        <v>210115</v>
      </c>
      <c r="AQ847" s="80"/>
      <c r="AR847" s="80">
        <f>D847</f>
        <v>-20714115839.927002</v>
      </c>
    </row>
    <row r="848" spans="1:44" ht="14.4">
      <c r="A848" s="70">
        <v>210120</v>
      </c>
      <c r="B848" s="78" t="str">
        <f>VLOOKUP(A848,'TB for financial'!A:B,2,0)</f>
        <v>Due to Europe</v>
      </c>
      <c r="D848" s="79">
        <f>-VLOOKUP(A848,'TB for financial'!A:F,6,0)</f>
        <v>0</v>
      </c>
      <c r="E848" s="80"/>
      <c r="F848" s="79">
        <f>-VLOOKUP(A848,'TB for financial'!A:K,11,0)</f>
        <v>0</v>
      </c>
      <c r="G848" s="80"/>
      <c r="H848" s="81">
        <f t="shared" si="189"/>
        <v>0</v>
      </c>
      <c r="I848" s="81">
        <v>0</v>
      </c>
      <c r="J848" s="81">
        <f t="shared" si="190"/>
        <v>0</v>
      </c>
      <c r="K848" s="80"/>
      <c r="L848" s="82">
        <f t="shared" si="191"/>
        <v>0</v>
      </c>
      <c r="M848" s="82">
        <v>0</v>
      </c>
      <c r="N848" s="82">
        <f t="shared" si="188"/>
        <v>0</v>
      </c>
      <c r="O848" s="83"/>
      <c r="P848"/>
      <c r="Q848"/>
      <c r="R848"/>
      <c r="S848"/>
      <c r="U848" s="84" t="s">
        <v>530</v>
      </c>
      <c r="V848" s="80"/>
      <c r="W848" s="82" t="s">
        <v>562</v>
      </c>
      <c r="X848" s="82"/>
      <c r="Y848" s="94" t="s">
        <v>603</v>
      </c>
      <c r="Z848" s="86" t="s">
        <v>572</v>
      </c>
      <c r="AA848" s="86" t="s">
        <v>40</v>
      </c>
      <c r="AB848" s="86" t="s">
        <v>40</v>
      </c>
      <c r="AC848" s="87">
        <v>0</v>
      </c>
      <c r="AD848" s="88">
        <f t="shared" si="192"/>
        <v>0</v>
      </c>
      <c r="AF848" s="54">
        <v>210120</v>
      </c>
      <c r="AQ848" s="80"/>
      <c r="AR848" s="80"/>
    </row>
    <row r="849" spans="1:44" ht="14.4">
      <c r="A849" s="70">
        <v>210125</v>
      </c>
      <c r="B849" s="78" t="str">
        <f>VLOOKUP(A849,'TB for financial'!A:B,2,0)</f>
        <v>Due from Europe</v>
      </c>
      <c r="D849" s="79">
        <f>-VLOOKUP(A849,'TB for financial'!A:F,6,0)</f>
        <v>0</v>
      </c>
      <c r="E849" s="80"/>
      <c r="F849" s="79">
        <f>-VLOOKUP(A849,'TB for financial'!A:K,11,0)</f>
        <v>0</v>
      </c>
      <c r="G849" s="80"/>
      <c r="H849" s="81">
        <f t="shared" si="189"/>
        <v>0</v>
      </c>
      <c r="I849" s="81">
        <v>0</v>
      </c>
      <c r="J849" s="81">
        <f t="shared" si="190"/>
        <v>0</v>
      </c>
      <c r="K849" s="80"/>
      <c r="L849" s="82">
        <f t="shared" si="191"/>
        <v>0</v>
      </c>
      <c r="M849" s="82">
        <v>0</v>
      </c>
      <c r="N849" s="82">
        <f t="shared" si="188"/>
        <v>0</v>
      </c>
      <c r="O849" s="83"/>
      <c r="P849"/>
      <c r="Q849"/>
      <c r="R849"/>
      <c r="S849"/>
      <c r="U849" s="84" t="s">
        <v>530</v>
      </c>
      <c r="V849" s="80"/>
      <c r="W849" s="82" t="s">
        <v>562</v>
      </c>
      <c r="X849" s="82"/>
      <c r="Y849" s="94" t="s">
        <v>603</v>
      </c>
      <c r="Z849" s="86" t="s">
        <v>572</v>
      </c>
      <c r="AA849" s="86" t="s">
        <v>40</v>
      </c>
      <c r="AB849" s="86" t="s">
        <v>40</v>
      </c>
      <c r="AC849" s="87">
        <v>0</v>
      </c>
      <c r="AD849" s="88">
        <f t="shared" si="192"/>
        <v>0</v>
      </c>
      <c r="AF849" s="54">
        <v>210125</v>
      </c>
      <c r="AQ849" s="80"/>
      <c r="AR849" s="80"/>
    </row>
    <row r="850" spans="1:44" ht="14.4">
      <c r="A850" s="70">
        <v>210130</v>
      </c>
      <c r="B850" s="78" t="str">
        <f>VLOOKUP(A850,'TB for financial'!A:B,2,0)</f>
        <v>Due to Singapore</v>
      </c>
      <c r="D850" s="79">
        <f>-VLOOKUP(A850,'TB for financial'!A:F,6,0)</f>
        <v>0</v>
      </c>
      <c r="E850" s="80"/>
      <c r="F850" s="79">
        <f>-VLOOKUP(A850,'TB for financial'!A:K,11,0)</f>
        <v>0</v>
      </c>
      <c r="G850" s="80"/>
      <c r="H850" s="81">
        <f t="shared" si="189"/>
        <v>0</v>
      </c>
      <c r="I850" s="81">
        <v>0</v>
      </c>
      <c r="J850" s="81">
        <f t="shared" si="190"/>
        <v>0</v>
      </c>
      <c r="K850" s="80"/>
      <c r="L850" s="82">
        <f t="shared" si="191"/>
        <v>0</v>
      </c>
      <c r="M850" s="82">
        <v>0</v>
      </c>
      <c r="N850" s="82">
        <f t="shared" si="188"/>
        <v>0</v>
      </c>
      <c r="O850" s="83"/>
      <c r="P850"/>
      <c r="Q850"/>
      <c r="R850"/>
      <c r="S850"/>
      <c r="U850" s="84" t="s">
        <v>530</v>
      </c>
      <c r="V850" s="80"/>
      <c r="W850" s="82" t="s">
        <v>562</v>
      </c>
      <c r="X850" s="82"/>
      <c r="Y850" s="94" t="s">
        <v>603</v>
      </c>
      <c r="Z850" s="86" t="s">
        <v>572</v>
      </c>
      <c r="AA850" s="86" t="s">
        <v>40</v>
      </c>
      <c r="AB850" s="86" t="s">
        <v>40</v>
      </c>
      <c r="AC850" s="87">
        <v>0</v>
      </c>
      <c r="AD850" s="88">
        <f t="shared" si="192"/>
        <v>0</v>
      </c>
      <c r="AF850" s="54">
        <v>210130</v>
      </c>
      <c r="AQ850" s="80"/>
      <c r="AR850" s="80"/>
    </row>
    <row r="851" spans="1:44" ht="14.4">
      <c r="A851" s="70">
        <v>210135</v>
      </c>
      <c r="B851" s="78" t="str">
        <f>VLOOKUP(A851,'TB for financial'!A:B,2,0)</f>
        <v>Due from Singapore</v>
      </c>
      <c r="D851" s="79">
        <f>-VLOOKUP(A851,'TB for financial'!A:F,6,0)</f>
        <v>0</v>
      </c>
      <c r="E851" s="80"/>
      <c r="F851" s="79">
        <f>-VLOOKUP(A851,'TB for financial'!A:K,11,0)</f>
        <v>0</v>
      </c>
      <c r="G851" s="80"/>
      <c r="H851" s="81">
        <f t="shared" si="189"/>
        <v>0</v>
      </c>
      <c r="I851" s="81">
        <v>0</v>
      </c>
      <c r="J851" s="81">
        <f t="shared" si="190"/>
        <v>0</v>
      </c>
      <c r="K851" s="80"/>
      <c r="L851" s="82">
        <f t="shared" si="191"/>
        <v>0</v>
      </c>
      <c r="M851" s="82">
        <v>0</v>
      </c>
      <c r="N851" s="82">
        <f t="shared" si="188"/>
        <v>0</v>
      </c>
      <c r="O851" s="83"/>
      <c r="P851"/>
      <c r="Q851"/>
      <c r="R851"/>
      <c r="S851"/>
      <c r="U851" s="84" t="s">
        <v>530</v>
      </c>
      <c r="V851" s="80"/>
      <c r="W851" s="82" t="s">
        <v>562</v>
      </c>
      <c r="X851" s="82"/>
      <c r="Y851" s="94" t="s">
        <v>603</v>
      </c>
      <c r="Z851" s="86" t="s">
        <v>572</v>
      </c>
      <c r="AA851" s="86" t="s">
        <v>40</v>
      </c>
      <c r="AB851" s="86" t="s">
        <v>40</v>
      </c>
      <c r="AC851" s="87">
        <v>0</v>
      </c>
      <c r="AD851" s="88">
        <f t="shared" si="192"/>
        <v>0</v>
      </c>
      <c r="AF851" s="54">
        <v>210135</v>
      </c>
      <c r="AQ851" s="80"/>
      <c r="AR851" s="80"/>
    </row>
    <row r="852" spans="1:44" ht="14.4">
      <c r="A852" s="70">
        <v>210140</v>
      </c>
      <c r="B852" s="78" t="str">
        <f>VLOOKUP(A852,'TB for financial'!A:B,2,0)</f>
        <v>Due to Syntel Canada</v>
      </c>
      <c r="D852" s="79">
        <f>-VLOOKUP(A852,'TB for financial'!A:F,6,0)</f>
        <v>0</v>
      </c>
      <c r="E852" s="80"/>
      <c r="F852" s="79">
        <f>-VLOOKUP(A852,'TB for financial'!A:K,11,0)</f>
        <v>0</v>
      </c>
      <c r="G852" s="80"/>
      <c r="H852" s="81">
        <f t="shared" si="189"/>
        <v>0</v>
      </c>
      <c r="I852" s="81">
        <v>0</v>
      </c>
      <c r="J852" s="81">
        <f t="shared" si="190"/>
        <v>0</v>
      </c>
      <c r="K852" s="80"/>
      <c r="L852" s="82">
        <f t="shared" si="191"/>
        <v>0</v>
      </c>
      <c r="M852" s="82">
        <v>0</v>
      </c>
      <c r="N852" s="82">
        <f t="shared" si="188"/>
        <v>0</v>
      </c>
      <c r="O852" s="83"/>
      <c r="P852"/>
      <c r="Q852"/>
      <c r="R852"/>
      <c r="S852"/>
      <c r="U852" s="84" t="s">
        <v>530</v>
      </c>
      <c r="V852" s="80"/>
      <c r="W852" s="82" t="s">
        <v>562</v>
      </c>
      <c r="X852" s="82"/>
      <c r="Y852" s="94" t="s">
        <v>603</v>
      </c>
      <c r="Z852" s="86" t="s">
        <v>572</v>
      </c>
      <c r="AA852" s="86" t="s">
        <v>40</v>
      </c>
      <c r="AB852" s="86" t="s">
        <v>40</v>
      </c>
      <c r="AC852" s="87">
        <v>0</v>
      </c>
      <c r="AD852" s="88">
        <f t="shared" si="192"/>
        <v>0</v>
      </c>
      <c r="AF852" s="54">
        <v>210140</v>
      </c>
      <c r="AQ852" s="80"/>
      <c r="AR852" s="80"/>
    </row>
    <row r="853" spans="1:44" ht="14.4">
      <c r="A853" s="70">
        <v>210150</v>
      </c>
      <c r="B853" s="78" t="str">
        <f>VLOOKUP(A853,'TB for financial'!A:B,2,0)</f>
        <v>Due to Syntel Germany</v>
      </c>
      <c r="D853" s="79">
        <f>-VLOOKUP(A853,'TB for financial'!A:F,6,0)</f>
        <v>0</v>
      </c>
      <c r="E853" s="80"/>
      <c r="F853" s="79">
        <f>-VLOOKUP(A853,'TB for financial'!A:K,11,0)</f>
        <v>0</v>
      </c>
      <c r="G853" s="80"/>
      <c r="H853" s="81">
        <f t="shared" si="189"/>
        <v>0</v>
      </c>
      <c r="I853" s="81">
        <v>0</v>
      </c>
      <c r="J853" s="81">
        <f t="shared" si="190"/>
        <v>0</v>
      </c>
      <c r="K853" s="80"/>
      <c r="L853" s="82">
        <f t="shared" si="191"/>
        <v>0</v>
      </c>
      <c r="M853" s="82">
        <v>0</v>
      </c>
      <c r="N853" s="82">
        <f t="shared" si="188"/>
        <v>0</v>
      </c>
      <c r="O853" s="83"/>
      <c r="P853"/>
      <c r="Q853"/>
      <c r="R853"/>
      <c r="S853"/>
      <c r="U853" s="84" t="s">
        <v>530</v>
      </c>
      <c r="V853" s="80"/>
      <c r="W853" s="82" t="s">
        <v>562</v>
      </c>
      <c r="X853" s="82"/>
      <c r="Y853" s="94" t="s">
        <v>603</v>
      </c>
      <c r="Z853" s="86" t="s">
        <v>572</v>
      </c>
      <c r="AA853" s="86" t="s">
        <v>40</v>
      </c>
      <c r="AB853" s="86" t="s">
        <v>40</v>
      </c>
      <c r="AC853" s="87">
        <v>0</v>
      </c>
      <c r="AD853" s="88">
        <f t="shared" si="192"/>
        <v>0</v>
      </c>
      <c r="AF853" s="54">
        <v>210150</v>
      </c>
      <c r="AQ853" s="80"/>
      <c r="AR853" s="80"/>
    </row>
    <row r="854" spans="1:44" ht="14.4">
      <c r="A854" s="70">
        <v>210155</v>
      </c>
      <c r="B854" s="78" t="str">
        <f>VLOOKUP(A854,'TB for financial'!A:B,2,0)</f>
        <v>Due from Syntel Germany</v>
      </c>
      <c r="D854" s="79">
        <f>-VLOOKUP(A854,'TB for financial'!A:F,6,0)</f>
        <v>0</v>
      </c>
      <c r="E854" s="80"/>
      <c r="F854" s="79">
        <f>-VLOOKUP(A854,'TB for financial'!A:K,11,0)</f>
        <v>0</v>
      </c>
      <c r="G854" s="80"/>
      <c r="H854" s="81">
        <f t="shared" si="189"/>
        <v>0</v>
      </c>
      <c r="I854" s="81">
        <v>0</v>
      </c>
      <c r="J854" s="81">
        <f t="shared" si="190"/>
        <v>0</v>
      </c>
      <c r="K854" s="80"/>
      <c r="L854" s="82">
        <f t="shared" si="191"/>
        <v>0</v>
      </c>
      <c r="M854" s="82">
        <v>0</v>
      </c>
      <c r="N854" s="82">
        <f t="shared" si="188"/>
        <v>0</v>
      </c>
      <c r="O854" s="83"/>
      <c r="P854"/>
      <c r="Q854"/>
      <c r="R854"/>
      <c r="S854"/>
      <c r="U854" s="84" t="s">
        <v>530</v>
      </c>
      <c r="V854" s="80"/>
      <c r="W854" s="82" t="s">
        <v>562</v>
      </c>
      <c r="X854" s="82"/>
      <c r="Y854" s="94" t="s">
        <v>603</v>
      </c>
      <c r="Z854" s="86" t="s">
        <v>572</v>
      </c>
      <c r="AA854" s="86" t="s">
        <v>40</v>
      </c>
      <c r="AB854" s="86" t="s">
        <v>40</v>
      </c>
      <c r="AC854" s="87">
        <v>0</v>
      </c>
      <c r="AD854" s="88">
        <f t="shared" si="192"/>
        <v>0</v>
      </c>
      <c r="AF854" s="54">
        <v>210155</v>
      </c>
      <c r="AQ854" s="80"/>
      <c r="AR854" s="80"/>
    </row>
    <row r="855" spans="1:44" ht="14.4">
      <c r="A855" s="70">
        <v>210160</v>
      </c>
      <c r="B855" s="78" t="str">
        <f>VLOOKUP(A855,'TB for financial'!A:B,2,0)</f>
        <v>Due to Syntel Inc.</v>
      </c>
      <c r="D855" s="79">
        <f>-VLOOKUP(A855,'TB for financial'!A:F,6,0)</f>
        <v>0</v>
      </c>
      <c r="E855" s="80"/>
      <c r="F855" s="79">
        <f>-VLOOKUP(A855,'TB for financial'!A:K,11,0)</f>
        <v>0</v>
      </c>
      <c r="G855" s="80"/>
      <c r="H855" s="81">
        <f t="shared" si="189"/>
        <v>0</v>
      </c>
      <c r="I855" s="81">
        <v>0</v>
      </c>
      <c r="J855" s="81">
        <f t="shared" si="190"/>
        <v>0</v>
      </c>
      <c r="K855" s="80"/>
      <c r="L855" s="82">
        <f t="shared" si="191"/>
        <v>0</v>
      </c>
      <c r="M855" s="82">
        <v>0</v>
      </c>
      <c r="N855" s="82">
        <f t="shared" si="188"/>
        <v>0</v>
      </c>
      <c r="O855" s="83"/>
      <c r="P855"/>
      <c r="Q855"/>
      <c r="R855"/>
      <c r="S855"/>
      <c r="U855" s="84" t="s">
        <v>530</v>
      </c>
      <c r="V855" s="80"/>
      <c r="W855" s="82" t="s">
        <v>562</v>
      </c>
      <c r="X855" s="82"/>
      <c r="Y855" s="94" t="s">
        <v>603</v>
      </c>
      <c r="Z855" s="86" t="s">
        <v>572</v>
      </c>
      <c r="AA855" s="86" t="s">
        <v>40</v>
      </c>
      <c r="AB855" s="86" t="s">
        <v>40</v>
      </c>
      <c r="AC855" s="87">
        <v>0</v>
      </c>
      <c r="AD855" s="88">
        <f t="shared" si="192"/>
        <v>0</v>
      </c>
      <c r="AF855" s="54">
        <v>210160</v>
      </c>
      <c r="AQ855" s="80"/>
      <c r="AR855" s="80"/>
    </row>
    <row r="856" spans="1:44" ht="14.4">
      <c r="A856" s="70">
        <v>210165</v>
      </c>
      <c r="B856" s="78" t="str">
        <f>VLOOKUP(A856,'TB for financial'!A:B,2,0)</f>
        <v>Due from Syntel Inc.</v>
      </c>
      <c r="D856" s="79">
        <f>-VLOOKUP(A856,'TB for financial'!A:F,6,0)</f>
        <v>0</v>
      </c>
      <c r="E856" s="80"/>
      <c r="F856" s="79">
        <f>-VLOOKUP(A856,'TB for financial'!A:K,11,0)</f>
        <v>0</v>
      </c>
      <c r="G856" s="80"/>
      <c r="H856" s="81">
        <f t="shared" si="189"/>
        <v>0</v>
      </c>
      <c r="I856" s="81">
        <v>0</v>
      </c>
      <c r="J856" s="81">
        <f t="shared" si="190"/>
        <v>0</v>
      </c>
      <c r="K856" s="80"/>
      <c r="L856" s="82">
        <f t="shared" si="191"/>
        <v>0</v>
      </c>
      <c r="M856" s="82">
        <v>0</v>
      </c>
      <c r="N856" s="82">
        <f t="shared" si="188"/>
        <v>0</v>
      </c>
      <c r="O856" s="83"/>
      <c r="P856"/>
      <c r="Q856"/>
      <c r="R856"/>
      <c r="S856"/>
      <c r="U856" s="84" t="s">
        <v>530</v>
      </c>
      <c r="V856" s="80"/>
      <c r="W856" s="82" t="s">
        <v>562</v>
      </c>
      <c r="X856" s="82"/>
      <c r="Y856" s="94" t="s">
        <v>603</v>
      </c>
      <c r="Z856" s="86" t="s">
        <v>572</v>
      </c>
      <c r="AA856" s="86" t="s">
        <v>40</v>
      </c>
      <c r="AB856" s="86" t="s">
        <v>40</v>
      </c>
      <c r="AC856" s="87">
        <v>0</v>
      </c>
      <c r="AD856" s="88">
        <f t="shared" si="192"/>
        <v>0</v>
      </c>
      <c r="AF856" s="54">
        <v>210165</v>
      </c>
      <c r="AQ856" s="80"/>
      <c r="AR856" s="80"/>
    </row>
    <row r="857" spans="1:44" ht="14.4">
      <c r="A857" s="70">
        <v>210171</v>
      </c>
      <c r="B857" s="78" t="str">
        <f>VLOOKUP(A857,'TB for financial'!A:B,2,0)</f>
        <v>Due from SIL - Mumbai</v>
      </c>
      <c r="D857" s="79">
        <f>-VLOOKUP(A857,'TB for financial'!A:F,6,0)</f>
        <v>0</v>
      </c>
      <c r="E857" s="80"/>
      <c r="F857" s="79">
        <f>-VLOOKUP(A857,'TB for financial'!A:K,11,0)</f>
        <v>0</v>
      </c>
      <c r="G857" s="80"/>
      <c r="H857" s="81">
        <f t="shared" si="189"/>
        <v>0</v>
      </c>
      <c r="I857" s="81">
        <v>0</v>
      </c>
      <c r="J857" s="81">
        <f t="shared" si="190"/>
        <v>0</v>
      </c>
      <c r="K857" s="80"/>
      <c r="L857" s="82">
        <f t="shared" si="191"/>
        <v>0</v>
      </c>
      <c r="M857" s="82">
        <v>0</v>
      </c>
      <c r="N857" s="82">
        <f t="shared" si="188"/>
        <v>0</v>
      </c>
      <c r="O857" s="83"/>
      <c r="P857"/>
      <c r="Q857"/>
      <c r="R857"/>
      <c r="S857"/>
      <c r="U857" s="84" t="s">
        <v>530</v>
      </c>
      <c r="V857" s="80"/>
      <c r="W857" s="82" t="s">
        <v>562</v>
      </c>
      <c r="X857" s="82"/>
      <c r="Y857" s="94" t="s">
        <v>603</v>
      </c>
      <c r="Z857" s="86" t="s">
        <v>572</v>
      </c>
      <c r="AA857" s="86" t="s">
        <v>40</v>
      </c>
      <c r="AB857" s="86" t="s">
        <v>40</v>
      </c>
      <c r="AC857" s="87">
        <v>0</v>
      </c>
      <c r="AD857" s="88">
        <f t="shared" si="192"/>
        <v>0</v>
      </c>
      <c r="AF857" s="54">
        <v>210171</v>
      </c>
      <c r="AQ857" s="80"/>
      <c r="AR857" s="80"/>
    </row>
    <row r="858" spans="1:44" ht="14.4">
      <c r="A858" s="70">
        <v>210172</v>
      </c>
      <c r="B858" s="78" t="str">
        <f>VLOOKUP(A858,'TB for financial'!A:B,2,0)</f>
        <v>Due from SIL - Chennai</v>
      </c>
      <c r="D858" s="79">
        <f>-VLOOKUP(A858,'TB for financial'!A:F,6,0)</f>
        <v>0</v>
      </c>
      <c r="E858" s="80"/>
      <c r="F858" s="79">
        <f>-VLOOKUP(A858,'TB for financial'!A:K,11,0)</f>
        <v>0</v>
      </c>
      <c r="G858" s="80"/>
      <c r="H858" s="81">
        <f t="shared" si="189"/>
        <v>0</v>
      </c>
      <c r="I858" s="81">
        <v>0</v>
      </c>
      <c r="J858" s="81">
        <f t="shared" si="190"/>
        <v>0</v>
      </c>
      <c r="K858" s="80"/>
      <c r="L858" s="82">
        <f t="shared" si="191"/>
        <v>0</v>
      </c>
      <c r="M858" s="82">
        <v>0</v>
      </c>
      <c r="N858" s="82">
        <f t="shared" si="188"/>
        <v>0</v>
      </c>
      <c r="O858" s="83"/>
      <c r="P858"/>
      <c r="Q858"/>
      <c r="R858"/>
      <c r="S858"/>
      <c r="U858" s="84" t="s">
        <v>530</v>
      </c>
      <c r="V858" s="80"/>
      <c r="W858" s="82" t="s">
        <v>562</v>
      </c>
      <c r="X858" s="82"/>
      <c r="Y858" s="94" t="s">
        <v>603</v>
      </c>
      <c r="Z858" s="86" t="s">
        <v>572</v>
      </c>
      <c r="AA858" s="86" t="s">
        <v>40</v>
      </c>
      <c r="AB858" s="86" t="s">
        <v>40</v>
      </c>
      <c r="AC858" s="87">
        <v>0</v>
      </c>
      <c r="AD858" s="88">
        <f t="shared" si="192"/>
        <v>0</v>
      </c>
      <c r="AF858" s="54">
        <v>210172</v>
      </c>
      <c r="AQ858" s="80"/>
      <c r="AR858" s="80"/>
    </row>
    <row r="859" spans="1:44" ht="14.4">
      <c r="A859" s="70">
        <v>210173</v>
      </c>
      <c r="B859" s="78" t="str">
        <f>VLOOKUP(A859,'TB for financial'!A:B,2,0)</f>
        <v>Due from SIL - Pune</v>
      </c>
      <c r="D859" s="79">
        <f>-VLOOKUP(A859,'TB for financial'!A:F,6,0)</f>
        <v>0</v>
      </c>
      <c r="E859" s="80"/>
      <c r="F859" s="79">
        <f>-VLOOKUP(A859,'TB for financial'!A:K,11,0)</f>
        <v>0</v>
      </c>
      <c r="G859" s="80"/>
      <c r="H859" s="81">
        <f t="shared" si="189"/>
        <v>0</v>
      </c>
      <c r="I859" s="81">
        <v>0</v>
      </c>
      <c r="J859" s="81">
        <f t="shared" si="190"/>
        <v>0</v>
      </c>
      <c r="K859" s="80"/>
      <c r="L859" s="82">
        <f t="shared" si="191"/>
        <v>0</v>
      </c>
      <c r="M859" s="82">
        <v>0</v>
      </c>
      <c r="N859" s="82">
        <f t="shared" si="188"/>
        <v>0</v>
      </c>
      <c r="O859" s="83"/>
      <c r="P859"/>
      <c r="Q859"/>
      <c r="R859"/>
      <c r="S859"/>
      <c r="U859" s="84" t="s">
        <v>530</v>
      </c>
      <c r="V859" s="80"/>
      <c r="W859" s="82" t="s">
        <v>562</v>
      </c>
      <c r="X859" s="82"/>
      <c r="Y859" s="94" t="s">
        <v>603</v>
      </c>
      <c r="Z859" s="86" t="s">
        <v>572</v>
      </c>
      <c r="AA859" s="86" t="s">
        <v>40</v>
      </c>
      <c r="AB859" s="86" t="s">
        <v>40</v>
      </c>
      <c r="AC859" s="87">
        <v>0</v>
      </c>
      <c r="AD859" s="88">
        <f t="shared" si="192"/>
        <v>0</v>
      </c>
      <c r="AF859" s="54">
        <v>210173</v>
      </c>
      <c r="AQ859" s="80"/>
      <c r="AR859" s="80"/>
    </row>
    <row r="860" spans="1:44" ht="14.4">
      <c r="A860" s="70">
        <v>210181</v>
      </c>
      <c r="B860" s="78" t="str">
        <f>VLOOKUP(A860,'TB for financial'!A:B,2,0)</f>
        <v>Due to SIL - Mumbai</v>
      </c>
      <c r="D860" s="79">
        <f>-VLOOKUP(A860,'TB for financial'!A:F,6,0)</f>
        <v>0</v>
      </c>
      <c r="E860" s="80"/>
      <c r="F860" s="79">
        <f>-VLOOKUP(A860,'TB for financial'!A:K,11,0)</f>
        <v>0</v>
      </c>
      <c r="G860" s="80"/>
      <c r="H860" s="81">
        <f t="shared" si="189"/>
        <v>0</v>
      </c>
      <c r="I860" s="81">
        <v>0</v>
      </c>
      <c r="J860" s="81">
        <f t="shared" si="190"/>
        <v>0</v>
      </c>
      <c r="K860" s="80"/>
      <c r="L860" s="82">
        <f t="shared" si="191"/>
        <v>0</v>
      </c>
      <c r="M860" s="82">
        <v>0</v>
      </c>
      <c r="N860" s="82">
        <f t="shared" si="188"/>
        <v>0</v>
      </c>
      <c r="O860" s="83"/>
      <c r="P860"/>
      <c r="Q860"/>
      <c r="R860"/>
      <c r="S860"/>
      <c r="U860" s="84" t="s">
        <v>530</v>
      </c>
      <c r="V860" s="80"/>
      <c r="W860" s="82" t="s">
        <v>562</v>
      </c>
      <c r="X860" s="82"/>
      <c r="Y860" s="94" t="s">
        <v>603</v>
      </c>
      <c r="Z860" s="86" t="s">
        <v>572</v>
      </c>
      <c r="AA860" s="86" t="s">
        <v>40</v>
      </c>
      <c r="AB860" s="86" t="s">
        <v>40</v>
      </c>
      <c r="AC860" s="87">
        <v>0</v>
      </c>
      <c r="AD860" s="88">
        <f t="shared" si="192"/>
        <v>0</v>
      </c>
      <c r="AF860" s="54">
        <v>210181</v>
      </c>
      <c r="AQ860" s="80"/>
      <c r="AR860" s="80"/>
    </row>
    <row r="861" spans="1:44" ht="14.4">
      <c r="A861" s="70">
        <v>210182</v>
      </c>
      <c r="B861" s="78" t="str">
        <f>VLOOKUP(A861,'TB for financial'!A:B,2,0)</f>
        <v>Due to SIL - Chennai</v>
      </c>
      <c r="D861" s="79">
        <f>-VLOOKUP(A861,'TB for financial'!A:F,6,0)</f>
        <v>0</v>
      </c>
      <c r="E861" s="80"/>
      <c r="F861" s="79">
        <f>-VLOOKUP(A861,'TB for financial'!A:K,11,0)</f>
        <v>0</v>
      </c>
      <c r="G861" s="80"/>
      <c r="H861" s="81">
        <f t="shared" si="189"/>
        <v>0</v>
      </c>
      <c r="I861" s="81">
        <v>0</v>
      </c>
      <c r="J861" s="81">
        <f t="shared" si="190"/>
        <v>0</v>
      </c>
      <c r="K861" s="80"/>
      <c r="L861" s="82">
        <f t="shared" si="191"/>
        <v>0</v>
      </c>
      <c r="M861" s="82">
        <v>0</v>
      </c>
      <c r="N861" s="82">
        <f t="shared" si="188"/>
        <v>0</v>
      </c>
      <c r="O861" s="83"/>
      <c r="P861"/>
      <c r="Q861"/>
      <c r="R861"/>
      <c r="S861"/>
      <c r="U861" s="84" t="s">
        <v>530</v>
      </c>
      <c r="V861" s="80"/>
      <c r="W861" s="82" t="s">
        <v>562</v>
      </c>
      <c r="X861" s="82"/>
      <c r="Y861" s="94" t="s">
        <v>603</v>
      </c>
      <c r="Z861" s="86" t="s">
        <v>572</v>
      </c>
      <c r="AA861" s="86" t="s">
        <v>40</v>
      </c>
      <c r="AB861" s="86" t="s">
        <v>40</v>
      </c>
      <c r="AC861" s="87">
        <v>0</v>
      </c>
      <c r="AD861" s="88">
        <f t="shared" si="192"/>
        <v>0</v>
      </c>
      <c r="AF861" s="54">
        <v>210182</v>
      </c>
      <c r="AQ861" s="80"/>
      <c r="AR861" s="80"/>
    </row>
    <row r="862" spans="1:44" ht="14.4">
      <c r="A862" s="70">
        <v>210183</v>
      </c>
      <c r="B862" s="78" t="str">
        <f>VLOOKUP(A862,'TB for financial'!A:B,2,0)</f>
        <v>Due to SIL - Pune</v>
      </c>
      <c r="D862" s="79">
        <f>-VLOOKUP(A862,'TB for financial'!A:F,6,0)</f>
        <v>0</v>
      </c>
      <c r="E862" s="80"/>
      <c r="F862" s="79">
        <f>-VLOOKUP(A862,'TB for financial'!A:K,11,0)</f>
        <v>0</v>
      </c>
      <c r="G862" s="80"/>
      <c r="H862" s="81">
        <f t="shared" si="189"/>
        <v>0</v>
      </c>
      <c r="I862" s="81">
        <v>0</v>
      </c>
      <c r="J862" s="81">
        <f t="shared" si="190"/>
        <v>0</v>
      </c>
      <c r="K862" s="80"/>
      <c r="L862" s="82">
        <f t="shared" si="191"/>
        <v>0</v>
      </c>
      <c r="M862" s="82">
        <v>0</v>
      </c>
      <c r="N862" s="82">
        <f t="shared" si="188"/>
        <v>0</v>
      </c>
      <c r="O862" s="83"/>
      <c r="P862"/>
      <c r="Q862"/>
      <c r="R862"/>
      <c r="S862"/>
      <c r="U862" s="84" t="s">
        <v>530</v>
      </c>
      <c r="V862" s="80"/>
      <c r="W862" s="82" t="s">
        <v>562</v>
      </c>
      <c r="X862" s="82"/>
      <c r="Y862" s="94" t="s">
        <v>603</v>
      </c>
      <c r="Z862" s="86" t="s">
        <v>572</v>
      </c>
      <c r="AA862" s="86" t="s">
        <v>40</v>
      </c>
      <c r="AB862" s="86" t="s">
        <v>40</v>
      </c>
      <c r="AC862" s="87">
        <v>0</v>
      </c>
      <c r="AD862" s="88">
        <f t="shared" si="192"/>
        <v>0</v>
      </c>
      <c r="AF862" s="54">
        <v>210183</v>
      </c>
      <c r="AQ862" s="80"/>
      <c r="AR862" s="80"/>
    </row>
    <row r="863" spans="1:44" ht="14.4">
      <c r="A863" s="70">
        <v>210185</v>
      </c>
      <c r="B863" s="78" t="str">
        <f>VLOOKUP(A863,'TB for financial'!A:B,2,0)</f>
        <v>Due from Syntel Sourcing</v>
      </c>
      <c r="D863" s="79">
        <f>-VLOOKUP(A863,'TB for financial'!A:F,6,0)</f>
        <v>0</v>
      </c>
      <c r="E863" s="80"/>
      <c r="F863" s="79">
        <f>-VLOOKUP(A863,'TB for financial'!A:K,11,0)</f>
        <v>0</v>
      </c>
      <c r="G863" s="80"/>
      <c r="H863" s="81">
        <f t="shared" si="189"/>
        <v>0</v>
      </c>
      <c r="I863" s="81">
        <v>0</v>
      </c>
      <c r="J863" s="81">
        <f t="shared" si="190"/>
        <v>0</v>
      </c>
      <c r="K863" s="80"/>
      <c r="L863" s="82">
        <f t="shared" si="191"/>
        <v>0</v>
      </c>
      <c r="M863" s="82">
        <v>0</v>
      </c>
      <c r="N863" s="82">
        <f t="shared" si="188"/>
        <v>0</v>
      </c>
      <c r="O863" s="83"/>
      <c r="P863"/>
      <c r="Q863"/>
      <c r="R863"/>
      <c r="S863"/>
      <c r="U863" s="84"/>
      <c r="V863" s="80"/>
      <c r="W863" s="82"/>
      <c r="X863" s="82"/>
      <c r="Y863" s="94" t="s">
        <v>603</v>
      </c>
      <c r="Z863" s="86" t="s">
        <v>572</v>
      </c>
      <c r="AA863" s="86" t="s">
        <v>40</v>
      </c>
      <c r="AB863" s="86" t="s">
        <v>40</v>
      </c>
      <c r="AC863" s="87">
        <v>0</v>
      </c>
      <c r="AD863" s="88">
        <f t="shared" si="192"/>
        <v>0</v>
      </c>
      <c r="AF863" s="54">
        <v>210185</v>
      </c>
      <c r="AQ863" s="80"/>
      <c r="AR863" s="80"/>
    </row>
    <row r="864" spans="1:44" ht="14.4">
      <c r="A864" s="70">
        <v>210168</v>
      </c>
      <c r="B864" s="78" t="str">
        <f>VLOOKUP(A864,'TB for financial'!A:B,2,0)</f>
        <v>Due to Syntel Solution BV</v>
      </c>
      <c r="D864" s="79">
        <f>-VLOOKUP(A864,'TB for financial'!A:F,6,0)</f>
        <v>0</v>
      </c>
      <c r="E864" s="80"/>
      <c r="F864" s="79">
        <f>-VLOOKUP(A864,'TB for financial'!A:K,11,0)</f>
        <v>0</v>
      </c>
      <c r="G864" s="80"/>
      <c r="H864" s="81">
        <f t="shared" si="189"/>
        <v>0</v>
      </c>
      <c r="I864" s="81">
        <v>0</v>
      </c>
      <c r="J864" s="81">
        <f t="shared" si="190"/>
        <v>0</v>
      </c>
      <c r="K864" s="80"/>
      <c r="L864" s="82">
        <f t="shared" si="191"/>
        <v>0</v>
      </c>
      <c r="M864" s="82">
        <v>0</v>
      </c>
      <c r="N864" s="82">
        <f t="shared" si="188"/>
        <v>0</v>
      </c>
      <c r="O864" s="83"/>
      <c r="P864"/>
      <c r="Q864"/>
      <c r="R864"/>
      <c r="S864"/>
      <c r="U864" s="84"/>
      <c r="V864" s="80"/>
      <c r="W864" s="82"/>
      <c r="X864" s="82"/>
      <c r="Y864" s="94" t="s">
        <v>603</v>
      </c>
      <c r="Z864" s="86" t="s">
        <v>572</v>
      </c>
      <c r="AA864" s="86" t="s">
        <v>40</v>
      </c>
      <c r="AB864" s="86" t="s">
        <v>40</v>
      </c>
      <c r="AC864" s="87">
        <v>0</v>
      </c>
      <c r="AD864" s="88">
        <f t="shared" si="192"/>
        <v>0</v>
      </c>
      <c r="AF864" s="54">
        <v>210168</v>
      </c>
      <c r="AQ864" s="80"/>
      <c r="AR864" s="80"/>
    </row>
    <row r="865" spans="1:44" ht="14.4">
      <c r="A865" s="70">
        <v>710102</v>
      </c>
      <c r="B865" s="78" t="str">
        <f>VLOOKUP(A865,'TB for financial'!A:B,2,0)</f>
        <v>Deferred Lease Income</v>
      </c>
      <c r="D865" s="79">
        <f>-VLOOKUP(A865,'TB for financial'!A:F,6,0)</f>
        <v>0</v>
      </c>
      <c r="E865" s="80"/>
      <c r="F865" s="79">
        <f>-VLOOKUP(A865,'TB for financial'!A:K,11,0)</f>
        <v>0</v>
      </c>
      <c r="G865" s="80"/>
      <c r="H865" s="81">
        <f t="shared" si="189"/>
        <v>0</v>
      </c>
      <c r="I865" s="81">
        <v>0</v>
      </c>
      <c r="J865" s="81">
        <f t="shared" si="190"/>
        <v>0</v>
      </c>
      <c r="K865" s="80"/>
      <c r="L865" s="82">
        <f t="shared" si="191"/>
        <v>0</v>
      </c>
      <c r="M865" s="82">
        <v>0</v>
      </c>
      <c r="N865" s="82">
        <f t="shared" si="188"/>
        <v>0</v>
      </c>
      <c r="O865" s="83"/>
      <c r="P865"/>
      <c r="Q865"/>
      <c r="R865"/>
      <c r="S865"/>
      <c r="U865" s="84"/>
      <c r="V865" s="80"/>
      <c r="W865" s="82"/>
      <c r="X865" s="82"/>
      <c r="Y865" s="94" t="s">
        <v>603</v>
      </c>
      <c r="Z865" s="86" t="s">
        <v>572</v>
      </c>
      <c r="AA865" s="86" t="s">
        <v>40</v>
      </c>
      <c r="AB865" s="86" t="s">
        <v>40</v>
      </c>
      <c r="AC865" s="87">
        <v>0</v>
      </c>
      <c r="AD865" s="88">
        <f t="shared" si="192"/>
        <v>0</v>
      </c>
      <c r="AF865" s="54">
        <v>710102</v>
      </c>
      <c r="AQ865" s="80"/>
      <c r="AR865" s="80"/>
    </row>
    <row r="866" spans="1:44" ht="5.0999999999999996" customHeight="1">
      <c r="A866" s="70"/>
      <c r="B866" s="78"/>
      <c r="D866" s="79"/>
      <c r="E866" s="80"/>
      <c r="F866" s="79"/>
      <c r="G866" s="80"/>
      <c r="H866" s="81"/>
      <c r="I866" s="81"/>
      <c r="J866" s="81"/>
      <c r="K866" s="80"/>
      <c r="L866" s="82"/>
      <c r="M866" s="82"/>
      <c r="N866" s="82"/>
      <c r="O866" s="83"/>
      <c r="P866"/>
      <c r="Q866"/>
      <c r="R866"/>
      <c r="S866"/>
      <c r="U866" s="84"/>
      <c r="V866" s="80"/>
      <c r="W866" s="82"/>
      <c r="X866" s="82"/>
      <c r="Y866" s="94"/>
      <c r="Z866" s="86"/>
      <c r="AA866" s="86"/>
      <c r="AB866" s="86"/>
      <c r="AQ866" s="80"/>
      <c r="AR866" s="80"/>
    </row>
    <row r="867" spans="1:44" ht="15" thickBot="1">
      <c r="A867" s="105"/>
      <c r="B867" s="71" t="s">
        <v>620</v>
      </c>
      <c r="D867" s="97">
        <f>SUM(D844:D866)</f>
        <v>-0.95000457763671875</v>
      </c>
      <c r="E867" s="96"/>
      <c r="F867" s="97">
        <f>SUM(F844:F866)</f>
        <v>-0.95000457763671875</v>
      </c>
      <c r="G867" s="80"/>
      <c r="H867" s="176">
        <f>SUM(H844:H866)</f>
        <v>-0.95000457763671875</v>
      </c>
      <c r="I867" s="99">
        <f>SUM(I844:I866)</f>
        <v>0</v>
      </c>
      <c r="J867" s="99">
        <f>SUM(J844:J866)</f>
        <v>0</v>
      </c>
      <c r="K867" s="80"/>
      <c r="L867" s="99">
        <f>SUM(L844:L866)</f>
        <v>-0.95000457763671875</v>
      </c>
      <c r="M867" s="99">
        <f>SUM(M844:M866)</f>
        <v>0</v>
      </c>
      <c r="N867" s="99">
        <f>SUM(N844:N866)</f>
        <v>0</v>
      </c>
      <c r="O867" s="100"/>
      <c r="P867"/>
      <c r="Q867"/>
      <c r="R867"/>
      <c r="S867"/>
      <c r="U867" s="101"/>
      <c r="V867" s="80"/>
      <c r="W867" s="102"/>
      <c r="X867" s="102"/>
      <c r="Y867" s="94"/>
      <c r="Z867" s="86"/>
      <c r="AA867" s="86"/>
      <c r="AB867" s="86"/>
      <c r="AQ867" s="80"/>
      <c r="AR867" s="80"/>
    </row>
    <row r="868" spans="1:44" ht="5.0999999999999996" customHeight="1" thickTop="1">
      <c r="A868" s="105"/>
      <c r="B868" s="71"/>
      <c r="D868" s="79"/>
      <c r="E868" s="80"/>
      <c r="F868" s="79"/>
      <c r="G868" s="80"/>
      <c r="H868" s="81"/>
      <c r="I868" s="81"/>
      <c r="J868" s="81"/>
      <c r="K868" s="80"/>
      <c r="L868" s="82"/>
      <c r="M868" s="82"/>
      <c r="N868" s="82"/>
      <c r="O868" s="83"/>
      <c r="P868"/>
      <c r="Q868"/>
      <c r="R868"/>
      <c r="S868"/>
      <c r="U868" s="84"/>
      <c r="V868" s="80"/>
      <c r="W868" s="82"/>
      <c r="X868" s="82"/>
      <c r="Y868" s="94"/>
      <c r="Z868" s="86"/>
      <c r="AA868" s="86"/>
      <c r="AB868" s="86"/>
      <c r="AQ868" s="80"/>
      <c r="AR868" s="80"/>
    </row>
    <row r="869" spans="1:44" ht="14.4">
      <c r="A869" s="70">
        <v>240230</v>
      </c>
      <c r="B869" s="78" t="str">
        <f>VLOOKUP(A869,'TB for financial'!A:B,2,0)</f>
        <v>Deferred Income tax, Non current</v>
      </c>
      <c r="D869" s="79">
        <f>-VLOOKUP(A869,'TB for financial'!A:F,6,0)</f>
        <v>0</v>
      </c>
      <c r="E869" s="80"/>
      <c r="F869" s="79">
        <f>-VLOOKUP(A869,'TB for financial'!A:K,11,0)</f>
        <v>0</v>
      </c>
      <c r="G869" s="80"/>
      <c r="H869" s="81">
        <f t="shared" ref="H869:H876" si="193">D869-I869</f>
        <v>0</v>
      </c>
      <c r="I869" s="81">
        <v>0</v>
      </c>
      <c r="J869" s="81">
        <f t="shared" ref="J869:J876" si="194">+D869-H869-I869</f>
        <v>0</v>
      </c>
      <c r="K869" s="80"/>
      <c r="L869" s="82">
        <f t="shared" ref="L869:L874" si="195">F869-M869</f>
        <v>0</v>
      </c>
      <c r="M869" s="82">
        <v>0</v>
      </c>
      <c r="N869" s="82">
        <f t="shared" ref="N869:N876" si="196">+F869-L869-M869</f>
        <v>0</v>
      </c>
      <c r="O869" s="83"/>
      <c r="P869"/>
      <c r="Q869"/>
      <c r="R869"/>
      <c r="S869"/>
      <c r="U869" s="84" t="s">
        <v>539</v>
      </c>
      <c r="V869" s="80"/>
      <c r="W869" s="82"/>
      <c r="X869" s="82" t="s">
        <v>20</v>
      </c>
      <c r="Y869" s="94" t="s">
        <v>584</v>
      </c>
      <c r="Z869" s="86" t="s">
        <v>569</v>
      </c>
      <c r="AA869" s="85" t="s">
        <v>20</v>
      </c>
      <c r="AB869" s="85" t="s">
        <v>20</v>
      </c>
      <c r="AC869" s="87">
        <v>0</v>
      </c>
      <c r="AD869" s="88">
        <f t="shared" ref="AD869:AD876" si="197">+D869-AC869</f>
        <v>0</v>
      </c>
      <c r="AF869" s="54">
        <v>240230</v>
      </c>
      <c r="AQ869" s="80"/>
      <c r="AR869" s="80"/>
    </row>
    <row r="870" spans="1:44" ht="14.4">
      <c r="A870" s="70">
        <v>240235</v>
      </c>
      <c r="B870" s="78" t="str">
        <f>VLOOKUP(A870,'TB for financial'!A:B,2,0)</f>
        <v>Deferred I Tax, Non Curr-India</v>
      </c>
      <c r="D870" s="79">
        <f>-VLOOKUP(A870,'TB for financial'!A:F,6,0)</f>
        <v>0</v>
      </c>
      <c r="E870" s="80"/>
      <c r="F870" s="79">
        <f>-VLOOKUP(A870,'TB for financial'!A:K,11,0)</f>
        <v>0</v>
      </c>
      <c r="G870" s="80"/>
      <c r="H870" s="81">
        <f t="shared" si="193"/>
        <v>0</v>
      </c>
      <c r="I870" s="81">
        <v>0</v>
      </c>
      <c r="J870" s="81">
        <f t="shared" si="194"/>
        <v>0</v>
      </c>
      <c r="K870" s="80"/>
      <c r="L870" s="82">
        <f t="shared" si="195"/>
        <v>0</v>
      </c>
      <c r="M870" s="82">
        <v>0</v>
      </c>
      <c r="N870" s="82">
        <f t="shared" si="196"/>
        <v>0</v>
      </c>
      <c r="O870" s="83"/>
      <c r="P870"/>
      <c r="Q870"/>
      <c r="R870"/>
      <c r="S870"/>
      <c r="U870" s="84" t="s">
        <v>539</v>
      </c>
      <c r="V870" s="80"/>
      <c r="W870" s="82"/>
      <c r="X870" s="82" t="s">
        <v>20</v>
      </c>
      <c r="Y870" s="94" t="s">
        <v>584</v>
      </c>
      <c r="Z870" s="86" t="s">
        <v>569</v>
      </c>
      <c r="AA870" s="85" t="s">
        <v>20</v>
      </c>
      <c r="AB870" s="85" t="s">
        <v>20</v>
      </c>
      <c r="AC870" s="87">
        <v>0</v>
      </c>
      <c r="AD870" s="88">
        <f t="shared" si="197"/>
        <v>0</v>
      </c>
      <c r="AF870" s="54">
        <v>240235</v>
      </c>
      <c r="AQ870" s="80"/>
      <c r="AR870" s="80"/>
    </row>
    <row r="871" spans="1:44" ht="14.4">
      <c r="A871" s="70">
        <v>205124</v>
      </c>
      <c r="B871" s="78" t="str">
        <f>VLOOKUP(A871,'TB for financial'!A:B,2,0)</f>
        <v>Deferred Tax liability - Current</v>
      </c>
      <c r="D871" s="79">
        <f>-VLOOKUP(A871,'TB for financial'!A:F,6,0)</f>
        <v>0.58000000007450581</v>
      </c>
      <c r="E871" s="80"/>
      <c r="F871" s="79">
        <f>-VLOOKUP(A871,'TB for financial'!A:K,11,0)</f>
        <v>0.58000000007450581</v>
      </c>
      <c r="G871" s="80"/>
      <c r="H871" s="81">
        <f t="shared" si="193"/>
        <v>0</v>
      </c>
      <c r="I871" s="81">
        <v>0.58000000007450581</v>
      </c>
      <c r="J871" s="81">
        <f t="shared" si="194"/>
        <v>0</v>
      </c>
      <c r="K871" s="80"/>
      <c r="L871" s="82">
        <f t="shared" si="195"/>
        <v>0</v>
      </c>
      <c r="M871" s="82">
        <v>0.58000000007450581</v>
      </c>
      <c r="N871" s="82">
        <f t="shared" si="196"/>
        <v>0</v>
      </c>
      <c r="O871" s="83"/>
      <c r="P871"/>
      <c r="Q871"/>
      <c r="R871"/>
      <c r="S871"/>
      <c r="U871" s="84" t="s">
        <v>539</v>
      </c>
      <c r="V871" s="80"/>
      <c r="W871" s="82"/>
      <c r="X871" s="82" t="s">
        <v>20</v>
      </c>
      <c r="Y871" s="94" t="s">
        <v>584</v>
      </c>
      <c r="Z871" s="86" t="s">
        <v>569</v>
      </c>
      <c r="AA871" s="85" t="s">
        <v>20</v>
      </c>
      <c r="AB871" s="85" t="s">
        <v>20</v>
      </c>
      <c r="AC871" s="87">
        <v>0</v>
      </c>
      <c r="AD871" s="88">
        <f t="shared" si="197"/>
        <v>0.58000000007450581</v>
      </c>
      <c r="AF871" s="54">
        <v>205124</v>
      </c>
      <c r="AQ871" s="80"/>
      <c r="AR871" s="80">
        <f>D871</f>
        <v>0.58000000007450581</v>
      </c>
    </row>
    <row r="872" spans="1:44" ht="14.4">
      <c r="A872" s="90">
        <v>206040</v>
      </c>
      <c r="B872" s="78" t="str">
        <f>VLOOKUP(A872,'TB for financial'!A:B,2,0)</f>
        <v>Deferred Tax Liabilities-Curre</v>
      </c>
      <c r="D872" s="79">
        <f>-VLOOKUP(A872,'TB for financial'!A:F,6,0)</f>
        <v>0</v>
      </c>
      <c r="E872" s="80"/>
      <c r="F872" s="79">
        <f>-VLOOKUP(A872,'TB for financial'!A:K,11,0)</f>
        <v>0</v>
      </c>
      <c r="G872" s="80"/>
      <c r="H872" s="81">
        <f t="shared" si="193"/>
        <v>0</v>
      </c>
      <c r="I872" s="81">
        <v>0</v>
      </c>
      <c r="J872" s="81">
        <f t="shared" si="194"/>
        <v>0</v>
      </c>
      <c r="K872" s="80"/>
      <c r="L872" s="82">
        <f t="shared" si="195"/>
        <v>0</v>
      </c>
      <c r="M872" s="82">
        <v>0</v>
      </c>
      <c r="N872" s="82">
        <f t="shared" si="196"/>
        <v>0</v>
      </c>
      <c r="O872" s="83"/>
      <c r="P872"/>
      <c r="Q872"/>
      <c r="R872"/>
      <c r="S872"/>
      <c r="U872" s="84" t="s">
        <v>539</v>
      </c>
      <c r="V872" s="80"/>
      <c r="W872" s="82"/>
      <c r="X872" s="82" t="s">
        <v>20</v>
      </c>
      <c r="Y872" s="94" t="s">
        <v>584</v>
      </c>
      <c r="Z872" s="86" t="s">
        <v>569</v>
      </c>
      <c r="AA872" s="85" t="s">
        <v>20</v>
      </c>
      <c r="AB872" s="85" t="s">
        <v>20</v>
      </c>
      <c r="AC872" s="87">
        <v>0</v>
      </c>
      <c r="AD872" s="88">
        <f t="shared" si="197"/>
        <v>0</v>
      </c>
      <c r="AF872" s="54">
        <v>206040</v>
      </c>
      <c r="AQ872" s="80"/>
      <c r="AR872" s="80"/>
    </row>
    <row r="873" spans="1:44" ht="14.4">
      <c r="A873" s="70">
        <v>110610</v>
      </c>
      <c r="B873" s="78" t="str">
        <f>VLOOKUP(A873,'TB for financial'!A:B,2,0)</f>
        <v>Deferred Tax Assets - Long Ter</v>
      </c>
      <c r="D873" s="79">
        <f>-VLOOKUP(A873,'TB for financial'!A:F,6,0)</f>
        <v>0</v>
      </c>
      <c r="E873" s="80"/>
      <c r="F873" s="79">
        <f>-VLOOKUP(A873,'TB for financial'!A:K,11,0)</f>
        <v>0</v>
      </c>
      <c r="G873" s="80"/>
      <c r="H873" s="81">
        <f t="shared" si="193"/>
        <v>0</v>
      </c>
      <c r="I873" s="81">
        <v>0</v>
      </c>
      <c r="J873" s="81">
        <f t="shared" si="194"/>
        <v>0</v>
      </c>
      <c r="K873" s="80"/>
      <c r="L873" s="82">
        <f t="shared" si="195"/>
        <v>0</v>
      </c>
      <c r="M873" s="82">
        <v>0</v>
      </c>
      <c r="N873" s="82">
        <f t="shared" si="196"/>
        <v>0</v>
      </c>
      <c r="O873" s="83"/>
      <c r="P873"/>
      <c r="Q873"/>
      <c r="R873"/>
      <c r="S873"/>
      <c r="U873" s="84" t="s">
        <v>539</v>
      </c>
      <c r="V873" s="80"/>
      <c r="W873" s="82"/>
      <c r="X873" s="82" t="s">
        <v>20</v>
      </c>
      <c r="Y873" s="94" t="s">
        <v>584</v>
      </c>
      <c r="Z873" s="86" t="s">
        <v>569</v>
      </c>
      <c r="AA873" s="85" t="s">
        <v>20</v>
      </c>
      <c r="AB873" s="85" t="s">
        <v>20</v>
      </c>
      <c r="AC873" s="87">
        <v>0</v>
      </c>
      <c r="AD873" s="88">
        <f t="shared" si="197"/>
        <v>0</v>
      </c>
      <c r="AF873" s="54">
        <v>110610</v>
      </c>
      <c r="AQ873" s="80"/>
      <c r="AR873" s="80"/>
    </row>
    <row r="874" spans="1:44" ht="14.4">
      <c r="A874" s="70">
        <v>101780</v>
      </c>
      <c r="B874" s="78" t="str">
        <f>VLOOKUP(A874,'TB for financial'!A:B,2,0)</f>
        <v>Deferred Tax Assets - Current</v>
      </c>
      <c r="D874" s="79">
        <f>-VLOOKUP(A874,'TB for financial'!A:F,6,0)</f>
        <v>-4.4299999863142148E-3</v>
      </c>
      <c r="E874" s="80"/>
      <c r="F874" s="79">
        <f>-VLOOKUP(A874,'TB for financial'!A:K,11,0)</f>
        <v>-4.4299999863142148E-3</v>
      </c>
      <c r="G874" s="80"/>
      <c r="H874" s="81">
        <f t="shared" si="193"/>
        <v>-4.4299999863142148E-3</v>
      </c>
      <c r="I874" s="81">
        <v>0</v>
      </c>
      <c r="J874" s="81">
        <f t="shared" si="194"/>
        <v>0</v>
      </c>
      <c r="K874" s="80"/>
      <c r="L874" s="82">
        <f t="shared" si="195"/>
        <v>-4.4299999863142148E-3</v>
      </c>
      <c r="M874" s="82">
        <v>0</v>
      </c>
      <c r="N874" s="82">
        <f t="shared" si="196"/>
        <v>0</v>
      </c>
      <c r="O874" s="83"/>
      <c r="P874"/>
      <c r="Q874"/>
      <c r="R874"/>
      <c r="S874"/>
      <c r="U874" s="84" t="s">
        <v>539</v>
      </c>
      <c r="V874" s="80"/>
      <c r="W874" s="82"/>
      <c r="X874" s="82" t="s">
        <v>20</v>
      </c>
      <c r="Y874" s="94" t="s">
        <v>584</v>
      </c>
      <c r="Z874" s="86" t="s">
        <v>569</v>
      </c>
      <c r="AA874" s="85" t="s">
        <v>20</v>
      </c>
      <c r="AB874" s="85" t="s">
        <v>20</v>
      </c>
      <c r="AC874" s="87">
        <v>0</v>
      </c>
      <c r="AD874" s="88">
        <f t="shared" si="197"/>
        <v>-4.4299999863142148E-3</v>
      </c>
      <c r="AF874" s="54">
        <v>101780</v>
      </c>
      <c r="AQ874" s="80"/>
      <c r="AR874" s="80">
        <f t="shared" ref="AR874:AR880" si="198">D874</f>
        <v>-4.4299999863142148E-3</v>
      </c>
    </row>
    <row r="875" spans="1:44" ht="14.4">
      <c r="A875" s="70">
        <v>101798</v>
      </c>
      <c r="B875" s="78" t="str">
        <f>VLOOKUP(A875,'TB for financial'!A:B,2,0)</f>
        <v>Min Alt Tax Credit entitlement</v>
      </c>
      <c r="D875" s="79">
        <f>-VLOOKUP(A875,'TB for financial'!A:F,6,0)</f>
        <v>0</v>
      </c>
      <c r="E875" s="80"/>
      <c r="F875" s="79">
        <f>-VLOOKUP(A875,'TB for financial'!A:K,11,0)</f>
        <v>0</v>
      </c>
      <c r="G875" s="80"/>
      <c r="H875" s="81">
        <f t="shared" si="193"/>
        <v>0</v>
      </c>
      <c r="I875" s="81">
        <f t="shared" ref="I875:I880" si="199">+D875</f>
        <v>0</v>
      </c>
      <c r="J875" s="81">
        <f t="shared" si="194"/>
        <v>0</v>
      </c>
      <c r="K875" s="80"/>
      <c r="L875" s="82">
        <v>0</v>
      </c>
      <c r="M875" s="82">
        <v>0</v>
      </c>
      <c r="N875" s="82">
        <f t="shared" si="196"/>
        <v>0</v>
      </c>
      <c r="O875" s="83"/>
      <c r="P875"/>
      <c r="Q875"/>
      <c r="R875"/>
      <c r="S875"/>
      <c r="U875" s="84"/>
      <c r="V875" s="80"/>
      <c r="W875" s="82"/>
      <c r="X875" s="82"/>
      <c r="Y875" s="94" t="s">
        <v>584</v>
      </c>
      <c r="Z875" s="86" t="s">
        <v>569</v>
      </c>
      <c r="AA875" s="85" t="s">
        <v>20</v>
      </c>
      <c r="AB875" s="85" t="s">
        <v>20</v>
      </c>
      <c r="AC875" s="87">
        <v>0</v>
      </c>
      <c r="AD875" s="88">
        <f t="shared" si="197"/>
        <v>0</v>
      </c>
      <c r="AF875" s="54">
        <v>101798</v>
      </c>
      <c r="AQ875" s="80"/>
      <c r="AR875" s="80"/>
    </row>
    <row r="876" spans="1:44" ht="14.4">
      <c r="A876" s="70">
        <v>201075</v>
      </c>
      <c r="B876" s="78" t="str">
        <f>VLOOKUP(A876,'TB for financial'!A:B,2,0)</f>
        <v>Tax Provision</v>
      </c>
      <c r="D876" s="79">
        <f>-VLOOKUP(A876,'TB for financial'!A:F,6,0)</f>
        <v>-3.6559998989105225E-2</v>
      </c>
      <c r="E876" s="80"/>
      <c r="F876" s="79">
        <f>-VLOOKUP(A876,'TB for financial'!A:K,11,0)</f>
        <v>-3.6559998989105225E-2</v>
      </c>
      <c r="G876" s="80"/>
      <c r="H876" s="81">
        <f t="shared" si="193"/>
        <v>0</v>
      </c>
      <c r="I876" s="81">
        <f t="shared" si="199"/>
        <v>-3.6559998989105225E-2</v>
      </c>
      <c r="J876" s="81">
        <f t="shared" si="194"/>
        <v>0</v>
      </c>
      <c r="K876" s="80"/>
      <c r="L876" s="82">
        <v>0</v>
      </c>
      <c r="M876" s="82">
        <v>0</v>
      </c>
      <c r="N876" s="82">
        <f t="shared" si="196"/>
        <v>-3.6559998989105225E-2</v>
      </c>
      <c r="O876" s="83"/>
      <c r="P876"/>
      <c r="Q876"/>
      <c r="R876"/>
      <c r="S876"/>
      <c r="U876" s="84"/>
      <c r="V876" s="80"/>
      <c r="W876" s="82"/>
      <c r="X876" s="82"/>
      <c r="Y876" s="94"/>
      <c r="Z876" s="86"/>
      <c r="AA876" s="85"/>
      <c r="AB876" s="85"/>
      <c r="AC876" s="87">
        <v>0</v>
      </c>
      <c r="AD876" s="88">
        <f t="shared" si="197"/>
        <v>-3.6559998989105225E-2</v>
      </c>
      <c r="AQ876" s="80"/>
      <c r="AR876" s="80">
        <f t="shared" si="198"/>
        <v>-3.6559998989105225E-2</v>
      </c>
    </row>
    <row r="877" spans="1:44" ht="14.4">
      <c r="A877" s="1373">
        <v>488000</v>
      </c>
      <c r="B877" s="78" t="str">
        <f>VLOOKUP(A877,'TB for financial'!A:B,2,0)</f>
        <v>DEFERRED TAX</v>
      </c>
      <c r="D877" s="79">
        <f>-VLOOKUP(A877,'TB for financial'!A:F,6,0)</f>
        <v>-693477.21562015684</v>
      </c>
      <c r="E877" s="80"/>
      <c r="F877" s="79">
        <f>-VLOOKUP(A877,'TB for financial'!A:K,11,0)</f>
        <v>-955402.21562015684</v>
      </c>
      <c r="G877" s="80"/>
      <c r="H877" s="81">
        <f>D877-I877</f>
        <v>0</v>
      </c>
      <c r="I877" s="122">
        <f t="shared" si="199"/>
        <v>-693477.21562015684</v>
      </c>
      <c r="J877" s="81">
        <f>+D877-H877-I877</f>
        <v>0</v>
      </c>
      <c r="K877" s="80"/>
      <c r="L877" s="82">
        <v>0</v>
      </c>
      <c r="M877" s="82">
        <v>-955402.21562015684</v>
      </c>
      <c r="N877" s="82">
        <f>+F877-L877-M877</f>
        <v>0</v>
      </c>
      <c r="O877" s="83"/>
      <c r="P877"/>
      <c r="Q877"/>
      <c r="R877"/>
      <c r="S877"/>
      <c r="U877" s="84"/>
      <c r="V877" s="80"/>
      <c r="W877" s="82"/>
      <c r="X877" s="82"/>
      <c r="Y877" s="94" t="s">
        <v>584</v>
      </c>
      <c r="Z877" s="86" t="s">
        <v>569</v>
      </c>
      <c r="AA877" s="85" t="s">
        <v>20</v>
      </c>
      <c r="AB877" s="85" t="s">
        <v>20</v>
      </c>
      <c r="AC877" s="87">
        <v>-7871090.599999994</v>
      </c>
      <c r="AD877" s="88">
        <f>+D877-AC877</f>
        <v>7177613.3843798377</v>
      </c>
      <c r="AF877" s="54" t="s">
        <v>2536</v>
      </c>
      <c r="AQ877" s="80"/>
      <c r="AR877" s="80">
        <f t="shared" si="198"/>
        <v>-693477.21562015684</v>
      </c>
    </row>
    <row r="878" spans="1:44" ht="24">
      <c r="A878" s="1373">
        <v>488120</v>
      </c>
      <c r="B878" s="78" t="str">
        <f>VLOOKUP(A878,'TB for financial'!A:B,2,0)</f>
        <v>Deferred Tax - Mininumum alternate tax</v>
      </c>
      <c r="D878" s="79">
        <f>-VLOOKUP(A878,'TB for financial'!A:F,6,0)</f>
        <v>-2635386.167287128</v>
      </c>
      <c r="E878" s="80"/>
      <c r="F878" s="79">
        <f>-VLOOKUP(A878,'TB for financial'!A:K,11,0)</f>
        <v>-5812472.5826533157</v>
      </c>
      <c r="G878" s="80"/>
      <c r="H878" s="81">
        <f>D878-I878</f>
        <v>0</v>
      </c>
      <c r="I878" s="122">
        <f t="shared" si="199"/>
        <v>-2635386.167287128</v>
      </c>
      <c r="J878" s="81">
        <f>+D878-H878-I878</f>
        <v>0</v>
      </c>
      <c r="K878" s="80"/>
      <c r="L878" s="82">
        <v>0</v>
      </c>
      <c r="M878" s="82">
        <v>-5812472.5826533157</v>
      </c>
      <c r="N878" s="82">
        <f>+F878-L878-M878</f>
        <v>0</v>
      </c>
      <c r="O878" s="83"/>
      <c r="P878"/>
      <c r="Q878"/>
      <c r="R878"/>
      <c r="S878"/>
      <c r="U878" s="84"/>
      <c r="V878" s="80"/>
      <c r="W878" s="82"/>
      <c r="X878" s="82"/>
      <c r="Y878" s="94" t="s">
        <v>584</v>
      </c>
      <c r="Z878" s="86" t="s">
        <v>569</v>
      </c>
      <c r="AA878" s="85" t="s">
        <v>20</v>
      </c>
      <c r="AB878" s="85" t="s">
        <v>20</v>
      </c>
      <c r="AC878" s="87">
        <v>0</v>
      </c>
      <c r="AD878" s="88">
        <f>+D878-AC878</f>
        <v>-2635386.167287128</v>
      </c>
      <c r="AF878" s="54" t="s">
        <v>2536</v>
      </c>
      <c r="AQ878" s="80"/>
      <c r="AR878" s="80">
        <f t="shared" si="198"/>
        <v>-2635386.167287128</v>
      </c>
    </row>
    <row r="879" spans="1:44" ht="14.4">
      <c r="A879" s="1373">
        <v>155000</v>
      </c>
      <c r="B879" s="78" t="str">
        <f>VLOOKUP(A879,'TB for financial'!A:B,2,0)</f>
        <v>DEFERRED TAX LIABILITY</v>
      </c>
      <c r="D879" s="79">
        <f>-VLOOKUP(A879,'TB for financial'!A:F,6,0)</f>
        <v>-3.4239999949932098E-2</v>
      </c>
      <c r="E879" s="80"/>
      <c r="F879" s="79">
        <f>-VLOOKUP(A879,'TB for financial'!A:K,11,0)</f>
        <v>-3.4239999949932098E-2</v>
      </c>
      <c r="G879" s="80"/>
      <c r="H879" s="81">
        <f>D879-I879</f>
        <v>0</v>
      </c>
      <c r="I879" s="122">
        <f t="shared" si="199"/>
        <v>-3.4239999949932098E-2</v>
      </c>
      <c r="J879" s="81">
        <f>+D879-H879-I879</f>
        <v>0</v>
      </c>
      <c r="K879" s="80"/>
      <c r="L879" s="82">
        <v>0</v>
      </c>
      <c r="M879" s="82">
        <v>-3.4239999949932098E-2</v>
      </c>
      <c r="N879" s="82">
        <f>+F879-L879-M879</f>
        <v>0</v>
      </c>
      <c r="O879" s="83"/>
      <c r="P879"/>
      <c r="Q879"/>
      <c r="R879"/>
      <c r="S879"/>
      <c r="U879" s="84"/>
      <c r="V879" s="80"/>
      <c r="W879" s="82"/>
      <c r="X879" s="82"/>
      <c r="Y879" s="94" t="s">
        <v>584</v>
      </c>
      <c r="Z879" s="86" t="s">
        <v>569</v>
      </c>
      <c r="AA879" s="85" t="s">
        <v>20</v>
      </c>
      <c r="AB879" s="85" t="s">
        <v>20</v>
      </c>
      <c r="AC879" s="87">
        <v>36188938.240000002</v>
      </c>
      <c r="AD879" s="88">
        <f>+D879-AC879</f>
        <v>-36188938.274240002</v>
      </c>
      <c r="AF879" s="54" t="s">
        <v>2536</v>
      </c>
      <c r="AQ879" s="80"/>
      <c r="AR879" s="80">
        <f t="shared" si="198"/>
        <v>-3.4239999949932098E-2</v>
      </c>
    </row>
    <row r="880" spans="1:44" ht="14.4">
      <c r="A880" s="1373">
        <v>4880000</v>
      </c>
      <c r="B880" s="78" t="str">
        <f>VLOOKUP(A880,'TB for financial'!A:B,2,0)</f>
        <v>DEFERRED TAX</v>
      </c>
      <c r="D880" s="79">
        <f>-VLOOKUP(A880,'TB for financial'!A:F,6,0)</f>
        <v>0</v>
      </c>
      <c r="E880" s="80"/>
      <c r="F880" s="79">
        <f>-VLOOKUP(A880,'TB for financial'!A:K,11,0)</f>
        <v>0</v>
      </c>
      <c r="G880" s="80"/>
      <c r="H880" s="81">
        <f>D880-I880</f>
        <v>0</v>
      </c>
      <c r="I880" s="81">
        <f t="shared" si="199"/>
        <v>0</v>
      </c>
      <c r="J880" s="81">
        <f>+D880-H880-I880</f>
        <v>0</v>
      </c>
      <c r="K880" s="80"/>
      <c r="L880" s="82">
        <v>0</v>
      </c>
      <c r="M880" s="82">
        <v>0</v>
      </c>
      <c r="N880" s="82">
        <f>+F880-L880-M880</f>
        <v>0</v>
      </c>
      <c r="O880" s="83"/>
      <c r="P880"/>
      <c r="Q880"/>
      <c r="R880"/>
      <c r="S880"/>
      <c r="U880" s="84"/>
      <c r="V880" s="80"/>
      <c r="W880" s="82"/>
      <c r="X880" s="82"/>
      <c r="Y880" s="94" t="s">
        <v>584</v>
      </c>
      <c r="Z880" s="86" t="s">
        <v>569</v>
      </c>
      <c r="AA880" s="85" t="s">
        <v>20</v>
      </c>
      <c r="AB880" s="85" t="s">
        <v>20</v>
      </c>
      <c r="AC880" s="87">
        <v>0</v>
      </c>
      <c r="AD880" s="88">
        <f>+D880-AC880</f>
        <v>0</v>
      </c>
      <c r="AF880" s="54" t="s">
        <v>2536</v>
      </c>
      <c r="AQ880" s="80"/>
      <c r="AR880" s="80">
        <f t="shared" si="198"/>
        <v>0</v>
      </c>
    </row>
    <row r="881" spans="1:44" ht="5.0999999999999996" customHeight="1">
      <c r="A881" s="70"/>
      <c r="B881" s="78"/>
      <c r="D881" s="79"/>
      <c r="E881" s="80"/>
      <c r="F881" s="79"/>
      <c r="G881" s="80"/>
      <c r="H881" s="81"/>
      <c r="I881" s="81"/>
      <c r="J881" s="81"/>
      <c r="K881" s="80"/>
      <c r="L881" s="82"/>
      <c r="M881" s="82"/>
      <c r="N881" s="82"/>
      <c r="O881" s="83"/>
      <c r="P881"/>
      <c r="Q881"/>
      <c r="R881"/>
      <c r="S881"/>
      <c r="U881" s="84"/>
      <c r="V881" s="80"/>
      <c r="W881" s="82"/>
      <c r="X881" s="82"/>
      <c r="Y881" s="94"/>
      <c r="Z881" s="86"/>
      <c r="AA881" s="86"/>
      <c r="AB881" s="86"/>
      <c r="AQ881" s="80"/>
      <c r="AR881" s="80"/>
    </row>
    <row r="882" spans="1:44" ht="15" thickBot="1">
      <c r="A882" s="105"/>
      <c r="B882" s="71" t="s">
        <v>20</v>
      </c>
      <c r="D882" s="1646">
        <f>SUM(D869:D881)</f>
        <v>-3328862.878137284</v>
      </c>
      <c r="E882" s="96"/>
      <c r="F882" s="97">
        <f>SUM(F869:F881)</f>
        <v>-6767874.2935034717</v>
      </c>
      <c r="G882" s="177"/>
      <c r="H882" s="99">
        <f>SUM(H869:H881)</f>
        <v>-4.4299999863142148E-3</v>
      </c>
      <c r="I882" s="1646">
        <f>SUM(I869:I881)</f>
        <v>-3328862.8737072838</v>
      </c>
      <c r="J882" s="99">
        <f>SUM(J869:J881)</f>
        <v>0</v>
      </c>
      <c r="K882" s="80"/>
      <c r="L882" s="99">
        <f>SUM(L869:L881)</f>
        <v>-4.4299999863142148E-3</v>
      </c>
      <c r="M882" s="99">
        <f>SUM(M869:M881)</f>
        <v>-6767874.252513472</v>
      </c>
      <c r="N882" s="99">
        <f>SUM(N869:N881)</f>
        <v>-3.6559998989105225E-2</v>
      </c>
      <c r="O882" s="100"/>
      <c r="P882"/>
      <c r="Q882"/>
      <c r="R882"/>
      <c r="S882"/>
      <c r="U882" s="101"/>
      <c r="V882" s="177"/>
      <c r="W882" s="102"/>
      <c r="X882" s="102"/>
      <c r="Y882" s="94"/>
      <c r="Z882" s="86"/>
      <c r="AA882" s="86"/>
      <c r="AB882" s="86"/>
      <c r="AQ882" s="80"/>
      <c r="AR882" s="80"/>
    </row>
    <row r="883" spans="1:44" ht="5.0999999999999996" customHeight="1" thickTop="1">
      <c r="A883" s="105"/>
      <c r="B883" s="71"/>
      <c r="D883" s="79"/>
      <c r="E883" s="80"/>
      <c r="F883" s="79"/>
      <c r="G883" s="80"/>
      <c r="H883" s="81"/>
      <c r="I883" s="81"/>
      <c r="J883" s="81"/>
      <c r="K883" s="80"/>
      <c r="L883" s="82"/>
      <c r="M883" s="82"/>
      <c r="N883" s="82"/>
      <c r="O883" s="83"/>
      <c r="P883"/>
      <c r="Q883"/>
      <c r="R883"/>
      <c r="S883"/>
      <c r="U883" s="84"/>
      <c r="V883" s="80"/>
      <c r="W883" s="82"/>
      <c r="X883" s="82"/>
      <c r="Y883" s="94"/>
      <c r="Z883" s="86"/>
      <c r="AA883" s="86"/>
      <c r="AB883" s="86"/>
      <c r="AQ883" s="80"/>
      <c r="AR883" s="80"/>
    </row>
    <row r="884" spans="1:44" ht="14.4">
      <c r="A884" s="70">
        <v>240001</v>
      </c>
      <c r="B884" s="78" t="str">
        <f>VLOOKUP(A884,'TB for financial'!A:B,2,0)</f>
        <v>Preference Share 3%</v>
      </c>
      <c r="D884" s="79">
        <f>-VLOOKUP(A884,'TB for financial'!A:F,6,0)</f>
        <v>0</v>
      </c>
      <c r="E884" s="80"/>
      <c r="F884" s="79">
        <f>-VLOOKUP(A884,'TB for financial'!A:K,11,0)</f>
        <v>0</v>
      </c>
      <c r="G884" s="80"/>
      <c r="H884" s="81">
        <f t="shared" ref="H884:H889" si="200">D884-I884</f>
        <v>0</v>
      </c>
      <c r="I884" s="81">
        <v>0</v>
      </c>
      <c r="J884" s="81">
        <f t="shared" ref="J884:J889" si="201">+D884-H884-I884</f>
        <v>0</v>
      </c>
      <c r="K884" s="80"/>
      <c r="L884" s="82">
        <f>F884-M884</f>
        <v>0</v>
      </c>
      <c r="M884" s="82">
        <v>0</v>
      </c>
      <c r="N884" s="82">
        <f>+F884-L884-M884</f>
        <v>0</v>
      </c>
      <c r="O884" s="83"/>
      <c r="P884"/>
      <c r="Q884"/>
      <c r="R884"/>
      <c r="S884"/>
      <c r="U884" s="84" t="s">
        <v>539</v>
      </c>
      <c r="V884" s="80"/>
      <c r="W884" s="82"/>
      <c r="X884" s="82"/>
      <c r="Y884" s="94" t="s">
        <v>603</v>
      </c>
      <c r="Z884" s="86" t="s">
        <v>572</v>
      </c>
      <c r="AA884" s="86" t="s">
        <v>39</v>
      </c>
      <c r="AB884" s="86" t="s">
        <v>39</v>
      </c>
      <c r="AC884" s="87">
        <v>0</v>
      </c>
      <c r="AD884" s="88">
        <f>+D884-AC884</f>
        <v>0</v>
      </c>
      <c r="AF884" s="54">
        <v>240001</v>
      </c>
      <c r="AQ884" s="80"/>
      <c r="AR884" s="80"/>
    </row>
    <row r="885" spans="1:44" ht="24">
      <c r="A885" s="70">
        <v>240002</v>
      </c>
      <c r="B885" s="78" t="str">
        <f>VLOOKUP(A885,'TB for financial'!A:B,2,0)</f>
        <v>Share premium on Preference Shares 3%</v>
      </c>
      <c r="D885" s="79">
        <f>-VLOOKUP(A885,'TB for financial'!A:F,6,0)</f>
        <v>0</v>
      </c>
      <c r="E885" s="80"/>
      <c r="F885" s="79">
        <f>-VLOOKUP(A885,'TB for financial'!A:K,11,0)</f>
        <v>0</v>
      </c>
      <c r="G885" s="80"/>
      <c r="H885" s="81">
        <f t="shared" si="200"/>
        <v>0</v>
      </c>
      <c r="I885" s="81">
        <v>0</v>
      </c>
      <c r="J885" s="81">
        <f t="shared" si="201"/>
        <v>0</v>
      </c>
      <c r="K885" s="80"/>
      <c r="L885" s="82">
        <f>F885-M885</f>
        <v>0</v>
      </c>
      <c r="M885" s="82">
        <v>0</v>
      </c>
      <c r="N885" s="82">
        <f>+F885-L885-M885</f>
        <v>0</v>
      </c>
      <c r="O885" s="83"/>
      <c r="P885"/>
      <c r="Q885"/>
      <c r="R885"/>
      <c r="S885"/>
      <c r="U885" s="84" t="s">
        <v>539</v>
      </c>
      <c r="V885" s="80"/>
      <c r="W885" s="82"/>
      <c r="X885" s="82"/>
      <c r="Y885" s="94" t="s">
        <v>603</v>
      </c>
      <c r="Z885" s="86" t="s">
        <v>572</v>
      </c>
      <c r="AA885" s="86" t="s">
        <v>39</v>
      </c>
      <c r="AB885" s="86" t="s">
        <v>39</v>
      </c>
      <c r="AC885" s="87">
        <v>0</v>
      </c>
      <c r="AD885" s="88">
        <f>+D885-AC885</f>
        <v>0</v>
      </c>
      <c r="AF885" s="54">
        <v>240002</v>
      </c>
      <c r="AQ885" s="80"/>
      <c r="AR885" s="80"/>
    </row>
    <row r="886" spans="1:44" ht="24">
      <c r="A886" s="70">
        <v>240003</v>
      </c>
      <c r="B886" s="78" t="str">
        <f>VLOOKUP(A886,'TB for financial'!A:B,2,0)</f>
        <v>Share Application money Preference Shares</v>
      </c>
      <c r="D886" s="79">
        <f>-VLOOKUP(A886,'TB for financial'!A:F,6,0)</f>
        <v>0</v>
      </c>
      <c r="E886" s="80"/>
      <c r="F886" s="79">
        <f>-VLOOKUP(A886,'TB for financial'!A:K,11,0)</f>
        <v>0</v>
      </c>
      <c r="G886" s="80"/>
      <c r="H886" s="81">
        <f t="shared" si="200"/>
        <v>0</v>
      </c>
      <c r="I886" s="81">
        <v>0</v>
      </c>
      <c r="J886" s="81">
        <f t="shared" si="201"/>
        <v>0</v>
      </c>
      <c r="K886" s="80"/>
      <c r="L886" s="82">
        <f>F886-M886</f>
        <v>0</v>
      </c>
      <c r="M886" s="82">
        <v>0</v>
      </c>
      <c r="N886" s="82">
        <f>+F886-L886-M886</f>
        <v>0</v>
      </c>
      <c r="O886" s="83"/>
      <c r="P886"/>
      <c r="Q886"/>
      <c r="R886"/>
      <c r="S886"/>
      <c r="U886" s="84" t="s">
        <v>539</v>
      </c>
      <c r="V886" s="80"/>
      <c r="W886" s="82"/>
      <c r="X886" s="82"/>
      <c r="Y886" s="94" t="s">
        <v>603</v>
      </c>
      <c r="Z886" s="86" t="s">
        <v>572</v>
      </c>
      <c r="AA886" s="86" t="s">
        <v>39</v>
      </c>
      <c r="AB886" s="86" t="s">
        <v>39</v>
      </c>
      <c r="AC886" s="87">
        <v>0</v>
      </c>
      <c r="AD886" s="88">
        <f>+D886-AC886</f>
        <v>0</v>
      </c>
      <c r="AF886" s="54">
        <v>240003</v>
      </c>
      <c r="AQ886" s="80"/>
      <c r="AR886" s="80"/>
    </row>
    <row r="887" spans="1:44" ht="14.4">
      <c r="A887" s="70">
        <v>240004</v>
      </c>
      <c r="B887" s="78" t="str">
        <f>VLOOKUP(A887,'TB for financial'!A:B,2,0)</f>
        <v>Accrued Finance Costs</v>
      </c>
      <c r="D887" s="79">
        <f>-VLOOKUP(A887,'TB for financial'!A:F,6,0)</f>
        <v>-1.3519823551177979E-4</v>
      </c>
      <c r="E887" s="80"/>
      <c r="F887" s="79">
        <f>-VLOOKUP(A887,'TB for financial'!A:K,11,0)</f>
        <v>-1.3519823551177979E-4</v>
      </c>
      <c r="G887" s="80"/>
      <c r="H887" s="81">
        <f t="shared" si="200"/>
        <v>-1.3519823551177979E-4</v>
      </c>
      <c r="I887" s="81">
        <v>0</v>
      </c>
      <c r="J887" s="81">
        <f t="shared" si="201"/>
        <v>0</v>
      </c>
      <c r="K887" s="80"/>
      <c r="L887" s="82">
        <f>F887-M887</f>
        <v>-1.3519823551177979E-4</v>
      </c>
      <c r="M887" s="82">
        <v>0</v>
      </c>
      <c r="N887" s="82">
        <f>+F887-L887-M887</f>
        <v>0</v>
      </c>
      <c r="O887" s="83"/>
      <c r="P887"/>
      <c r="Q887"/>
      <c r="R887"/>
      <c r="S887"/>
      <c r="U887" s="84" t="s">
        <v>539</v>
      </c>
      <c r="V887" s="80"/>
      <c r="W887" s="82"/>
      <c r="X887" s="82"/>
      <c r="Y887" s="94" t="s">
        <v>603</v>
      </c>
      <c r="Z887" s="86" t="s">
        <v>572</v>
      </c>
      <c r="AA887" s="86" t="s">
        <v>39</v>
      </c>
      <c r="AB887" s="86" t="s">
        <v>39</v>
      </c>
      <c r="AC887" s="87">
        <v>0</v>
      </c>
      <c r="AD887" s="88">
        <f>+D887-AC887</f>
        <v>-1.3519823551177979E-4</v>
      </c>
      <c r="AF887" s="54">
        <v>240004</v>
      </c>
      <c r="AQ887" s="80"/>
      <c r="AR887" s="80">
        <f>D887</f>
        <v>-1.3519823551177979E-4</v>
      </c>
    </row>
    <row r="888" spans="1:44" ht="14.4">
      <c r="A888" s="1373">
        <v>168100</v>
      </c>
      <c r="B888" s="78" t="str">
        <f>VLOOKUP(A888,'TB for financial'!A:B,2,0)</f>
        <v>SUNDRY BORROWINGS</v>
      </c>
      <c r="D888" s="79">
        <f>-VLOOKUP(A888,'TB for financial'!A:F,6,0)</f>
        <v>924644.29781520367</v>
      </c>
      <c r="E888" s="80"/>
      <c r="F888" s="79">
        <f>-VLOOKUP(A888,'TB for financial'!A:K,11,0)</f>
        <v>235328517.39781535</v>
      </c>
      <c r="G888" s="80"/>
      <c r="H888" s="81">
        <f t="shared" si="200"/>
        <v>924644.29781520367</v>
      </c>
      <c r="I888" s="122">
        <v>0</v>
      </c>
      <c r="J888" s="81">
        <f t="shared" si="201"/>
        <v>0</v>
      </c>
      <c r="K888" s="80"/>
      <c r="L888" s="82">
        <f>F888-M888</f>
        <v>0</v>
      </c>
      <c r="M888" s="122">
        <v>235328517.39781535</v>
      </c>
      <c r="N888" s="82">
        <f>+F888-L888-M888</f>
        <v>0</v>
      </c>
      <c r="O888" s="83"/>
      <c r="P888"/>
      <c r="Q888" s="672">
        <f>D888-F888</f>
        <v>-234403873.10000014</v>
      </c>
      <c r="R888"/>
      <c r="S888"/>
      <c r="U888" s="84" t="s">
        <v>539</v>
      </c>
      <c r="V888" s="80"/>
      <c r="W888" s="82"/>
      <c r="X888" s="82"/>
      <c r="Y888" s="94" t="s">
        <v>603</v>
      </c>
      <c r="Z888" s="86" t="s">
        <v>572</v>
      </c>
      <c r="AA888" s="86" t="s">
        <v>39</v>
      </c>
      <c r="AB888" s="86" t="s">
        <v>39</v>
      </c>
      <c r="AC888" s="87">
        <v>242342734.09999999</v>
      </c>
      <c r="AD888" s="88">
        <f>+D888-AC888</f>
        <v>-241418089.80218479</v>
      </c>
      <c r="AF888" s="54" t="s">
        <v>2536</v>
      </c>
      <c r="AQ888" s="80"/>
      <c r="AR888" s="80">
        <f>D888</f>
        <v>924644.29781520367</v>
      </c>
    </row>
    <row r="889" spans="1:44" ht="14.4">
      <c r="A889" s="1634">
        <v>168150</v>
      </c>
      <c r="B889" s="1635" t="s">
        <v>3020</v>
      </c>
      <c r="D889" s="79">
        <f>-VLOOKUP(A889,'TB for financial'!A:F,6,0)</f>
        <v>245756362.10000002</v>
      </c>
      <c r="E889" s="80"/>
      <c r="F889" s="79"/>
      <c r="G889" s="80"/>
      <c r="H889" s="81">
        <f t="shared" si="200"/>
        <v>245756362.10000002</v>
      </c>
      <c r="I889" s="122">
        <v>0</v>
      </c>
      <c r="J889" s="81">
        <f t="shared" si="201"/>
        <v>0</v>
      </c>
      <c r="K889" s="80"/>
      <c r="L889" s="82"/>
      <c r="M889" s="122"/>
      <c r="N889" s="82"/>
      <c r="O889" s="83"/>
      <c r="P889"/>
      <c r="Q889" s="672"/>
      <c r="R889"/>
      <c r="S889"/>
      <c r="U889" s="84"/>
      <c r="V889" s="80"/>
      <c r="W889" s="82"/>
      <c r="X889" s="82"/>
      <c r="Y889" s="94"/>
      <c r="Z889" s="86"/>
      <c r="AA889" s="86"/>
      <c r="AB889" s="86"/>
      <c r="AC889" s="87"/>
      <c r="AD889" s="88"/>
      <c r="AQ889" s="80"/>
      <c r="AR889" s="80"/>
    </row>
    <row r="890" spans="1:44" ht="5.0999999999999996" customHeight="1">
      <c r="A890" s="70"/>
      <c r="B890" s="78"/>
      <c r="D890" s="79"/>
      <c r="E890" s="80"/>
      <c r="F890" s="79"/>
      <c r="G890" s="80"/>
      <c r="H890" s="81"/>
      <c r="I890" s="81"/>
      <c r="J890" s="81"/>
      <c r="K890" s="80"/>
      <c r="L890" s="82"/>
      <c r="M890" s="82"/>
      <c r="N890" s="82"/>
      <c r="O890" s="83"/>
      <c r="P890"/>
      <c r="Q890"/>
      <c r="R890"/>
      <c r="S890"/>
      <c r="U890" s="84"/>
      <c r="V890" s="80"/>
      <c r="W890" s="82"/>
      <c r="X890" s="82"/>
      <c r="Y890" s="94"/>
      <c r="Z890" s="86"/>
      <c r="AA890" s="86"/>
      <c r="AB890" s="86"/>
      <c r="AQ890" s="80"/>
      <c r="AR890" s="80"/>
    </row>
    <row r="891" spans="1:44" ht="15" thickBot="1">
      <c r="A891" s="105"/>
      <c r="B891" s="71" t="s">
        <v>622</v>
      </c>
      <c r="D891" s="1646">
        <f>SUM(D884:D890)</f>
        <v>246681006.39768004</v>
      </c>
      <c r="E891" s="96"/>
      <c r="F891" s="97">
        <f>SUM(F884:F890)</f>
        <v>235328517.39768016</v>
      </c>
      <c r="G891" s="80"/>
      <c r="H891" s="99">
        <f>SUM(H884:H890)</f>
        <v>246681006.39768004</v>
      </c>
      <c r="I891" s="99">
        <f>SUM(I884:I890)</f>
        <v>0</v>
      </c>
      <c r="J891" s="99">
        <f>SUM(J884:J890)</f>
        <v>0</v>
      </c>
      <c r="K891" s="80"/>
      <c r="L891" s="99">
        <f>SUM(L884:L890)</f>
        <v>-1.3519823551177979E-4</v>
      </c>
      <c r="M891" s="99">
        <f>SUM(M884:M890)</f>
        <v>235328517.39781535</v>
      </c>
      <c r="N891" s="99">
        <f>SUM(N884:N890)</f>
        <v>0</v>
      </c>
      <c r="O891" s="100"/>
      <c r="P891"/>
      <c r="Q891"/>
      <c r="R891"/>
      <c r="S891"/>
      <c r="U891" s="101"/>
      <c r="V891" s="80"/>
      <c r="W891" s="102"/>
      <c r="X891" s="102"/>
      <c r="Y891" s="94"/>
      <c r="Z891" s="86"/>
      <c r="AA891" s="86"/>
      <c r="AB891" s="86"/>
      <c r="AQ891" s="80"/>
      <c r="AR891" s="80"/>
    </row>
    <row r="892" spans="1:44" ht="5.0999999999999996" customHeight="1" thickTop="1">
      <c r="A892" s="70"/>
      <c r="B892" s="78"/>
      <c r="D892" s="79"/>
      <c r="E892" s="80"/>
      <c r="F892" s="79"/>
      <c r="G892" s="80"/>
      <c r="H892" s="81"/>
      <c r="I892" s="81"/>
      <c r="J892" s="81"/>
      <c r="K892" s="80"/>
      <c r="L892" s="82"/>
      <c r="M892" s="82"/>
      <c r="N892" s="82"/>
      <c r="O892" s="83"/>
      <c r="P892"/>
      <c r="Q892"/>
      <c r="R892"/>
      <c r="S892"/>
      <c r="U892" s="84"/>
      <c r="V892" s="80"/>
      <c r="W892" s="82"/>
      <c r="X892" s="82"/>
      <c r="Y892" s="94"/>
      <c r="Z892" s="86"/>
      <c r="AA892" s="86"/>
      <c r="AB892" s="86"/>
      <c r="AQ892" s="80"/>
      <c r="AR892" s="80"/>
    </row>
    <row r="893" spans="1:44" ht="14.4">
      <c r="A893" s="70">
        <v>240236</v>
      </c>
      <c r="B893" s="78" t="str">
        <f>VLOOKUP(A893,'TB for financial'!A:B,2,0)</f>
        <v>Lease Liability</v>
      </c>
      <c r="D893" s="79">
        <f>-VLOOKUP(A893,'TB for financial'!A:F,6,0)</f>
        <v>0</v>
      </c>
      <c r="E893" s="80"/>
      <c r="F893" s="79">
        <f>-VLOOKUP(A893,'TB for financial'!A:K,11,0)</f>
        <v>0</v>
      </c>
      <c r="G893" s="80"/>
      <c r="H893" s="81">
        <f>D893-I893</f>
        <v>0</v>
      </c>
      <c r="I893" s="81"/>
      <c r="J893" s="81">
        <f>+D893-H893-I893</f>
        <v>0</v>
      </c>
      <c r="K893" s="80"/>
      <c r="L893" s="82">
        <f>F893-M893</f>
        <v>0</v>
      </c>
      <c r="M893" s="82">
        <v>0</v>
      </c>
      <c r="N893" s="82">
        <f>+F893-L893-M893</f>
        <v>0</v>
      </c>
      <c r="O893" s="83"/>
      <c r="P893"/>
      <c r="Q893"/>
      <c r="R893"/>
      <c r="S893"/>
      <c r="U893" s="84" t="s">
        <v>539</v>
      </c>
      <c r="V893" s="80"/>
      <c r="W893" s="82"/>
      <c r="X893" s="82" t="s">
        <v>623</v>
      </c>
      <c r="Y893" s="86" t="s">
        <v>32</v>
      </c>
      <c r="Z893" s="86" t="s">
        <v>32</v>
      </c>
      <c r="AA893" s="178" t="s">
        <v>624</v>
      </c>
      <c r="AB893" s="86" t="s">
        <v>624</v>
      </c>
      <c r="AC893" s="87">
        <v>0</v>
      </c>
      <c r="AD893" s="88">
        <f>+D893-AC893</f>
        <v>0</v>
      </c>
      <c r="AF893" s="54" t="s">
        <v>576</v>
      </c>
      <c r="AQ893" s="80"/>
      <c r="AR893" s="80"/>
    </row>
    <row r="894" spans="1:44" ht="14.4">
      <c r="A894" s="70">
        <v>240237</v>
      </c>
      <c r="B894" s="78" t="str">
        <f>VLOOKUP(A894,'TB for financial'!A:B,2,0)</f>
        <v>Regrp of Lease Liabil</v>
      </c>
      <c r="D894" s="79">
        <f>-VLOOKUP(A894,'TB for financial'!A:F,6,0)</f>
        <v>0</v>
      </c>
      <c r="E894" s="80"/>
      <c r="F894" s="79">
        <f>-VLOOKUP(A894,'TB for financial'!A:K,11,0)</f>
        <v>0</v>
      </c>
      <c r="G894" s="80"/>
      <c r="H894" s="81">
        <f>D894-I894</f>
        <v>0</v>
      </c>
      <c r="I894" s="81"/>
      <c r="J894" s="81">
        <f>+D894-H894-I894</f>
        <v>0</v>
      </c>
      <c r="K894" s="80"/>
      <c r="L894" s="82">
        <f>F894-M894</f>
        <v>0</v>
      </c>
      <c r="M894" s="82">
        <v>0</v>
      </c>
      <c r="N894" s="82">
        <f>+F894-L894-M894</f>
        <v>0</v>
      </c>
      <c r="O894" s="83"/>
      <c r="P894"/>
      <c r="Q894"/>
      <c r="R894"/>
      <c r="S894"/>
      <c r="U894" s="84" t="s">
        <v>539</v>
      </c>
      <c r="V894" s="80"/>
      <c r="W894" s="82"/>
      <c r="X894" s="82" t="s">
        <v>623</v>
      </c>
      <c r="Y894" s="86" t="s">
        <v>32</v>
      </c>
      <c r="Z894" s="86" t="s">
        <v>32</v>
      </c>
      <c r="AA894" s="178" t="s">
        <v>625</v>
      </c>
      <c r="AB894" s="178" t="s">
        <v>625</v>
      </c>
      <c r="AC894" s="87">
        <v>0</v>
      </c>
      <c r="AD894" s="88">
        <f>+D894-AC894</f>
        <v>0</v>
      </c>
      <c r="AF894" s="54" t="s">
        <v>576</v>
      </c>
      <c r="AQ894" s="80"/>
      <c r="AR894" s="80"/>
    </row>
    <row r="895" spans="1:44" ht="14.4">
      <c r="A895" s="1373">
        <v>167211</v>
      </c>
      <c r="B895" s="78" t="str">
        <f>VLOOKUP(A895,'TB for financial'!A:B,2,0)</f>
        <v>Lease liability Real estate</v>
      </c>
      <c r="D895" s="79">
        <f>-VLOOKUP(A895,'TB for financial'!A:F,6,0)</f>
        <v>3875012.9696340705</v>
      </c>
      <c r="E895" s="80"/>
      <c r="F895" s="79">
        <f>-VLOOKUP(A895,'TB for financial'!A:K,11,0)</f>
        <v>7290062.1839530719</v>
      </c>
      <c r="G895" s="80"/>
      <c r="H895" s="122">
        <f>D895-I895</f>
        <v>3875012.9696340705</v>
      </c>
      <c r="I895" s="122">
        <v>0</v>
      </c>
      <c r="J895" s="81">
        <f>+D895-H895-I895</f>
        <v>0</v>
      </c>
      <c r="K895" s="80"/>
      <c r="L895" s="82">
        <f>F895-M895</f>
        <v>3414889.2548886365</v>
      </c>
      <c r="M895" s="82">
        <v>3875172.9290644354</v>
      </c>
      <c r="N895" s="82">
        <f>+F895-L895-M895</f>
        <v>0</v>
      </c>
      <c r="O895" s="83"/>
      <c r="P895"/>
      <c r="Q895"/>
      <c r="R895"/>
      <c r="S895"/>
      <c r="U895" s="84" t="s">
        <v>539</v>
      </c>
      <c r="V895" s="80"/>
      <c r="W895" s="82"/>
      <c r="X895" s="82" t="s">
        <v>623</v>
      </c>
      <c r="Y895" s="86" t="s">
        <v>32</v>
      </c>
      <c r="Z895" s="86" t="s">
        <v>32</v>
      </c>
      <c r="AA895" s="178" t="s">
        <v>625</v>
      </c>
      <c r="AB895" s="178" t="s">
        <v>625</v>
      </c>
      <c r="AC895" s="87">
        <v>0</v>
      </c>
      <c r="AD895" s="88">
        <f>+D895-AC895</f>
        <v>3875012.9696340705</v>
      </c>
      <c r="AE895" s="54" t="s">
        <v>2702</v>
      </c>
      <c r="AF895" s="54" t="s">
        <v>576</v>
      </c>
      <c r="AQ895" s="80"/>
      <c r="AR895" s="80">
        <f>D895</f>
        <v>3875012.9696340705</v>
      </c>
    </row>
    <row r="896" spans="1:44" ht="5.0999999999999996" customHeight="1">
      <c r="A896" s="70"/>
      <c r="B896" s="78"/>
      <c r="D896" s="79"/>
      <c r="E896" s="80"/>
      <c r="F896" s="79"/>
      <c r="G896" s="80"/>
      <c r="H896" s="81"/>
      <c r="I896" s="81"/>
      <c r="J896" s="81"/>
      <c r="K896" s="80"/>
      <c r="L896" s="82"/>
      <c r="M896" s="82"/>
      <c r="N896" s="82"/>
      <c r="O896" s="83"/>
      <c r="P896"/>
      <c r="Q896"/>
      <c r="R896"/>
      <c r="S896"/>
      <c r="U896" s="84"/>
      <c r="V896" s="80"/>
      <c r="W896" s="82"/>
      <c r="X896" s="82"/>
      <c r="Y896" s="94"/>
      <c r="Z896" s="86"/>
      <c r="AA896" s="86"/>
      <c r="AB896" s="86"/>
      <c r="AQ896" s="80"/>
      <c r="AR896" s="80"/>
    </row>
    <row r="897" spans="1:44" ht="24.6" thickBot="1">
      <c r="A897" s="105"/>
      <c r="B897" s="71" t="s">
        <v>2303</v>
      </c>
      <c r="D897" s="1646">
        <f>SUM(D893:D896)</f>
        <v>3875012.9696340705</v>
      </c>
      <c r="E897" s="96"/>
      <c r="F897" s="97">
        <f>SUM(F893:F896)</f>
        <v>7290062.1839530719</v>
      </c>
      <c r="G897" s="80"/>
      <c r="H897" s="1646">
        <f>SUM(H893:H896)</f>
        <v>3875012.9696340705</v>
      </c>
      <c r="I897" s="1646">
        <f>SUM(I893:I896)</f>
        <v>0</v>
      </c>
      <c r="J897" s="99">
        <f>SUM(J893:J896)</f>
        <v>0</v>
      </c>
      <c r="K897" s="80"/>
      <c r="L897" s="99">
        <f>SUM(L893:L896)</f>
        <v>3414889.2548886365</v>
      </c>
      <c r="M897" s="99">
        <f>SUM(M893:M896)</f>
        <v>3875172.9290644354</v>
      </c>
      <c r="N897" s="99">
        <f>SUM(N893:N896)</f>
        <v>0</v>
      </c>
      <c r="O897" s="100"/>
      <c r="P897"/>
      <c r="Q897"/>
      <c r="R897"/>
      <c r="S897"/>
      <c r="U897" s="101"/>
      <c r="V897" s="80"/>
      <c r="W897" s="102"/>
      <c r="X897" s="102"/>
      <c r="Y897" s="94"/>
      <c r="Z897" s="86"/>
      <c r="AA897" s="86"/>
      <c r="AB897" s="86"/>
      <c r="AQ897" s="80"/>
      <c r="AR897" s="80"/>
    </row>
    <row r="898" spans="1:44" ht="5.0999999999999996" customHeight="1" thickTop="1">
      <c r="A898" s="70"/>
      <c r="B898" s="78"/>
      <c r="D898" s="79"/>
      <c r="E898" s="80"/>
      <c r="F898" s="79"/>
      <c r="G898" s="80"/>
      <c r="H898" s="81"/>
      <c r="I898" s="81"/>
      <c r="J898" s="81"/>
      <c r="K898" s="80"/>
      <c r="L898" s="82"/>
      <c r="M898" s="82"/>
      <c r="N898" s="82"/>
      <c r="O898" s="83"/>
      <c r="P898"/>
      <c r="Q898"/>
      <c r="R898"/>
      <c r="S898"/>
      <c r="U898" s="84"/>
      <c r="V898" s="80"/>
      <c r="W898" s="82"/>
      <c r="X898" s="82"/>
      <c r="Y898" s="94"/>
      <c r="Z898" s="86"/>
      <c r="AA898" s="86"/>
      <c r="AB898" s="86"/>
      <c r="AQ898" s="80"/>
      <c r="AR898" s="80"/>
    </row>
    <row r="899" spans="1:44" ht="14.4">
      <c r="A899" s="70">
        <v>205094</v>
      </c>
      <c r="B899" s="78" t="str">
        <f>VLOOKUP(A899,'TB for financial'!A:B,2,0)</f>
        <v>Regrp of Lease Liabil</v>
      </c>
      <c r="D899" s="79">
        <f>-VLOOKUP(A899,'TB for financial'!A:F,6,0)</f>
        <v>0</v>
      </c>
      <c r="E899" s="80"/>
      <c r="F899" s="79">
        <f>-VLOOKUP(A899,'TB for financial'!A:K,11,0)</f>
        <v>0</v>
      </c>
      <c r="G899" s="80"/>
      <c r="H899" s="81">
        <f>D899-I899</f>
        <v>0</v>
      </c>
      <c r="I899" s="81">
        <v>0</v>
      </c>
      <c r="J899" s="81">
        <f>+D899-H899-I899</f>
        <v>0</v>
      </c>
      <c r="K899" s="80"/>
      <c r="L899" s="82">
        <f>F899-M899</f>
        <v>0</v>
      </c>
      <c r="M899" s="82">
        <v>0</v>
      </c>
      <c r="N899" s="82">
        <f>+F899-L899-M899</f>
        <v>0</v>
      </c>
      <c r="O899" s="83"/>
      <c r="P899"/>
      <c r="Q899"/>
      <c r="R899"/>
      <c r="S899"/>
      <c r="U899" s="84" t="s">
        <v>539</v>
      </c>
      <c r="V899" s="80"/>
      <c r="W899" s="82"/>
      <c r="X899" s="82" t="s">
        <v>623</v>
      </c>
      <c r="Y899" s="86" t="s">
        <v>32</v>
      </c>
      <c r="Z899" s="86" t="s">
        <v>32</v>
      </c>
      <c r="AA899" s="178" t="s">
        <v>624</v>
      </c>
      <c r="AB899" s="86" t="s">
        <v>624</v>
      </c>
      <c r="AC899" s="87">
        <v>0</v>
      </c>
      <c r="AD899" s="88">
        <f>+D899-AC899</f>
        <v>0</v>
      </c>
      <c r="AF899" s="54" t="s">
        <v>576</v>
      </c>
      <c r="AQ899" s="80"/>
      <c r="AR899" s="80">
        <f>D899</f>
        <v>0</v>
      </c>
    </row>
    <row r="900" spans="1:44" ht="5.0999999999999996" customHeight="1">
      <c r="A900" s="70"/>
      <c r="B900" s="78"/>
      <c r="D900" s="79"/>
      <c r="E900" s="80"/>
      <c r="F900" s="79"/>
      <c r="G900" s="80"/>
      <c r="H900" s="81"/>
      <c r="I900" s="81"/>
      <c r="J900" s="81"/>
      <c r="K900" s="80"/>
      <c r="L900" s="82"/>
      <c r="M900" s="82"/>
      <c r="N900" s="82"/>
      <c r="O900" s="83"/>
      <c r="P900"/>
      <c r="Q900"/>
      <c r="R900"/>
      <c r="S900"/>
      <c r="U900" s="84"/>
      <c r="V900" s="80"/>
      <c r="W900" s="82"/>
      <c r="X900" s="82"/>
      <c r="Y900" s="94"/>
      <c r="Z900" s="86"/>
      <c r="AA900" s="86"/>
      <c r="AB900" s="86"/>
      <c r="AQ900" s="80"/>
      <c r="AR900" s="80"/>
    </row>
    <row r="901" spans="1:44" ht="24.6" thickBot="1">
      <c r="A901" s="105"/>
      <c r="B901" s="71" t="s">
        <v>2304</v>
      </c>
      <c r="D901" s="95">
        <f>SUM(D899:D900)</f>
        <v>0</v>
      </c>
      <c r="E901" s="96"/>
      <c r="F901" s="97">
        <f>SUM(F899:F900)</f>
        <v>0</v>
      </c>
      <c r="G901" s="80"/>
      <c r="H901" s="1646">
        <f>SUM(H899:H900)</f>
        <v>0</v>
      </c>
      <c r="I901" s="99">
        <f>SUM(I899:I900)</f>
        <v>0</v>
      </c>
      <c r="J901" s="99">
        <f>SUM(J899:J900)</f>
        <v>0</v>
      </c>
      <c r="K901" s="80"/>
      <c r="L901" s="99">
        <f>SUM(L899:L900)</f>
        <v>0</v>
      </c>
      <c r="M901" s="99">
        <f>SUM(M899:M900)</f>
        <v>0</v>
      </c>
      <c r="N901" s="99">
        <f>SUM(N899:N900)</f>
        <v>0</v>
      </c>
      <c r="O901" s="100"/>
      <c r="P901"/>
      <c r="Q901"/>
      <c r="R901"/>
      <c r="S901"/>
      <c r="U901" s="101"/>
      <c r="V901" s="80"/>
      <c r="W901" s="102"/>
      <c r="X901" s="102"/>
      <c r="Y901" s="94"/>
      <c r="Z901" s="86"/>
      <c r="AA901" s="86"/>
      <c r="AB901" s="86"/>
      <c r="AQ901" s="80"/>
      <c r="AR901" s="80"/>
    </row>
    <row r="902" spans="1:44" ht="5.0999999999999996" customHeight="1" thickTop="1">
      <c r="A902" s="70"/>
      <c r="B902" s="78"/>
      <c r="D902" s="79"/>
      <c r="E902" s="80"/>
      <c r="F902" s="79"/>
      <c r="G902" s="80"/>
      <c r="H902" s="81"/>
      <c r="I902" s="81"/>
      <c r="J902" s="81"/>
      <c r="K902" s="80"/>
      <c r="L902" s="82"/>
      <c r="M902" s="82"/>
      <c r="N902" s="82"/>
      <c r="O902" s="83"/>
      <c r="P902"/>
      <c r="Q902"/>
      <c r="R902"/>
      <c r="S902"/>
      <c r="U902" s="84"/>
      <c r="V902" s="80"/>
      <c r="W902" s="82"/>
      <c r="X902" s="82"/>
      <c r="Y902" s="94"/>
      <c r="Z902" s="86"/>
      <c r="AA902" s="86"/>
      <c r="AB902" s="86"/>
      <c r="AQ902" s="80"/>
      <c r="AR902" s="80"/>
    </row>
    <row r="903" spans="1:44" ht="14.4">
      <c r="A903" s="70">
        <v>300010</v>
      </c>
      <c r="B903" s="78" t="str">
        <f>VLOOKUP(A903,'TB for financial'!A:B,2,0)</f>
        <v>Common Stock</v>
      </c>
      <c r="D903" s="79">
        <f>-VLOOKUP(A903,'TB for financial'!A:F,6,0)</f>
        <v>0</v>
      </c>
      <c r="E903" s="80"/>
      <c r="F903" s="79">
        <f>-VLOOKUP(A903,'TB for financial'!A:K,11,0)</f>
        <v>0</v>
      </c>
      <c r="G903" s="80"/>
      <c r="H903" s="81">
        <f t="shared" ref="H903:H908" si="202">D903-I903</f>
        <v>0</v>
      </c>
      <c r="I903" s="81">
        <v>0</v>
      </c>
      <c r="J903" s="81">
        <f t="shared" ref="J903:J908" si="203">+D903-H903-I903</f>
        <v>0</v>
      </c>
      <c r="K903" s="80"/>
      <c r="L903" s="82">
        <f t="shared" ref="L903:L908" si="204">F903-M903</f>
        <v>0</v>
      </c>
      <c r="M903" s="82">
        <v>0</v>
      </c>
      <c r="N903" s="82">
        <f t="shared" ref="N903:N908" si="205">+F903-L903-M903</f>
        <v>0</v>
      </c>
      <c r="O903" s="83"/>
      <c r="P903"/>
      <c r="Q903"/>
      <c r="R903"/>
      <c r="S903"/>
      <c r="U903" s="84" t="s">
        <v>539</v>
      </c>
      <c r="V903" s="80"/>
      <c r="W903" s="82"/>
      <c r="X903" s="82" t="s">
        <v>623</v>
      </c>
      <c r="Y903" s="86" t="s">
        <v>32</v>
      </c>
      <c r="Z903" s="86" t="s">
        <v>32</v>
      </c>
      <c r="AA903" s="178" t="s">
        <v>624</v>
      </c>
      <c r="AB903" s="86" t="s">
        <v>624</v>
      </c>
      <c r="AC903" s="87">
        <v>0</v>
      </c>
      <c r="AD903" s="88">
        <f t="shared" ref="AD903:AD908" si="206">+D903-AC903</f>
        <v>0</v>
      </c>
      <c r="AF903" s="54">
        <v>300010</v>
      </c>
      <c r="AQ903" s="80"/>
      <c r="AR903" s="80"/>
    </row>
    <row r="904" spans="1:44" ht="14.4">
      <c r="A904" s="70">
        <v>300110</v>
      </c>
      <c r="B904" s="78" t="str">
        <f>VLOOKUP(A904,'TB for financial'!A:B,2,0)</f>
        <v>Additional Paid in Capital</v>
      </c>
      <c r="D904" s="79">
        <f>-VLOOKUP(A904,'TB for financial'!A:F,6,0)</f>
        <v>0</v>
      </c>
      <c r="E904" s="80"/>
      <c r="F904" s="79">
        <f>-VLOOKUP(A904,'TB for financial'!A:K,11,0)</f>
        <v>0</v>
      </c>
      <c r="G904" s="80"/>
      <c r="H904" s="81">
        <f t="shared" si="202"/>
        <v>0</v>
      </c>
      <c r="I904" s="81">
        <v>0</v>
      </c>
      <c r="J904" s="81">
        <f t="shared" si="203"/>
        <v>0</v>
      </c>
      <c r="K904" s="80"/>
      <c r="L904" s="82">
        <f t="shared" si="204"/>
        <v>0</v>
      </c>
      <c r="M904" s="82">
        <v>0</v>
      </c>
      <c r="N904" s="82">
        <f t="shared" si="205"/>
        <v>0</v>
      </c>
      <c r="O904" s="83"/>
      <c r="P904"/>
      <c r="Q904"/>
      <c r="R904"/>
      <c r="S904"/>
      <c r="U904" s="84" t="s">
        <v>539</v>
      </c>
      <c r="V904" s="80"/>
      <c r="W904" s="82"/>
      <c r="X904" s="82" t="s">
        <v>623</v>
      </c>
      <c r="Y904" s="86" t="s">
        <v>32</v>
      </c>
      <c r="Z904" s="86" t="s">
        <v>32</v>
      </c>
      <c r="AA904" s="178" t="s">
        <v>625</v>
      </c>
      <c r="AB904" s="178" t="s">
        <v>625</v>
      </c>
      <c r="AC904" s="87">
        <v>0</v>
      </c>
      <c r="AD904" s="88">
        <f t="shared" si="206"/>
        <v>0</v>
      </c>
      <c r="AF904" s="54">
        <v>300110</v>
      </c>
      <c r="AQ904" s="80"/>
      <c r="AR904" s="80"/>
    </row>
    <row r="905" spans="1:44" ht="24">
      <c r="A905" s="70">
        <v>300115</v>
      </c>
      <c r="B905" s="78" t="str">
        <f>VLOOKUP(A905,'TB for financial'!A:B,2,0)</f>
        <v>Deferred stock based compensation</v>
      </c>
      <c r="D905" s="79">
        <f>-VLOOKUP(A905,'TB for financial'!A:F,6,0)</f>
        <v>0</v>
      </c>
      <c r="E905" s="80"/>
      <c r="F905" s="79">
        <f>-VLOOKUP(A905,'TB for financial'!A:K,11,0)</f>
        <v>0</v>
      </c>
      <c r="G905" s="80"/>
      <c r="H905" s="81">
        <f t="shared" si="202"/>
        <v>0</v>
      </c>
      <c r="I905" s="81">
        <v>0</v>
      </c>
      <c r="J905" s="81">
        <f t="shared" si="203"/>
        <v>0</v>
      </c>
      <c r="K905" s="80"/>
      <c r="L905" s="82">
        <f t="shared" si="204"/>
        <v>0</v>
      </c>
      <c r="M905" s="82">
        <v>0</v>
      </c>
      <c r="N905" s="82">
        <f t="shared" si="205"/>
        <v>0</v>
      </c>
      <c r="O905" s="83"/>
      <c r="P905"/>
      <c r="Q905"/>
      <c r="R905"/>
      <c r="S905"/>
      <c r="U905" s="84" t="s">
        <v>539</v>
      </c>
      <c r="V905" s="80"/>
      <c r="W905" s="82"/>
      <c r="X905" s="82" t="s">
        <v>623</v>
      </c>
      <c r="Y905" s="86" t="s">
        <v>32</v>
      </c>
      <c r="Z905" s="86" t="s">
        <v>32</v>
      </c>
      <c r="AA905" s="178" t="s">
        <v>625</v>
      </c>
      <c r="AB905" s="178" t="s">
        <v>625</v>
      </c>
      <c r="AC905" s="87">
        <v>0</v>
      </c>
      <c r="AD905" s="88">
        <f t="shared" si="206"/>
        <v>0</v>
      </c>
      <c r="AF905" s="54">
        <v>300115</v>
      </c>
      <c r="AQ905" s="80"/>
      <c r="AR905" s="80"/>
    </row>
    <row r="906" spans="1:44" ht="14.4">
      <c r="A906" s="70">
        <v>300120</v>
      </c>
      <c r="B906" s="78" t="str">
        <f>VLOOKUP(A906,'TB for financial'!A:B,2,0)</f>
        <v>Deferred Sales Incentive</v>
      </c>
      <c r="D906" s="79">
        <f>-VLOOKUP(A906,'TB for financial'!A:F,6,0)</f>
        <v>0</v>
      </c>
      <c r="E906" s="80"/>
      <c r="F906" s="79">
        <f>-VLOOKUP(A906,'TB for financial'!A:K,11,0)</f>
        <v>0</v>
      </c>
      <c r="G906" s="80"/>
      <c r="H906" s="81">
        <f t="shared" si="202"/>
        <v>0</v>
      </c>
      <c r="I906" s="81">
        <v>0</v>
      </c>
      <c r="J906" s="81">
        <f t="shared" si="203"/>
        <v>0</v>
      </c>
      <c r="K906" s="80"/>
      <c r="L906" s="82">
        <f t="shared" si="204"/>
        <v>0</v>
      </c>
      <c r="M906" s="82">
        <v>0</v>
      </c>
      <c r="N906" s="82">
        <f t="shared" si="205"/>
        <v>0</v>
      </c>
      <c r="O906" s="83"/>
      <c r="P906"/>
      <c r="Q906"/>
      <c r="R906"/>
      <c r="S906"/>
      <c r="U906" s="84" t="s">
        <v>539</v>
      </c>
      <c r="V906" s="80"/>
      <c r="W906" s="82"/>
      <c r="X906" s="82" t="s">
        <v>623</v>
      </c>
      <c r="Y906" s="86" t="s">
        <v>32</v>
      </c>
      <c r="Z906" s="86" t="s">
        <v>32</v>
      </c>
      <c r="AA906" s="178" t="s">
        <v>625</v>
      </c>
      <c r="AB906" s="178" t="s">
        <v>625</v>
      </c>
      <c r="AC906" s="87">
        <v>0</v>
      </c>
      <c r="AD906" s="88">
        <f t="shared" si="206"/>
        <v>0</v>
      </c>
      <c r="AF906" s="54">
        <v>300120</v>
      </c>
      <c r="AQ906" s="80"/>
      <c r="AR906" s="80"/>
    </row>
    <row r="907" spans="1:44" ht="24">
      <c r="A907" s="1373" t="s">
        <v>2534</v>
      </c>
      <c r="B907" s="78" t="str">
        <f>VLOOKUP(A907,'TB for financial'!A:B,2,0)</f>
        <v>CAPITAL SUBSCRIBED - CALLED AND PAID</v>
      </c>
      <c r="D907" s="79">
        <f>-VLOOKUP(A907,'TB for financial'!A:F,6,0)</f>
        <v>100000</v>
      </c>
      <c r="E907" s="80"/>
      <c r="F907" s="79">
        <f>-VLOOKUP(A907,'TB for financial'!A:K,11,0)</f>
        <v>100000</v>
      </c>
      <c r="G907" s="80"/>
      <c r="H907" s="81">
        <f t="shared" si="202"/>
        <v>0</v>
      </c>
      <c r="I907" s="122">
        <v>100000</v>
      </c>
      <c r="J907" s="81">
        <f t="shared" si="203"/>
        <v>0</v>
      </c>
      <c r="K907" s="80"/>
      <c r="L907" s="82">
        <f t="shared" si="204"/>
        <v>0</v>
      </c>
      <c r="M907" s="82">
        <v>100000</v>
      </c>
      <c r="N907" s="82">
        <f t="shared" si="205"/>
        <v>0</v>
      </c>
      <c r="O907" s="83"/>
      <c r="P907"/>
      <c r="Q907"/>
      <c r="R907"/>
      <c r="S907"/>
      <c r="U907" s="84" t="s">
        <v>539</v>
      </c>
      <c r="V907" s="80"/>
      <c r="W907" s="82"/>
      <c r="X907" s="82" t="s">
        <v>623</v>
      </c>
      <c r="Y907" s="86" t="s">
        <v>32</v>
      </c>
      <c r="Z907" s="86" t="s">
        <v>32</v>
      </c>
      <c r="AA907" s="178" t="s">
        <v>624</v>
      </c>
      <c r="AB907" s="86" t="s">
        <v>624</v>
      </c>
      <c r="AC907" s="87">
        <v>154000</v>
      </c>
      <c r="AD907" s="88">
        <f t="shared" si="206"/>
        <v>-54000</v>
      </c>
      <c r="AF907" s="54" t="s">
        <v>2536</v>
      </c>
      <c r="AQ907" s="80"/>
      <c r="AR907" s="80">
        <f>D907</f>
        <v>100000</v>
      </c>
    </row>
    <row r="908" spans="1:44" ht="24">
      <c r="A908" s="1373">
        <v>1013001</v>
      </c>
      <c r="B908" s="78" t="str">
        <f>VLOOKUP(A908,'TB for financial'!A:B,2,0)</f>
        <v>CAPITAL SUBSCRIBED - CALLED AND PAID</v>
      </c>
      <c r="D908" s="79">
        <f>-VLOOKUP(A908,'TB for financial'!A:F,6,0)</f>
        <v>0</v>
      </c>
      <c r="E908" s="80"/>
      <c r="F908" s="79">
        <f>-VLOOKUP(A908,'TB for financial'!A:K,11,0)</f>
        <v>0</v>
      </c>
      <c r="G908" s="80"/>
      <c r="H908" s="81">
        <f t="shared" si="202"/>
        <v>0</v>
      </c>
      <c r="I908" s="81"/>
      <c r="J908" s="81">
        <f t="shared" si="203"/>
        <v>0</v>
      </c>
      <c r="K908" s="80"/>
      <c r="L908" s="82">
        <f t="shared" si="204"/>
        <v>0</v>
      </c>
      <c r="M908" s="82">
        <v>0</v>
      </c>
      <c r="N908" s="82">
        <f t="shared" si="205"/>
        <v>0</v>
      </c>
      <c r="O908" s="83"/>
      <c r="P908"/>
      <c r="Q908"/>
      <c r="R908"/>
      <c r="S908"/>
      <c r="U908" s="84"/>
      <c r="V908" s="80"/>
      <c r="W908" s="82"/>
      <c r="X908" s="82"/>
      <c r="Y908" s="86"/>
      <c r="Z908" s="86"/>
      <c r="AA908" s="178"/>
      <c r="AB908" s="178"/>
      <c r="AC908" s="87">
        <v>0</v>
      </c>
      <c r="AD908" s="88">
        <f t="shared" si="206"/>
        <v>0</v>
      </c>
      <c r="AQ908" s="80"/>
      <c r="AR908" s="80">
        <f>D908</f>
        <v>0</v>
      </c>
    </row>
    <row r="909" spans="1:44" ht="5.0999999999999996" customHeight="1">
      <c r="A909" s="70"/>
      <c r="B909" s="78"/>
      <c r="D909" s="79"/>
      <c r="E909" s="80"/>
      <c r="F909" s="79"/>
      <c r="G909" s="80"/>
      <c r="H909" s="81"/>
      <c r="I909" s="81"/>
      <c r="J909" s="81"/>
      <c r="K909" s="80"/>
      <c r="L909" s="82"/>
      <c r="M909" s="82"/>
      <c r="N909" s="82"/>
      <c r="O909" s="83"/>
      <c r="P909"/>
      <c r="Q909"/>
      <c r="R909"/>
      <c r="S909"/>
      <c r="U909" s="84"/>
      <c r="V909" s="80"/>
      <c r="W909" s="82"/>
      <c r="X909" s="82"/>
      <c r="Y909" s="94"/>
      <c r="Z909" s="86"/>
      <c r="AA909" s="86"/>
      <c r="AB909" s="86"/>
      <c r="AQ909" s="80"/>
      <c r="AR909" s="80"/>
    </row>
    <row r="910" spans="1:44" ht="15" thickBot="1">
      <c r="A910" s="105"/>
      <c r="B910" s="71" t="s">
        <v>626</v>
      </c>
      <c r="D910" s="95">
        <f>SUM(D903:D909)</f>
        <v>100000</v>
      </c>
      <c r="E910" s="96"/>
      <c r="F910" s="97">
        <f>SUM(F903:F909)</f>
        <v>100000</v>
      </c>
      <c r="G910" s="80"/>
      <c r="H910" s="99">
        <f>SUM(H903:H909)</f>
        <v>0</v>
      </c>
      <c r="I910" s="99">
        <f>SUM(I903:I909)</f>
        <v>100000</v>
      </c>
      <c r="J910" s="99">
        <f>SUM(J903:J909)</f>
        <v>0</v>
      </c>
      <c r="K910" s="80"/>
      <c r="L910" s="99">
        <f>SUM(L903:L909)</f>
        <v>0</v>
      </c>
      <c r="M910" s="99">
        <f>SUM(M903:M909)</f>
        <v>100000</v>
      </c>
      <c r="N910" s="99">
        <f>SUM(N903:N909)</f>
        <v>0</v>
      </c>
      <c r="O910" s="100"/>
      <c r="P910"/>
      <c r="Q910"/>
      <c r="R910"/>
      <c r="S910"/>
      <c r="U910" s="101"/>
      <c r="V910" s="80"/>
      <c r="W910" s="102"/>
      <c r="X910" s="102"/>
      <c r="Y910" s="94"/>
      <c r="Z910" s="86"/>
      <c r="AA910" s="86"/>
      <c r="AB910" s="86"/>
      <c r="AQ910" s="80"/>
      <c r="AR910" s="80"/>
    </row>
    <row r="911" spans="1:44" ht="5.0999999999999996" customHeight="1" thickTop="1">
      <c r="A911" s="105"/>
      <c r="B911" s="71"/>
      <c r="D911" s="79"/>
      <c r="E911" s="80"/>
      <c r="F911" s="79"/>
      <c r="G911" s="80"/>
      <c r="H911" s="81"/>
      <c r="I911" s="81"/>
      <c r="J911" s="81"/>
      <c r="K911" s="80"/>
      <c r="L911" s="82"/>
      <c r="M911" s="82"/>
      <c r="N911" s="82"/>
      <c r="O911" s="83"/>
      <c r="P911"/>
      <c r="Q911"/>
      <c r="R911"/>
      <c r="S911"/>
      <c r="U911" s="84"/>
      <c r="V911" s="80"/>
      <c r="W911" s="82"/>
      <c r="X911" s="82"/>
      <c r="Y911" s="94"/>
      <c r="Z911" s="86"/>
      <c r="AA911" s="86"/>
      <c r="AB911" s="86"/>
      <c r="AQ911" s="80"/>
      <c r="AR911" s="80"/>
    </row>
    <row r="912" spans="1:44" ht="14.4">
      <c r="A912" s="70">
        <v>301001</v>
      </c>
      <c r="B912" s="78" t="str">
        <f>VLOOKUP(A912,'TB for financial'!A:B,2,0)</f>
        <v>General Reserve</v>
      </c>
      <c r="D912" s="79">
        <f>-VLOOKUP(A912,'TB for financial'!A:F,6,0)</f>
        <v>0</v>
      </c>
      <c r="E912" s="80"/>
      <c r="F912" s="79">
        <f>4854018405*0+-VLOOKUP(A912,'TB for financial'!A:K,11,0)</f>
        <v>0</v>
      </c>
      <c r="G912" s="80"/>
      <c r="H912" s="81">
        <f t="shared" ref="H912:H923" si="207">D912-I912</f>
        <v>0</v>
      </c>
      <c r="I912" s="81">
        <v>0</v>
      </c>
      <c r="J912" s="81">
        <f t="shared" ref="J912:J923" si="208">+D912-H912-I912</f>
        <v>0</v>
      </c>
      <c r="K912" s="80"/>
      <c r="L912" s="82">
        <f t="shared" ref="L912:L923" si="209">F912-M912</f>
        <v>0</v>
      </c>
      <c r="M912" s="82">
        <v>0</v>
      </c>
      <c r="N912" s="82">
        <f t="shared" ref="N912:N923" si="210">+F912-L912-M912</f>
        <v>0</v>
      </c>
      <c r="O912" s="83"/>
      <c r="P912"/>
      <c r="Q912"/>
      <c r="R912"/>
      <c r="S912"/>
      <c r="U912" s="84" t="s">
        <v>539</v>
      </c>
      <c r="V912" s="80"/>
      <c r="W912" s="82"/>
      <c r="X912" s="82" t="s">
        <v>627</v>
      </c>
      <c r="Y912" s="86" t="s">
        <v>32</v>
      </c>
      <c r="Z912" s="86" t="s">
        <v>32</v>
      </c>
      <c r="AA912" s="178" t="s">
        <v>625</v>
      </c>
      <c r="AB912" s="178" t="s">
        <v>625</v>
      </c>
      <c r="AC912" s="87">
        <v>0</v>
      </c>
      <c r="AD912" s="88">
        <f t="shared" ref="AD912:AD923" si="211">+D912-AC912</f>
        <v>0</v>
      </c>
      <c r="AF912" s="54">
        <v>301001</v>
      </c>
      <c r="AQ912" s="80"/>
      <c r="AR912" s="80">
        <f t="shared" ref="AR912:AR929" si="212">D912</f>
        <v>0</v>
      </c>
    </row>
    <row r="913" spans="1:44" ht="24">
      <c r="A913" s="70">
        <v>301002</v>
      </c>
      <c r="B913" s="78" t="str">
        <f>VLOOKUP(A913,'TB for financial'!A:B,2,0)</f>
        <v xml:space="preserve">Opening balance in Profit and Loss account </v>
      </c>
      <c r="D913" s="79">
        <f>-VLOOKUP(A913,'TB for financial'!A:F,6,0)</f>
        <v>0</v>
      </c>
      <c r="E913" s="80"/>
      <c r="F913" s="79">
        <f>7203447690.12*0-VLOOKUP(A913,'TB for financial'!A:K,11,0)</f>
        <v>0</v>
      </c>
      <c r="G913" s="80"/>
      <c r="H913" s="81">
        <f t="shared" si="207"/>
        <v>0</v>
      </c>
      <c r="I913" s="81">
        <v>0</v>
      </c>
      <c r="J913" s="81">
        <f t="shared" si="208"/>
        <v>0</v>
      </c>
      <c r="K913" s="80"/>
      <c r="L913" s="82">
        <f t="shared" si="209"/>
        <v>0</v>
      </c>
      <c r="M913" s="82">
        <v>0</v>
      </c>
      <c r="N913" s="82">
        <f t="shared" si="210"/>
        <v>0</v>
      </c>
      <c r="O913" s="83"/>
      <c r="P913"/>
      <c r="Q913"/>
      <c r="R913"/>
      <c r="S913"/>
      <c r="U913" s="84" t="s">
        <v>535</v>
      </c>
      <c r="V913" s="80"/>
      <c r="W913" s="82"/>
      <c r="X913" s="82" t="s">
        <v>627</v>
      </c>
      <c r="Y913" s="86" t="s">
        <v>32</v>
      </c>
      <c r="Z913" s="86" t="s">
        <v>32</v>
      </c>
      <c r="AA913" s="178" t="s">
        <v>625</v>
      </c>
      <c r="AB913" s="178" t="s">
        <v>625</v>
      </c>
      <c r="AC913" s="87">
        <v>0</v>
      </c>
      <c r="AD913" s="88">
        <f t="shared" si="211"/>
        <v>0</v>
      </c>
      <c r="AF913" s="54">
        <v>301002</v>
      </c>
      <c r="AQ913" s="80"/>
      <c r="AR913" s="80">
        <f t="shared" si="212"/>
        <v>0</v>
      </c>
    </row>
    <row r="914" spans="1:44" ht="14.4">
      <c r="A914" s="158">
        <v>301009</v>
      </c>
      <c r="B914" s="78" t="str">
        <f>VLOOKUP(A914,'TB for financial'!A:B,2,0)</f>
        <v>Ind AS impact - Res. &amp; Surplus</v>
      </c>
      <c r="D914" s="79">
        <f>-VLOOKUP(A914,'TB for financial'!A:F,6,0)</f>
        <v>0</v>
      </c>
      <c r="E914" s="80"/>
      <c r="F914" s="79">
        <f>-VLOOKUP(A914,'TB for financial'!A:K,11,0)</f>
        <v>0</v>
      </c>
      <c r="G914" s="80"/>
      <c r="H914" s="81">
        <f t="shared" si="207"/>
        <v>0</v>
      </c>
      <c r="I914" s="81">
        <v>0</v>
      </c>
      <c r="J914" s="81">
        <f t="shared" si="208"/>
        <v>0</v>
      </c>
      <c r="K914" s="80"/>
      <c r="L914" s="82">
        <f t="shared" si="209"/>
        <v>0</v>
      </c>
      <c r="M914" s="82">
        <v>0</v>
      </c>
      <c r="N914" s="82">
        <f t="shared" si="210"/>
        <v>0</v>
      </c>
      <c r="O914" s="83"/>
      <c r="P914"/>
      <c r="Q914"/>
      <c r="R914"/>
      <c r="S914"/>
      <c r="U914" s="84"/>
      <c r="V914" s="80"/>
      <c r="W914" s="82"/>
      <c r="X914" s="82"/>
      <c r="Y914" s="86" t="s">
        <v>32</v>
      </c>
      <c r="Z914" s="86" t="s">
        <v>32</v>
      </c>
      <c r="AA914" s="178" t="s">
        <v>625</v>
      </c>
      <c r="AB914" s="178" t="s">
        <v>625</v>
      </c>
      <c r="AC914" s="87">
        <v>0</v>
      </c>
      <c r="AD914" s="88">
        <f t="shared" si="211"/>
        <v>0</v>
      </c>
      <c r="AF914" s="54" t="s">
        <v>576</v>
      </c>
      <c r="AQ914" s="80"/>
      <c r="AR914" s="80">
        <f t="shared" si="212"/>
        <v>0</v>
      </c>
    </row>
    <row r="915" spans="1:44" ht="24">
      <c r="A915" s="70">
        <v>301003</v>
      </c>
      <c r="B915" s="78" t="s">
        <v>628</v>
      </c>
      <c r="D915" s="79">
        <f>-VLOOKUP(A915,'TB for financial'!A:F,6,0)+'PL Gr'!E459*0</f>
        <v>0</v>
      </c>
      <c r="E915" s="80"/>
      <c r="F915" s="79">
        <f>-VLOOKUP(A915,'TB for financial'!A:K,11,0)</f>
        <v>0</v>
      </c>
      <c r="G915" s="80"/>
      <c r="H915" s="81">
        <f t="shared" si="207"/>
        <v>0</v>
      </c>
      <c r="I915" s="81">
        <v>0</v>
      </c>
      <c r="J915" s="81">
        <f t="shared" si="208"/>
        <v>0</v>
      </c>
      <c r="K915" s="80"/>
      <c r="L915" s="82">
        <f t="shared" si="209"/>
        <v>0</v>
      </c>
      <c r="M915" s="82">
        <v>0</v>
      </c>
      <c r="N915" s="82">
        <f t="shared" si="210"/>
        <v>0</v>
      </c>
      <c r="O915" s="83"/>
      <c r="P915"/>
      <c r="Q915"/>
      <c r="R915"/>
      <c r="S915"/>
      <c r="U915" s="84" t="s">
        <v>539</v>
      </c>
      <c r="V915" s="80"/>
      <c r="W915" s="82"/>
      <c r="X915" s="82" t="s">
        <v>627</v>
      </c>
      <c r="Y915" s="86" t="s">
        <v>32</v>
      </c>
      <c r="Z915" s="86" t="s">
        <v>32</v>
      </c>
      <c r="AA915" s="178" t="s">
        <v>625</v>
      </c>
      <c r="AB915" s="178" t="s">
        <v>625</v>
      </c>
      <c r="AC915" s="87">
        <v>0</v>
      </c>
      <c r="AD915" s="88">
        <f t="shared" si="211"/>
        <v>0</v>
      </c>
      <c r="AF915" s="54">
        <v>301003</v>
      </c>
      <c r="AQ915" s="80"/>
      <c r="AR915" s="80">
        <f t="shared" si="212"/>
        <v>0</v>
      </c>
    </row>
    <row r="916" spans="1:44" ht="24">
      <c r="A916" s="70">
        <v>301004</v>
      </c>
      <c r="B916" s="78" t="str">
        <f>VLOOKUP(A916,'TB for financial'!A:B,2,0)</f>
        <v>Accumulated and Other Comprehensive Income</v>
      </c>
      <c r="D916" s="79">
        <f>-VLOOKUP(A916,'TB for financial'!A:F,6,0)</f>
        <v>0</v>
      </c>
      <c r="E916" s="80"/>
      <c r="F916" s="79">
        <f>-VLOOKUP(A916,'TB for financial'!A:K,11,0)</f>
        <v>0</v>
      </c>
      <c r="G916" s="80"/>
      <c r="H916" s="81">
        <f t="shared" si="207"/>
        <v>0</v>
      </c>
      <c r="I916" s="81">
        <v>0</v>
      </c>
      <c r="J916" s="81">
        <f t="shared" si="208"/>
        <v>0</v>
      </c>
      <c r="K916" s="80"/>
      <c r="L916" s="82">
        <f t="shared" si="209"/>
        <v>0</v>
      </c>
      <c r="M916" s="82">
        <v>0</v>
      </c>
      <c r="N916" s="82">
        <f t="shared" si="210"/>
        <v>0</v>
      </c>
      <c r="O916" s="83"/>
      <c r="P916"/>
      <c r="Q916"/>
      <c r="R916"/>
      <c r="S916"/>
      <c r="U916" s="84" t="s">
        <v>539</v>
      </c>
      <c r="V916" s="80"/>
      <c r="W916" s="82"/>
      <c r="X916" s="82" t="s">
        <v>627</v>
      </c>
      <c r="Y916" s="86" t="s">
        <v>32</v>
      </c>
      <c r="Z916" s="86" t="s">
        <v>32</v>
      </c>
      <c r="AA916" s="178" t="s">
        <v>625</v>
      </c>
      <c r="AB916" s="178" t="s">
        <v>625</v>
      </c>
      <c r="AC916" s="87">
        <v>0</v>
      </c>
      <c r="AD916" s="88">
        <f t="shared" si="211"/>
        <v>0</v>
      </c>
      <c r="AF916" s="54">
        <v>301004</v>
      </c>
      <c r="AQ916" s="80"/>
      <c r="AR916" s="80">
        <f t="shared" si="212"/>
        <v>0</v>
      </c>
    </row>
    <row r="917" spans="1:44" ht="14.4">
      <c r="A917" s="70">
        <v>301005</v>
      </c>
      <c r="B917" s="78" t="str">
        <f>VLOOKUP(A917,'TB for financial'!A:B,2,0)</f>
        <v>Dividend Account</v>
      </c>
      <c r="D917" s="79">
        <f>-VLOOKUP(A917,'TB for financial'!A:F,6,0)</f>
        <v>0</v>
      </c>
      <c r="E917" s="80"/>
      <c r="F917" s="79">
        <f>-VLOOKUP(A917,'TB for financial'!A:K,11,0)</f>
        <v>0</v>
      </c>
      <c r="G917" s="80"/>
      <c r="H917" s="81">
        <f t="shared" si="207"/>
        <v>0</v>
      </c>
      <c r="I917" s="81">
        <v>0</v>
      </c>
      <c r="J917" s="81">
        <f t="shared" si="208"/>
        <v>0</v>
      </c>
      <c r="K917" s="80"/>
      <c r="L917" s="82">
        <f t="shared" si="209"/>
        <v>0</v>
      </c>
      <c r="M917" s="82">
        <v>0</v>
      </c>
      <c r="N917" s="82">
        <f>+F917-L917-M917</f>
        <v>0</v>
      </c>
      <c r="O917" s="83"/>
      <c r="P917"/>
      <c r="Q917"/>
      <c r="R917"/>
      <c r="S917"/>
      <c r="U917" s="84" t="s">
        <v>539</v>
      </c>
      <c r="V917" s="80"/>
      <c r="W917" s="82"/>
      <c r="X917" s="82" t="s">
        <v>627</v>
      </c>
      <c r="Y917" s="86" t="s">
        <v>32</v>
      </c>
      <c r="Z917" s="86" t="s">
        <v>32</v>
      </c>
      <c r="AA917" s="178" t="s">
        <v>625</v>
      </c>
      <c r="AB917" s="178" t="s">
        <v>625</v>
      </c>
      <c r="AC917" s="87">
        <v>0</v>
      </c>
      <c r="AD917" s="88">
        <f t="shared" si="211"/>
        <v>0</v>
      </c>
      <c r="AF917" s="54">
        <v>301005</v>
      </c>
      <c r="AQ917" s="80"/>
      <c r="AR917" s="80">
        <f t="shared" si="212"/>
        <v>0</v>
      </c>
    </row>
    <row r="918" spans="1:44" ht="14.4">
      <c r="A918" s="70">
        <v>301006</v>
      </c>
      <c r="B918" s="78" t="str">
        <f>VLOOKUP(A918,'TB for financial'!A:B,2,0)</f>
        <v>Dividend Distribtion Tax A/c</v>
      </c>
      <c r="D918" s="79">
        <f>-VLOOKUP(A918,'TB for financial'!A:F,6,0)</f>
        <v>0</v>
      </c>
      <c r="E918" s="80"/>
      <c r="F918" s="79">
        <f>-VLOOKUP(A918,'TB for financial'!A:K,11,0)</f>
        <v>0</v>
      </c>
      <c r="G918" s="80"/>
      <c r="H918" s="81">
        <f t="shared" si="207"/>
        <v>0</v>
      </c>
      <c r="I918" s="81">
        <v>0</v>
      </c>
      <c r="J918" s="81">
        <f t="shared" si="208"/>
        <v>0</v>
      </c>
      <c r="K918" s="80"/>
      <c r="L918" s="82">
        <f t="shared" si="209"/>
        <v>0</v>
      </c>
      <c r="M918" s="82">
        <v>0</v>
      </c>
      <c r="N918" s="82">
        <f>+F918-L918-M918</f>
        <v>0</v>
      </c>
      <c r="O918" s="83"/>
      <c r="P918"/>
      <c r="Q918"/>
      <c r="R918"/>
      <c r="S918"/>
      <c r="U918" s="84" t="s">
        <v>539</v>
      </c>
      <c r="V918" s="80"/>
      <c r="W918" s="82"/>
      <c r="X918" s="82" t="s">
        <v>627</v>
      </c>
      <c r="Y918" s="86" t="s">
        <v>32</v>
      </c>
      <c r="Z918" s="86" t="s">
        <v>32</v>
      </c>
      <c r="AA918" s="178" t="s">
        <v>625</v>
      </c>
      <c r="AB918" s="178" t="s">
        <v>625</v>
      </c>
      <c r="AC918" s="87">
        <v>0</v>
      </c>
      <c r="AD918" s="88">
        <f t="shared" si="211"/>
        <v>0</v>
      </c>
      <c r="AF918" s="54">
        <v>301006</v>
      </c>
      <c r="AQ918" s="80"/>
      <c r="AR918" s="80">
        <f t="shared" si="212"/>
        <v>0</v>
      </c>
    </row>
    <row r="919" spans="1:44" ht="24">
      <c r="A919" s="158">
        <v>301008</v>
      </c>
      <c r="B919" s="78" t="str">
        <f>VLOOKUP(A919,'TB for financial'!A:B,2,0)</f>
        <v>Accumulated and Other Comprehensive Income - Gratuity</v>
      </c>
      <c r="D919" s="79">
        <f>-VLOOKUP(A919,'TB for financial'!A:F,6,0)</f>
        <v>0</v>
      </c>
      <c r="E919" s="80"/>
      <c r="F919" s="79">
        <f>-VLOOKUP(A919,'TB for financial'!A:K,11,0)</f>
        <v>0</v>
      </c>
      <c r="G919" s="80"/>
      <c r="H919" s="81">
        <f t="shared" si="207"/>
        <v>0</v>
      </c>
      <c r="I919" s="81">
        <v>0</v>
      </c>
      <c r="J919" s="81">
        <f t="shared" si="208"/>
        <v>0</v>
      </c>
      <c r="K919" s="80"/>
      <c r="L919" s="82">
        <f t="shared" si="209"/>
        <v>0</v>
      </c>
      <c r="M919" s="82">
        <v>0</v>
      </c>
      <c r="N919" s="82">
        <f>+F919-L919-M919</f>
        <v>0</v>
      </c>
      <c r="O919" s="83"/>
      <c r="P919"/>
      <c r="Q919"/>
      <c r="R919"/>
      <c r="S919"/>
      <c r="U919" s="84" t="s">
        <v>539</v>
      </c>
      <c r="V919" s="80"/>
      <c r="W919" s="82"/>
      <c r="X919" s="82" t="s">
        <v>627</v>
      </c>
      <c r="Y919" s="86" t="s">
        <v>32</v>
      </c>
      <c r="Z919" s="86" t="s">
        <v>32</v>
      </c>
      <c r="AA919" s="178" t="s">
        <v>625</v>
      </c>
      <c r="AB919" s="178" t="s">
        <v>625</v>
      </c>
      <c r="AC919" s="87">
        <v>0</v>
      </c>
      <c r="AD919" s="88">
        <f t="shared" si="211"/>
        <v>0</v>
      </c>
      <c r="AF919" s="54" t="s">
        <v>576</v>
      </c>
      <c r="AQ919" s="80"/>
      <c r="AR919" s="80">
        <f t="shared" si="212"/>
        <v>0</v>
      </c>
    </row>
    <row r="920" spans="1:44" ht="36">
      <c r="A920" s="70">
        <v>300211</v>
      </c>
      <c r="B920" s="78" t="str">
        <f>VLOOKUP(A920,'TB for financial'!A:B,2,0)</f>
        <v>Special Economic Zone Re-Investment Allowance Reserve Account</v>
      </c>
      <c r="D920" s="79">
        <f>-VLOOKUP(A920,'TB for financial'!A:F,6,0)</f>
        <v>0</v>
      </c>
      <c r="E920" s="80"/>
      <c r="F920" s="79">
        <f>-VLOOKUP(A920,'TB for financial'!A:K,11,0)</f>
        <v>0</v>
      </c>
      <c r="G920" s="80"/>
      <c r="H920" s="81">
        <f t="shared" si="207"/>
        <v>0</v>
      </c>
      <c r="I920" s="81">
        <v>0</v>
      </c>
      <c r="J920" s="81">
        <f t="shared" si="208"/>
        <v>0</v>
      </c>
      <c r="K920" s="80"/>
      <c r="L920" s="82">
        <f t="shared" si="209"/>
        <v>0</v>
      </c>
      <c r="M920" s="82">
        <v>0</v>
      </c>
      <c r="N920" s="82">
        <f t="shared" si="210"/>
        <v>0</v>
      </c>
      <c r="O920" s="83"/>
      <c r="P920"/>
      <c r="Q920"/>
      <c r="R920"/>
      <c r="S920"/>
      <c r="U920" s="84" t="s">
        <v>535</v>
      </c>
      <c r="V920" s="80"/>
      <c r="W920" s="82"/>
      <c r="X920" s="82" t="s">
        <v>627</v>
      </c>
      <c r="Y920" s="86" t="s">
        <v>32</v>
      </c>
      <c r="Z920" s="86" t="s">
        <v>32</v>
      </c>
      <c r="AA920" s="178" t="s">
        <v>625</v>
      </c>
      <c r="AB920" s="178" t="s">
        <v>625</v>
      </c>
      <c r="AC920" s="87">
        <v>0</v>
      </c>
      <c r="AD920" s="88">
        <f t="shared" si="211"/>
        <v>0</v>
      </c>
      <c r="AF920" s="54">
        <v>300211</v>
      </c>
      <c r="AQ920" s="80"/>
      <c r="AR920" s="80">
        <f t="shared" si="212"/>
        <v>0</v>
      </c>
    </row>
    <row r="921" spans="1:44" ht="14.4">
      <c r="A921" s="70">
        <v>300210</v>
      </c>
      <c r="B921" s="78" t="str">
        <f>VLOOKUP(A921,'TB for financial'!A:B,2,0)</f>
        <v>Retained Earnings</v>
      </c>
      <c r="D921" s="79">
        <f>-VLOOKUP(A921,'TB for financial'!A:F,6,0)</f>
        <v>0</v>
      </c>
      <c r="E921" s="80"/>
      <c r="F921" s="79">
        <f>-VLOOKUP(A921,'TB for financial'!A:K,11,0)</f>
        <v>0</v>
      </c>
      <c r="G921" s="80"/>
      <c r="H921" s="81">
        <f t="shared" si="207"/>
        <v>0</v>
      </c>
      <c r="I921" s="81">
        <v>0</v>
      </c>
      <c r="J921" s="81">
        <f t="shared" si="208"/>
        <v>0</v>
      </c>
      <c r="K921" s="80"/>
      <c r="L921" s="82">
        <f t="shared" si="209"/>
        <v>0</v>
      </c>
      <c r="M921" s="82">
        <v>0</v>
      </c>
      <c r="N921" s="82">
        <f t="shared" si="210"/>
        <v>0</v>
      </c>
      <c r="O921" s="83"/>
      <c r="P921"/>
      <c r="Q921"/>
      <c r="R921"/>
      <c r="S921"/>
      <c r="U921" s="84" t="s">
        <v>539</v>
      </c>
      <c r="V921" s="80"/>
      <c r="W921" s="82"/>
      <c r="X921" s="82" t="s">
        <v>627</v>
      </c>
      <c r="Y921" s="86" t="s">
        <v>32</v>
      </c>
      <c r="Z921" s="86" t="s">
        <v>32</v>
      </c>
      <c r="AA921" s="178" t="s">
        <v>625</v>
      </c>
      <c r="AB921" s="178" t="s">
        <v>625</v>
      </c>
      <c r="AC921" s="87">
        <v>0</v>
      </c>
      <c r="AD921" s="88">
        <f t="shared" si="211"/>
        <v>0</v>
      </c>
      <c r="AF921" s="54">
        <v>300210</v>
      </c>
      <c r="AQ921" s="80"/>
      <c r="AR921" s="80">
        <f t="shared" si="212"/>
        <v>0</v>
      </c>
    </row>
    <row r="922" spans="1:44" ht="14.4">
      <c r="A922" s="70">
        <v>300018</v>
      </c>
      <c r="B922" s="78" t="str">
        <f>VLOOKUP(A922,'TB for financial'!A:B,2,0)</f>
        <v>Capital Redemption Reserve</v>
      </c>
      <c r="D922" s="79">
        <f>-VLOOKUP(A922,'TB for financial'!A:F,6,0)</f>
        <v>0</v>
      </c>
      <c r="E922" s="80"/>
      <c r="F922" s="79">
        <f>-VLOOKUP(A922,'TB for financial'!A:K,11,0)</f>
        <v>0</v>
      </c>
      <c r="G922" s="80"/>
      <c r="H922" s="81">
        <f t="shared" si="207"/>
        <v>0</v>
      </c>
      <c r="I922" s="81">
        <v>0</v>
      </c>
      <c r="J922" s="81">
        <f t="shared" si="208"/>
        <v>0</v>
      </c>
      <c r="K922" s="80"/>
      <c r="L922" s="82">
        <f t="shared" si="209"/>
        <v>0</v>
      </c>
      <c r="M922" s="82">
        <v>0</v>
      </c>
      <c r="N922" s="82">
        <f t="shared" si="210"/>
        <v>0</v>
      </c>
      <c r="O922" s="83"/>
      <c r="P922"/>
      <c r="Q922"/>
      <c r="R922"/>
      <c r="S922"/>
      <c r="U922" s="84"/>
      <c r="V922" s="80"/>
      <c r="W922" s="82"/>
      <c r="X922" s="82"/>
      <c r="Y922" s="86" t="s">
        <v>32</v>
      </c>
      <c r="Z922" s="86" t="s">
        <v>32</v>
      </c>
      <c r="AA922" s="178" t="s">
        <v>625</v>
      </c>
      <c r="AB922" s="178" t="s">
        <v>625</v>
      </c>
      <c r="AC922" s="87">
        <v>0</v>
      </c>
      <c r="AD922" s="88">
        <f t="shared" si="211"/>
        <v>0</v>
      </c>
      <c r="AF922" s="54">
        <v>300018</v>
      </c>
      <c r="AQ922" s="80"/>
      <c r="AR922" s="80">
        <f t="shared" si="212"/>
        <v>0</v>
      </c>
    </row>
    <row r="923" spans="1:44" ht="14.4">
      <c r="A923" s="70">
        <v>300212</v>
      </c>
      <c r="B923" s="78" t="str">
        <f>VLOOKUP(A923,'TB for financial'!A:B,2,0)</f>
        <v>Buy Back Tax</v>
      </c>
      <c r="D923" s="79">
        <f>-VLOOKUP(A923,'TB for financial'!A:F,6,0)</f>
        <v>0</v>
      </c>
      <c r="E923" s="80"/>
      <c r="F923" s="79">
        <f>-VLOOKUP(A923,'TB for financial'!A:K,11,0)</f>
        <v>0</v>
      </c>
      <c r="G923" s="80"/>
      <c r="H923" s="81">
        <f t="shared" si="207"/>
        <v>0</v>
      </c>
      <c r="I923" s="81">
        <v>0</v>
      </c>
      <c r="J923" s="81">
        <f t="shared" si="208"/>
        <v>0</v>
      </c>
      <c r="K923" s="80"/>
      <c r="L923" s="82">
        <f t="shared" si="209"/>
        <v>0</v>
      </c>
      <c r="M923" s="82">
        <v>0</v>
      </c>
      <c r="N923" s="82">
        <f t="shared" si="210"/>
        <v>0</v>
      </c>
      <c r="O923" s="83"/>
      <c r="P923"/>
      <c r="Q923"/>
      <c r="R923"/>
      <c r="S923"/>
      <c r="U923" s="84"/>
      <c r="V923" s="80"/>
      <c r="W923" s="82"/>
      <c r="X923" s="82"/>
      <c r="Y923" s="86" t="s">
        <v>32</v>
      </c>
      <c r="Z923" s="86" t="s">
        <v>32</v>
      </c>
      <c r="AA923" s="178" t="s">
        <v>625</v>
      </c>
      <c r="AB923" s="178" t="s">
        <v>625</v>
      </c>
      <c r="AC923" s="87">
        <v>0</v>
      </c>
      <c r="AD923" s="88">
        <f t="shared" si="211"/>
        <v>0</v>
      </c>
      <c r="AF923" s="54">
        <v>300212</v>
      </c>
      <c r="AQ923" s="80"/>
      <c r="AR923" s="80">
        <f t="shared" si="212"/>
        <v>0</v>
      </c>
    </row>
    <row r="924" spans="1:44" ht="14.4">
      <c r="A924" s="1373">
        <v>106810</v>
      </c>
      <c r="B924" s="78" t="str">
        <f>VLOOKUP(A924,'TB for financial'!A:B,2,0)</f>
        <v>OTHER RESERVES 4</v>
      </c>
      <c r="D924" s="79">
        <f>-VLOOKUP(A924,'TB for financial'!A:F,6,0)</f>
        <v>-1823.2139999996871</v>
      </c>
      <c r="E924" s="80"/>
      <c r="F924" s="79">
        <f>-VLOOKUP(A924,'TB for financial'!A:K,11,0)</f>
        <v>-1823.2139999996871</v>
      </c>
      <c r="G924" s="80"/>
      <c r="H924" s="81">
        <f>D924-I924</f>
        <v>-1823.2139999996871</v>
      </c>
      <c r="I924" s="81">
        <v>0</v>
      </c>
      <c r="J924" s="81">
        <f>+D924-H924-I924</f>
        <v>0</v>
      </c>
      <c r="K924" s="80"/>
      <c r="L924" s="82">
        <f>F924-M924</f>
        <v>-1823.2139999996871</v>
      </c>
      <c r="M924" s="82">
        <v>0</v>
      </c>
      <c r="N924" s="82">
        <f>+F924-L924-M924</f>
        <v>0</v>
      </c>
      <c r="O924" s="83"/>
      <c r="P924"/>
      <c r="Q924"/>
      <c r="R924"/>
      <c r="S924"/>
      <c r="U924" s="84"/>
      <c r="V924" s="80"/>
      <c r="W924" s="82"/>
      <c r="X924" s="82"/>
      <c r="Y924" s="86" t="s">
        <v>32</v>
      </c>
      <c r="Z924" s="86" t="s">
        <v>32</v>
      </c>
      <c r="AA924" s="178" t="s">
        <v>625</v>
      </c>
      <c r="AB924" s="178" t="s">
        <v>625</v>
      </c>
      <c r="AC924" s="87">
        <v>2.16</v>
      </c>
      <c r="AD924" s="88">
        <f>+D924-AC924</f>
        <v>-1825.3739999996872</v>
      </c>
      <c r="AF924" s="54" t="s">
        <v>2536</v>
      </c>
      <c r="AQ924" s="80"/>
      <c r="AR924" s="80">
        <f t="shared" si="212"/>
        <v>-1823.2139999996871</v>
      </c>
    </row>
    <row r="925" spans="1:44" ht="24">
      <c r="A925" s="1373">
        <v>106960</v>
      </c>
      <c r="B925" s="78" t="str">
        <f>VLOOKUP(A925,'TB for financial'!A:B,2,0)</f>
        <v>Stat, Of Recognized Income and Expense</v>
      </c>
      <c r="D925" s="79">
        <f>-VLOOKUP(A925,'TB for financial'!A:F,6,0)</f>
        <v>1045504.6171410084</v>
      </c>
      <c r="E925" s="80"/>
      <c r="F925" s="79">
        <f>-VLOOKUP(A925,'TB for financial'!A:K,11,0)</f>
        <v>1079259.6171410084</v>
      </c>
      <c r="G925" s="80"/>
      <c r="H925" s="122">
        <f>D925-I925</f>
        <v>1045504.6171410084</v>
      </c>
      <c r="I925" s="81">
        <v>0</v>
      </c>
      <c r="J925" s="81">
        <f>+D925-H925-I925</f>
        <v>0</v>
      </c>
      <c r="K925" s="80"/>
      <c r="L925" s="82">
        <f>F925-M925</f>
        <v>1079259.6171410084</v>
      </c>
      <c r="M925" s="82">
        <v>0</v>
      </c>
      <c r="N925" s="82">
        <f>+F925-L925-M925</f>
        <v>0</v>
      </c>
      <c r="O925" s="83"/>
      <c r="P925"/>
      <c r="Q925"/>
      <c r="R925"/>
      <c r="S925"/>
      <c r="U925" s="84"/>
      <c r="V925" s="80"/>
      <c r="W925" s="82"/>
      <c r="X925" s="82"/>
      <c r="Y925" s="86" t="s">
        <v>32</v>
      </c>
      <c r="Z925" s="86" t="s">
        <v>32</v>
      </c>
      <c r="AA925" s="178" t="s">
        <v>625</v>
      </c>
      <c r="AB925" s="178" t="s">
        <v>625</v>
      </c>
      <c r="AC925" s="87">
        <v>-210757772.96000001</v>
      </c>
      <c r="AD925" s="88">
        <f>+D925-AC925</f>
        <v>211803277.57714102</v>
      </c>
      <c r="AF925" s="54" t="s">
        <v>2536</v>
      </c>
      <c r="AQ925" s="80"/>
      <c r="AR925" s="80">
        <f t="shared" si="212"/>
        <v>1045504.6171410084</v>
      </c>
    </row>
    <row r="926" spans="1:44" ht="14.4">
      <c r="A926" s="1373">
        <v>110000</v>
      </c>
      <c r="B926" s="78" t="str">
        <f>VLOOKUP(A926,'TB for financial'!A:B,2,0)</f>
        <v>RETAINED EARNINGS</v>
      </c>
      <c r="D926" s="79">
        <f>-VLOOKUP(A926,'TB for financial'!A:F,6,0)</f>
        <v>80078841.383488536</v>
      </c>
      <c r="E926" s="80"/>
      <c r="F926" s="79">
        <f>-VLOOKUP(A926,'TB for financial'!A:K,11,0)</f>
        <v>23681182.853488535</v>
      </c>
      <c r="G926" s="80"/>
      <c r="H926" s="81">
        <f>D926-I926</f>
        <v>80078841.383488536</v>
      </c>
      <c r="I926" s="81">
        <v>0</v>
      </c>
      <c r="J926" s="81">
        <f>+D926-H926-I926</f>
        <v>0</v>
      </c>
      <c r="K926" s="80"/>
      <c r="L926" s="82">
        <f>F926-M926</f>
        <v>23681182.853488535</v>
      </c>
      <c r="M926" s="82">
        <v>0</v>
      </c>
      <c r="N926" s="82">
        <f>+F926-L926-M926</f>
        <v>0</v>
      </c>
      <c r="O926" s="83"/>
      <c r="P926"/>
      <c r="Q926"/>
      <c r="R926"/>
      <c r="S926"/>
      <c r="U926" s="84"/>
      <c r="V926" s="80"/>
      <c r="W926" s="82"/>
      <c r="X926" s="82"/>
      <c r="Y926" s="86" t="s">
        <v>32</v>
      </c>
      <c r="Z926" s="86" t="s">
        <v>32</v>
      </c>
      <c r="AA926" s="178" t="s">
        <v>625</v>
      </c>
      <c r="AB926" s="178" t="s">
        <v>625</v>
      </c>
      <c r="AC926" s="87">
        <v>232277761.25</v>
      </c>
      <c r="AD926" s="88">
        <f>+D926-AC926</f>
        <v>-152198919.86651146</v>
      </c>
      <c r="AF926" s="54" t="s">
        <v>2536</v>
      </c>
      <c r="AQ926" s="80"/>
      <c r="AR926" s="80">
        <f t="shared" si="212"/>
        <v>80078841.383488536</v>
      </c>
    </row>
    <row r="927" spans="1:44" ht="14.4">
      <c r="A927" s="1634">
        <v>119000</v>
      </c>
      <c r="B927" s="1635" t="s">
        <v>3018</v>
      </c>
      <c r="D927" s="79">
        <f>-VLOOKUP(A927,'TB for financial'!A:F,6,0)</f>
        <v>-5181163.41</v>
      </c>
      <c r="E927" s="80"/>
      <c r="F927" s="79">
        <f>-VLOOKUP(A927,'TB for financial'!A:K,11,0)</f>
        <v>0</v>
      </c>
      <c r="G927" s="80"/>
      <c r="H927" s="81">
        <f>D927-I927</f>
        <v>-5181163.41</v>
      </c>
      <c r="I927" s="81"/>
      <c r="J927" s="81"/>
      <c r="K927" s="80"/>
      <c r="L927" s="82"/>
      <c r="M927" s="82"/>
      <c r="N927" s="82"/>
      <c r="O927" s="83"/>
      <c r="P927"/>
      <c r="Q927"/>
      <c r="R927"/>
      <c r="S927"/>
      <c r="U927" s="84"/>
      <c r="V927" s="80"/>
      <c r="W927" s="82"/>
      <c r="X927" s="82"/>
      <c r="Y927" s="86"/>
      <c r="Z927" s="86"/>
      <c r="AA927" s="178"/>
      <c r="AB927" s="178"/>
      <c r="AC927" s="87"/>
      <c r="AD927" s="88"/>
      <c r="AQ927" s="80"/>
      <c r="AR927" s="80"/>
    </row>
    <row r="928" spans="1:44" ht="14.4">
      <c r="A928" s="1634">
        <v>120000</v>
      </c>
      <c r="B928" s="1635" t="s">
        <v>3019</v>
      </c>
      <c r="D928" s="79">
        <f>-VLOOKUP(A928,'TB for financial'!A:F,6,0)</f>
        <v>-10025025.120000001</v>
      </c>
      <c r="E928" s="80"/>
      <c r="F928" s="79">
        <f>-VLOOKUP(A928,'TB for financial'!A:K,11,0)</f>
        <v>0</v>
      </c>
      <c r="G928" s="80"/>
      <c r="H928" s="81">
        <f>D928-I928</f>
        <v>-10025025.120000001</v>
      </c>
      <c r="I928" s="81"/>
      <c r="J928" s="81"/>
      <c r="K928" s="80"/>
      <c r="L928" s="82"/>
      <c r="M928" s="82"/>
      <c r="N928" s="82"/>
      <c r="O928" s="83"/>
      <c r="P928"/>
      <c r="Q928"/>
      <c r="R928"/>
      <c r="S928"/>
      <c r="U928" s="84"/>
      <c r="V928" s="80"/>
      <c r="W928" s="82"/>
      <c r="X928" s="82"/>
      <c r="Y928" s="86"/>
      <c r="Z928" s="86"/>
      <c r="AA928" s="178"/>
      <c r="AB928" s="178"/>
      <c r="AC928" s="87"/>
      <c r="AD928" s="88"/>
      <c r="AQ928" s="80"/>
      <c r="AR928" s="80"/>
    </row>
    <row r="929" spans="1:44" ht="5.0999999999999996" customHeight="1">
      <c r="A929" s="70"/>
      <c r="B929" s="78"/>
      <c r="D929" s="79"/>
      <c r="E929" s="80"/>
      <c r="F929" s="79"/>
      <c r="G929" s="80"/>
      <c r="H929" s="81"/>
      <c r="I929" s="81"/>
      <c r="J929" s="81"/>
      <c r="K929" s="80"/>
      <c r="L929" s="82"/>
      <c r="M929" s="82"/>
      <c r="N929" s="82"/>
      <c r="O929" s="83"/>
      <c r="P929"/>
      <c r="Q929"/>
      <c r="R929"/>
      <c r="S929"/>
      <c r="U929" s="84"/>
      <c r="V929" s="80"/>
      <c r="W929" s="82"/>
      <c r="X929" s="82"/>
      <c r="Y929" s="88"/>
      <c r="AQ929" s="80"/>
      <c r="AR929" s="80">
        <f t="shared" si="212"/>
        <v>0</v>
      </c>
    </row>
    <row r="930" spans="1:44" ht="15" thickBot="1">
      <c r="A930" s="179" t="s">
        <v>629</v>
      </c>
      <c r="B930" s="180" t="s">
        <v>81</v>
      </c>
      <c r="D930" s="95">
        <f>SUM(D912:D929)</f>
        <v>65916334.256629542</v>
      </c>
      <c r="E930" s="96"/>
      <c r="F930" s="97">
        <f>SUM(F912:F929)</f>
        <v>24758619.256629542</v>
      </c>
      <c r="G930" s="80"/>
      <c r="H930" s="99">
        <f>SUM(H912:H929)</f>
        <v>65916334.256629542</v>
      </c>
      <c r="I930" s="99">
        <f>SUM(I912:I929)</f>
        <v>0</v>
      </c>
      <c r="J930" s="99">
        <f>SUM(J912:J929)</f>
        <v>0</v>
      </c>
      <c r="K930" s="80"/>
      <c r="L930" s="99">
        <f>SUM(L912:L929)</f>
        <v>24758619.256629542</v>
      </c>
      <c r="M930" s="99">
        <f>SUM(M912:M929)</f>
        <v>0</v>
      </c>
      <c r="N930" s="99">
        <f>SUM(N912:N929)</f>
        <v>0</v>
      </c>
      <c r="O930" s="100"/>
      <c r="P930"/>
      <c r="Q930"/>
      <c r="R930"/>
      <c r="S930"/>
      <c r="U930" s="101"/>
      <c r="V930" s="80"/>
      <c r="W930" s="102"/>
      <c r="X930" s="102"/>
      <c r="Y930" s="88"/>
      <c r="AQ930" s="80">
        <f>SUM(AQ6:AQ929)</f>
        <v>270837717.52762121</v>
      </c>
      <c r="AR930" s="80">
        <f>SUM(AR6:AR929)</f>
        <v>378512521.74664527</v>
      </c>
    </row>
    <row r="931" spans="1:44" ht="15" thickTop="1">
      <c r="A931" s="181"/>
      <c r="B931" s="46"/>
      <c r="C931" s="47"/>
      <c r="D931" s="88">
        <f>'PL Gr'!E459</f>
        <v>-48218702.530346096</v>
      </c>
      <c r="E931" s="88"/>
      <c r="F931" s="88">
        <f>'PL Gr'!G459</f>
        <v>42468513.175380915</v>
      </c>
      <c r="G931" s="182"/>
      <c r="H931" s="183"/>
      <c r="I931" s="183"/>
      <c r="J931" s="183"/>
      <c r="L931" s="183"/>
      <c r="M931" s="183"/>
      <c r="N931" s="183"/>
      <c r="O931" s="183"/>
      <c r="P931"/>
      <c r="Q931"/>
      <c r="R931"/>
      <c r="S931"/>
      <c r="U931" s="184"/>
      <c r="V931" s="182"/>
      <c r="W931" s="183"/>
      <c r="X931" s="183"/>
      <c r="Y931" s="88"/>
      <c r="Z931" s="47"/>
      <c r="AA931" s="47"/>
      <c r="AB931" s="47"/>
    </row>
    <row r="932" spans="1:44" ht="15" thickBot="1">
      <c r="A932" s="185"/>
      <c r="B932" s="186" t="s">
        <v>630</v>
      </c>
      <c r="C932" s="80"/>
      <c r="D932" s="187" t="str">
        <f>+Master!B5</f>
        <v>31st March 2025</v>
      </c>
      <c r="E932" s="188"/>
      <c r="F932" s="187" t="str">
        <f>+Master!B11</f>
        <v>30th March 2024</v>
      </c>
      <c r="G932" s="80"/>
      <c r="H932" s="672">
        <f>+D919-F919</f>
        <v>0</v>
      </c>
      <c r="I932" s="189" t="s">
        <v>631</v>
      </c>
      <c r="J932" s="189" t="s">
        <v>632</v>
      </c>
      <c r="L932"/>
      <c r="N932" s="80"/>
      <c r="O932" s="80"/>
      <c r="P932"/>
      <c r="Q932"/>
      <c r="R932"/>
      <c r="S932"/>
      <c r="V932" s="80"/>
      <c r="W932" s="80"/>
      <c r="X932" s="80"/>
      <c r="Y932" s="88"/>
      <c r="Z932" s="80"/>
      <c r="AA932" s="80"/>
      <c r="AB932" s="80"/>
      <c r="AR932" s="80">
        <f>AR930-AQ930</f>
        <v>107674804.21902406</v>
      </c>
    </row>
    <row r="933" spans="1:44" ht="14.4">
      <c r="A933" s="190"/>
      <c r="B933" s="191"/>
      <c r="C933" s="96"/>
      <c r="D933" s="192"/>
      <c r="E933" s="96"/>
      <c r="F933" s="192"/>
      <c r="G933" s="96"/>
      <c r="H933"/>
      <c r="I933" s="193"/>
      <c r="J933" s="193"/>
      <c r="L933"/>
      <c r="N933" s="80"/>
      <c r="O933" s="80"/>
      <c r="P933"/>
      <c r="Q933"/>
      <c r="R933"/>
      <c r="S933"/>
      <c r="V933" s="80"/>
      <c r="W933" s="80"/>
      <c r="X933" s="80"/>
      <c r="Y933" s="88"/>
      <c r="Z933" s="96"/>
      <c r="AA933" s="96"/>
      <c r="AB933" s="96"/>
      <c r="AR933" s="88">
        <f>-D931</f>
        <v>48218702.530346096</v>
      </c>
    </row>
    <row r="934" spans="1:44" ht="14.4">
      <c r="A934" s="194"/>
      <c r="B934" s="195"/>
      <c r="C934" s="80"/>
      <c r="D934" s="196"/>
      <c r="E934" s="80"/>
      <c r="F934" s="196"/>
      <c r="G934" s="80"/>
      <c r="H934"/>
      <c r="I934" s="197"/>
      <c r="J934" s="197"/>
      <c r="L934"/>
      <c r="N934" s="80"/>
      <c r="O934" s="80"/>
      <c r="P934"/>
      <c r="Q934"/>
      <c r="R934"/>
      <c r="S934"/>
      <c r="V934" s="80"/>
      <c r="W934" s="80"/>
      <c r="X934" s="80"/>
      <c r="Y934" s="88"/>
      <c r="Z934" s="80"/>
      <c r="AA934" s="80"/>
      <c r="AB934" s="80"/>
      <c r="AR934" s="88">
        <f>AR932+AR933</f>
        <v>155893506.74937016</v>
      </c>
    </row>
    <row r="935" spans="1:44" ht="14.4">
      <c r="A935" s="54"/>
      <c r="B935" s="198" t="s">
        <v>12</v>
      </c>
      <c r="C935" s="80"/>
      <c r="D935" s="199"/>
      <c r="E935" s="80"/>
      <c r="F935" s="200"/>
      <c r="G935" s="80"/>
      <c r="H935"/>
      <c r="I935" s="201"/>
      <c r="J935" s="201"/>
      <c r="L935"/>
      <c r="N935" s="80"/>
      <c r="O935" s="80"/>
      <c r="P935"/>
      <c r="Q935"/>
      <c r="R935"/>
      <c r="S935"/>
      <c r="V935" s="80"/>
      <c r="W935" s="80"/>
      <c r="X935" s="80"/>
      <c r="Y935" s="88"/>
      <c r="Z935" s="80"/>
      <c r="AA935" s="80"/>
      <c r="AB935" s="80"/>
    </row>
    <row r="936" spans="1:44" ht="3" customHeight="1">
      <c r="A936" s="54"/>
      <c r="B936" s="202"/>
      <c r="C936" s="80"/>
      <c r="D936" s="199"/>
      <c r="E936" s="80"/>
      <c r="F936" s="200"/>
      <c r="G936" s="80"/>
      <c r="H936"/>
      <c r="I936" s="201"/>
      <c r="J936" s="201"/>
      <c r="L936"/>
      <c r="N936" s="80"/>
      <c r="O936" s="80"/>
      <c r="P936"/>
      <c r="Q936"/>
      <c r="R936"/>
      <c r="S936"/>
      <c r="V936" s="80"/>
      <c r="W936" s="80"/>
      <c r="X936" s="80"/>
      <c r="Y936" s="88"/>
      <c r="Z936" s="80"/>
      <c r="AA936" s="80"/>
      <c r="AB936" s="80"/>
    </row>
    <row r="937" spans="1:44" ht="14.4">
      <c r="A937" s="54"/>
      <c r="B937" s="198" t="s">
        <v>13</v>
      </c>
      <c r="C937" s="80"/>
      <c r="D937" s="203"/>
      <c r="E937" s="80"/>
      <c r="F937" s="204"/>
      <c r="G937" s="80"/>
      <c r="H937"/>
      <c r="I937" s="205"/>
      <c r="J937" s="205"/>
      <c r="L937"/>
      <c r="N937" s="80"/>
      <c r="O937" s="80"/>
      <c r="P937"/>
      <c r="Q937"/>
      <c r="R937"/>
      <c r="S937"/>
      <c r="W937" s="80"/>
      <c r="X937" s="80"/>
      <c r="Y937" s="88"/>
      <c r="Z937" s="80"/>
      <c r="AA937" s="80"/>
      <c r="AB937" s="80"/>
    </row>
    <row r="938" spans="1:44" ht="14.4">
      <c r="A938" s="54"/>
      <c r="B938" s="202" t="s">
        <v>585</v>
      </c>
      <c r="C938" s="80"/>
      <c r="D938" s="199">
        <f>SUMIF($AB:$AB,$B938,I:I)/Master!$B$23</f>
        <v>0</v>
      </c>
      <c r="E938" s="80"/>
      <c r="F938" s="199">
        <f>SUMIF($AB:$AB,$B938,M:M)/Master!$B$23</f>
        <v>0</v>
      </c>
      <c r="G938" s="80"/>
      <c r="H938"/>
      <c r="I938" s="201">
        <f>'BS Gr'!D938-BS!G11</f>
        <v>1</v>
      </c>
      <c r="J938" s="201">
        <f>BS!I11-'BS Gr'!F938</f>
        <v>-1</v>
      </c>
      <c r="L938"/>
      <c r="P938"/>
      <c r="Q938"/>
      <c r="R938"/>
      <c r="S938"/>
      <c r="Y938" s="88"/>
      <c r="Z938" s="80"/>
      <c r="AA938" s="80"/>
      <c r="AB938" s="80"/>
    </row>
    <row r="939" spans="1:44" ht="14.4">
      <c r="A939" s="54"/>
      <c r="B939" s="202" t="s">
        <v>590</v>
      </c>
      <c r="C939" s="80"/>
      <c r="D939" s="199">
        <f>SUMIF($AB:$AB,$B939,I:I)/Master!$B$23</f>
        <v>0</v>
      </c>
      <c r="E939" s="80"/>
      <c r="F939" s="199">
        <f>SUMIF($AB:$AB,$B939,M:M)/Master!$B$23</f>
        <v>0</v>
      </c>
      <c r="G939" s="80"/>
      <c r="H939"/>
      <c r="I939" s="201">
        <f>'BS Gr'!D939-BS!G13</f>
        <v>0</v>
      </c>
      <c r="J939" s="201">
        <f>F939-BS!I13</f>
        <v>0</v>
      </c>
      <c r="L939"/>
      <c r="M939" s="183"/>
      <c r="N939" s="183"/>
      <c r="O939" s="183"/>
      <c r="P939"/>
      <c r="Q939"/>
      <c r="R939"/>
      <c r="S939"/>
      <c r="U939" s="184"/>
      <c r="W939" s="183"/>
      <c r="X939" s="183"/>
      <c r="Y939" s="88"/>
      <c r="Z939" s="80"/>
      <c r="AA939" s="80"/>
      <c r="AB939" s="80"/>
    </row>
    <row r="940" spans="1:44" ht="14.4">
      <c r="A940" s="54"/>
      <c r="B940" s="202" t="s">
        <v>14</v>
      </c>
      <c r="C940" s="80"/>
      <c r="D940" s="199">
        <f>SUMIF($AB:$AB,$B940,H:H)/Master!$B$23</f>
        <v>0</v>
      </c>
      <c r="E940" s="80"/>
      <c r="F940" s="199">
        <f>SUMIF($AB:$AB,$B940,L:L)/Master!$B$23</f>
        <v>0</v>
      </c>
      <c r="G940" s="80"/>
      <c r="H940"/>
      <c r="I940" s="201">
        <f>D940-BS!G12</f>
        <v>0</v>
      </c>
      <c r="J940" s="201">
        <f>BS!I12-'BS Gr'!F940</f>
        <v>0</v>
      </c>
      <c r="L940"/>
      <c r="M940" s="183"/>
      <c r="N940" s="183"/>
      <c r="O940" s="183"/>
      <c r="P940"/>
      <c r="Q940"/>
      <c r="R940"/>
      <c r="S940"/>
      <c r="U940" s="184"/>
      <c r="W940" s="183"/>
      <c r="X940" s="183"/>
      <c r="Y940" s="88"/>
      <c r="Z940" s="80"/>
      <c r="AA940" s="80"/>
      <c r="AB940" s="80"/>
    </row>
    <row r="941" spans="1:44" ht="14.4">
      <c r="A941" s="54"/>
      <c r="B941" s="202"/>
      <c r="C941" s="80"/>
      <c r="D941" s="206">
        <f>SUM(D938:D940)</f>
        <v>0</v>
      </c>
      <c r="E941" s="80"/>
      <c r="F941" s="206">
        <f>SUM(F938:F940)</f>
        <v>0</v>
      </c>
      <c r="G941" s="80"/>
      <c r="H941"/>
      <c r="I941" s="207">
        <f>SUM(I938:I940)</f>
        <v>1</v>
      </c>
      <c r="J941" s="207">
        <f>SUM(J938:J940)</f>
        <v>-1</v>
      </c>
      <c r="L941"/>
      <c r="M941" s="183"/>
      <c r="N941" s="183"/>
      <c r="O941" s="183"/>
      <c r="P941"/>
      <c r="Q941"/>
      <c r="R941"/>
      <c r="S941"/>
      <c r="U941" s="184"/>
      <c r="W941" s="183"/>
      <c r="X941" s="183"/>
      <c r="Y941" s="88"/>
      <c r="Z941" s="80"/>
      <c r="AA941" s="80"/>
      <c r="AB941" s="80"/>
    </row>
    <row r="942" spans="1:44" ht="3" customHeight="1">
      <c r="A942" s="54"/>
      <c r="B942" s="202"/>
      <c r="C942" s="80"/>
      <c r="D942" s="199"/>
      <c r="E942" s="80"/>
      <c r="F942" s="200"/>
      <c r="G942" s="80"/>
      <c r="H942"/>
      <c r="I942" s="201"/>
      <c r="J942" s="201"/>
      <c r="L942"/>
      <c r="M942" s="183"/>
      <c r="N942" s="183"/>
      <c r="O942" s="183"/>
      <c r="P942"/>
      <c r="Q942"/>
      <c r="R942"/>
      <c r="S942"/>
      <c r="U942" s="184"/>
      <c r="W942" s="183"/>
      <c r="X942" s="183"/>
      <c r="Y942" s="88"/>
      <c r="Z942" s="80"/>
      <c r="AA942" s="80"/>
      <c r="AB942" s="80"/>
    </row>
    <row r="943" spans="1:44" ht="14.4">
      <c r="A943" s="54"/>
      <c r="B943" s="202" t="s">
        <v>633</v>
      </c>
      <c r="C943" s="80"/>
      <c r="D943" s="199"/>
      <c r="E943" s="80"/>
      <c r="F943" s="199"/>
      <c r="G943" s="80"/>
      <c r="H943"/>
      <c r="I943" s="201"/>
      <c r="J943" s="201"/>
      <c r="L943"/>
      <c r="M943" s="183"/>
      <c r="N943" s="183"/>
      <c r="O943" s="183"/>
      <c r="P943"/>
      <c r="Q943"/>
      <c r="R943"/>
      <c r="S943"/>
      <c r="U943" s="184"/>
      <c r="W943" s="183"/>
      <c r="X943" s="183"/>
      <c r="Y943" s="88"/>
      <c r="Z943" s="80"/>
      <c r="AA943" s="80"/>
      <c r="AB943" s="80"/>
    </row>
    <row r="944" spans="1:44" ht="14.4">
      <c r="A944" s="54"/>
      <c r="B944" s="202" t="s">
        <v>17</v>
      </c>
      <c r="C944" s="80"/>
      <c r="D944" s="199">
        <f>SUMIF($AB:$AB,$B944,I:I)/Master!$B$23</f>
        <v>0</v>
      </c>
      <c r="E944" s="80"/>
      <c r="F944" s="199">
        <f>SUMIF($AB:$AB,$B944,M:M)/Master!$B$23</f>
        <v>0</v>
      </c>
      <c r="G944" s="80"/>
      <c r="H944"/>
      <c r="I944" s="201">
        <f>D944-BS!G16</f>
        <v>0</v>
      </c>
      <c r="J944" s="201">
        <f>F944-BS!G16</f>
        <v>0</v>
      </c>
      <c r="L944"/>
      <c r="M944" s="183"/>
      <c r="N944" s="183"/>
      <c r="O944" s="183"/>
      <c r="P944"/>
      <c r="Q944"/>
      <c r="R944"/>
      <c r="S944"/>
      <c r="U944" s="184"/>
      <c r="W944" s="183"/>
      <c r="X944" s="183"/>
      <c r="Y944" s="88"/>
      <c r="Z944" s="80"/>
      <c r="AA944" s="80"/>
      <c r="AB944" s="80"/>
    </row>
    <row r="945" spans="1:28" ht="14.4">
      <c r="A945" s="54"/>
      <c r="B945" s="202" t="s">
        <v>19</v>
      </c>
      <c r="C945" s="80"/>
      <c r="D945" s="199">
        <f>SUMIF($AB:$AB,$B945,I:I)/Master!$B$23</f>
        <v>0</v>
      </c>
      <c r="E945" s="80"/>
      <c r="F945" s="199">
        <f>SUMIF($AB:$AB,$B945,M:M)/Master!$B$23</f>
        <v>0</v>
      </c>
      <c r="G945" s="80"/>
      <c r="H945"/>
      <c r="I945" s="201">
        <f>D945-BS!G18</f>
        <v>0</v>
      </c>
      <c r="J945" s="201">
        <f>BS!I18-'BS Gr'!F945</f>
        <v>2602786</v>
      </c>
      <c r="L945"/>
      <c r="M945" s="183"/>
      <c r="N945" s="183"/>
      <c r="O945" s="183"/>
      <c r="P945"/>
      <c r="Q945"/>
      <c r="R945"/>
      <c r="S945"/>
      <c r="U945" s="184"/>
      <c r="W945" s="183"/>
      <c r="X945" s="183"/>
      <c r="Y945" s="88"/>
      <c r="Z945" s="80"/>
      <c r="AA945" s="80"/>
      <c r="AB945" s="80"/>
    </row>
    <row r="946" spans="1:28" ht="14.4">
      <c r="A946" s="54"/>
      <c r="B946" s="202" t="s">
        <v>20</v>
      </c>
      <c r="C946" s="96"/>
      <c r="D946" s="199">
        <f>-SUMIF($AB:$AB,$B946,I:I)/Master!$B$23</f>
        <v>3328862.8371472848</v>
      </c>
      <c r="E946" s="80"/>
      <c r="F946" s="199">
        <f>-SUMIF($AB:$AB,$B946,M:M)/Master!$B$23</f>
        <v>6767874.252513472</v>
      </c>
      <c r="G946" s="96"/>
      <c r="H946"/>
      <c r="I946" s="201">
        <f>D946-BS!G19</f>
        <v>-0.1628527152352035</v>
      </c>
      <c r="J946" s="201">
        <f>BS!I19-'BS Gr'!F946</f>
        <v>-0.25251347199082375</v>
      </c>
      <c r="L946"/>
      <c r="M946" s="183"/>
      <c r="N946" s="183"/>
      <c r="O946" s="183"/>
      <c r="P946"/>
      <c r="Q946"/>
      <c r="R946"/>
      <c r="S946"/>
      <c r="U946" s="184"/>
      <c r="W946" s="183"/>
      <c r="X946" s="183"/>
      <c r="Y946" s="88"/>
      <c r="Z946" s="96"/>
      <c r="AA946" s="96"/>
      <c r="AB946" s="96"/>
    </row>
    <row r="947" spans="1:28" ht="14.4">
      <c r="A947" s="54"/>
      <c r="B947" s="202" t="s">
        <v>21</v>
      </c>
      <c r="C947" s="80"/>
      <c r="D947" s="199">
        <f>SUMIF($AB:$AB,$B947,I:I)/Master!$B$23</f>
        <v>12656982.219924606</v>
      </c>
      <c r="E947" s="80"/>
      <c r="F947" s="199">
        <f>SUMIF($AB:$AB,$B947,M:M)/Master!$B$23</f>
        <v>14832356.490400225</v>
      </c>
      <c r="G947" s="80"/>
      <c r="H947"/>
      <c r="I947" s="201">
        <f>D947-BS!G20</f>
        <v>1353902.2199246064</v>
      </c>
      <c r="J947" s="201">
        <f>BS!I20-'BS Gr'!F947</f>
        <v>-3529276.4904002249</v>
      </c>
      <c r="L947"/>
      <c r="M947" s="183"/>
      <c r="N947" s="183"/>
      <c r="O947" s="183"/>
      <c r="P947"/>
      <c r="Q947"/>
      <c r="R947"/>
      <c r="S947"/>
      <c r="U947" s="184"/>
      <c r="W947" s="183"/>
      <c r="X947" s="183"/>
      <c r="Y947" s="88"/>
      <c r="Z947" s="80"/>
      <c r="AA947" s="80"/>
      <c r="AB947" s="80"/>
    </row>
    <row r="948" spans="1:28" ht="14.4">
      <c r="A948" s="54"/>
      <c r="B948" s="202" t="s">
        <v>349</v>
      </c>
      <c r="C948" s="80"/>
      <c r="D948" s="199">
        <f>SUMIF($AB:$AB,$B948,I:I)/Master!$B$23</f>
        <v>-839639.94593393803</v>
      </c>
      <c r="E948" s="80"/>
      <c r="F948" s="199">
        <f>SUMIF($AB:$AB,$B948,M:M)/Master!$B$23</f>
        <v>40668265.95168072</v>
      </c>
      <c r="G948" s="80"/>
      <c r="H948"/>
      <c r="I948" s="201">
        <f>D948-BS!G21</f>
        <v>5.4066061973571777E-2</v>
      </c>
      <c r="J948" s="201">
        <f>BS!I21-'BS Gr'!F948</f>
        <v>4.831928014755249E-2</v>
      </c>
      <c r="L948"/>
      <c r="M948" s="183"/>
      <c r="N948" s="183"/>
      <c r="O948" s="183"/>
      <c r="P948"/>
      <c r="Q948"/>
      <c r="R948"/>
      <c r="S948"/>
      <c r="U948" s="184"/>
      <c r="W948" s="183"/>
      <c r="X948" s="183"/>
      <c r="Y948" s="88"/>
      <c r="Z948" s="80"/>
      <c r="AA948" s="80"/>
      <c r="AB948" s="80"/>
    </row>
    <row r="949" spans="1:28" s="47" customFormat="1" ht="14.4">
      <c r="B949" s="198"/>
      <c r="C949" s="80"/>
      <c r="D949" s="206">
        <f>SUM(D944:D948)</f>
        <v>15146205.111137953</v>
      </c>
      <c r="E949" s="80"/>
      <c r="F949" s="206">
        <f>SUM(F944:F948)</f>
        <v>62268496.694594413</v>
      </c>
      <c r="G949" s="80"/>
      <c r="H949"/>
      <c r="I949" s="206">
        <f>SUM(I944:I948)</f>
        <v>1353902.1111379531</v>
      </c>
      <c r="J949" s="206">
        <f>SUM(J944:J948)</f>
        <v>-926490.69459441677</v>
      </c>
      <c r="K949" s="54"/>
      <c r="L949"/>
      <c r="M949" s="208"/>
      <c r="N949" s="208"/>
      <c r="O949" s="208"/>
      <c r="P949"/>
      <c r="Q949"/>
      <c r="R949"/>
      <c r="S949"/>
      <c r="U949" s="209"/>
      <c r="W949" s="208"/>
      <c r="X949" s="208"/>
      <c r="Y949" s="88"/>
      <c r="Z949" s="80"/>
      <c r="AA949" s="80"/>
      <c r="AB949" s="80"/>
    </row>
    <row r="950" spans="1:28" ht="14.4">
      <c r="A950" s="54"/>
      <c r="B950" s="198" t="s">
        <v>24</v>
      </c>
      <c r="C950" s="96"/>
      <c r="D950" s="199"/>
      <c r="E950" s="96"/>
      <c r="F950" s="200"/>
      <c r="G950" s="96"/>
      <c r="H950"/>
      <c r="I950" s="201"/>
      <c r="J950" s="201"/>
      <c r="L950"/>
      <c r="M950" s="183"/>
      <c r="N950" s="183"/>
      <c r="O950" s="183"/>
      <c r="P950"/>
      <c r="Q950"/>
      <c r="R950"/>
      <c r="S950"/>
      <c r="U950" s="184"/>
      <c r="W950" s="183"/>
      <c r="X950" s="183"/>
      <c r="Y950" s="88"/>
      <c r="Z950" s="96"/>
      <c r="AA950" s="96"/>
      <c r="AB950" s="96"/>
    </row>
    <row r="951" spans="1:28" ht="14.4">
      <c r="A951" s="54"/>
      <c r="B951" s="198" t="s">
        <v>532</v>
      </c>
      <c r="C951" s="96"/>
      <c r="D951" s="199"/>
      <c r="E951" s="96"/>
      <c r="F951" s="200"/>
      <c r="G951" s="96"/>
      <c r="H951"/>
      <c r="I951" s="201"/>
      <c r="J951" s="201"/>
      <c r="L951"/>
      <c r="M951" s="183"/>
      <c r="N951" s="183"/>
      <c r="O951" s="183"/>
      <c r="P951"/>
      <c r="Q951"/>
      <c r="R951"/>
      <c r="S951"/>
      <c r="U951" s="184"/>
      <c r="W951" s="183"/>
      <c r="X951" s="183"/>
      <c r="Y951" s="88"/>
      <c r="Z951" s="96"/>
      <c r="AA951" s="96"/>
      <c r="AB951" s="96"/>
    </row>
    <row r="952" spans="1:28" ht="14.4">
      <c r="A952" s="54"/>
      <c r="B952" s="202" t="s">
        <v>17</v>
      </c>
      <c r="C952" s="80"/>
      <c r="D952" s="199">
        <f>SUMIF($AA:$AA,$B952,H:H)/Master!$B$23</f>
        <v>-10.210000017732382</v>
      </c>
      <c r="E952" s="80">
        <f>SUMIF($X:$X,$B952,J:J)</f>
        <v>0</v>
      </c>
      <c r="F952" s="199">
        <f>SUMIF($AA:$AA,$B952,L:L)/Master!$B$23</f>
        <v>-10.210000017732382</v>
      </c>
      <c r="G952" s="80"/>
      <c r="H952"/>
      <c r="I952" s="201">
        <f>D952-BS!G26</f>
        <v>-0.21000001773238175</v>
      </c>
      <c r="J952" s="201">
        <f>BS!I26-'BS Gr'!F952</f>
        <v>0.21000001773238175</v>
      </c>
      <c r="L952"/>
      <c r="M952" s="183"/>
      <c r="N952" s="183"/>
      <c r="O952" s="183"/>
      <c r="P952"/>
      <c r="Q952"/>
      <c r="R952"/>
      <c r="S952"/>
      <c r="U952" s="184"/>
      <c r="W952" s="183"/>
      <c r="X952" s="183"/>
      <c r="Y952" s="88"/>
      <c r="Z952" s="80"/>
      <c r="AA952" s="80"/>
      <c r="AB952" s="80"/>
    </row>
    <row r="953" spans="1:28" ht="14.4">
      <c r="A953" s="54"/>
      <c r="B953" s="202" t="s">
        <v>25</v>
      </c>
      <c r="C953" s="80"/>
      <c r="D953" s="199">
        <f>SUMIF($AA:$AA,$B953,H:H)/Master!$B$23</f>
        <v>8266039.5212259749</v>
      </c>
      <c r="E953" s="80">
        <f>SUMIF($X:$X,$B953,J:J)</f>
        <v>0</v>
      </c>
      <c r="F953" s="199">
        <f>SUMIF($AA:$AA,$B953,L:L)/Master!$B$23</f>
        <v>1853218.2712259747</v>
      </c>
      <c r="G953" s="80"/>
      <c r="H953"/>
      <c r="I953" s="201">
        <f>D953-BS!G27</f>
        <v>-341459.59877402429</v>
      </c>
      <c r="J953" s="201">
        <f>BS!I27-'BS Gr'!F953</f>
        <v>159268.72877402534</v>
      </c>
      <c r="L953"/>
      <c r="M953" s="183"/>
      <c r="N953" s="183"/>
      <c r="O953" s="183"/>
      <c r="P953"/>
      <c r="Q953"/>
      <c r="R953"/>
      <c r="S953"/>
      <c r="U953" s="184"/>
      <c r="W953" s="183"/>
      <c r="X953" s="183"/>
      <c r="Y953" s="88"/>
      <c r="Z953" s="80"/>
      <c r="AA953" s="80"/>
      <c r="AB953" s="80"/>
    </row>
    <row r="954" spans="1:28" ht="14.4">
      <c r="A954" s="54"/>
      <c r="B954" s="202" t="s">
        <v>26</v>
      </c>
      <c r="C954" s="80"/>
      <c r="D954" s="199">
        <f>SUMIF($AA:$AA,$B954,H:H)/Master!$B$23</f>
        <v>243659517.61999995</v>
      </c>
      <c r="E954" s="80">
        <f>SUMIF($X:$X,$B954,J:J)</f>
        <v>0</v>
      </c>
      <c r="F954" s="199">
        <f>SUMIF($AA:$AA,$B954,L:L)/Master!$B$23</f>
        <v>243805183.56</v>
      </c>
      <c r="G954" s="80"/>
      <c r="H954"/>
      <c r="I954" s="201">
        <f>D954-BS!G28</f>
        <v>-0.38000005483627319</v>
      </c>
      <c r="J954" s="201">
        <f>BS!I28-'BS Gr'!F954</f>
        <v>0.43999999761581421</v>
      </c>
      <c r="L954"/>
      <c r="M954" s="183"/>
      <c r="N954" s="183"/>
      <c r="O954" s="183"/>
      <c r="P954"/>
      <c r="Q954"/>
      <c r="R954"/>
      <c r="S954"/>
      <c r="U954" s="184"/>
      <c r="W954" s="183"/>
      <c r="X954" s="183"/>
      <c r="Y954" s="88"/>
      <c r="Z954" s="80"/>
      <c r="AA954" s="80"/>
      <c r="AB954" s="80"/>
    </row>
    <row r="955" spans="1:28" ht="14.4">
      <c r="A955" s="54"/>
      <c r="B955" s="202" t="s">
        <v>554</v>
      </c>
      <c r="C955" s="80"/>
      <c r="D955" s="199">
        <f>SUMIF($AA:$AA,$B955,H:H)/Master!$B$23</f>
        <v>1.7830000519752502</v>
      </c>
      <c r="E955" s="80">
        <f>SUMIF($X:$X,$B955,J:J)</f>
        <v>0</v>
      </c>
      <c r="F955" s="199">
        <f>SUMIF($AA:$AA,$B955,L:L)/Master!$B$23</f>
        <v>1.7830000519752502</v>
      </c>
      <c r="G955" s="80"/>
      <c r="H955"/>
      <c r="I955" s="201">
        <f>D955-BS!G29</f>
        <v>1.7830000519752502</v>
      </c>
      <c r="J955" s="201">
        <f>BS!I29-'BS Gr'!F955</f>
        <v>-1.7830000519752502</v>
      </c>
      <c r="L955"/>
      <c r="M955" s="183"/>
      <c r="N955" s="183"/>
      <c r="O955" s="183"/>
      <c r="P955" s="183"/>
      <c r="Q955" s="87"/>
      <c r="R955" s="183"/>
      <c r="S955" s="183"/>
      <c r="U955" s="184"/>
      <c r="W955" s="183"/>
      <c r="X955" s="183"/>
      <c r="Y955" s="88"/>
      <c r="Z955" s="80"/>
      <c r="AA955" s="80"/>
      <c r="AB955" s="80"/>
    </row>
    <row r="956" spans="1:28" ht="14.4">
      <c r="A956" s="54"/>
      <c r="B956" s="202" t="s">
        <v>18</v>
      </c>
      <c r="C956" s="80"/>
      <c r="D956" s="199">
        <f>SUMIF($AA:$AA,$B956,H:H)/Master!$B$23</f>
        <v>0</v>
      </c>
      <c r="E956" s="80">
        <f>SUMIF($X:$X,$B956,J:J)</f>
        <v>0</v>
      </c>
      <c r="F956" s="199">
        <f>SUMIF($AA:$AA,$B956,L:L)/Master!$B$23</f>
        <v>216669</v>
      </c>
      <c r="G956" s="80"/>
      <c r="H956"/>
      <c r="I956" s="201">
        <f>D956-BS!G30</f>
        <v>0</v>
      </c>
      <c r="J956" s="201">
        <f>F956-BS!G30</f>
        <v>216669</v>
      </c>
      <c r="L956"/>
      <c r="M956" s="183"/>
      <c r="N956" s="183"/>
      <c r="O956" s="183"/>
      <c r="P956" s="183"/>
      <c r="Q956" s="87"/>
      <c r="R956" s="183"/>
      <c r="S956" s="183"/>
      <c r="U956" s="184"/>
      <c r="W956" s="183"/>
      <c r="X956" s="183"/>
      <c r="Y956" s="88"/>
      <c r="Z956" s="80"/>
      <c r="AA956" s="80"/>
      <c r="AB956" s="80"/>
    </row>
    <row r="957" spans="1:28" ht="14.4">
      <c r="A957" s="54"/>
      <c r="B957" s="202" t="s">
        <v>19</v>
      </c>
      <c r="C957" s="80"/>
      <c r="D957" s="199">
        <f>SUMIF($AA:$AA,$B957,H:H)/Master!$B$23</f>
        <v>8389644.2345262039</v>
      </c>
      <c r="E957" s="80"/>
      <c r="F957" s="199">
        <f>SUMIF($AA:$AA,$B957,L:L)/Master!$B$23</f>
        <v>8115180.201923348</v>
      </c>
      <c r="G957" s="80"/>
      <c r="H957"/>
      <c r="I957" s="201">
        <f>D957-BS!G31</f>
        <v>2863153.2345262039</v>
      </c>
      <c r="J957" s="201">
        <f>BS!I31-'BS Gr'!F957</f>
        <v>-5436252.201923348</v>
      </c>
      <c r="L957"/>
      <c r="M957" s="183"/>
      <c r="N957" s="183"/>
      <c r="O957" s="183"/>
      <c r="P957" s="183"/>
      <c r="Q957" s="87"/>
      <c r="R957" s="183"/>
      <c r="S957" s="183"/>
      <c r="U957" s="184"/>
      <c r="W957" s="183"/>
      <c r="X957" s="183"/>
      <c r="Y957" s="88"/>
      <c r="Z957" s="80"/>
      <c r="AA957" s="80"/>
      <c r="AB957" s="80"/>
    </row>
    <row r="958" spans="1:28" ht="14.4">
      <c r="A958" s="54"/>
      <c r="B958" s="202" t="s">
        <v>28</v>
      </c>
      <c r="C958" s="80"/>
      <c r="D958" s="199">
        <f>SUMIF($AA:$AA,$B958,H:H)/Master!$B$23</f>
        <v>-1312821.5478175157</v>
      </c>
      <c r="E958" s="80">
        <f>SUMIF($X:$X,$B958,J:J)</f>
        <v>0</v>
      </c>
      <c r="F958" s="199">
        <f>SUMIF($AA:$AA,$B958,L:L)/Master!$B$23</f>
        <v>-794148.06134401727</v>
      </c>
      <c r="G958" s="80"/>
      <c r="H958"/>
      <c r="I958" s="201">
        <f>D958-BS!G32</f>
        <v>-1819728.5478175157</v>
      </c>
      <c r="J958" s="201">
        <f>BS!I32-'BS Gr'!F958</f>
        <v>1139558.0613440173</v>
      </c>
      <c r="L958"/>
      <c r="M958" s="183"/>
      <c r="N958" s="183"/>
      <c r="O958" s="183"/>
      <c r="P958" s="183"/>
      <c r="R958" s="183"/>
      <c r="S958" s="183"/>
      <c r="U958" s="184"/>
      <c r="W958" s="183"/>
      <c r="X958" s="183"/>
      <c r="Y958" s="88"/>
      <c r="Z958" s="80"/>
      <c r="AA958" s="80"/>
      <c r="AB958" s="80"/>
    </row>
    <row r="959" spans="1:28" ht="14.4">
      <c r="A959" s="54"/>
      <c r="B959" s="202" t="s">
        <v>349</v>
      </c>
      <c r="C959" s="80"/>
      <c r="D959" s="199">
        <f>SUMIF($AA:$AA,$B959,H:H)/Master!$B$23</f>
        <v>0</v>
      </c>
      <c r="E959" s="80"/>
      <c r="F959" s="199">
        <f>SUMIF($AA:$AA,$B959,L:L)/Master!$B$23</f>
        <v>0</v>
      </c>
      <c r="G959" s="80"/>
      <c r="H959"/>
      <c r="I959" s="201">
        <f>D959-BS!G33</f>
        <v>0</v>
      </c>
      <c r="J959" s="201">
        <f>BS!I33-'BS Gr'!F959</f>
        <v>0</v>
      </c>
      <c r="L959"/>
      <c r="M959" s="183"/>
      <c r="N959" s="183"/>
      <c r="O959" s="183"/>
      <c r="P959" s="183"/>
      <c r="R959" s="183"/>
      <c r="S959" s="183"/>
      <c r="U959" s="184"/>
      <c r="W959" s="183"/>
      <c r="X959" s="183"/>
      <c r="Y959" s="88"/>
      <c r="Z959" s="80"/>
      <c r="AA959" s="80"/>
      <c r="AB959" s="80"/>
    </row>
    <row r="960" spans="1:28" s="47" customFormat="1" ht="14.4">
      <c r="B960" s="198"/>
      <c r="C960" s="80"/>
      <c r="D960" s="206">
        <f>SUM(D952:D959)</f>
        <v>259002371.40093464</v>
      </c>
      <c r="E960" s="80"/>
      <c r="F960" s="206">
        <f>SUM(F952:F959)</f>
        <v>253196094.54480532</v>
      </c>
      <c r="G960" s="80"/>
      <c r="H960"/>
      <c r="I960" s="207">
        <f>SUM(I952:I958)</f>
        <v>701966.28093464347</v>
      </c>
      <c r="J960" s="207">
        <f>SUM(J952:J958)</f>
        <v>-3920757.5448053423</v>
      </c>
      <c r="K960" s="54"/>
      <c r="L960"/>
      <c r="M960" s="208"/>
      <c r="N960" s="208"/>
      <c r="O960" s="208"/>
      <c r="P960" s="208"/>
      <c r="Q960" s="55"/>
      <c r="R960" s="208"/>
      <c r="S960" s="208"/>
      <c r="U960" s="209"/>
      <c r="W960" s="208"/>
      <c r="X960" s="208"/>
      <c r="Y960" s="88"/>
      <c r="Z960" s="80"/>
      <c r="AA960" s="80"/>
      <c r="AB960" s="80"/>
    </row>
    <row r="961" spans="1:28" ht="3" customHeight="1">
      <c r="A961" s="54"/>
      <c r="B961" s="202"/>
      <c r="C961" s="96"/>
      <c r="D961" s="199"/>
      <c r="E961" s="96"/>
      <c r="F961" s="200"/>
      <c r="G961" s="96"/>
      <c r="H961"/>
      <c r="I961" s="201"/>
      <c r="J961" s="201"/>
      <c r="L961"/>
      <c r="M961" s="183"/>
      <c r="N961" s="183"/>
      <c r="O961" s="183"/>
      <c r="P961" s="183"/>
      <c r="R961" s="183"/>
      <c r="S961" s="183"/>
      <c r="U961" s="184"/>
      <c r="W961" s="183"/>
      <c r="X961" s="183"/>
      <c r="Y961" s="88"/>
      <c r="Z961" s="96"/>
      <c r="AA961" s="96"/>
      <c r="AB961" s="96"/>
    </row>
    <row r="962" spans="1:28" s="47" customFormat="1" ht="15" thickBot="1">
      <c r="B962" s="198" t="s">
        <v>173</v>
      </c>
      <c r="C962" s="80"/>
      <c r="D962" s="210">
        <f>+D941+D949+D960</f>
        <v>274148576.51207256</v>
      </c>
      <c r="E962" s="80"/>
      <c r="F962" s="210">
        <f>+F941+F949+F960</f>
        <v>315464591.23939973</v>
      </c>
      <c r="G962" s="80"/>
      <c r="H962"/>
      <c r="I962" s="211">
        <f>+I941+I949+I960</f>
        <v>2055869.3920725966</v>
      </c>
      <c r="J962" s="211">
        <f>+J941+J949+J960</f>
        <v>-4847249.2393997591</v>
      </c>
      <c r="K962" s="54"/>
      <c r="L962"/>
      <c r="M962" s="208"/>
      <c r="N962" s="208"/>
      <c r="O962" s="208"/>
      <c r="P962" s="208"/>
      <c r="Q962" s="55"/>
      <c r="R962" s="208"/>
      <c r="S962" s="208"/>
      <c r="U962" s="209"/>
      <c r="W962" s="208"/>
      <c r="X962" s="208"/>
      <c r="Y962" s="88"/>
      <c r="Z962" s="80"/>
      <c r="AA962" s="80"/>
      <c r="AB962" s="80"/>
    </row>
    <row r="963" spans="1:28" s="47" customFormat="1" ht="14.4">
      <c r="B963" s="198"/>
      <c r="C963" s="80"/>
      <c r="D963" s="203"/>
      <c r="E963" s="80"/>
      <c r="F963" s="203"/>
      <c r="G963" s="80"/>
      <c r="H963"/>
      <c r="I963" s="205"/>
      <c r="J963" s="205"/>
      <c r="K963" s="54"/>
      <c r="L963"/>
      <c r="M963" s="208"/>
      <c r="N963" s="208"/>
      <c r="O963" s="208"/>
      <c r="P963" s="208"/>
      <c r="Q963" s="55"/>
      <c r="R963" s="208"/>
      <c r="S963" s="208"/>
      <c r="U963" s="209"/>
      <c r="W963" s="208"/>
      <c r="X963" s="208"/>
      <c r="Y963" s="88"/>
      <c r="Z963" s="80"/>
      <c r="AA963" s="80"/>
      <c r="AB963" s="80"/>
    </row>
    <row r="964" spans="1:28" ht="14.4">
      <c r="A964" s="54"/>
      <c r="B964" s="198" t="s">
        <v>31</v>
      </c>
      <c r="C964" s="80"/>
      <c r="D964" s="203"/>
      <c r="E964" s="80"/>
      <c r="F964" s="203"/>
      <c r="G964" s="80"/>
      <c r="H964"/>
      <c r="I964" s="197"/>
      <c r="J964" s="197"/>
      <c r="L964"/>
      <c r="N964" s="80"/>
      <c r="O964" s="80"/>
      <c r="P964" s="80"/>
      <c r="S964" s="80"/>
      <c r="V964" s="80"/>
      <c r="W964" s="80"/>
      <c r="X964" s="80"/>
      <c r="Y964" s="88"/>
      <c r="Z964" s="80"/>
      <c r="AA964" s="80"/>
      <c r="AB964" s="80"/>
    </row>
    <row r="965" spans="1:28" ht="14.4">
      <c r="A965" s="54"/>
      <c r="B965" s="198" t="s">
        <v>32</v>
      </c>
      <c r="C965" s="80"/>
      <c r="D965" s="203"/>
      <c r="E965" s="80"/>
      <c r="F965" s="203"/>
      <c r="G965" s="80"/>
      <c r="H965"/>
      <c r="I965" s="205"/>
      <c r="J965" s="205"/>
      <c r="L965"/>
      <c r="N965" s="80"/>
      <c r="O965" s="80"/>
      <c r="P965" s="80"/>
      <c r="S965" s="80"/>
      <c r="V965" s="80"/>
      <c r="W965" s="80"/>
      <c r="X965" s="80"/>
      <c r="Y965" s="88"/>
      <c r="Z965" s="80"/>
      <c r="AA965" s="80"/>
      <c r="AB965" s="80"/>
    </row>
    <row r="966" spans="1:28" ht="14.4">
      <c r="A966" s="212"/>
      <c r="B966" s="202" t="s">
        <v>624</v>
      </c>
      <c r="C966" s="80"/>
      <c r="D966" s="199">
        <f>SUMIF(AB:AB,B966,I:I)/Master!$B$23</f>
        <v>100000</v>
      </c>
      <c r="E966" s="80"/>
      <c r="F966" s="199">
        <f>SUMIF($AB:$AB,$B966,M:M)/Master!$B$23</f>
        <v>100000</v>
      </c>
      <c r="G966" s="80"/>
      <c r="H966"/>
      <c r="I966" s="201">
        <f>D966-BS!G40</f>
        <v>0</v>
      </c>
      <c r="J966" s="201">
        <f>F966-BS!I40</f>
        <v>0</v>
      </c>
      <c r="L966"/>
      <c r="N966" s="80"/>
      <c r="O966" s="80"/>
      <c r="P966" s="80"/>
      <c r="S966" s="80"/>
      <c r="V966" s="80"/>
      <c r="W966" s="80"/>
      <c r="X966" s="80"/>
      <c r="Y966" s="88"/>
      <c r="Z966" s="80"/>
      <c r="AA966" s="80"/>
      <c r="AB966" s="80"/>
    </row>
    <row r="967" spans="1:28" ht="14.4">
      <c r="A967" s="54"/>
      <c r="B967" s="202" t="s">
        <v>625</v>
      </c>
      <c r="C967" s="80"/>
      <c r="D967" s="199">
        <f>SUMIF(AB:AB,B967,I:I)/Master!$B$23+SUMIF(AB:AB,B967,H:H)/Master!$B$23+PL!F37*0</f>
        <v>84997535.756263614</v>
      </c>
      <c r="E967" s="80"/>
      <c r="F967" s="199">
        <f>SUMIF($AB:$AB,$B967,L:L)/Master!$B$23+SUMIF($AB:$AB,$B967,I:I)/Master!$B$23+PL!H37*0</f>
        <v>28173508.51151818</v>
      </c>
      <c r="G967" s="80"/>
      <c r="H967"/>
      <c r="I967" s="201">
        <f>D967-BS!G41</f>
        <v>67974770.756263614</v>
      </c>
      <c r="J967" s="201">
        <f>F967-BS!I41</f>
        <v>-37904825.48848182</v>
      </c>
      <c r="L967"/>
      <c r="N967" s="80"/>
      <c r="O967" s="80"/>
      <c r="P967" s="80"/>
      <c r="S967" s="80"/>
      <c r="V967" s="80"/>
      <c r="W967" s="80"/>
      <c r="X967" s="80"/>
      <c r="Y967" s="88"/>
      <c r="Z967" s="80"/>
      <c r="AA967" s="80"/>
      <c r="AB967" s="80"/>
    </row>
    <row r="968" spans="1:28" ht="14.4">
      <c r="A968" s="54"/>
      <c r="B968" s="202" t="s">
        <v>88</v>
      </c>
      <c r="C968" s="80"/>
      <c r="D968" s="199"/>
      <c r="E968" s="80"/>
      <c r="F968" s="199"/>
      <c r="G968" s="80"/>
      <c r="H968"/>
      <c r="I968" s="201"/>
      <c r="J968" s="201"/>
      <c r="L968" s="672"/>
      <c r="N968" s="80"/>
      <c r="O968" s="80"/>
      <c r="P968" s="80"/>
      <c r="S968" s="80"/>
      <c r="V968" s="80"/>
      <c r="W968" s="80"/>
      <c r="X968" s="80"/>
      <c r="Y968" s="88"/>
      <c r="Z968" s="80"/>
      <c r="AA968" s="80"/>
      <c r="AB968" s="80"/>
    </row>
    <row r="969" spans="1:28" ht="14.4">
      <c r="A969" s="54"/>
      <c r="B969" s="202"/>
      <c r="C969" s="80"/>
      <c r="D969" s="206">
        <f>SUM(D966:D967)</f>
        <v>85097535.756263614</v>
      </c>
      <c r="E969" s="80"/>
      <c r="F969" s="206">
        <f>SUM(F966:F967)</f>
        <v>28273508.51151818</v>
      </c>
      <c r="G969" s="80"/>
      <c r="H969"/>
      <c r="I969" s="207">
        <f>SUM(I966:I967)</f>
        <v>67974770.756263614</v>
      </c>
      <c r="J969" s="207">
        <f>SUM(J966:J967)</f>
        <v>-37904825.48848182</v>
      </c>
      <c r="L969"/>
      <c r="N969" s="80"/>
      <c r="O969" s="80"/>
      <c r="P969" s="80"/>
      <c r="S969" s="80"/>
      <c r="V969" s="80"/>
      <c r="W969" s="80"/>
      <c r="X969" s="80"/>
      <c r="Y969" s="88"/>
      <c r="Z969" s="80"/>
      <c r="AA969" s="80"/>
      <c r="AB969" s="80"/>
    </row>
    <row r="970" spans="1:28" ht="14.4">
      <c r="A970" s="54"/>
      <c r="B970" s="213" t="s">
        <v>634</v>
      </c>
      <c r="C970" s="96"/>
      <c r="D970" s="199"/>
      <c r="E970" s="96"/>
      <c r="F970" s="199"/>
      <c r="G970" s="96"/>
      <c r="H970"/>
      <c r="I970" s="201"/>
      <c r="J970" s="201"/>
      <c r="L970"/>
      <c r="M970" s="50"/>
      <c r="N970" s="96"/>
      <c r="O970" s="96"/>
      <c r="P970" s="96"/>
      <c r="R970" s="50"/>
      <c r="S970" s="96"/>
      <c r="U970" s="51"/>
      <c r="V970" s="80"/>
      <c r="W970" s="96"/>
      <c r="X970" s="96"/>
      <c r="Y970" s="88"/>
      <c r="Z970" s="96"/>
      <c r="AA970" s="96"/>
      <c r="AB970" s="96"/>
    </row>
    <row r="971" spans="1:28" ht="14.4">
      <c r="A971" s="54"/>
      <c r="B971" s="214" t="s">
        <v>37</v>
      </c>
      <c r="C971" s="80"/>
      <c r="D971" s="199"/>
      <c r="E971" s="80"/>
      <c r="F971" s="199"/>
      <c r="G971" s="80"/>
      <c r="H971"/>
      <c r="I971" s="201"/>
      <c r="J971" s="201"/>
      <c r="L971"/>
      <c r="N971" s="80"/>
      <c r="O971" s="80"/>
      <c r="P971" s="80"/>
      <c r="S971" s="80"/>
      <c r="V971" s="182"/>
      <c r="W971" s="80"/>
      <c r="X971" s="80"/>
      <c r="Y971" s="88"/>
      <c r="Z971" s="80"/>
      <c r="AA971" s="80"/>
      <c r="AB971" s="80"/>
    </row>
    <row r="972" spans="1:28" ht="14.4">
      <c r="A972" s="54"/>
      <c r="B972" s="213" t="s">
        <v>38</v>
      </c>
      <c r="C972" s="80"/>
      <c r="D972" s="199"/>
      <c r="E972" s="80"/>
      <c r="F972" s="199"/>
      <c r="G972" s="80"/>
      <c r="H972"/>
      <c r="I972" s="201"/>
      <c r="J972" s="201"/>
      <c r="L972"/>
      <c r="N972" s="80"/>
      <c r="O972" s="80"/>
      <c r="P972" s="80"/>
      <c r="S972" s="80"/>
      <c r="V972" s="182"/>
      <c r="W972" s="80"/>
      <c r="X972" s="80"/>
      <c r="Y972" s="88"/>
      <c r="Z972" s="80"/>
      <c r="AA972" s="80"/>
      <c r="AB972" s="80"/>
    </row>
    <row r="973" spans="1:28" ht="14.4">
      <c r="A973" s="54"/>
      <c r="B973" s="213" t="s">
        <v>39</v>
      </c>
      <c r="C973" s="80"/>
      <c r="D973" s="199">
        <f>SUMIF($AB:$AB,$B973,I:I)/Master!$B$23</f>
        <v>0</v>
      </c>
      <c r="E973" s="80"/>
      <c r="F973" s="199">
        <f>SUMIF($AB:$AB,$B973,M:M)/Master!$B$23</f>
        <v>235328517.39781535</v>
      </c>
      <c r="G973" s="80"/>
      <c r="H973"/>
      <c r="I973" s="201">
        <f>D973-BS!G47</f>
        <v>0</v>
      </c>
      <c r="J973" s="201">
        <f>F973-BS!I47</f>
        <v>3359.7794664502144</v>
      </c>
      <c r="L973"/>
      <c r="N973" s="80"/>
      <c r="O973" s="80"/>
      <c r="P973" s="80"/>
      <c r="S973" s="80"/>
      <c r="V973" s="182"/>
      <c r="W973" s="80"/>
      <c r="X973" s="80"/>
      <c r="Y973" s="88"/>
      <c r="Z973" s="80"/>
      <c r="AA973" s="80"/>
      <c r="AB973" s="80"/>
    </row>
    <row r="974" spans="1:28" ht="14.4">
      <c r="A974" s="54"/>
      <c r="B974" s="213" t="s">
        <v>40</v>
      </c>
      <c r="C974" s="80"/>
      <c r="D974" s="199">
        <f>SUMIF($AB:$AB,$B974,I:I)/Master!$B$23</f>
        <v>0</v>
      </c>
      <c r="E974" s="80"/>
      <c r="F974" s="199">
        <f>SUMIF($AB:$AB,$B974,M:M)/Master!$B$23</f>
        <v>0</v>
      </c>
      <c r="G974" s="80"/>
      <c r="H974"/>
      <c r="I974" s="201">
        <f>D974-BS!G48</f>
        <v>0</v>
      </c>
      <c r="J974" s="201">
        <f>F974-BS!I48</f>
        <v>-3875173</v>
      </c>
      <c r="L974"/>
      <c r="N974" s="80"/>
      <c r="O974" s="80"/>
      <c r="P974" s="80"/>
      <c r="S974" s="80"/>
      <c r="V974" s="182"/>
      <c r="W974" s="80"/>
      <c r="X974" s="80"/>
      <c r="Y974" s="88"/>
      <c r="Z974" s="80"/>
      <c r="AA974" s="80"/>
      <c r="AB974" s="80"/>
    </row>
    <row r="975" spans="1:28" ht="14.4">
      <c r="A975" s="54"/>
      <c r="B975" s="213" t="s">
        <v>41</v>
      </c>
      <c r="C975" s="80"/>
      <c r="D975" s="199">
        <f>SUMIF($AB:$AB,$B975,I:I)/Master!$B$23</f>
        <v>1222499</v>
      </c>
      <c r="E975" s="80"/>
      <c r="F975" s="199">
        <f>SUMIF($AB:$AB,$B975,M:M)/Master!$B$23</f>
        <v>1484197</v>
      </c>
      <c r="G975" s="80"/>
      <c r="H975"/>
      <c r="I975" s="201">
        <f>D975-BS!G49</f>
        <v>0</v>
      </c>
      <c r="J975" s="201">
        <f>F975-BS!I49</f>
        <v>0</v>
      </c>
      <c r="L975"/>
      <c r="N975" s="80"/>
      <c r="O975" s="80"/>
      <c r="P975" s="80"/>
      <c r="S975" s="80"/>
      <c r="V975" s="182"/>
      <c r="W975" s="80"/>
      <c r="X975" s="80"/>
      <c r="Y975" s="88"/>
      <c r="Z975" s="80"/>
      <c r="AA975" s="80"/>
      <c r="AB975" s="80"/>
    </row>
    <row r="976" spans="1:28" ht="14.4">
      <c r="A976" s="54"/>
      <c r="B976" s="202" t="s">
        <v>42</v>
      </c>
      <c r="C976" s="80"/>
      <c r="D976" s="199">
        <f>SUMIF($AB:$AB,$B976,I:I)/Master!$B$23</f>
        <v>0</v>
      </c>
      <c r="E976" s="80"/>
      <c r="F976" s="199">
        <f>SUMIF($AB:$AB,$B976,M:M)/Master!$B$23</f>
        <v>0</v>
      </c>
      <c r="G976" s="80"/>
      <c r="H976"/>
      <c r="I976" s="201">
        <f>D976-BS!G50</f>
        <v>0</v>
      </c>
      <c r="J976" s="201">
        <f>F976-BS!I50</f>
        <v>0</v>
      </c>
      <c r="L976"/>
      <c r="N976" s="80"/>
      <c r="O976" s="80"/>
      <c r="P976" s="80"/>
      <c r="S976" s="80"/>
      <c r="V976" s="182"/>
      <c r="W976" s="80"/>
      <c r="X976" s="80"/>
      <c r="Y976" s="88"/>
      <c r="Z976" s="80"/>
      <c r="AA976" s="80"/>
      <c r="AB976" s="80"/>
    </row>
    <row r="977" spans="1:28" ht="14.4">
      <c r="A977" s="54"/>
      <c r="B977" s="215" t="s">
        <v>43</v>
      </c>
      <c r="C977" s="80"/>
      <c r="D977" s="199">
        <f>SUMIF($AB:$AB,$B977,I:I)/Master!$B$23</f>
        <v>0</v>
      </c>
      <c r="E977" s="80"/>
      <c r="F977" s="199">
        <f>SUMIF($AB:$AB,$B977,M:M)/Master!$B$23</f>
        <v>0</v>
      </c>
      <c r="G977" s="80"/>
      <c r="H977"/>
      <c r="I977" s="201">
        <f>D977-BS!G51</f>
        <v>0</v>
      </c>
      <c r="J977" s="201">
        <f>F977-BS!I51</f>
        <v>0</v>
      </c>
      <c r="L977"/>
      <c r="N977" s="80"/>
      <c r="O977" s="80"/>
      <c r="P977" s="80"/>
      <c r="S977" s="80"/>
      <c r="V977" s="182"/>
      <c r="W977" s="80"/>
      <c r="X977" s="80"/>
      <c r="Y977" s="88"/>
      <c r="Z977" s="80"/>
      <c r="AA977" s="80"/>
      <c r="AB977" s="80"/>
    </row>
    <row r="978" spans="1:28" ht="14.4">
      <c r="A978" s="54"/>
      <c r="B978" s="215"/>
      <c r="C978" s="80"/>
      <c r="D978" s="199"/>
      <c r="E978" s="80"/>
      <c r="F978" s="199"/>
      <c r="G978" s="80"/>
      <c r="H978"/>
      <c r="I978" s="201"/>
      <c r="J978" s="201"/>
      <c r="L978"/>
      <c r="N978" s="80"/>
      <c r="O978" s="80"/>
      <c r="P978" s="80"/>
      <c r="S978" s="80"/>
      <c r="V978" s="182"/>
      <c r="W978" s="80"/>
      <c r="X978" s="80"/>
      <c r="Y978" s="88"/>
      <c r="Z978" s="80"/>
      <c r="AA978" s="80"/>
      <c r="AB978" s="80"/>
    </row>
    <row r="979" spans="1:28" ht="14.4">
      <c r="A979" s="54"/>
      <c r="B979" s="202"/>
      <c r="C979" s="80"/>
      <c r="D979" s="206">
        <f>SUM(D973:D977)</f>
        <v>1222499</v>
      </c>
      <c r="E979" s="80"/>
      <c r="F979" s="206">
        <f>SUM(F973:F977)</f>
        <v>236812714.39781535</v>
      </c>
      <c r="G979" s="80"/>
      <c r="H979"/>
      <c r="I979" s="206">
        <f>SUM(I974:I977)</f>
        <v>0</v>
      </c>
      <c r="J979" s="206">
        <f>SUM(J974:J977)</f>
        <v>-3875173</v>
      </c>
      <c r="L979"/>
      <c r="N979" s="80"/>
      <c r="O979" s="80"/>
      <c r="P979" s="80"/>
      <c r="S979" s="80"/>
      <c r="V979" s="80"/>
      <c r="W979" s="80"/>
      <c r="X979" s="80"/>
      <c r="Y979" s="88"/>
      <c r="Z979" s="80"/>
      <c r="AA979" s="80"/>
      <c r="AB979" s="80"/>
    </row>
    <row r="980" spans="1:28" ht="14.4">
      <c r="A980" s="54"/>
      <c r="B980" s="198" t="s">
        <v>45</v>
      </c>
      <c r="C980" s="80"/>
      <c r="D980" s="199"/>
      <c r="E980" s="80"/>
      <c r="F980" s="199"/>
      <c r="G980" s="80"/>
      <c r="H980"/>
      <c r="I980" s="201"/>
      <c r="J980" s="201"/>
      <c r="L980"/>
      <c r="N980" s="80"/>
      <c r="O980" s="80"/>
      <c r="P980" s="80"/>
      <c r="S980" s="80"/>
      <c r="V980" s="80"/>
      <c r="W980" s="80"/>
      <c r="X980" s="80"/>
      <c r="Y980" s="88"/>
      <c r="Z980" s="80"/>
      <c r="AA980" s="80"/>
      <c r="AB980" s="80"/>
    </row>
    <row r="981" spans="1:28" ht="14.4">
      <c r="A981" s="54"/>
      <c r="B981" s="202" t="s">
        <v>38</v>
      </c>
      <c r="C981" s="80"/>
      <c r="D981" s="199"/>
      <c r="E981" s="80">
        <f>SUMIF($X:$X,$B981,J:J)</f>
        <v>0</v>
      </c>
      <c r="F981" s="199"/>
      <c r="G981" s="80"/>
      <c r="H981"/>
      <c r="I981" s="201"/>
      <c r="J981" s="201"/>
      <c r="L981"/>
      <c r="N981" s="80"/>
      <c r="O981" s="80"/>
      <c r="P981" s="80"/>
      <c r="S981" s="80"/>
      <c r="V981" s="80"/>
      <c r="W981" s="80"/>
      <c r="X981" s="80"/>
      <c r="Y981" s="88"/>
      <c r="Z981" s="80"/>
      <c r="AA981" s="80"/>
      <c r="AB981" s="80"/>
    </row>
    <row r="982" spans="1:28" ht="14.4">
      <c r="A982" s="54"/>
      <c r="B982" s="202" t="s">
        <v>46</v>
      </c>
      <c r="C982" s="96"/>
      <c r="D982" s="199">
        <f>SUMIF($AA:$AA,$B982,H:H)/Master!$B$23</f>
        <v>4232896.117109987</v>
      </c>
      <c r="E982" s="80">
        <f>SUMIF($X:$X,$B982,J:J)</f>
        <v>0</v>
      </c>
      <c r="F982" s="199">
        <f>SUMIF($AA:$AA,$B982,L:L)/Master!$B$23</f>
        <v>3476419.7371099941</v>
      </c>
      <c r="G982" s="96"/>
      <c r="H982"/>
      <c r="I982" s="201">
        <f>D982-BS!G59</f>
        <v>148466.11710998695</v>
      </c>
      <c r="J982" s="201">
        <f>F982-BS!I59</f>
        <v>390339.73710999405</v>
      </c>
      <c r="L982"/>
      <c r="N982" s="80"/>
      <c r="O982" s="80"/>
      <c r="P982" s="80"/>
      <c r="S982" s="80"/>
      <c r="V982" s="80"/>
      <c r="W982" s="80"/>
      <c r="X982" s="80"/>
      <c r="Y982" s="88"/>
      <c r="Z982" s="96"/>
      <c r="AA982" s="96"/>
      <c r="AB982" s="96"/>
    </row>
    <row r="983" spans="1:28" ht="14.4">
      <c r="A983" s="54"/>
      <c r="B983" s="202" t="s">
        <v>40</v>
      </c>
      <c r="C983" s="80"/>
      <c r="D983" s="199">
        <f>SUMIF($AA:$AA,$B983,H:H)/Master!$B$23</f>
        <v>267625.8099937439</v>
      </c>
      <c r="E983" s="80">
        <f>SUMIF($X:$X,$B983,J:J)</f>
        <v>0</v>
      </c>
      <c r="F983" s="199">
        <f>SUMIF($AA:$AA,$B983,L:L)/Master!$B$23</f>
        <v>396827.8099937439</v>
      </c>
      <c r="G983" s="80"/>
      <c r="H983"/>
      <c r="I983" s="201">
        <f>D983-BS!G61</f>
        <v>-307281.79232621193</v>
      </c>
      <c r="J983" s="201">
        <f>F983-BS!I61</f>
        <v>-433319.1900062561</v>
      </c>
      <c r="L983"/>
      <c r="N983" s="80"/>
      <c r="O983" s="80"/>
      <c r="P983" s="80"/>
      <c r="S983" s="80"/>
      <c r="V983" s="80"/>
      <c r="W983" s="80"/>
      <c r="X983" s="80"/>
      <c r="Y983" s="88"/>
      <c r="Z983" s="80"/>
      <c r="AA983" s="80"/>
      <c r="AB983" s="80"/>
    </row>
    <row r="984" spans="1:28" ht="14.4">
      <c r="A984" s="54"/>
      <c r="B984" s="202" t="s">
        <v>47</v>
      </c>
      <c r="C984" s="80"/>
      <c r="D984" s="199">
        <f>SUMIF($AA:$AA,$B984,H:H)/Master!$B$23</f>
        <v>263365.03197332943</v>
      </c>
      <c r="E984" s="80"/>
      <c r="F984" s="199">
        <f>SUMIF($AA:$AA,$B984,L:L)/Master!$B$23</f>
        <v>299095.54197332804</v>
      </c>
      <c r="G984" s="80"/>
      <c r="H984"/>
      <c r="I984" s="201">
        <f>D984-BS!G62</f>
        <v>-1017230.9680266706</v>
      </c>
      <c r="J984" s="201">
        <f>F984-BS!I62</f>
        <v>-1017231.458026672</v>
      </c>
      <c r="L984"/>
      <c r="N984" s="80"/>
      <c r="O984" s="80"/>
      <c r="P984" s="80"/>
      <c r="S984" s="80"/>
      <c r="V984" s="80"/>
      <c r="W984" s="80"/>
      <c r="X984" s="80"/>
      <c r="Y984" s="88"/>
      <c r="Z984" s="80"/>
      <c r="AA984" s="80"/>
      <c r="AB984" s="80"/>
    </row>
    <row r="985" spans="1:28" ht="14.4">
      <c r="A985" s="54"/>
      <c r="B985" s="202" t="s">
        <v>48</v>
      </c>
      <c r="C985" s="80"/>
      <c r="D985" s="199">
        <f>SUMIF($AA:$AA,$B985,H:H)/Master!$B$23</f>
        <v>0</v>
      </c>
      <c r="E985" s="80"/>
      <c r="F985" s="199">
        <f>SUMIF($AA:$AA,$B985,L:L)/Master!$B$23</f>
        <v>0</v>
      </c>
      <c r="G985" s="80"/>
      <c r="H985"/>
      <c r="I985" s="201">
        <f>D985-BS!G63</f>
        <v>0</v>
      </c>
      <c r="J985" s="201">
        <f>F985-BS!I63</f>
        <v>0</v>
      </c>
      <c r="L985"/>
      <c r="N985" s="80"/>
      <c r="O985" s="80"/>
      <c r="P985" s="80"/>
      <c r="S985" s="80"/>
      <c r="V985" s="80"/>
      <c r="W985" s="80"/>
      <c r="X985" s="80"/>
      <c r="Y985" s="88"/>
      <c r="Z985" s="80"/>
      <c r="AA985" s="80"/>
      <c r="AB985" s="80"/>
    </row>
    <row r="986" spans="1:28" ht="14.4">
      <c r="A986" s="54"/>
      <c r="B986" s="202" t="s">
        <v>614</v>
      </c>
      <c r="C986" s="80"/>
      <c r="D986" s="216">
        <f>SUMIF($AA:$AA,$B986,H:H)/Master!$B$23</f>
        <v>0</v>
      </c>
      <c r="E986" s="80"/>
      <c r="F986" s="216">
        <f>SUMIF($AA:$AA,$B986,L:L)/Master!$B$23</f>
        <v>0</v>
      </c>
      <c r="G986" s="80"/>
      <c r="H986"/>
      <c r="I986" s="216">
        <f>D986-BS!G65</f>
        <v>0</v>
      </c>
      <c r="J986" s="216">
        <f>F986-BS!I65</f>
        <v>0</v>
      </c>
      <c r="L986"/>
      <c r="N986" s="80"/>
      <c r="O986" s="80"/>
      <c r="P986" s="80"/>
      <c r="S986" s="80"/>
      <c r="V986" s="80"/>
      <c r="W986" s="80"/>
      <c r="X986" s="80"/>
      <c r="Y986" s="88"/>
      <c r="Z986" s="80"/>
      <c r="AA986" s="80"/>
      <c r="AB986" s="80"/>
    </row>
    <row r="987" spans="1:28" ht="14.4">
      <c r="A987" s="54"/>
      <c r="B987" s="202" t="s">
        <v>50</v>
      </c>
      <c r="C987" s="80"/>
      <c r="D987" s="199">
        <f>SUM(D982:D986)</f>
        <v>4763886.9590770602</v>
      </c>
      <c r="E987" s="80"/>
      <c r="F987" s="199">
        <f>SUM(F982:F986)</f>
        <v>4172343.0890770662</v>
      </c>
      <c r="G987" s="80"/>
      <c r="H987"/>
      <c r="I987" s="199">
        <f>SUM(I982:I986)</f>
        <v>-1176046.6432428956</v>
      </c>
      <c r="J987" s="199">
        <f>SUM(J982:J986)</f>
        <v>-1060210.9109229341</v>
      </c>
      <c r="L987"/>
      <c r="N987" s="80"/>
      <c r="O987" s="80"/>
      <c r="P987" s="80"/>
      <c r="S987" s="80"/>
      <c r="V987" s="80"/>
      <c r="W987" s="80"/>
      <c r="X987" s="80"/>
      <c r="Y987" s="88"/>
      <c r="Z987" s="80"/>
      <c r="AA987" s="80"/>
      <c r="AB987" s="80"/>
    </row>
    <row r="988" spans="1:28" ht="14.4">
      <c r="A988" s="54"/>
      <c r="B988" s="202"/>
      <c r="C988" s="80"/>
      <c r="D988" s="199"/>
      <c r="E988" s="80"/>
      <c r="F988" s="199"/>
      <c r="G988" s="80"/>
      <c r="H988"/>
      <c r="I988" s="201"/>
      <c r="J988" s="201"/>
      <c r="L988"/>
      <c r="N988" s="80"/>
      <c r="O988" s="80"/>
      <c r="P988" s="80"/>
      <c r="S988" s="80"/>
      <c r="V988" s="80"/>
      <c r="W988" s="80"/>
      <c r="X988" s="80"/>
      <c r="Y988" s="88"/>
      <c r="Z988" s="80"/>
      <c r="AA988" s="80"/>
      <c r="AB988" s="80"/>
    </row>
    <row r="989" spans="1:28" ht="14.4">
      <c r="A989" s="54"/>
      <c r="B989" s="202"/>
      <c r="C989" s="80"/>
      <c r="D989" s="206">
        <f>SUM(D982:D986)</f>
        <v>4763886.9590770602</v>
      </c>
      <c r="E989" s="80"/>
      <c r="F989" s="206">
        <f>SUM(F982:F986)</f>
        <v>4172343.0890770662</v>
      </c>
      <c r="G989" s="80"/>
      <c r="H989"/>
      <c r="I989" s="206">
        <f>SUM(I982:I986)</f>
        <v>-1176046.6432428956</v>
      </c>
      <c r="J989" s="206">
        <f>SUM(J982:J986)</f>
        <v>-1060210.9109229341</v>
      </c>
      <c r="L989"/>
      <c r="N989" s="80"/>
      <c r="O989" s="80"/>
      <c r="P989" s="80"/>
      <c r="S989" s="80"/>
      <c r="V989" s="80"/>
      <c r="W989" s="80"/>
      <c r="X989" s="80"/>
      <c r="Y989" s="88"/>
      <c r="Z989" s="80"/>
      <c r="AA989" s="80"/>
      <c r="AB989" s="80"/>
    </row>
    <row r="990" spans="1:28" ht="3" customHeight="1">
      <c r="A990" s="54"/>
      <c r="B990" s="202"/>
      <c r="C990" s="80"/>
      <c r="D990" s="199"/>
      <c r="E990" s="80"/>
      <c r="F990" s="199"/>
      <c r="G990" s="80"/>
      <c r="H990"/>
      <c r="I990" s="201"/>
      <c r="J990" s="201"/>
      <c r="L990"/>
      <c r="N990" s="80"/>
      <c r="O990" s="80"/>
      <c r="P990" s="80"/>
      <c r="S990" s="80"/>
      <c r="V990" s="80"/>
      <c r="W990" s="80"/>
      <c r="X990" s="80"/>
      <c r="Y990" s="88"/>
      <c r="Z990" s="80"/>
      <c r="AA990" s="80"/>
      <c r="AB990" s="80"/>
    </row>
    <row r="991" spans="1:28" s="47" customFormat="1" ht="15" thickBot="1">
      <c r="B991" s="198" t="s">
        <v>173</v>
      </c>
      <c r="C991" s="80"/>
      <c r="D991" s="210">
        <f>+D989+D979+D969</f>
        <v>91083921.715340674</v>
      </c>
      <c r="E991" s="80"/>
      <c r="F991" s="210">
        <f>+F989+F979+F969</f>
        <v>269258565.99841058</v>
      </c>
      <c r="G991" s="80"/>
      <c r="H991"/>
      <c r="I991" s="211">
        <f>+I989+I979+I969</f>
        <v>66798724.113020718</v>
      </c>
      <c r="J991" s="211">
        <f>+J989+J979+J969</f>
        <v>-42840209.399404757</v>
      </c>
      <c r="K991" s="54"/>
      <c r="L991"/>
      <c r="M991" s="50"/>
      <c r="N991" s="96"/>
      <c r="O991" s="96"/>
      <c r="P991" s="96"/>
      <c r="Q991" s="55"/>
      <c r="R991" s="50"/>
      <c r="S991" s="96"/>
      <c r="U991" s="51"/>
      <c r="V991" s="96"/>
      <c r="W991" s="96"/>
      <c r="X991" s="96"/>
      <c r="Y991" s="88"/>
      <c r="Z991" s="80"/>
      <c r="AA991" s="80"/>
      <c r="AB991" s="80"/>
    </row>
    <row r="992" spans="1:28" ht="14.4">
      <c r="A992" s="217"/>
      <c r="B992" s="202"/>
      <c r="C992" s="80"/>
      <c r="D992" s="199">
        <f>+D991-D962</f>
        <v>-183064654.79673189</v>
      </c>
      <c r="E992" s="80"/>
      <c r="F992" s="218">
        <f>+F991-F962</f>
        <v>-46206025.240989149</v>
      </c>
      <c r="G992" s="80"/>
      <c r="H992"/>
      <c r="I992" s="219">
        <f>+I991-I962</f>
        <v>64742854.720948122</v>
      </c>
      <c r="J992" s="219">
        <f>+J991-J962</f>
        <v>-37992960.160004996</v>
      </c>
      <c r="L992"/>
      <c r="M992" s="183"/>
      <c r="N992" s="183"/>
      <c r="O992" s="183"/>
      <c r="P992" s="183"/>
      <c r="R992" s="183"/>
      <c r="S992" s="183"/>
      <c r="U992" s="184"/>
      <c r="W992" s="183"/>
      <c r="X992" s="183"/>
      <c r="Y992" s="88"/>
      <c r="Z992" s="80"/>
      <c r="AA992" s="80"/>
      <c r="AB992" s="80"/>
    </row>
    <row r="993" spans="1:28" ht="14.4">
      <c r="A993" s="220"/>
      <c r="B993" s="221"/>
      <c r="C993" s="80"/>
      <c r="D993" s="216"/>
      <c r="E993" s="80"/>
      <c r="F993" s="222"/>
      <c r="G993" s="80"/>
      <c r="H993"/>
      <c r="I993" s="223"/>
      <c r="J993" s="223"/>
      <c r="L993"/>
      <c r="M993" s="183"/>
      <c r="N993" s="183"/>
      <c r="O993" s="183"/>
      <c r="P993" s="183"/>
      <c r="Q993" s="183"/>
      <c r="R993" s="183"/>
      <c r="S993" s="183"/>
      <c r="U993" s="184"/>
      <c r="W993" s="183"/>
      <c r="X993" s="183"/>
      <c r="Z993" s="80"/>
      <c r="AA993" s="80"/>
      <c r="AB993" s="80"/>
    </row>
    <row r="994" spans="1:28" ht="14.4">
      <c r="H994"/>
      <c r="L994"/>
    </row>
    <row r="995" spans="1:28" ht="14.4">
      <c r="H995"/>
      <c r="L995"/>
    </row>
    <row r="996" spans="1:28" ht="14.4">
      <c r="H996"/>
      <c r="L996"/>
    </row>
    <row r="997" spans="1:28" ht="14.4">
      <c r="B997" s="1381" t="s">
        <v>2532</v>
      </c>
      <c r="D997" s="55">
        <f>+D73+D92+D97+D115+D209+D235+D242+D257+D281+D302+D307+D328+D357+D372+D423+D430+D446+D451+D462+D467+D473+D480+D502+D522+D543+D565+D571+D576+D591+D597+D604</f>
        <v>270965214.51803988</v>
      </c>
      <c r="F997" s="55">
        <f>+F73+F92+F97+F115+F209+F235+F242+F257+F281+F302+F307+F328+F357+F372+F423+F430+F446+F451+F462+F467+F473+F480+F502+F522+F543+F565+F571+F576+F591+F597+F604</f>
        <v>308696721.98000079</v>
      </c>
      <c r="G997" s="55">
        <f>+D997-BS!G36</f>
        <v>-4346093.0019600987</v>
      </c>
      <c r="H997" s="55">
        <f>+H73+H92+H97+H115+H209+H235+H242+H257+H281+H302+H307+H328+H357+H372+H423+H430+H446+H451+H462+H467+H473+H480+H502+H522+H543+H565+H571+H576+H591+H597+H604</f>
        <v>259147872.24404919</v>
      </c>
      <c r="I997" s="55">
        <f>+I73+I92+I97+I115+I209+I235+I242+I257+I281+I302+I307+I328+I357+I372+I423+I430+I446+I451+I462+I467+I473+I480+I502+I522+I543+I565+I571+I576+I591+I597+I604</f>
        <v>11817342.273990668</v>
      </c>
      <c r="J997" s="55">
        <f>+H997+I997</f>
        <v>270965214.51803988</v>
      </c>
      <c r="L997"/>
    </row>
    <row r="998" spans="1:28" ht="14.4">
      <c r="B998" s="1381" t="s">
        <v>2531</v>
      </c>
      <c r="D998" s="55">
        <f>+D635+D641+D649+D655+D667+D693+D710+D714+D730+D772+D808+D813+D829+D833+D837+D842+D867+D882+D891+D897+D901+D910+D930</f>
        <v>319987227.51068509</v>
      </c>
      <c r="F998" s="55">
        <f>+F635+F641+F649+F655+F667+F693+F710+F714+F730+F772+F808+F813+F829+F833+F837+F842+F867+F882+F891+F897+F901+F910+F930</f>
        <v>267365016.05963808</v>
      </c>
      <c r="G998" s="55">
        <f>+D998-BS!G68</f>
        <v>44675919.510685086</v>
      </c>
      <c r="H998" s="55">
        <f>+H635+H641+H649+H655+H667+H693+H710+H714+H730+H772+H808+H813+H829+H833+H837+H842+H867+H882+H891+H897+H901+H910+H930</f>
        <v>321993591.38439238</v>
      </c>
      <c r="I998" s="55">
        <f>+I635+I641+I649+I655+I667+I693+I710+I714+I730+I772+I808+I813+I829+I833+I837+I842+I867+I882+I891+I897+I901+I910+I930</f>
        <v>-2006363.8737072838</v>
      </c>
      <c r="J998" s="55">
        <f>+H998+I998</f>
        <v>319987227.51068509</v>
      </c>
      <c r="L998"/>
    </row>
    <row r="999" spans="1:28" ht="14.4">
      <c r="B999" s="1382" t="s">
        <v>523</v>
      </c>
      <c r="D999" s="55">
        <f>+D997-D998</f>
        <v>-49022012.992645204</v>
      </c>
      <c r="F999" s="55">
        <f>+F997-F998</f>
        <v>41331705.920362711</v>
      </c>
      <c r="H999" s="55">
        <f>+H997-H998</f>
        <v>-62845719.140343189</v>
      </c>
      <c r="I999" s="55">
        <f>+I997-I998</f>
        <v>13823706.147697952</v>
      </c>
      <c r="J999" s="55">
        <f>+J997-J998</f>
        <v>-49022012.992645204</v>
      </c>
      <c r="L999"/>
    </row>
    <row r="1000" spans="1:28" ht="14.4">
      <c r="L1000"/>
    </row>
    <row r="1001" spans="1:28" ht="14.4">
      <c r="L1001"/>
    </row>
  </sheetData>
  <autoFilter ref="A4:AH1002" xr:uid="{00000000-0001-0000-1100-000000000000}"/>
  <conditionalFormatting sqref="U1:U1048576 Y99:Y113">
    <cfRule type="cellIs" dxfId="79" priority="1" operator="equal">
      <formula>"Check"</formula>
    </cfRule>
  </conditionalFormatting>
  <conditionalFormatting sqref="Y7:Y71">
    <cfRule type="cellIs" dxfId="78" priority="44" operator="equal">
      <formula>"Check"</formula>
    </cfRule>
  </conditionalFormatting>
  <conditionalFormatting sqref="Y75:Y89">
    <cfRule type="cellIs" dxfId="77" priority="45" operator="equal">
      <formula>"Check"</formula>
    </cfRule>
  </conditionalFormatting>
  <conditionalFormatting sqref="Y117 Y259:Y279 Y304:Y305 Y310:Y326 Y330:Y356 Y358:Y370 Y376 Y378:Y421 Y425:Y428 Y432:Y444 Y449 Y482:Y500 Y504:Y520 Y637:Y639 Y643:Y647 Y816:Y827">
    <cfRule type="cellIs" dxfId="76" priority="28" operator="equal">
      <formula>"Check"</formula>
    </cfRule>
  </conditionalFormatting>
  <conditionalFormatting sqref="Y121:Y122 Y138:Y143 Y211:Y233 Y237:Y239 Y283:Y300 Y464:Y465 Y469:Y471 Y669:Y692 Y694:Y709 Y711:Y713 Y715:Y729 Y733:Y771 Y811">
    <cfRule type="cellIs" dxfId="75" priority="29" operator="equal">
      <formula>"Check"</formula>
    </cfRule>
  </conditionalFormatting>
  <conditionalFormatting sqref="Y147:Y207">
    <cfRule type="cellIs" dxfId="74" priority="4" operator="equal">
      <formula>"Check"</formula>
    </cfRule>
  </conditionalFormatting>
  <conditionalFormatting sqref="Y244:Y255">
    <cfRule type="cellIs" dxfId="73" priority="10" operator="equal">
      <formula>"Check"</formula>
    </cfRule>
  </conditionalFormatting>
  <conditionalFormatting sqref="Y453:Y460">
    <cfRule type="cellIs" dxfId="72" priority="21" operator="equal">
      <formula>"Check"</formula>
    </cfRule>
  </conditionalFormatting>
  <conditionalFormatting sqref="Y476:Y478">
    <cfRule type="cellIs" dxfId="71" priority="20" operator="equal">
      <formula>"Check"</formula>
    </cfRule>
  </conditionalFormatting>
  <conditionalFormatting sqref="Y610:Y633">
    <cfRule type="cellIs" dxfId="70" priority="12" operator="equal">
      <formula>"Check"</formula>
    </cfRule>
  </conditionalFormatting>
  <conditionalFormatting sqref="Y652:Y654 Y657:Y665 Y731">
    <cfRule type="cellIs" dxfId="69" priority="61" operator="equal">
      <formula>"Check"</formula>
    </cfRule>
  </conditionalFormatting>
  <conditionalFormatting sqref="Y773:Y806">
    <cfRule type="cellIs" dxfId="68" priority="8" operator="equal">
      <formula>"Check"</formula>
    </cfRule>
  </conditionalFormatting>
  <pageMargins left="0.7" right="0.7" top="0.75" bottom="0.75" header="0.3" footer="0.3"/>
  <pageSetup scale="93"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67"/>
  <sheetViews>
    <sheetView showGridLines="0" view="pageBreakPreview" topLeftCell="A56" zoomScale="96" zoomScaleNormal="140" zoomScaleSheetLayoutView="96" workbookViewId="0">
      <selection activeCell="A68" sqref="A68:XFD82"/>
    </sheetView>
  </sheetViews>
  <sheetFormatPr defaultColWidth="9.21875" defaultRowHeight="13.2"/>
  <cols>
    <col min="1" max="1" width="63.5546875" style="991" customWidth="1"/>
    <col min="2" max="2" width="0.77734375" style="991" hidden="1" customWidth="1"/>
    <col min="3" max="3" width="1" style="991" customWidth="1"/>
    <col min="4" max="4" width="7.21875" style="991" customWidth="1"/>
    <col min="5" max="5" width="40.88671875" style="991" customWidth="1"/>
    <col min="6" max="6" width="16.21875" style="991" customWidth="1"/>
    <col min="7" max="7" width="0.77734375" style="991" customWidth="1"/>
    <col min="8" max="8" width="15.44140625" style="991" customWidth="1"/>
    <col min="9" max="9" width="9.77734375" style="991" hidden="1" customWidth="1"/>
    <col min="10" max="19" width="0" style="991" hidden="1" customWidth="1"/>
    <col min="20" max="20" width="11.21875" style="991" hidden="1" customWidth="1"/>
    <col min="21" max="21" width="11.77734375" style="991" hidden="1" customWidth="1"/>
    <col min="22" max="22" width="0" style="991" hidden="1" customWidth="1"/>
    <col min="23" max="23" width="11.77734375" style="991" hidden="1" customWidth="1"/>
    <col min="24" max="24" width="0" style="991" hidden="1" customWidth="1"/>
    <col min="25" max="25" width="10.77734375" style="991" hidden="1" customWidth="1"/>
    <col min="26" max="26" width="9.21875" style="991"/>
    <col min="27" max="27" width="9.77734375" style="991" bestFit="1" customWidth="1"/>
    <col min="28" max="16384" width="9.21875" style="991"/>
  </cols>
  <sheetData>
    <row r="1" spans="1:25">
      <c r="A1" s="725" t="str">
        <f>+Master!B2</f>
        <v>Syntel Solutions (India) Private Limited</v>
      </c>
      <c r="B1" s="725"/>
      <c r="C1" s="725"/>
    </row>
    <row r="2" spans="1:25">
      <c r="A2" s="728"/>
      <c r="B2" s="729"/>
      <c r="C2" s="729"/>
    </row>
    <row r="3" spans="1:25">
      <c r="A3" s="762" t="s">
        <v>2995</v>
      </c>
      <c r="B3" s="729"/>
      <c r="C3" s="729"/>
      <c r="H3" s="732"/>
    </row>
    <row r="4" spans="1:25">
      <c r="A4" s="1041" t="str">
        <f>BS!A4</f>
        <v>(Amounts are stated in ₹ Lakhs unless otherwise stated)</v>
      </c>
      <c r="B4" s="729"/>
      <c r="C4" s="729"/>
      <c r="H4" s="732"/>
    </row>
    <row r="5" spans="1:25">
      <c r="B5" s="729"/>
      <c r="C5" s="729"/>
      <c r="H5" s="732"/>
    </row>
    <row r="6" spans="1:25">
      <c r="A6" s="1007"/>
      <c r="B6" s="729"/>
      <c r="C6" s="729"/>
      <c r="F6" s="780" t="s">
        <v>1859</v>
      </c>
      <c r="G6" s="996"/>
      <c r="H6" s="780" t="s">
        <v>1859</v>
      </c>
    </row>
    <row r="7" spans="1:25" s="996" customFormat="1">
      <c r="A7" s="782" t="s">
        <v>835</v>
      </c>
      <c r="B7" s="995"/>
      <c r="C7" s="1113"/>
      <c r="D7" s="1114" t="s">
        <v>1979</v>
      </c>
      <c r="E7" s="757"/>
      <c r="F7" s="760">
        <f>BS!G7</f>
        <v>45747</v>
      </c>
      <c r="G7" s="757"/>
      <c r="H7" s="760">
        <f>BS!I7</f>
        <v>45382</v>
      </c>
    </row>
    <row r="8" spans="1:25" s="996" customFormat="1" ht="5.0999999999999996" customHeight="1">
      <c r="C8" s="1112"/>
      <c r="D8" s="1115"/>
      <c r="E8" s="734"/>
      <c r="F8" s="735"/>
      <c r="G8" s="733"/>
      <c r="H8" s="997"/>
    </row>
    <row r="9" spans="1:25" s="996" customFormat="1">
      <c r="A9" s="987" t="s">
        <v>57</v>
      </c>
      <c r="C9" s="1112"/>
      <c r="D9" s="1115"/>
      <c r="E9" s="734"/>
      <c r="F9" s="735"/>
      <c r="G9" s="733"/>
      <c r="H9" s="997"/>
    </row>
    <row r="10" spans="1:25">
      <c r="A10" s="987" t="s">
        <v>1914</v>
      </c>
      <c r="C10" s="1116"/>
      <c r="D10" s="1112">
        <f>'18-26'!A8</f>
        <v>18</v>
      </c>
      <c r="E10" s="1727">
        <f>ROUND(F10/10^5,0)</f>
        <v>110</v>
      </c>
      <c r="F10" s="988">
        <f>+'Sch - PL'!E10+'Sch - PL'!E37</f>
        <v>10984519</v>
      </c>
      <c r="G10" s="988"/>
      <c r="H10" s="988">
        <f>+'Sch - PL'!G10+'Sch - PL'!G37</f>
        <v>14480207</v>
      </c>
      <c r="T10" s="1002">
        <f>+F10-H10</f>
        <v>-3495688</v>
      </c>
      <c r="U10" s="1002">
        <f>+F10-T10</f>
        <v>14480207</v>
      </c>
      <c r="W10" s="1589"/>
      <c r="X10" s="1002">
        <f>H10-H15-H20</f>
        <v>146800</v>
      </c>
    </row>
    <row r="11" spans="1:25">
      <c r="A11" s="1007" t="s">
        <v>58</v>
      </c>
      <c r="B11" s="1007"/>
      <c r="C11" s="1117"/>
      <c r="D11" s="1112">
        <f>'18-26'!A18</f>
        <v>19</v>
      </c>
      <c r="E11" s="1727">
        <f>ROUND(F11/10^5,0)</f>
        <v>159</v>
      </c>
      <c r="F11" s="988">
        <f>+'Sch - PL'!E41+'Sch - PL'!E18-'Sch - PL'!E37</f>
        <v>15903427</v>
      </c>
      <c r="G11" s="988"/>
      <c r="H11" s="988">
        <f>+'Sch - PL'!G41+'Sch - PL'!G18-'Sch - PL'!G37</f>
        <v>36466002</v>
      </c>
      <c r="T11" s="1002">
        <f>+F11-H11</f>
        <v>-20562575</v>
      </c>
      <c r="U11" s="1002">
        <f>+F11-T11</f>
        <v>36466002</v>
      </c>
    </row>
    <row r="12" spans="1:25">
      <c r="A12" s="725" t="s">
        <v>59</v>
      </c>
      <c r="C12" s="1116"/>
      <c r="D12" s="1112"/>
      <c r="E12" s="734">
        <f>SUM(E10:E11)</f>
        <v>269</v>
      </c>
      <c r="F12" s="765">
        <f>SUM(F10:F11)</f>
        <v>26887946</v>
      </c>
      <c r="G12" s="763"/>
      <c r="H12" s="765">
        <f>SUM(H10:H11)</f>
        <v>50946209</v>
      </c>
      <c r="T12" s="1002">
        <f>+F12-H12</f>
        <v>-24058263</v>
      </c>
      <c r="U12" s="1002"/>
      <c r="V12" s="1595"/>
      <c r="W12" s="1002">
        <f>H10-H15-H20</f>
        <v>146800</v>
      </c>
    </row>
    <row r="13" spans="1:25">
      <c r="A13" s="689"/>
      <c r="B13" s="689"/>
      <c r="C13" s="689"/>
      <c r="D13" s="1112"/>
      <c r="E13" s="996"/>
      <c r="F13" s="763"/>
      <c r="G13" s="988"/>
      <c r="H13" s="988"/>
    </row>
    <row r="14" spans="1:25">
      <c r="A14" s="689" t="s">
        <v>60</v>
      </c>
      <c r="B14" s="689"/>
      <c r="C14" s="689"/>
      <c r="D14" s="1112"/>
      <c r="E14" s="996"/>
      <c r="F14" s="763"/>
      <c r="G14" s="988"/>
      <c r="H14" s="988"/>
    </row>
    <row r="15" spans="1:25">
      <c r="A15" s="1165" t="s">
        <v>787</v>
      </c>
      <c r="B15" s="987"/>
      <c r="C15" s="1118"/>
      <c r="D15" s="1112">
        <f>'18-26'!A36</f>
        <v>20</v>
      </c>
      <c r="E15" s="1727">
        <f t="shared" ref="E15:E20" si="0">ROUND(F15/10^5,0)</f>
        <v>71</v>
      </c>
      <c r="F15" s="988">
        <f>+'Sch - PL'!E53</f>
        <v>7068414</v>
      </c>
      <c r="G15" s="988"/>
      <c r="H15" s="988">
        <f>+'Sch - PL'!G53</f>
        <v>8707022</v>
      </c>
      <c r="T15" s="1002">
        <f t="shared" ref="T15:T21" si="1">+F15-H15</f>
        <v>-1638608</v>
      </c>
      <c r="U15" s="1002">
        <f>+F15-T15</f>
        <v>8707022</v>
      </c>
      <c r="W15" s="1002">
        <f>F10-F15-F20-F17</f>
        <v>-7098846</v>
      </c>
      <c r="Y15" s="1002">
        <f>H10-H15-H20</f>
        <v>146800</v>
      </c>
    </row>
    <row r="16" spans="1:25" ht="15" hidden="1" customHeight="1">
      <c r="A16" s="1165" t="s">
        <v>2238</v>
      </c>
      <c r="B16" s="987"/>
      <c r="C16" s="1118"/>
      <c r="D16" s="1112">
        <f>'3-4'!A7</f>
        <v>3</v>
      </c>
      <c r="E16" s="1727">
        <f t="shared" si="0"/>
        <v>0</v>
      </c>
      <c r="F16" s="1252">
        <f>ROUND('PL Gr'!E435/Master!$B$23,0)</f>
        <v>0</v>
      </c>
      <c r="G16" s="988"/>
      <c r="H16" s="988">
        <f>ROUND('PL Gr'!G435/Master!$B$23,0)</f>
        <v>0</v>
      </c>
      <c r="T16" s="1002">
        <f t="shared" si="1"/>
        <v>0</v>
      </c>
    </row>
    <row r="17" spans="1:28">
      <c r="A17" s="1165" t="s">
        <v>2119</v>
      </c>
      <c r="B17" s="987"/>
      <c r="C17" s="1118"/>
      <c r="D17" s="1112" t="str">
        <f>'3-4'!A47</f>
        <v>3A</v>
      </c>
      <c r="E17" s="1727">
        <f t="shared" si="0"/>
        <v>32</v>
      </c>
      <c r="F17" s="988">
        <f>ROUND('PL Gr'!E440/Master!$B$23,0)</f>
        <v>3206674</v>
      </c>
      <c r="G17" s="988"/>
      <c r="H17" s="988">
        <f>ROUND('PL Gr'!G440/Master!$B$23,0)</f>
        <v>3180953</v>
      </c>
      <c r="T17" s="1002">
        <f t="shared" si="1"/>
        <v>25721</v>
      </c>
      <c r="U17" s="1002">
        <f>+F17-T17</f>
        <v>3180953</v>
      </c>
      <c r="W17" s="1002">
        <f>F10-F15-F17-F20</f>
        <v>-7098846</v>
      </c>
      <c r="Y17" s="1002">
        <f>H10-H15-H17-H20</f>
        <v>-3034153</v>
      </c>
    </row>
    <row r="18" spans="1:28" ht="15" hidden="1" customHeight="1">
      <c r="A18" s="987" t="s">
        <v>62</v>
      </c>
      <c r="B18" s="987"/>
      <c r="C18" s="1118"/>
      <c r="D18" s="1112">
        <f>'18-26'!A51</f>
        <v>21</v>
      </c>
      <c r="E18" s="1727">
        <f t="shared" si="0"/>
        <v>0</v>
      </c>
      <c r="F18" s="988">
        <f>+'Sch - PL'!E72*0</f>
        <v>0</v>
      </c>
      <c r="G18" s="988"/>
      <c r="H18" s="988">
        <f>+'Sch - PL'!G72*0</f>
        <v>0</v>
      </c>
      <c r="T18" s="1002">
        <f t="shared" si="1"/>
        <v>0</v>
      </c>
    </row>
    <row r="19" spans="1:28">
      <c r="A19" s="1165" t="s">
        <v>319</v>
      </c>
      <c r="B19" s="689"/>
      <c r="C19" s="689"/>
      <c r="D19" s="1112">
        <f>+'18-26'!A65</f>
        <v>21</v>
      </c>
      <c r="E19" s="1727">
        <f t="shared" si="0"/>
        <v>118</v>
      </c>
      <c r="F19" s="988">
        <f>ROUND(('PL Gr'!E377+'PL Gr'!E379+'PL Gr'!E452-'PL Gr'!E39+'PL Gr'!E400+'PL Gr'!E44)/Master!$B$23,0)</f>
        <v>11760865</v>
      </c>
      <c r="G19" s="988"/>
      <c r="H19" s="988">
        <f>ROUND(('PL Gr'!G377+'PL Gr'!G379+'PL Gr'!G452+'PL Gr'!G39+'PL Gr'!G400+'PL Gr'!G44)/Master!$B$23,0)</f>
        <v>14031849</v>
      </c>
      <c r="I19" s="1015"/>
      <c r="T19" s="1002">
        <f>+F19-H19</f>
        <v>-2270984</v>
      </c>
      <c r="U19" s="1002">
        <f>+F19-T19</f>
        <v>14031849</v>
      </c>
    </row>
    <row r="20" spans="1:28">
      <c r="A20" s="1165" t="s">
        <v>64</v>
      </c>
      <c r="B20" s="987"/>
      <c r="C20" s="1118"/>
      <c r="D20" s="1112">
        <f>'18-26'!A78</f>
        <v>22</v>
      </c>
      <c r="E20" s="1727">
        <f t="shared" si="0"/>
        <v>78</v>
      </c>
      <c r="F20" s="988">
        <f>+'Sch - PL'!E108+'Sch - PL'!E72-'Sch - PL'!E18*0</f>
        <v>7808277</v>
      </c>
      <c r="G20" s="988"/>
      <c r="H20" s="1723">
        <f>+'Sch - PL'!G108+'Sch - PL'!G72-'Sch - PL'!G18*0-204068</f>
        <v>5626385</v>
      </c>
      <c r="T20" s="1002">
        <f t="shared" si="1"/>
        <v>2181892</v>
      </c>
      <c r="U20" s="1002">
        <f>+F20-T20</f>
        <v>5626385</v>
      </c>
    </row>
    <row r="21" spans="1:28">
      <c r="A21" s="689" t="s">
        <v>66</v>
      </c>
      <c r="B21" s="689"/>
      <c r="C21" s="689"/>
      <c r="D21" s="1112"/>
      <c r="E21" s="734">
        <f>SUM(E15:E20)</f>
        <v>299</v>
      </c>
      <c r="F21" s="765">
        <f>SUM(F15:F20)</f>
        <v>29844230</v>
      </c>
      <c r="G21" s="763"/>
      <c r="H21" s="765">
        <f>SUM(H15:H20)</f>
        <v>31546209</v>
      </c>
      <c r="T21" s="1002">
        <f t="shared" si="1"/>
        <v>-1701979</v>
      </c>
      <c r="U21" s="1002">
        <f>+T21-F21</f>
        <v>-31546209</v>
      </c>
    </row>
    <row r="22" spans="1:28">
      <c r="A22" s="689"/>
      <c r="B22" s="689"/>
      <c r="C22" s="689"/>
      <c r="D22" s="1112"/>
      <c r="E22" s="996"/>
      <c r="F22" s="763"/>
      <c r="G22" s="763"/>
      <c r="H22" s="763"/>
    </row>
    <row r="23" spans="1:28">
      <c r="A23" s="767" t="s">
        <v>67</v>
      </c>
      <c r="B23" s="689"/>
      <c r="C23" s="689"/>
      <c r="D23" s="1112"/>
      <c r="E23" s="734">
        <f>E12-E21</f>
        <v>-30</v>
      </c>
      <c r="F23" s="763">
        <f>+F12-F21</f>
        <v>-2956284</v>
      </c>
      <c r="G23" s="988"/>
      <c r="H23" s="763">
        <f>+H12-H21</f>
        <v>19400000</v>
      </c>
    </row>
    <row r="24" spans="1:28">
      <c r="A24" s="987"/>
      <c r="B24" s="987"/>
      <c r="C24" s="1118"/>
      <c r="D24" s="1112"/>
      <c r="E24" s="996"/>
      <c r="F24" s="763"/>
      <c r="G24" s="988"/>
      <c r="H24" s="763"/>
    </row>
    <row r="25" spans="1:28">
      <c r="A25" s="987" t="s">
        <v>68</v>
      </c>
      <c r="B25" s="987"/>
      <c r="C25" s="1118"/>
      <c r="D25" s="1112"/>
      <c r="E25" s="996"/>
      <c r="F25" s="763"/>
      <c r="G25" s="988"/>
      <c r="H25" s="763"/>
    </row>
    <row r="26" spans="1:28">
      <c r="A26" s="689" t="s">
        <v>2920</v>
      </c>
      <c r="B26" s="987"/>
      <c r="C26" s="1118"/>
      <c r="D26" s="1112"/>
      <c r="E26" s="734">
        <f>E23-E25</f>
        <v>-30</v>
      </c>
      <c r="F26" s="763">
        <f>F23-SUM(F24:F25)</f>
        <v>-2956284</v>
      </c>
      <c r="G26" s="988"/>
      <c r="H26" s="763">
        <f>H23-SUM(H24:H25)</f>
        <v>19400000</v>
      </c>
      <c r="U26" s="1002"/>
      <c r="V26" s="1588">
        <f>F26/F10</f>
        <v>-0.26913185729843975</v>
      </c>
      <c r="Z26" s="1486"/>
      <c r="AB26" s="1002"/>
    </row>
    <row r="27" spans="1:28">
      <c r="A27" s="689"/>
      <c r="B27" s="987"/>
      <c r="C27" s="1118"/>
      <c r="D27" s="1112"/>
      <c r="E27" s="996"/>
      <c r="F27" s="763"/>
      <c r="G27" s="988"/>
      <c r="H27" s="988"/>
      <c r="U27" s="991">
        <f>75000</f>
        <v>75000</v>
      </c>
      <c r="V27" s="991">
        <f>ROUND(U27/100000,0)</f>
        <v>1</v>
      </c>
      <c r="AA27" s="1002"/>
    </row>
    <row r="28" spans="1:28">
      <c r="A28" s="783" t="s">
        <v>769</v>
      </c>
      <c r="B28" s="987"/>
      <c r="C28" s="1118"/>
      <c r="D28" s="1112">
        <f>'18-26'!A189</f>
        <v>25</v>
      </c>
      <c r="E28" s="996"/>
      <c r="F28" s="763"/>
      <c r="G28" s="988"/>
      <c r="H28" s="988"/>
      <c r="U28" s="991">
        <v>50000</v>
      </c>
      <c r="V28" s="991">
        <f>ROUND(U28/100000,0)</f>
        <v>1</v>
      </c>
    </row>
    <row r="29" spans="1:28">
      <c r="A29" s="987" t="s">
        <v>71</v>
      </c>
      <c r="B29" s="987"/>
      <c r="C29" s="1118"/>
      <c r="D29" s="1112"/>
      <c r="E29" s="1727">
        <f>ROUND(F29/10^5,0)</f>
        <v>426</v>
      </c>
      <c r="F29" s="988">
        <f>+'Sch - PL'!E125+'Sch - PL'!E122</f>
        <v>42613709</v>
      </c>
      <c r="G29" s="1252"/>
      <c r="H29" s="988">
        <f>+'Sch - PL'!G125</f>
        <v>4035301</v>
      </c>
      <c r="J29" s="991">
        <v>15</v>
      </c>
      <c r="K29" s="991">
        <v>10639</v>
      </c>
      <c r="L29" s="1002">
        <f>+F29-J29</f>
        <v>42613694</v>
      </c>
      <c r="M29" s="1002">
        <f>+H29-K29</f>
        <v>4024662</v>
      </c>
    </row>
    <row r="30" spans="1:28" ht="15" hidden="1" customHeight="1">
      <c r="A30" s="987" t="s">
        <v>72</v>
      </c>
      <c r="B30" s="987"/>
      <c r="C30" s="1118"/>
      <c r="D30" s="1112"/>
      <c r="E30" s="1727">
        <f>ROUND(F30/10^5,0)</f>
        <v>0</v>
      </c>
      <c r="F30" s="988">
        <f>-'Sch - PL'!E122*0</f>
        <v>0</v>
      </c>
      <c r="G30" s="988"/>
      <c r="H30" s="988">
        <f>-'Sch - PL'!G122*0-H31-1*0</f>
        <v>0</v>
      </c>
      <c r="J30" s="991">
        <v>5046</v>
      </c>
      <c r="K30" s="991">
        <v>-168</v>
      </c>
      <c r="L30" s="1002">
        <f t="shared" ref="L30:L35" si="2">+F30-J30</f>
        <v>-5046</v>
      </c>
      <c r="M30" s="1002">
        <f t="shared" ref="M30:M35" si="3">+H30-K30</f>
        <v>168</v>
      </c>
    </row>
    <row r="31" spans="1:28" ht="15" hidden="1" customHeight="1">
      <c r="A31" s="987" t="s">
        <v>73</v>
      </c>
      <c r="B31" s="987"/>
      <c r="C31" s="1118"/>
      <c r="D31" s="1112"/>
      <c r="E31" s="1727">
        <f>ROUND(F31/10^5,0)</f>
        <v>0</v>
      </c>
      <c r="F31" s="988"/>
      <c r="G31" s="988"/>
      <c r="H31" s="988">
        <f>ROUND(77348338.6220272/Master!$B$23,0)*0</f>
        <v>0</v>
      </c>
      <c r="K31" s="991">
        <v>77348</v>
      </c>
      <c r="L31" s="1002">
        <f t="shared" si="2"/>
        <v>0</v>
      </c>
      <c r="M31" s="1002">
        <f t="shared" si="3"/>
        <v>-77348</v>
      </c>
    </row>
    <row r="32" spans="1:28">
      <c r="A32" s="1165" t="s">
        <v>3138</v>
      </c>
      <c r="B32" s="987"/>
      <c r="C32" s="1118"/>
      <c r="D32" s="1112"/>
      <c r="E32" s="1727">
        <f>ROUND(F32/10^5,0)</f>
        <v>35</v>
      </c>
      <c r="F32" s="988">
        <f>+'Sch - PL'!E127-'Sch - PL'!E122+'Sch - PL'!E129</f>
        <v>3452021</v>
      </c>
      <c r="G32" s="988"/>
      <c r="H32" s="988">
        <f>+'Sch - PL'!G127++'Sch - PL'!G129</f>
        <v>-26030840</v>
      </c>
      <c r="J32" s="991">
        <v>107</v>
      </c>
      <c r="K32" s="991">
        <v>-13</v>
      </c>
      <c r="L32" s="1002">
        <f t="shared" si="2"/>
        <v>3451914</v>
      </c>
      <c r="M32" s="1002">
        <f t="shared" si="3"/>
        <v>-26030827</v>
      </c>
      <c r="T32" s="1002">
        <f>+F32-H32</f>
        <v>29482861</v>
      </c>
    </row>
    <row r="33" spans="1:27" ht="15" hidden="1" customHeight="1">
      <c r="A33" s="1165" t="s">
        <v>695</v>
      </c>
      <c r="B33" s="987"/>
      <c r="C33" s="1118"/>
      <c r="D33" s="1112"/>
      <c r="E33" s="996"/>
      <c r="F33" s="1163">
        <f>+'Sch - PL'!E129*0</f>
        <v>0</v>
      </c>
      <c r="G33" s="988"/>
      <c r="H33" s="988">
        <f>+'Sch - PL'!G129*0</f>
        <v>0</v>
      </c>
      <c r="J33" s="991">
        <v>0</v>
      </c>
      <c r="K33" s="991">
        <v>0</v>
      </c>
      <c r="L33" s="1002">
        <f t="shared" si="2"/>
        <v>0</v>
      </c>
      <c r="M33" s="1002">
        <f t="shared" si="3"/>
        <v>0</v>
      </c>
    </row>
    <row r="34" spans="1:27">
      <c r="A34" s="987"/>
      <c r="B34" s="987"/>
      <c r="C34" s="1118"/>
      <c r="D34" s="1112"/>
      <c r="E34" s="996"/>
      <c r="F34" s="763"/>
      <c r="G34" s="988"/>
      <c r="H34" s="988"/>
      <c r="L34" s="1002">
        <f t="shared" si="2"/>
        <v>0</v>
      </c>
      <c r="M34" s="1002">
        <f t="shared" si="3"/>
        <v>0</v>
      </c>
    </row>
    <row r="35" spans="1:27">
      <c r="A35" s="689" t="s">
        <v>74</v>
      </c>
      <c r="B35" s="987"/>
      <c r="C35" s="1118"/>
      <c r="D35" s="1112"/>
      <c r="E35" s="734">
        <f>SUM(E29:E34)</f>
        <v>461</v>
      </c>
      <c r="F35" s="765">
        <f>SUM(F29:F34)</f>
        <v>46065730</v>
      </c>
      <c r="G35" s="988"/>
      <c r="H35" s="765">
        <f>SUM(H29:H34)</f>
        <v>-21995539</v>
      </c>
      <c r="J35" s="991">
        <v>5168</v>
      </c>
      <c r="K35" s="991">
        <v>87806</v>
      </c>
      <c r="L35" s="1002">
        <f t="shared" si="2"/>
        <v>46060562</v>
      </c>
      <c r="M35" s="1002">
        <f t="shared" si="3"/>
        <v>-22083345</v>
      </c>
      <c r="T35" s="1002">
        <f>+F35-H35</f>
        <v>68061269</v>
      </c>
      <c r="U35" s="1002">
        <f>+T35-F35</f>
        <v>21995539</v>
      </c>
    </row>
    <row r="36" spans="1:27" ht="15" hidden="1" customHeight="1">
      <c r="A36" s="689"/>
      <c r="B36" s="689"/>
      <c r="C36" s="689"/>
      <c r="D36" s="1112"/>
      <c r="E36" s="996"/>
      <c r="F36" s="763"/>
      <c r="G36" s="988"/>
      <c r="H36" s="763"/>
    </row>
    <row r="37" spans="1:27" ht="13.8" thickBot="1">
      <c r="A37" s="689" t="s">
        <v>2921</v>
      </c>
      <c r="B37" s="689"/>
      <c r="C37" s="689"/>
      <c r="D37" s="1112"/>
      <c r="E37" s="734">
        <f>+E26-E35</f>
        <v>-491</v>
      </c>
      <c r="F37" s="768">
        <f>+F26-F35</f>
        <v>-49022014</v>
      </c>
      <c r="G37" s="769"/>
      <c r="H37" s="768">
        <f>+H26-H35</f>
        <v>41395539</v>
      </c>
      <c r="I37" s="991">
        <f>+'PL Gr'!E459</f>
        <v>-48218702.530346096</v>
      </c>
      <c r="J37" s="1002">
        <f>+F37-I37</f>
        <v>-803311.46965390444</v>
      </c>
      <c r="T37" s="1002">
        <f>+F37-H37</f>
        <v>-90417553</v>
      </c>
      <c r="V37" s="991">
        <f>+'PL Gr'!E459</f>
        <v>-48218702.530346096</v>
      </c>
      <c r="W37" s="1002">
        <f>+F37-V37</f>
        <v>-803311.46965390444</v>
      </c>
    </row>
    <row r="38" spans="1:27" ht="15" hidden="1" customHeight="1" thickTop="1">
      <c r="A38" s="689"/>
      <c r="B38" s="689"/>
      <c r="C38" s="689"/>
      <c r="D38" s="1112"/>
      <c r="E38" s="996"/>
      <c r="F38" s="763"/>
      <c r="G38" s="988"/>
      <c r="H38" s="988"/>
    </row>
    <row r="39" spans="1:27" ht="13.8" thickTop="1">
      <c r="A39" s="689" t="s">
        <v>75</v>
      </c>
      <c r="B39" s="689"/>
      <c r="C39" s="689"/>
      <c r="D39" s="1112"/>
      <c r="E39" s="996"/>
      <c r="F39" s="763"/>
      <c r="G39" s="988"/>
      <c r="H39" s="988"/>
    </row>
    <row r="40" spans="1:27">
      <c r="A40" s="987" t="s">
        <v>76</v>
      </c>
      <c r="B40" s="689"/>
      <c r="C40" s="689"/>
      <c r="D40" s="1112"/>
      <c r="E40" s="996"/>
      <c r="F40" s="763"/>
      <c r="G40" s="988"/>
      <c r="H40" s="988"/>
    </row>
    <row r="41" spans="1:27">
      <c r="A41" s="1244" t="s">
        <v>2967</v>
      </c>
      <c r="B41" s="689"/>
      <c r="C41" s="689"/>
      <c r="D41" s="1112"/>
      <c r="E41" s="1728">
        <f>ROUND(F41/10^5,0)</f>
        <v>0</v>
      </c>
      <c r="F41" s="988">
        <f>-OCI!U5</f>
        <v>-46765</v>
      </c>
      <c r="G41" s="988"/>
      <c r="H41" s="988">
        <f>-OCI!S5</f>
        <v>-30176</v>
      </c>
      <c r="T41" s="1002">
        <f>+F41-H41</f>
        <v>-16589</v>
      </c>
    </row>
    <row r="42" spans="1:27">
      <c r="A42" s="1244" t="s">
        <v>2968</v>
      </c>
      <c r="B42" s="689"/>
      <c r="C42" s="689"/>
      <c r="D42" s="1112"/>
      <c r="E42" s="1728">
        <f>ROUND(F42/10^5,0)</f>
        <v>0</v>
      </c>
      <c r="F42" s="988">
        <f>-OCI!U6</f>
        <v>13010</v>
      </c>
      <c r="G42" s="988"/>
      <c r="H42" s="988">
        <f>-OCI!S6</f>
        <v>8395</v>
      </c>
      <c r="T42" s="1002">
        <f>+F42-H42</f>
        <v>4615</v>
      </c>
      <c r="AA42" s="1002"/>
    </row>
    <row r="43" spans="1:27" ht="13.8" thickBot="1">
      <c r="A43" s="689" t="s">
        <v>2976</v>
      </c>
      <c r="B43" s="689"/>
      <c r="C43" s="689"/>
      <c r="D43" s="1112"/>
      <c r="E43" s="734">
        <f>SUM(E41:E42)</f>
        <v>0</v>
      </c>
      <c r="F43" s="770">
        <f>SUM(F41:F42)</f>
        <v>-33755</v>
      </c>
      <c r="G43" s="988"/>
      <c r="H43" s="770">
        <f>SUM(H41:H42)</f>
        <v>-21781</v>
      </c>
      <c r="T43" s="1002">
        <f>+F43-H43</f>
        <v>-11974</v>
      </c>
    </row>
    <row r="44" spans="1:27" ht="13.8" thickTop="1">
      <c r="A44" s="689"/>
      <c r="B44" s="689"/>
      <c r="C44" s="689"/>
      <c r="D44" s="1112"/>
      <c r="E44" s="996"/>
      <c r="F44" s="763"/>
      <c r="G44" s="988"/>
      <c r="H44" s="763"/>
    </row>
    <row r="45" spans="1:27" ht="15" hidden="1" customHeight="1">
      <c r="A45" s="754" t="s">
        <v>77</v>
      </c>
      <c r="B45" s="689"/>
      <c r="C45" s="689"/>
      <c r="D45" s="1112"/>
      <c r="E45" s="996"/>
      <c r="F45" s="763"/>
      <c r="G45" s="988"/>
      <c r="H45" s="763">
        <v>0</v>
      </c>
    </row>
    <row r="46" spans="1:27" ht="15" hidden="1" customHeight="1">
      <c r="A46" s="987"/>
      <c r="B46" s="689"/>
      <c r="C46" s="689"/>
      <c r="D46" s="1112"/>
      <c r="E46" s="996"/>
      <c r="F46" s="771"/>
      <c r="G46" s="988"/>
      <c r="H46" s="771"/>
    </row>
    <row r="47" spans="1:27" ht="15" hidden="1" customHeight="1">
      <c r="A47" s="689" t="s">
        <v>78</v>
      </c>
      <c r="B47" s="689"/>
      <c r="C47" s="689"/>
      <c r="D47" s="1112"/>
      <c r="E47" s="996"/>
      <c r="F47" s="1016">
        <v>0</v>
      </c>
      <c r="G47" s="988"/>
      <c r="H47" s="971">
        <v>0</v>
      </c>
    </row>
    <row r="48" spans="1:27" ht="13.8" thickBot="1">
      <c r="A48" s="689" t="s">
        <v>2975</v>
      </c>
      <c r="B48" s="689"/>
      <c r="C48" s="689"/>
      <c r="D48" s="1112"/>
      <c r="E48" s="734">
        <f>E37+E43</f>
        <v>-491</v>
      </c>
      <c r="F48" s="770">
        <f>F37+F43</f>
        <v>-49055769</v>
      </c>
      <c r="G48" s="988"/>
      <c r="H48" s="770">
        <f>H37+H43</f>
        <v>41373758</v>
      </c>
      <c r="T48" s="1002">
        <f>+F48-H48</f>
        <v>-90429527</v>
      </c>
      <c r="U48" s="1002">
        <f>+F48-T48</f>
        <v>41373758</v>
      </c>
      <c r="W48" s="991">
        <f>+'Sch - BS'!G223</f>
        <v>-109379</v>
      </c>
    </row>
    <row r="49" spans="1:23" ht="13.8" thickTop="1">
      <c r="A49" s="689"/>
      <c r="B49" s="689"/>
      <c r="C49" s="689"/>
      <c r="D49" s="1112"/>
      <c r="E49" s="996"/>
      <c r="F49" s="763"/>
      <c r="G49" s="988"/>
      <c r="H49" s="988"/>
      <c r="W49" s="1002">
        <f>+W48+F37</f>
        <v>-49131393</v>
      </c>
    </row>
    <row r="50" spans="1:23">
      <c r="A50" s="1101" t="s">
        <v>2933</v>
      </c>
      <c r="B50" s="987"/>
      <c r="C50" s="1118"/>
      <c r="D50" s="1112">
        <f>+'Notes 28-35'!A261</f>
        <v>29</v>
      </c>
      <c r="E50" s="996"/>
      <c r="F50" s="988">
        <f>'Notes 28-35'!J267</f>
        <v>-4902.2013999999999</v>
      </c>
      <c r="G50" s="989"/>
      <c r="H50" s="988">
        <f>'Notes 28-35'!K267</f>
        <v>4139.5538999999999</v>
      </c>
      <c r="W50" s="1594" t="s">
        <v>2928</v>
      </c>
    </row>
    <row r="51" spans="1:23" s="778" customFormat="1">
      <c r="A51" s="1014" t="s">
        <v>1918</v>
      </c>
      <c r="B51" s="773"/>
      <c r="C51" s="773"/>
      <c r="D51" s="774"/>
      <c r="E51" s="774"/>
      <c r="F51" s="775"/>
      <c r="G51" s="776"/>
      <c r="H51" s="777"/>
      <c r="U51" s="1384"/>
    </row>
    <row r="52" spans="1:23" s="778" customFormat="1" hidden="1">
      <c r="A52" s="1014"/>
      <c r="B52" s="773"/>
      <c r="C52" s="773"/>
      <c r="D52" s="774"/>
      <c r="E52" s="774"/>
      <c r="F52" s="775"/>
      <c r="G52" s="776"/>
      <c r="H52" s="777"/>
    </row>
    <row r="53" spans="1:23" s="778" customFormat="1" hidden="1">
      <c r="B53" s="773"/>
      <c r="C53" s="773"/>
      <c r="D53" s="774"/>
      <c r="E53" s="774"/>
      <c r="F53" s="775"/>
      <c r="G53" s="776"/>
      <c r="H53" s="777"/>
      <c r="U53" s="1384">
        <f>+U52-F37</f>
        <v>49022014</v>
      </c>
    </row>
    <row r="54" spans="1:23" s="778" customFormat="1" hidden="1">
      <c r="A54" s="1134"/>
      <c r="B54" s="773"/>
      <c r="C54" s="773"/>
      <c r="D54" s="774"/>
      <c r="E54" s="774"/>
      <c r="F54" s="775"/>
      <c r="G54" s="776"/>
      <c r="H54" s="777"/>
    </row>
    <row r="55" spans="1:23">
      <c r="A55" s="689"/>
      <c r="B55" s="689"/>
      <c r="C55" s="689"/>
      <c r="D55" s="1112"/>
      <c r="E55" s="996"/>
      <c r="F55" s="988"/>
      <c r="G55" s="988"/>
      <c r="H55" s="988"/>
    </row>
    <row r="56" spans="1:23">
      <c r="A56" s="1502" t="s">
        <v>2752</v>
      </c>
      <c r="B56" s="689"/>
      <c r="C56" s="689"/>
      <c r="D56" s="1112"/>
      <c r="E56" s="996"/>
      <c r="F56" s="988"/>
      <c r="G56" s="988"/>
      <c r="H56" s="988"/>
    </row>
    <row r="57" spans="1:23">
      <c r="A57" s="1771" t="s">
        <v>2919</v>
      </c>
      <c r="B57" s="1771"/>
      <c r="C57" s="689"/>
      <c r="D57" s="1112">
        <v>2</v>
      </c>
      <c r="E57" s="996"/>
      <c r="F57" s="1004"/>
      <c r="H57" s="1004"/>
    </row>
    <row r="58" spans="1:23">
      <c r="A58" s="1772" t="s">
        <v>1919</v>
      </c>
      <c r="B58" s="1772"/>
      <c r="C58" s="1017"/>
      <c r="D58" s="995"/>
      <c r="E58" s="995"/>
      <c r="F58" s="1018"/>
      <c r="G58" s="1018"/>
      <c r="H58" s="1018"/>
    </row>
    <row r="59" spans="1:23">
      <c r="A59" s="1014" t="s">
        <v>1920</v>
      </c>
      <c r="B59" s="987"/>
      <c r="C59" s="987"/>
    </row>
    <row r="60" spans="1:23">
      <c r="A60" s="987"/>
      <c r="B60" s="987"/>
      <c r="C60" s="987"/>
    </row>
    <row r="61" spans="1:23">
      <c r="A61" s="1013" t="s">
        <v>1814</v>
      </c>
      <c r="B61" s="689"/>
      <c r="C61" s="689"/>
      <c r="D61" s="725"/>
      <c r="E61" s="725"/>
      <c r="F61" s="725"/>
      <c r="G61" s="725"/>
      <c r="H61" s="753" t="s">
        <v>53</v>
      </c>
    </row>
    <row r="62" spans="1:23">
      <c r="A62" s="1013" t="s">
        <v>54</v>
      </c>
      <c r="B62" s="689"/>
      <c r="C62" s="689"/>
      <c r="D62" s="1019"/>
      <c r="E62" s="1019"/>
      <c r="F62" s="1019"/>
      <c r="G62" s="1019"/>
      <c r="H62" s="733">
        <f>BS!I79</f>
        <v>0</v>
      </c>
    </row>
    <row r="63" spans="1:23">
      <c r="A63" s="1013" t="s">
        <v>1815</v>
      </c>
      <c r="B63" s="1020"/>
      <c r="C63" s="1020"/>
      <c r="D63" s="1020"/>
      <c r="H63" s="992" t="str">
        <f>BS!I80</f>
        <v>CIN: U72900PN2010FTC137168</v>
      </c>
    </row>
    <row r="64" spans="1:23">
      <c r="B64" s="1020"/>
      <c r="C64" s="1020"/>
      <c r="D64" s="1020"/>
    </row>
    <row r="65" spans="2:4">
      <c r="B65" s="1020"/>
      <c r="C65" s="1020"/>
      <c r="D65" s="1020"/>
    </row>
    <row r="66" spans="2:4">
      <c r="B66" s="1020"/>
      <c r="C66" s="1020"/>
      <c r="D66" s="1020"/>
    </row>
    <row r="67" spans="2:4">
      <c r="B67" s="1020"/>
      <c r="C67" s="1020"/>
      <c r="D67" s="1020"/>
    </row>
  </sheetData>
  <mergeCells count="2">
    <mergeCell ref="A57:B57"/>
    <mergeCell ref="A58:B58"/>
  </mergeCells>
  <pageMargins left="0.74803149606299213" right="0.23622047244094491" top="0.74803149606299213" bottom="0.23622047244094491" header="0.31496062992125984" footer="0.31496062992125984"/>
  <pageSetup paperSize="9" scale="63" firstPageNumber="12" orientation="portrait" useFirstPageNumber="1" r:id="rId1"/>
  <headerFooter>
    <oddFooter>&amp;C&amp;P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6666"/>
  </sheetPr>
  <dimension ref="A1:W480"/>
  <sheetViews>
    <sheetView showGridLines="0" showRuler="0" topLeftCell="A383" zoomScaleNormal="100" zoomScalePageLayoutView="90" workbookViewId="0">
      <selection activeCell="B12" sqref="B12"/>
    </sheetView>
  </sheetViews>
  <sheetFormatPr defaultColWidth="9.21875" defaultRowHeight="14.4"/>
  <cols>
    <col min="1" max="1" width="11.44140625" style="351" customWidth="1"/>
    <col min="2" max="2" width="38.21875" style="351" bestFit="1" customWidth="1"/>
    <col min="3" max="3" width="25.77734375" style="347" customWidth="1"/>
    <col min="4" max="4" width="0.77734375" style="354" customWidth="1"/>
    <col min="5" max="5" width="19.21875" style="346" customWidth="1"/>
    <col min="6" max="6" width="1.21875" style="346" customWidth="1"/>
    <col min="7" max="8" width="19.77734375" style="346" customWidth="1"/>
    <col min="9" max="9" width="12" style="347" customWidth="1"/>
    <col min="10" max="11" width="20" style="347" bestFit="1" customWidth="1"/>
    <col min="12" max="12" width="17.21875" style="347" bestFit="1" customWidth="1"/>
    <col min="13" max="13" width="11.77734375" style="347" bestFit="1" customWidth="1"/>
    <col min="14" max="15" width="14.5546875" style="347" customWidth="1"/>
    <col min="16" max="16" width="10.21875" style="347" bestFit="1" customWidth="1"/>
    <col min="17" max="17" width="11.77734375" style="347" bestFit="1" customWidth="1"/>
    <col min="18" max="18" width="10.77734375" style="347" bestFit="1" customWidth="1"/>
    <col min="19" max="20" width="9.21875" style="347"/>
    <col min="21" max="21" width="11.21875" style="347" bestFit="1" customWidth="1"/>
    <col min="22" max="22" width="10.21875" style="347" bestFit="1" customWidth="1"/>
    <col min="23" max="23" width="11.21875" style="347" bestFit="1" customWidth="1"/>
    <col min="24" max="16384" width="9.21875" style="347"/>
  </cols>
  <sheetData>
    <row r="1" spans="1:18">
      <c r="A1" s="343" t="str">
        <f>+Master!B2</f>
        <v>Syntel Solutions (India) Private Limited</v>
      </c>
      <c r="B1" s="343"/>
      <c r="C1" s="344" t="s">
        <v>518</v>
      </c>
      <c r="D1" s="345"/>
    </row>
    <row r="2" spans="1:18" s="350" customFormat="1">
      <c r="A2" s="343" t="str">
        <f>"Profit &amp; Loss Grouping for the period ended " &amp;Master!$B$5</f>
        <v>Profit &amp; Loss Grouping for the period ended 31st March 2025</v>
      </c>
      <c r="B2" s="343"/>
      <c r="C2" s="343"/>
      <c r="D2" s="348"/>
      <c r="E2" s="349"/>
      <c r="F2" s="349"/>
      <c r="G2" s="349"/>
      <c r="H2" s="349"/>
    </row>
    <row r="3" spans="1:18" ht="5.0999999999999996" customHeight="1">
      <c r="B3" s="352"/>
      <c r="C3" s="353"/>
    </row>
    <row r="4" spans="1:18" ht="15" thickBot="1">
      <c r="A4" s="355" t="s">
        <v>519</v>
      </c>
      <c r="B4" s="356" t="s">
        <v>520</v>
      </c>
      <c r="C4" s="355" t="s">
        <v>734</v>
      </c>
      <c r="D4" s="357"/>
      <c r="E4" s="358">
        <f>+'Sch - PL'!E5</f>
        <v>2025</v>
      </c>
      <c r="F4" s="359"/>
      <c r="G4" s="358">
        <f>+'Sch - PL'!G5</f>
        <v>2024</v>
      </c>
      <c r="H4" s="359"/>
      <c r="J4" s="347" t="s">
        <v>2287</v>
      </c>
      <c r="K4" s="347" t="s">
        <v>2288</v>
      </c>
      <c r="L4" s="347" t="s">
        <v>2201</v>
      </c>
      <c r="M4" s="347" t="s">
        <v>2202</v>
      </c>
      <c r="N4" s="347" t="s">
        <v>2203</v>
      </c>
      <c r="O4" s="347" t="s">
        <v>523</v>
      </c>
    </row>
    <row r="5" spans="1:18" ht="3" customHeight="1" thickTop="1">
      <c r="A5" s="360"/>
      <c r="B5" s="361"/>
      <c r="C5" s="362"/>
      <c r="E5" s="363"/>
      <c r="G5" s="363"/>
    </row>
    <row r="6" spans="1:18">
      <c r="A6" s="360">
        <v>400010</v>
      </c>
      <c r="B6" s="361" t="str">
        <f>VLOOKUP(A6,'TB for financial'!A:B,2,0)</f>
        <v>Onsite/Offsite Revenues</v>
      </c>
      <c r="C6" s="362" t="s">
        <v>57</v>
      </c>
      <c r="E6" s="363">
        <f>-VLOOKUP(A6,'TB for financial'!A:F,6,0)</f>
        <v>0</v>
      </c>
      <c r="G6" s="363">
        <f>-VLOOKUP(A6,'TB for financial'!A:K,11,0)</f>
        <v>0</v>
      </c>
      <c r="H6" s="346">
        <v>400010</v>
      </c>
      <c r="I6" s="1439">
        <v>0</v>
      </c>
      <c r="J6" s="363">
        <v>0</v>
      </c>
      <c r="K6" s="363">
        <v>0</v>
      </c>
      <c r="L6" s="363">
        <v>0</v>
      </c>
      <c r="M6" s="363">
        <v>0</v>
      </c>
      <c r="N6" s="363">
        <f>+J6+K6</f>
        <v>0</v>
      </c>
      <c r="O6" s="363">
        <f t="shared" ref="O6:O15" si="0">+E6-N6</f>
        <v>0</v>
      </c>
      <c r="Q6" s="347" t="e">
        <v>#N/A</v>
      </c>
    </row>
    <row r="7" spans="1:18">
      <c r="A7" s="360">
        <v>400020</v>
      </c>
      <c r="B7" s="361" t="str">
        <f>VLOOKUP(A7,'TB for financial'!A:B,2,0)</f>
        <v>Revenue Adjustments</v>
      </c>
      <c r="C7" s="1626" t="s">
        <v>57</v>
      </c>
      <c r="E7" s="363">
        <f>-VLOOKUP(A7,'TB for financial'!A:F,6,0)</f>
        <v>0</v>
      </c>
      <c r="G7" s="363">
        <f>-VLOOKUP(A7,'TB for financial'!A:K,11,0)</f>
        <v>0</v>
      </c>
      <c r="H7" s="346" t="e">
        <v>#N/A</v>
      </c>
      <c r="I7" s="1439" t="e">
        <v>#N/A</v>
      </c>
      <c r="J7" s="363">
        <v>0</v>
      </c>
      <c r="K7" s="363">
        <v>0</v>
      </c>
      <c r="L7" s="363">
        <v>0</v>
      </c>
      <c r="M7" s="363">
        <v>0</v>
      </c>
      <c r="N7" s="363">
        <f t="shared" ref="N7:N15" si="1">+J7+K7</f>
        <v>0</v>
      </c>
      <c r="O7" s="363">
        <f t="shared" si="0"/>
        <v>0</v>
      </c>
    </row>
    <row r="8" spans="1:18">
      <c r="A8" s="360">
        <v>400030</v>
      </c>
      <c r="B8" s="361" t="str">
        <f>VLOOKUP(A8,'TB for financial'!A:B,2,0)</f>
        <v>Offshore Revenue</v>
      </c>
      <c r="C8" s="362" t="s">
        <v>57</v>
      </c>
      <c r="E8" s="363">
        <f>-VLOOKUP(A8,'TB for financial'!A:F,6,0)</f>
        <v>0</v>
      </c>
      <c r="G8" s="363">
        <f>-VLOOKUP(A8,'TB for financial'!A:K,11,0)</f>
        <v>0</v>
      </c>
      <c r="H8" s="346">
        <v>400030</v>
      </c>
      <c r="I8" s="1439">
        <v>0</v>
      </c>
      <c r="J8" s="363">
        <v>0</v>
      </c>
      <c r="K8" s="363">
        <v>0</v>
      </c>
      <c r="L8" s="363">
        <v>0</v>
      </c>
      <c r="M8" s="363">
        <v>0</v>
      </c>
      <c r="N8" s="363">
        <f t="shared" si="1"/>
        <v>0</v>
      </c>
      <c r="O8" s="363">
        <f t="shared" si="0"/>
        <v>0</v>
      </c>
    </row>
    <row r="9" spans="1:18">
      <c r="A9" s="360">
        <v>400050</v>
      </c>
      <c r="B9" s="361" t="str">
        <f>VLOOKUP(A9,'TB for financial'!A:B,2,0)</f>
        <v>Reimbursement of Expenses-REVE</v>
      </c>
      <c r="C9" s="362" t="s">
        <v>57</v>
      </c>
      <c r="E9" s="363">
        <f>-VLOOKUP(A9,'TB for financial'!A:F,6,0)</f>
        <v>0</v>
      </c>
      <c r="G9" s="363">
        <f>-VLOOKUP(A9,'TB for financial'!A:K,11,0)</f>
        <v>0</v>
      </c>
      <c r="H9" s="346">
        <v>400050</v>
      </c>
      <c r="I9" s="1439">
        <v>0</v>
      </c>
      <c r="J9" s="363">
        <v>0</v>
      </c>
      <c r="K9" s="363">
        <v>0</v>
      </c>
      <c r="L9" s="363">
        <v>0</v>
      </c>
      <c r="M9" s="363">
        <v>0</v>
      </c>
      <c r="N9" s="363">
        <f t="shared" si="1"/>
        <v>0</v>
      </c>
      <c r="O9" s="363">
        <f t="shared" si="0"/>
        <v>0</v>
      </c>
    </row>
    <row r="10" spans="1:18">
      <c r="A10" s="360">
        <v>400060</v>
      </c>
      <c r="B10" s="361" t="str">
        <f>VLOOKUP(A10,'TB for financial'!A:B,2,0)</f>
        <v>Sales Incentives</v>
      </c>
      <c r="C10" s="362" t="s">
        <v>57</v>
      </c>
      <c r="E10" s="363">
        <f>-VLOOKUP(A10,'TB for financial'!A:F,6,0)</f>
        <v>0</v>
      </c>
      <c r="G10" s="363">
        <f>-VLOOKUP(A10,'TB for financial'!A:K,11,0)</f>
        <v>0</v>
      </c>
      <c r="H10" s="346" t="e">
        <v>#N/A</v>
      </c>
      <c r="I10" s="1439" t="e">
        <v>#N/A</v>
      </c>
      <c r="J10" s="363">
        <v>0</v>
      </c>
      <c r="K10" s="363">
        <v>0</v>
      </c>
      <c r="L10" s="363">
        <v>0</v>
      </c>
      <c r="M10" s="363">
        <v>0</v>
      </c>
      <c r="N10" s="363">
        <f t="shared" si="1"/>
        <v>0</v>
      </c>
      <c r="O10" s="363">
        <f t="shared" si="0"/>
        <v>0</v>
      </c>
    </row>
    <row r="11" spans="1:18">
      <c r="A11" s="360">
        <v>400061</v>
      </c>
      <c r="B11" s="361" t="str">
        <f>VLOOKUP(A11,'TB for financial'!A:B,2,0)</f>
        <v>Volume Discount/Rebates</v>
      </c>
      <c r="C11" s="362" t="s">
        <v>57</v>
      </c>
      <c r="E11" s="363">
        <f>-VLOOKUP(A11,'TB for financial'!A:F,6,0)</f>
        <v>0</v>
      </c>
      <c r="G11" s="363">
        <f>-VLOOKUP(A11,'TB for financial'!A:K,11,0)</f>
        <v>0</v>
      </c>
      <c r="H11" s="346" t="e">
        <v>#N/A</v>
      </c>
      <c r="I11" s="1439" t="e">
        <v>#N/A</v>
      </c>
      <c r="J11" s="363">
        <v>0</v>
      </c>
      <c r="K11" s="363">
        <v>0</v>
      </c>
      <c r="L11" s="363">
        <v>0</v>
      </c>
      <c r="M11" s="363">
        <v>0</v>
      </c>
      <c r="N11" s="363">
        <f t="shared" si="1"/>
        <v>0</v>
      </c>
      <c r="O11" s="363">
        <f t="shared" si="0"/>
        <v>0</v>
      </c>
    </row>
    <row r="12" spans="1:18">
      <c r="A12" s="360">
        <v>400110</v>
      </c>
      <c r="B12" s="361" t="str">
        <f>VLOOKUP(A12,'TB for financial'!A:B,2,0)</f>
        <v>Inter Unit Onsite/Offsite Reve</v>
      </c>
      <c r="C12" s="362" t="s">
        <v>57</v>
      </c>
      <c r="E12" s="364">
        <f>-VLOOKUP(A12,'TB for financial'!A:F,6,0)</f>
        <v>0</v>
      </c>
      <c r="G12" s="363">
        <f>-VLOOKUP(A12,'TB for financial'!A:K,11,0)</f>
        <v>0</v>
      </c>
      <c r="H12" s="346">
        <v>400110</v>
      </c>
      <c r="I12" s="1439">
        <v>0</v>
      </c>
      <c r="J12" s="363">
        <v>0</v>
      </c>
      <c r="K12" s="363">
        <v>0</v>
      </c>
      <c r="L12" s="363">
        <v>0</v>
      </c>
      <c r="M12" s="363">
        <v>0</v>
      </c>
      <c r="N12" s="363">
        <f t="shared" si="1"/>
        <v>0</v>
      </c>
      <c r="O12" s="363">
        <f t="shared" si="0"/>
        <v>0</v>
      </c>
    </row>
    <row r="13" spans="1:18">
      <c r="A13" s="360">
        <v>400130</v>
      </c>
      <c r="B13" s="361" t="str">
        <f>VLOOKUP(A13,'TB for financial'!A:B,2,0)</f>
        <v>Inter Unit Offshore Revenue</v>
      </c>
      <c r="C13" s="362" t="s">
        <v>57</v>
      </c>
      <c r="D13" s="354">
        <v>400130</v>
      </c>
      <c r="E13" s="363">
        <f>-VLOOKUP(A13,'TB for financial'!A:F,6,0)</f>
        <v>0</v>
      </c>
      <c r="G13" s="363">
        <f>-VLOOKUP(A13,'TB for financial'!A:K,11,0)</f>
        <v>0</v>
      </c>
      <c r="H13" s="346">
        <v>400130</v>
      </c>
      <c r="I13" s="1439">
        <v>12678976.310000001</v>
      </c>
      <c r="J13" s="363">
        <v>8465942.4800000004</v>
      </c>
      <c r="K13" s="363">
        <v>3718537.54</v>
      </c>
      <c r="L13" s="363">
        <v>0</v>
      </c>
      <c r="M13" s="363">
        <v>0</v>
      </c>
      <c r="N13" s="363">
        <f t="shared" si="1"/>
        <v>12184480.02</v>
      </c>
      <c r="O13" s="363">
        <f t="shared" si="0"/>
        <v>-12184480.02</v>
      </c>
      <c r="P13" s="347">
        <v>400130</v>
      </c>
      <c r="Q13" s="365" t="e">
        <v>#N/A</v>
      </c>
      <c r="R13" s="365" t="e">
        <f>+E13-Q13</f>
        <v>#N/A</v>
      </c>
    </row>
    <row r="14" spans="1:18">
      <c r="A14" s="360">
        <v>400040</v>
      </c>
      <c r="B14" s="361" t="str">
        <f>VLOOKUP(A14,'TB for financial'!A:B,2,0)</f>
        <v>Domestic Direct Revenue</v>
      </c>
      <c r="C14" s="362" t="s">
        <v>57</v>
      </c>
      <c r="E14" s="364">
        <f>-VLOOKUP(A14,'TB for financial'!A:F,6,0)</f>
        <v>0</v>
      </c>
      <c r="G14" s="363">
        <f>-VLOOKUP(A14,'TB for financial'!A:K,11,0)</f>
        <v>0</v>
      </c>
      <c r="H14" s="346" t="e">
        <v>#N/A</v>
      </c>
      <c r="I14" s="1439" t="e">
        <v>#N/A</v>
      </c>
      <c r="J14" s="363">
        <v>0</v>
      </c>
      <c r="K14" s="363">
        <v>0</v>
      </c>
      <c r="L14" s="363">
        <v>0</v>
      </c>
      <c r="M14" s="363">
        <v>0</v>
      </c>
      <c r="N14" s="363">
        <f t="shared" si="1"/>
        <v>0</v>
      </c>
      <c r="O14" s="363">
        <f t="shared" si="0"/>
        <v>0</v>
      </c>
    </row>
    <row r="15" spans="1:18">
      <c r="A15" s="1380">
        <v>706361</v>
      </c>
      <c r="B15" s="372" t="str">
        <f>VLOOKUP(A15,'TB for financial'!A:B,2,0)</f>
        <v>Sales of Services. Interco EXP</v>
      </c>
      <c r="C15" s="362" t="s">
        <v>57</v>
      </c>
      <c r="D15" s="354">
        <v>706361</v>
      </c>
      <c r="E15" s="363">
        <f>-VLOOKUP(A15,'TB for financial'!A:F,6,0)</f>
        <v>10587550.82</v>
      </c>
      <c r="G15" s="363">
        <f>-VLOOKUP(A15,'TB for financial'!A:K,11,0)</f>
        <v>13298075.340000002</v>
      </c>
      <c r="H15" s="346">
        <v>706361</v>
      </c>
      <c r="I15" s="1439">
        <v>-9954016.9499999993</v>
      </c>
      <c r="J15" s="363">
        <v>0</v>
      </c>
      <c r="K15" s="363">
        <v>0</v>
      </c>
      <c r="L15" s="363">
        <v>0</v>
      </c>
      <c r="M15" s="363">
        <v>0</v>
      </c>
      <c r="N15" s="363">
        <f t="shared" si="1"/>
        <v>0</v>
      </c>
      <c r="O15" s="363">
        <f t="shared" si="0"/>
        <v>10587550.82</v>
      </c>
    </row>
    <row r="16" spans="1:18">
      <c r="A16" s="1380">
        <v>779000</v>
      </c>
      <c r="B16" s="372" t="str">
        <f>VLOOKUP(A16,'TB for financial'!A:B,2,0)</f>
        <v>Revenue Offshore Netting Billing</v>
      </c>
      <c r="C16" s="362" t="s">
        <v>57</v>
      </c>
      <c r="E16" s="363">
        <f>-VLOOKUP(A16,'TB for financial'!A:F,6,0)</f>
        <v>396967.87</v>
      </c>
      <c r="G16" s="363">
        <f>-VLOOKUP(A16,'TB for financial'!A:K,11,0)</f>
        <v>1182131.348730159</v>
      </c>
      <c r="H16" s="346">
        <v>779000</v>
      </c>
      <c r="I16" s="1439"/>
      <c r="J16" s="363"/>
      <c r="K16" s="363"/>
      <c r="L16" s="363"/>
      <c r="M16" s="363"/>
      <c r="N16" s="363"/>
      <c r="O16" s="363"/>
    </row>
    <row r="17" spans="1:18" ht="5.0999999999999996" customHeight="1">
      <c r="A17" s="360"/>
      <c r="B17" s="361"/>
      <c r="C17" s="362"/>
      <c r="E17" s="363"/>
      <c r="G17" s="363"/>
      <c r="I17" s="365"/>
      <c r="J17" s="363"/>
      <c r="K17" s="363"/>
      <c r="L17" s="363"/>
      <c r="M17" s="363"/>
      <c r="N17" s="363"/>
      <c r="O17" s="363"/>
    </row>
    <row r="18" spans="1:18" s="350" customFormat="1" ht="15" thickBot="1">
      <c r="A18" s="366"/>
      <c r="B18" s="237" t="s">
        <v>418</v>
      </c>
      <c r="C18" s="1627"/>
      <c r="D18" s="1628"/>
      <c r="E18" s="1630">
        <f>SUM(E6:E17)</f>
        <v>10984518.689999999</v>
      </c>
      <c r="F18" s="349"/>
      <c r="G18" s="367">
        <f>SUM(G6:G17)</f>
        <v>14480206.688730162</v>
      </c>
      <c r="H18" s="349"/>
      <c r="J18" s="367">
        <f t="shared" ref="J18:O18" si="2">SUM(J6:J17)</f>
        <v>8465942.4800000004</v>
      </c>
      <c r="K18" s="367">
        <f t="shared" si="2"/>
        <v>3718537.54</v>
      </c>
      <c r="L18" s="367">
        <f t="shared" si="2"/>
        <v>0</v>
      </c>
      <c r="M18" s="367">
        <f t="shared" si="2"/>
        <v>0</v>
      </c>
      <c r="N18" s="367">
        <f t="shared" si="2"/>
        <v>12184480.02</v>
      </c>
      <c r="O18" s="367">
        <f t="shared" si="2"/>
        <v>-1596929.1999999993</v>
      </c>
    </row>
    <row r="19" spans="1:18" ht="5.0999999999999996" customHeight="1" thickTop="1">
      <c r="A19" s="360"/>
      <c r="B19" s="368"/>
      <c r="C19" s="1627"/>
      <c r="E19" s="363"/>
      <c r="G19" s="363"/>
      <c r="J19" s="363"/>
      <c r="K19" s="363"/>
      <c r="L19" s="363"/>
      <c r="M19" s="363"/>
      <c r="N19" s="363"/>
      <c r="O19" s="363"/>
    </row>
    <row r="20" spans="1:18">
      <c r="A20" s="360">
        <v>400021</v>
      </c>
      <c r="B20" s="361" t="str">
        <f>VLOOKUP(A20,'TB for financial'!A:B,2,0)</f>
        <v>Local Sales - India</v>
      </c>
      <c r="C20" s="1626" t="s">
        <v>57</v>
      </c>
      <c r="D20" s="354">
        <v>400021</v>
      </c>
      <c r="E20" s="363">
        <f>-VLOOKUP(A20,'TB for financial'!A:F,6,0)</f>
        <v>0</v>
      </c>
      <c r="G20" s="363">
        <f>-VLOOKUP(A20,'TB for financial'!A:K,11,0)</f>
        <v>0</v>
      </c>
      <c r="H20" s="346">
        <v>400021</v>
      </c>
      <c r="I20" s="1439">
        <v>705115.68</v>
      </c>
      <c r="J20" s="363">
        <v>541150.19000000006</v>
      </c>
      <c r="K20" s="363">
        <v>0</v>
      </c>
      <c r="L20" s="363">
        <v>0</v>
      </c>
      <c r="M20" s="363">
        <v>0</v>
      </c>
      <c r="N20" s="363">
        <f>+J20+K20</f>
        <v>541150.19000000006</v>
      </c>
      <c r="O20" s="363">
        <f>+E20-N20</f>
        <v>-541150.19000000006</v>
      </c>
      <c r="P20" s="347">
        <v>400021</v>
      </c>
      <c r="Q20" s="365" t="e">
        <v>#N/A</v>
      </c>
      <c r="R20" s="365" t="e">
        <f>+E20-Q20</f>
        <v>#N/A</v>
      </c>
    </row>
    <row r="21" spans="1:18">
      <c r="A21" s="360">
        <v>400140</v>
      </c>
      <c r="B21" s="361" t="str">
        <f>VLOOKUP(A21,'TB for financial'!A:B,2,0)</f>
        <v>Finder Fees - Inter company</v>
      </c>
      <c r="C21" s="1626" t="s">
        <v>57</v>
      </c>
      <c r="E21" s="363">
        <f>-VLOOKUP(A21,'TB for financial'!A:F,6,0)</f>
        <v>0</v>
      </c>
      <c r="G21" s="363">
        <f>-VLOOKUP(A21,'TB for financial'!A:K,11,0)</f>
        <v>0</v>
      </c>
      <c r="H21" s="346">
        <v>400140</v>
      </c>
      <c r="I21" s="1439">
        <v>0</v>
      </c>
      <c r="J21" s="363">
        <v>0</v>
      </c>
      <c r="K21" s="363">
        <v>0</v>
      </c>
      <c r="L21" s="363">
        <v>0</v>
      </c>
      <c r="M21" s="363">
        <v>0</v>
      </c>
      <c r="N21" s="363">
        <f>+J21+K21</f>
        <v>0</v>
      </c>
      <c r="O21" s="363">
        <f>+E21-N21</f>
        <v>0</v>
      </c>
      <c r="P21" s="347">
        <v>400140</v>
      </c>
      <c r="Q21" s="365" t="e">
        <v>#N/A</v>
      </c>
      <c r="R21" s="365" t="e">
        <f>+E21-Q21</f>
        <v>#N/A</v>
      </c>
    </row>
    <row r="22" spans="1:18">
      <c r="A22" s="360">
        <v>400141</v>
      </c>
      <c r="B22" s="361" t="str">
        <f>VLOOKUP(A22,'TB for financial'!A:B,2,0)</f>
        <v>Finder Fee-InterCompany Domes</v>
      </c>
      <c r="C22" s="1626" t="s">
        <v>57</v>
      </c>
      <c r="E22" s="364">
        <f>-VLOOKUP(A22,'TB for financial'!A:F,6,0)</f>
        <v>0</v>
      </c>
      <c r="G22" s="363">
        <f>-VLOOKUP(A22,'TB for financial'!A:K,11,0)</f>
        <v>0</v>
      </c>
      <c r="H22" s="346">
        <v>400141</v>
      </c>
      <c r="I22" s="1439">
        <v>0</v>
      </c>
      <c r="J22" s="363">
        <v>0</v>
      </c>
      <c r="K22" s="363">
        <v>0</v>
      </c>
      <c r="L22" s="363">
        <v>0</v>
      </c>
      <c r="M22" s="363">
        <v>0</v>
      </c>
      <c r="N22" s="363">
        <f>+J22+K22</f>
        <v>0</v>
      </c>
      <c r="O22" s="363">
        <f>+E22-N22</f>
        <v>0</v>
      </c>
    </row>
    <row r="23" spans="1:18" ht="5.0999999999999996" customHeight="1">
      <c r="A23" s="360"/>
      <c r="B23" s="361"/>
      <c r="C23" s="362"/>
      <c r="E23" s="363"/>
      <c r="G23" s="363"/>
      <c r="J23" s="363"/>
      <c r="K23" s="363"/>
      <c r="L23" s="363"/>
      <c r="M23" s="363"/>
      <c r="N23" s="363"/>
      <c r="O23" s="363"/>
    </row>
    <row r="24" spans="1:18" s="350" customFormat="1" ht="15" thickBot="1">
      <c r="A24" s="366"/>
      <c r="B24" s="237" t="s">
        <v>735</v>
      </c>
      <c r="C24" s="1627"/>
      <c r="D24" s="1628"/>
      <c r="E24" s="367">
        <f>SUM(E20:E23)</f>
        <v>0</v>
      </c>
      <c r="F24" s="349"/>
      <c r="G24" s="367">
        <f>SUM(G20:G23)</f>
        <v>0</v>
      </c>
      <c r="H24" s="349"/>
      <c r="J24" s="367">
        <f t="shared" ref="J24:O24" si="3">SUM(J20:J23)</f>
        <v>541150.19000000006</v>
      </c>
      <c r="K24" s="367">
        <f t="shared" si="3"/>
        <v>0</v>
      </c>
      <c r="L24" s="367">
        <f t="shared" si="3"/>
        <v>0</v>
      </c>
      <c r="M24" s="367">
        <f t="shared" si="3"/>
        <v>0</v>
      </c>
      <c r="N24" s="367">
        <f t="shared" si="3"/>
        <v>541150.19000000006</v>
      </c>
      <c r="O24" s="367">
        <f t="shared" si="3"/>
        <v>-541150.19000000006</v>
      </c>
    </row>
    <row r="25" spans="1:18" ht="5.0999999999999996" customHeight="1" thickTop="1">
      <c r="A25" s="360"/>
      <c r="B25" s="368"/>
      <c r="C25" s="1627"/>
      <c r="E25" s="363"/>
      <c r="G25" s="363"/>
      <c r="J25" s="363"/>
      <c r="K25" s="363"/>
      <c r="L25" s="363"/>
      <c r="M25" s="363"/>
      <c r="N25" s="363"/>
      <c r="O25" s="363"/>
    </row>
    <row r="26" spans="1:18">
      <c r="A26" s="360">
        <v>601010</v>
      </c>
      <c r="B26" s="361" t="str">
        <f>VLOOKUP(A26,'TB for financial'!A:B,2,0)</f>
        <v>Interest Income Taxable</v>
      </c>
      <c r="C26" s="362" t="s">
        <v>58</v>
      </c>
      <c r="D26" s="354">
        <v>601010</v>
      </c>
      <c r="E26" s="1520">
        <f>-VLOOKUP(A26,'TB for financial'!A:F,6,0)</f>
        <v>0</v>
      </c>
      <c r="G26" s="363">
        <f>-VLOOKUP(A26,'TB for financial'!A:K,11,0)</f>
        <v>0</v>
      </c>
      <c r="H26" s="346">
        <v>601010</v>
      </c>
      <c r="I26" s="1439">
        <v>-5109640.6500000004</v>
      </c>
      <c r="J26" s="363">
        <v>6200594.6900000013</v>
      </c>
      <c r="K26" s="363">
        <v>1519151.13</v>
      </c>
      <c r="L26" s="363">
        <v>0</v>
      </c>
      <c r="M26" s="363">
        <v>0</v>
      </c>
      <c r="N26" s="363">
        <f t="shared" ref="N26:N38" si="4">+J26+K26</f>
        <v>7719745.8200000012</v>
      </c>
      <c r="O26" s="363">
        <f>+E26-N26</f>
        <v>-7719745.8200000012</v>
      </c>
    </row>
    <row r="27" spans="1:18">
      <c r="A27" s="360">
        <v>601011</v>
      </c>
      <c r="B27" s="361" t="str">
        <f>VLOOKUP(A27,'TB for financial'!A:B,2,0)</f>
        <v>Interest Income Non Taxable</v>
      </c>
      <c r="C27" s="362" t="s">
        <v>58</v>
      </c>
      <c r="E27" s="1520">
        <f>-VLOOKUP(A27,'TB for financial'!A:F,6,0)</f>
        <v>0</v>
      </c>
      <c r="G27" s="363">
        <f>-VLOOKUP(A27,'TB for financial'!A:K,11,0)</f>
        <v>0</v>
      </c>
      <c r="H27" s="346">
        <v>601011</v>
      </c>
      <c r="I27" s="1439">
        <v>0</v>
      </c>
      <c r="J27" s="363">
        <v>0</v>
      </c>
      <c r="K27" s="363">
        <v>0</v>
      </c>
      <c r="L27" s="363">
        <v>0</v>
      </c>
      <c r="M27" s="363">
        <v>0</v>
      </c>
      <c r="N27" s="363">
        <f t="shared" si="4"/>
        <v>0</v>
      </c>
      <c r="O27" s="363">
        <f>+E27-N27</f>
        <v>0</v>
      </c>
    </row>
    <row r="28" spans="1:18">
      <c r="A28" s="360">
        <v>601012</v>
      </c>
      <c r="B28" s="361" t="str">
        <f>VLOOKUP(A28,'TB for financial'!A:B,2,0)</f>
        <v>Dividend Income</v>
      </c>
      <c r="C28" s="362" t="s">
        <v>58</v>
      </c>
      <c r="E28" s="363">
        <f>-VLOOKUP(A28,'TB for financial'!A:F,6,0)</f>
        <v>0</v>
      </c>
      <c r="G28" s="363">
        <f>-VLOOKUP(A28,'TB for financial'!A:K,11,0)</f>
        <v>0</v>
      </c>
      <c r="H28" s="346">
        <v>601012</v>
      </c>
      <c r="I28" s="1439">
        <v>0</v>
      </c>
      <c r="J28" s="363">
        <v>0</v>
      </c>
      <c r="K28" s="363">
        <v>0</v>
      </c>
      <c r="L28" s="363">
        <v>0</v>
      </c>
      <c r="M28" s="363">
        <v>0</v>
      </c>
      <c r="N28" s="363">
        <f t="shared" si="4"/>
        <v>0</v>
      </c>
      <c r="O28" s="363">
        <f>+E28-N28</f>
        <v>0</v>
      </c>
    </row>
    <row r="29" spans="1:18">
      <c r="A29" s="360">
        <v>601013</v>
      </c>
      <c r="B29" s="361" t="str">
        <f>VLOOKUP(A29,'TB for financial'!A:B,2,0)</f>
        <v>Profit on redemption of mutual fund</v>
      </c>
      <c r="C29" s="362" t="s">
        <v>58</v>
      </c>
      <c r="E29" s="363">
        <f>-VLOOKUP(A29,'TB for financial'!A:F,6,0)</f>
        <v>0</v>
      </c>
      <c r="G29" s="363">
        <f>-VLOOKUP(A29,'TB for financial'!A:K,11,0)</f>
        <v>0</v>
      </c>
      <c r="H29" s="346">
        <v>601013</v>
      </c>
      <c r="I29" s="1439">
        <v>0</v>
      </c>
      <c r="J29" s="363">
        <v>1.4551915228366852E-11</v>
      </c>
      <c r="K29" s="363">
        <v>0</v>
      </c>
      <c r="L29" s="363">
        <v>0</v>
      </c>
      <c r="M29" s="363">
        <v>0</v>
      </c>
      <c r="N29" s="363">
        <f t="shared" si="4"/>
        <v>1.4551915228366852E-11</v>
      </c>
      <c r="O29" s="363">
        <f>+E29-N29</f>
        <v>-1.4551915228366852E-11</v>
      </c>
      <c r="P29" s="347">
        <v>601013</v>
      </c>
      <c r="Q29" s="365" t="e">
        <v>#N/A</v>
      </c>
      <c r="R29" s="365" t="e">
        <f>+E29-Q29</f>
        <v>#N/A</v>
      </c>
    </row>
    <row r="30" spans="1:18">
      <c r="A30" s="369">
        <v>601033</v>
      </c>
      <c r="B30" s="361" t="str">
        <f>VLOOKUP(A30,'TB for financial'!A:B,2,0)</f>
        <v>MF unrealised gain (IndAS)</v>
      </c>
      <c r="C30" s="362" t="s">
        <v>58</v>
      </c>
      <c r="E30" s="363">
        <f>-VLOOKUP(A30,'TB for financial'!A:F,6,0)</f>
        <v>0</v>
      </c>
      <c r="G30" s="363">
        <f>-VLOOKUP(A30,'TB for financial'!A:K,11,0)</f>
        <v>0</v>
      </c>
      <c r="H30" s="346">
        <v>601033</v>
      </c>
      <c r="I30" s="1439">
        <v>0</v>
      </c>
      <c r="J30" s="363">
        <v>0</v>
      </c>
      <c r="K30" s="363">
        <v>0</v>
      </c>
      <c r="L30" s="363">
        <v>0</v>
      </c>
      <c r="M30" s="363">
        <v>0</v>
      </c>
      <c r="N30" s="363">
        <f t="shared" si="4"/>
        <v>0</v>
      </c>
      <c r="O30" s="363">
        <f>+E30-N30</f>
        <v>0</v>
      </c>
      <c r="P30" s="347">
        <v>601033</v>
      </c>
      <c r="Q30" s="365"/>
      <c r="R30" s="365"/>
    </row>
    <row r="31" spans="1:18">
      <c r="A31" s="360">
        <v>601014</v>
      </c>
      <c r="B31" s="361" t="str">
        <f>VLOOKUP(A31,'TB for financial'!A:B,2,0)</f>
        <v>Miscellaneous Income</v>
      </c>
      <c r="C31" s="362" t="s">
        <v>58</v>
      </c>
      <c r="E31" s="363">
        <f>-VLOOKUP(A31,'TB for financial'!A:F,6,0)</f>
        <v>0</v>
      </c>
      <c r="G31" s="363">
        <f>-VLOOKUP(A31,'TB for financial'!A:K,11,0)</f>
        <v>0</v>
      </c>
      <c r="H31" s="346">
        <v>601014</v>
      </c>
      <c r="I31" s="1439">
        <v>0</v>
      </c>
      <c r="J31" s="363">
        <v>100000</v>
      </c>
      <c r="K31" s="363">
        <v>-22105.98</v>
      </c>
      <c r="L31" s="363">
        <v>0</v>
      </c>
      <c r="M31" s="363">
        <v>0</v>
      </c>
      <c r="N31" s="363">
        <f t="shared" si="4"/>
        <v>77894.02</v>
      </c>
      <c r="O31" s="363">
        <f t="shared" ref="O31:O38" si="5">+E31-N31</f>
        <v>-77894.02</v>
      </c>
    </row>
    <row r="32" spans="1:18">
      <c r="A32" s="360">
        <v>601017</v>
      </c>
      <c r="B32" s="361" t="str">
        <f>VLOOKUP(A32,'TB for financial'!A:B,2,0)</f>
        <v>Forex Interest Income Taxable</v>
      </c>
      <c r="C32" s="362" t="s">
        <v>58</v>
      </c>
      <c r="E32" s="1520">
        <f>-VLOOKUP(A32,'TB for financial'!A:F,6,0)</f>
        <v>0</v>
      </c>
      <c r="G32" s="363">
        <f>-VLOOKUP(A32,'TB for financial'!A:K,11,0)</f>
        <v>0</v>
      </c>
      <c r="H32" s="346">
        <v>601017</v>
      </c>
      <c r="I32" s="1439">
        <v>0</v>
      </c>
      <c r="J32" s="363">
        <v>0</v>
      </c>
      <c r="K32" s="363">
        <v>0</v>
      </c>
      <c r="L32" s="363">
        <v>0</v>
      </c>
      <c r="M32" s="363">
        <v>0</v>
      </c>
      <c r="N32" s="363">
        <f t="shared" si="4"/>
        <v>0</v>
      </c>
      <c r="O32" s="363">
        <f t="shared" si="5"/>
        <v>0</v>
      </c>
    </row>
    <row r="33" spans="1:18">
      <c r="A33" s="360">
        <v>601015</v>
      </c>
      <c r="B33" s="361" t="str">
        <f>VLOOKUP(A33,'TB for financial'!A:B,2,0)</f>
        <v>Dividend - Interco</v>
      </c>
      <c r="C33" s="362" t="s">
        <v>58</v>
      </c>
      <c r="E33" s="363">
        <f>-VLOOKUP(A33,'TB for financial'!A:F,6,0)</f>
        <v>0</v>
      </c>
      <c r="G33" s="363">
        <f>-VLOOKUP(A33,'TB for financial'!A:K,11,0)</f>
        <v>0</v>
      </c>
      <c r="H33" s="346" t="e">
        <v>#N/A</v>
      </c>
      <c r="I33" s="1439" t="e">
        <v>#N/A</v>
      </c>
      <c r="J33" s="363">
        <v>0</v>
      </c>
      <c r="K33" s="363">
        <v>0</v>
      </c>
      <c r="L33" s="363">
        <v>0</v>
      </c>
      <c r="M33" s="363">
        <v>0</v>
      </c>
      <c r="N33" s="363">
        <f t="shared" si="4"/>
        <v>0</v>
      </c>
      <c r="O33" s="363">
        <f t="shared" si="5"/>
        <v>0</v>
      </c>
    </row>
    <row r="34" spans="1:18">
      <c r="A34" s="360">
        <v>601016</v>
      </c>
      <c r="B34" s="361" t="str">
        <f>VLOOKUP(A34,'TB for financial'!A:B,2,0)</f>
        <v>Inter-Company Revenue</v>
      </c>
      <c r="C34" s="362" t="s">
        <v>58</v>
      </c>
      <c r="E34" s="363">
        <f>-VLOOKUP(A34,'TB for financial'!A:F,6,0)</f>
        <v>0</v>
      </c>
      <c r="G34" s="363">
        <f>-VLOOKUP(A34,'TB for financial'!A:K,11,0)</f>
        <v>0</v>
      </c>
      <c r="H34" s="346" t="e">
        <v>#N/A</v>
      </c>
      <c r="I34" s="1439" t="e">
        <v>#N/A</v>
      </c>
      <c r="J34" s="363">
        <v>0</v>
      </c>
      <c r="K34" s="363">
        <v>0</v>
      </c>
      <c r="L34" s="363">
        <v>0</v>
      </c>
      <c r="M34" s="363">
        <v>0</v>
      </c>
      <c r="N34" s="363">
        <f t="shared" si="4"/>
        <v>0</v>
      </c>
      <c r="O34" s="363">
        <f t="shared" si="5"/>
        <v>0</v>
      </c>
    </row>
    <row r="35" spans="1:18">
      <c r="A35" s="370">
        <v>601018</v>
      </c>
      <c r="B35" s="361" t="str">
        <f>VLOOKUP(A35,'TB for financial'!A:B,2,0)</f>
        <v>Employee - Interest on Loan</v>
      </c>
      <c r="C35" s="362" t="s">
        <v>58</v>
      </c>
      <c r="D35" s="354">
        <v>601018</v>
      </c>
      <c r="E35" s="363">
        <f>-VLOOKUP(A35,'TB for financial'!A:F,6,0)</f>
        <v>0</v>
      </c>
      <c r="G35" s="363">
        <f>-VLOOKUP(A35,'TB for financial'!A:K,11,0)</f>
        <v>0</v>
      </c>
      <c r="H35" s="346">
        <v>601018</v>
      </c>
      <c r="I35" s="1439">
        <v>-1375</v>
      </c>
      <c r="J35" s="363">
        <v>42</v>
      </c>
      <c r="K35" s="363">
        <v>0</v>
      </c>
      <c r="L35" s="363">
        <v>0</v>
      </c>
      <c r="M35" s="363">
        <v>0</v>
      </c>
      <c r="N35" s="363">
        <f t="shared" si="4"/>
        <v>42</v>
      </c>
      <c r="O35" s="363">
        <f t="shared" si="5"/>
        <v>-42</v>
      </c>
    </row>
    <row r="36" spans="1:18">
      <c r="A36" s="370">
        <v>601020</v>
      </c>
      <c r="B36" s="371" t="s">
        <v>736</v>
      </c>
      <c r="C36" s="362" t="s">
        <v>58</v>
      </c>
      <c r="E36" s="363">
        <f>-VLOOKUP(A36,'TB for financial'!A:F,6,0)</f>
        <v>0</v>
      </c>
      <c r="G36" s="363">
        <f>-VLOOKUP(A36,'TB for financial'!A:K,11,0)</f>
        <v>0</v>
      </c>
      <c r="H36" s="346" t="e">
        <v>#N/A</v>
      </c>
      <c r="I36" s="1439" t="e">
        <v>#N/A</v>
      </c>
      <c r="J36" s="363">
        <v>0</v>
      </c>
      <c r="K36" s="363">
        <v>0</v>
      </c>
      <c r="L36" s="363">
        <v>0</v>
      </c>
      <c r="M36" s="363">
        <v>0</v>
      </c>
      <c r="N36" s="363">
        <f t="shared" si="4"/>
        <v>0</v>
      </c>
      <c r="O36" s="363">
        <f t="shared" si="5"/>
        <v>0</v>
      </c>
    </row>
    <row r="37" spans="1:18">
      <c r="A37" s="360">
        <v>601090</v>
      </c>
      <c r="B37" s="361" t="str">
        <f>VLOOKUP(A37,'TB for financial'!A:B,2,0)</f>
        <v>Interco Rent - Income</v>
      </c>
      <c r="C37" s="362" t="s">
        <v>58</v>
      </c>
      <c r="E37" s="363">
        <f>-VLOOKUP(A37,'TB for financial'!A:F,6,0)</f>
        <v>0</v>
      </c>
      <c r="G37" s="363">
        <f>-VLOOKUP(A37,'TB for financial'!A:K,11,0)</f>
        <v>0</v>
      </c>
      <c r="H37" s="346">
        <v>601090</v>
      </c>
      <c r="I37" s="1439">
        <v>0</v>
      </c>
      <c r="J37" s="363">
        <v>0</v>
      </c>
      <c r="K37" s="363">
        <v>0</v>
      </c>
      <c r="L37" s="363">
        <v>0</v>
      </c>
      <c r="M37" s="363">
        <v>0</v>
      </c>
      <c r="N37" s="363">
        <f t="shared" si="4"/>
        <v>0</v>
      </c>
      <c r="O37" s="363">
        <f t="shared" si="5"/>
        <v>0</v>
      </c>
    </row>
    <row r="38" spans="1:18">
      <c r="A38" s="369">
        <v>601032</v>
      </c>
      <c r="B38" s="361" t="str">
        <f>VLOOKUP(A38,'TB for financial'!A:B,2,0)</f>
        <v>Interest income IC Dep (IndAS)</v>
      </c>
      <c r="C38" s="362" t="s">
        <v>58</v>
      </c>
      <c r="E38" s="363">
        <f>-VLOOKUP(A38,'TB for financial'!A:F,6,0)</f>
        <v>0</v>
      </c>
      <c r="G38" s="363">
        <f>-VLOOKUP(A38,'TB for financial'!A:K,11,0)</f>
        <v>0</v>
      </c>
      <c r="H38" s="346">
        <v>601032</v>
      </c>
      <c r="I38" s="1439">
        <v>0</v>
      </c>
      <c r="J38" s="363">
        <v>0</v>
      </c>
      <c r="K38" s="363">
        <v>0</v>
      </c>
      <c r="L38" s="363">
        <v>0</v>
      </c>
      <c r="M38" s="363">
        <v>0</v>
      </c>
      <c r="N38" s="363">
        <f t="shared" si="4"/>
        <v>0</v>
      </c>
      <c r="O38" s="363">
        <f t="shared" si="5"/>
        <v>0</v>
      </c>
      <c r="P38" s="347">
        <v>601032</v>
      </c>
      <c r="Q38" s="365"/>
      <c r="R38" s="365"/>
    </row>
    <row r="39" spans="1:18">
      <c r="A39" s="369">
        <v>601023</v>
      </c>
      <c r="B39" s="361" t="str">
        <f>VLOOKUP(A39,'TB for financial'!A:B,2,0)</f>
        <v>Interest Exp on Lease Liab</v>
      </c>
      <c r="C39" s="362" t="s">
        <v>2041</v>
      </c>
      <c r="E39" s="363">
        <f>-VLOOKUP(A39,'TB for financial'!A:F,6,0)</f>
        <v>0</v>
      </c>
      <c r="G39" s="363">
        <f>-VLOOKUP(A39,'TB for financial'!A:K,11,0)</f>
        <v>0</v>
      </c>
      <c r="H39" s="346">
        <v>601023</v>
      </c>
      <c r="I39" s="1439">
        <v>0</v>
      </c>
      <c r="J39" s="363"/>
      <c r="K39" s="363"/>
      <c r="L39" s="363"/>
      <c r="M39" s="363"/>
      <c r="N39" s="363"/>
      <c r="O39" s="363"/>
      <c r="Q39" s="365"/>
      <c r="R39" s="365"/>
    </row>
    <row r="40" spans="1:18">
      <c r="A40" s="1380">
        <v>704040</v>
      </c>
      <c r="B40" s="372" t="str">
        <f>VLOOKUP(A40,'TB for financial'!A:B,2,0)</f>
        <v>Interest income on Cash at Bank-Other</v>
      </c>
      <c r="C40" s="362" t="s">
        <v>58</v>
      </c>
      <c r="D40" s="354">
        <v>704040</v>
      </c>
      <c r="E40" s="1520">
        <f>-VLOOKUP(A40,'TB for financial'!A:F,6,0)</f>
        <v>-4094148.4700000007</v>
      </c>
      <c r="G40" s="363">
        <f>-VLOOKUP(A40,'TB for financial'!A:K,11,0)</f>
        <v>15878069.190000001</v>
      </c>
      <c r="H40" s="346">
        <v>704040</v>
      </c>
      <c r="I40" s="1439">
        <v>-13661469.51</v>
      </c>
      <c r="J40" s="363">
        <v>0</v>
      </c>
      <c r="K40" s="363">
        <v>0</v>
      </c>
      <c r="L40" s="363">
        <v>0</v>
      </c>
      <c r="M40" s="363">
        <v>0</v>
      </c>
      <c r="N40" s="363">
        <f>+J40+K40</f>
        <v>0</v>
      </c>
      <c r="O40" s="363">
        <f>+E40-N40</f>
        <v>-4094148.4700000007</v>
      </c>
    </row>
    <row r="41" spans="1:18">
      <c r="A41" s="1380">
        <v>704670</v>
      </c>
      <c r="B41" s="372" t="str">
        <f>VLOOKUP(A41,'TB for financial'!A:B,2,0)</f>
        <v>Other Financial Income</v>
      </c>
      <c r="C41" s="362" t="s">
        <v>58</v>
      </c>
      <c r="E41" s="363">
        <f>-VLOOKUP(A41,'TB for financial'!A:F,6,0)</f>
        <v>0</v>
      </c>
      <c r="G41" s="363">
        <f>-VLOOKUP(A41,'TB for financial'!A:K,11,0)</f>
        <v>20393931</v>
      </c>
      <c r="I41" s="1439"/>
      <c r="J41" s="363"/>
      <c r="K41" s="363"/>
      <c r="L41" s="363"/>
      <c r="M41" s="363"/>
      <c r="N41" s="363"/>
      <c r="O41" s="363"/>
    </row>
    <row r="42" spans="1:18">
      <c r="A42" s="1380">
        <v>762510</v>
      </c>
      <c r="B42" s="372" t="str">
        <f>VLOOKUP(A42,'TB for financial'!A:B,2,0)</f>
        <v>Int Income-Personal Loan</v>
      </c>
      <c r="C42" s="362" t="s">
        <v>58</v>
      </c>
      <c r="D42" s="354">
        <v>762510</v>
      </c>
      <c r="E42" s="1520">
        <f>-VLOOKUP(A42,'TB for financial'!A:F,6,0)</f>
        <v>6928</v>
      </c>
      <c r="G42" s="363">
        <f>-VLOOKUP(A42,'TB for financial'!A:K,11,0)</f>
        <v>5679</v>
      </c>
      <c r="H42" s="346">
        <v>762510</v>
      </c>
      <c r="I42" s="1439">
        <v>-2167</v>
      </c>
      <c r="J42" s="363">
        <v>0</v>
      </c>
      <c r="K42" s="363">
        <v>0</v>
      </c>
      <c r="L42" s="363">
        <v>0</v>
      </c>
      <c r="M42" s="363">
        <v>0</v>
      </c>
      <c r="N42" s="363">
        <f>+J42+K42</f>
        <v>0</v>
      </c>
      <c r="O42" s="363">
        <f>+E42-N42</f>
        <v>6928</v>
      </c>
    </row>
    <row r="43" spans="1:18">
      <c r="A43" s="1380">
        <v>762511</v>
      </c>
      <c r="B43" s="372" t="str">
        <f>VLOOKUP(A43,'TB for financial'!A:B,2,0)</f>
        <v>Interest Income-Deposits</v>
      </c>
      <c r="C43" s="362" t="s">
        <v>58</v>
      </c>
      <c r="D43" s="354">
        <v>762511</v>
      </c>
      <c r="E43" s="363">
        <f>-VLOOKUP(A43,'TB for financial'!A:F,6,0)</f>
        <v>217626.97443718018</v>
      </c>
      <c r="G43" s="363">
        <f>-VLOOKUP(A43,'TB for financial'!A:K,11,0)</f>
        <v>188322.99486725422</v>
      </c>
      <c r="H43" s="346">
        <v>762511</v>
      </c>
      <c r="I43" s="1439">
        <v>-304021.70008713601</v>
      </c>
      <c r="J43" s="363"/>
      <c r="K43" s="363"/>
      <c r="L43" s="363"/>
      <c r="M43" s="363"/>
      <c r="N43" s="363"/>
      <c r="O43" s="363"/>
    </row>
    <row r="44" spans="1:18">
      <c r="A44" s="1380">
        <v>664011</v>
      </c>
      <c r="B44" s="372" t="str">
        <f>VLOOKUP(A44,'TB for financial'!A:B,2,0)</f>
        <v>Financial interests on lease liability Real estate</v>
      </c>
      <c r="C44" s="362" t="s">
        <v>772</v>
      </c>
      <c r="D44" s="354">
        <v>664011</v>
      </c>
      <c r="E44" s="363">
        <f>VLOOKUP(A44,'TB for financial'!A:F,6,0)</f>
        <v>401655.69133099925</v>
      </c>
      <c r="G44" s="363">
        <f>VLOOKUP(A44,'TB for financial'!A:K,11,0)</f>
        <v>638521.57658624952</v>
      </c>
      <c r="H44" s="346">
        <v>664011</v>
      </c>
      <c r="I44" s="1439">
        <v>180595.33963317878</v>
      </c>
      <c r="J44" s="363"/>
      <c r="K44" s="363"/>
      <c r="L44" s="363"/>
      <c r="M44" s="363"/>
      <c r="N44" s="363"/>
      <c r="O44" s="363"/>
    </row>
    <row r="45" spans="1:18">
      <c r="A45" s="1380">
        <v>764501</v>
      </c>
      <c r="B45" s="372" t="s">
        <v>3029</v>
      </c>
      <c r="C45" s="362" t="s">
        <v>772</v>
      </c>
      <c r="E45" s="1520">
        <f>-VLOOKUP(A45,'TB for financial'!A:F,6,0)</f>
        <v>19689988.472602852</v>
      </c>
      <c r="G45" s="363"/>
      <c r="I45" s="1439"/>
      <c r="J45" s="363"/>
      <c r="K45" s="363"/>
      <c r="L45" s="363"/>
      <c r="M45" s="363"/>
      <c r="N45" s="363"/>
      <c r="O45" s="363"/>
    </row>
    <row r="46" spans="1:18" ht="5.0999999999999996" customHeight="1">
      <c r="A46" s="360"/>
      <c r="B46" s="361"/>
      <c r="C46" s="362"/>
      <c r="E46" s="363"/>
      <c r="G46" s="363"/>
      <c r="J46" s="363"/>
      <c r="K46" s="363"/>
      <c r="L46" s="363"/>
      <c r="M46" s="363"/>
      <c r="N46" s="363"/>
      <c r="O46" s="363"/>
    </row>
    <row r="47" spans="1:18" s="350" customFormat="1" ht="15" thickBot="1">
      <c r="A47" s="366"/>
      <c r="B47" s="368" t="s">
        <v>737</v>
      </c>
      <c r="C47" s="1627"/>
      <c r="D47" s="1628"/>
      <c r="E47" s="1630">
        <f>SUM(E26:E46)</f>
        <v>16222050.668371029</v>
      </c>
      <c r="F47" s="349"/>
      <c r="G47" s="367">
        <f>SUM(G26:G46)</f>
        <v>37104523.761453502</v>
      </c>
      <c r="H47" s="349"/>
      <c r="J47" s="367">
        <f t="shared" ref="J47:O47" si="6">SUM(J26:J46)</f>
        <v>6300636.6900000013</v>
      </c>
      <c r="K47" s="367">
        <f t="shared" si="6"/>
        <v>1497045.15</v>
      </c>
      <c r="L47" s="367">
        <f t="shared" si="6"/>
        <v>0</v>
      </c>
      <c r="M47" s="367">
        <f t="shared" si="6"/>
        <v>0</v>
      </c>
      <c r="N47" s="367">
        <f t="shared" si="6"/>
        <v>7797681.8400000008</v>
      </c>
      <c r="O47" s="367">
        <f t="shared" si="6"/>
        <v>-11884902.310000002</v>
      </c>
    </row>
    <row r="48" spans="1:18" ht="5.0999999999999996" customHeight="1" thickTop="1">
      <c r="A48" s="360"/>
      <c r="B48" s="361"/>
      <c r="C48" s="362"/>
      <c r="E48" s="363"/>
      <c r="G48" s="363"/>
      <c r="J48" s="363"/>
      <c r="K48" s="363"/>
      <c r="L48" s="363"/>
      <c r="M48" s="363"/>
      <c r="N48" s="363"/>
      <c r="O48" s="363"/>
    </row>
    <row r="49" spans="1:18">
      <c r="A49" s="360">
        <v>500010</v>
      </c>
      <c r="B49" s="361" t="str">
        <f>VLOOKUP(A49,'TB for financial'!A:B,2,0)</f>
        <v>Payroll - Corporate</v>
      </c>
      <c r="C49" s="362" t="s">
        <v>738</v>
      </c>
      <c r="E49" s="363">
        <f>VLOOKUP(A49,'TB for financial'!A:F,6,0)</f>
        <v>0</v>
      </c>
      <c r="G49" s="363">
        <f>VLOOKUP(A49,'TB for financial'!A:K,11,0)</f>
        <v>0</v>
      </c>
      <c r="H49" s="346">
        <v>500010</v>
      </c>
      <c r="I49" s="1439">
        <v>0</v>
      </c>
      <c r="J49" s="363">
        <v>0</v>
      </c>
      <c r="K49" s="363">
        <v>0</v>
      </c>
      <c r="L49" s="363">
        <v>0</v>
      </c>
      <c r="M49" s="363">
        <v>0</v>
      </c>
      <c r="N49" s="363">
        <f t="shared" ref="N49:N92" si="7">+J49+K49</f>
        <v>0</v>
      </c>
      <c r="O49" s="363">
        <f t="shared" ref="O49:O92" si="8">+E49-N49</f>
        <v>0</v>
      </c>
    </row>
    <row r="50" spans="1:18">
      <c r="A50" s="360">
        <v>500080</v>
      </c>
      <c r="B50" s="361" t="str">
        <f>VLOOKUP(A50,'TB for financial'!A:B,2,0)</f>
        <v>Payroll - Encash. of Earned Leave</v>
      </c>
      <c r="C50" s="362" t="s">
        <v>738</v>
      </c>
      <c r="D50" s="354">
        <v>500080</v>
      </c>
      <c r="E50" s="363">
        <f>VLOOKUP(A50,'TB for financial'!A:F,6,0)</f>
        <v>0</v>
      </c>
      <c r="G50" s="363">
        <f>VLOOKUP(A50,'TB for financial'!A:K,11,0)</f>
        <v>0</v>
      </c>
      <c r="H50" s="346">
        <v>500080</v>
      </c>
      <c r="I50" s="1439">
        <v>-62541</v>
      </c>
      <c r="J50" s="363">
        <v>-67537</v>
      </c>
      <c r="K50" s="363">
        <v>59754</v>
      </c>
      <c r="L50" s="363">
        <v>0</v>
      </c>
      <c r="M50" s="363">
        <v>0</v>
      </c>
      <c r="N50" s="363">
        <f t="shared" si="7"/>
        <v>-7783</v>
      </c>
      <c r="O50" s="363">
        <f t="shared" si="8"/>
        <v>7783</v>
      </c>
      <c r="P50" s="347">
        <v>500080</v>
      </c>
      <c r="Q50" s="365"/>
      <c r="R50" s="365"/>
    </row>
    <row r="51" spans="1:18">
      <c r="A51" s="360">
        <v>500015</v>
      </c>
      <c r="B51" s="361" t="str">
        <f>VLOOKUP(A51,'TB for financial'!A:B,2,0)</f>
        <v>Payroll - Consultants</v>
      </c>
      <c r="C51" s="362" t="s">
        <v>738</v>
      </c>
      <c r="E51" s="363">
        <f>VLOOKUP(A51,'TB for financial'!A:F,6,0)</f>
        <v>0</v>
      </c>
      <c r="G51" s="363">
        <f>VLOOKUP(A51,'TB for financial'!A:K,11,0)</f>
        <v>0</v>
      </c>
      <c r="H51" s="346" t="e">
        <v>#N/A</v>
      </c>
      <c r="I51" s="1439" t="e">
        <v>#N/A</v>
      </c>
      <c r="J51" s="363">
        <v>0</v>
      </c>
      <c r="K51" s="363">
        <v>0</v>
      </c>
      <c r="L51" s="363">
        <v>0</v>
      </c>
      <c r="M51" s="363">
        <v>0</v>
      </c>
      <c r="N51" s="363">
        <f t="shared" si="7"/>
        <v>0</v>
      </c>
      <c r="O51" s="363">
        <f t="shared" si="8"/>
        <v>0</v>
      </c>
    </row>
    <row r="52" spans="1:18">
      <c r="A52" s="360">
        <v>500020</v>
      </c>
      <c r="B52" s="361" t="str">
        <f>VLOOKUP(A52,'TB for financial'!A:B,2,0)</f>
        <v>City Allowance</v>
      </c>
      <c r="C52" s="362" t="s">
        <v>738</v>
      </c>
      <c r="E52" s="363">
        <f>VLOOKUP(A52,'TB for financial'!A:F,6,0)</f>
        <v>0</v>
      </c>
      <c r="G52" s="363">
        <f>VLOOKUP(A52,'TB for financial'!A:K,11,0)</f>
        <v>0</v>
      </c>
      <c r="H52" s="346" t="e">
        <v>#N/A</v>
      </c>
      <c r="I52" s="1439" t="e">
        <v>#N/A</v>
      </c>
      <c r="J52" s="363">
        <v>0</v>
      </c>
      <c r="K52" s="363">
        <v>0</v>
      </c>
      <c r="L52" s="363">
        <v>0</v>
      </c>
      <c r="M52" s="363">
        <v>0</v>
      </c>
      <c r="N52" s="363">
        <f t="shared" si="7"/>
        <v>0</v>
      </c>
      <c r="O52" s="363">
        <f t="shared" si="8"/>
        <v>0</v>
      </c>
    </row>
    <row r="53" spans="1:18">
      <c r="A53" s="360">
        <v>500025</v>
      </c>
      <c r="B53" s="361" t="str">
        <f>VLOOKUP(A53,'TB for financial'!A:B,2,0)</f>
        <v>Payroll - Vacation</v>
      </c>
      <c r="C53" s="362" t="s">
        <v>738</v>
      </c>
      <c r="E53" s="363">
        <f>VLOOKUP(A53,'TB for financial'!A:F,6,0)</f>
        <v>0</v>
      </c>
      <c r="G53" s="363">
        <f>VLOOKUP(A53,'TB for financial'!A:K,11,0)</f>
        <v>0</v>
      </c>
      <c r="H53" s="346" t="e">
        <v>#N/A</v>
      </c>
      <c r="I53" s="1439" t="e">
        <v>#N/A</v>
      </c>
      <c r="J53" s="363">
        <v>0</v>
      </c>
      <c r="K53" s="363">
        <v>0</v>
      </c>
      <c r="L53" s="363">
        <v>0</v>
      </c>
      <c r="M53" s="363">
        <v>0</v>
      </c>
      <c r="N53" s="363">
        <f t="shared" si="7"/>
        <v>0</v>
      </c>
      <c r="O53" s="363">
        <f t="shared" si="8"/>
        <v>0</v>
      </c>
    </row>
    <row r="54" spans="1:18">
      <c r="A54" s="360">
        <v>500026</v>
      </c>
      <c r="B54" s="361" t="str">
        <f>VLOOKUP(A54,'TB for financial'!A:B,2,0)</f>
        <v>Payroll - Cost Deferral</v>
      </c>
      <c r="C54" s="362" t="s">
        <v>738</v>
      </c>
      <c r="E54" s="363">
        <f>VLOOKUP(A54,'TB for financial'!A:F,6,0)</f>
        <v>0</v>
      </c>
      <c r="G54" s="363">
        <f>VLOOKUP(A54,'TB for financial'!A:K,11,0)</f>
        <v>0</v>
      </c>
      <c r="H54" s="346">
        <v>500026</v>
      </c>
      <c r="I54" s="1439">
        <v>0</v>
      </c>
      <c r="J54" s="363">
        <v>0</v>
      </c>
      <c r="K54" s="363">
        <v>0</v>
      </c>
      <c r="L54" s="363">
        <v>0</v>
      </c>
      <c r="M54" s="363">
        <v>0</v>
      </c>
      <c r="N54" s="363">
        <f t="shared" si="7"/>
        <v>0</v>
      </c>
      <c r="O54" s="363">
        <f t="shared" si="8"/>
        <v>0</v>
      </c>
    </row>
    <row r="55" spans="1:18">
      <c r="A55" s="360">
        <v>500030</v>
      </c>
      <c r="B55" s="361" t="str">
        <f>VLOOKUP(A55,'TB for financial'!A:B,2,0)</f>
        <v>Payroll - Retro Payments</v>
      </c>
      <c r="C55" s="362" t="s">
        <v>738</v>
      </c>
      <c r="E55" s="363">
        <f>VLOOKUP(A55,'TB for financial'!A:F,6,0)</f>
        <v>0</v>
      </c>
      <c r="G55" s="363">
        <f>VLOOKUP(A55,'TB for financial'!A:K,11,0)</f>
        <v>0</v>
      </c>
      <c r="H55" s="346" t="e">
        <v>#N/A</v>
      </c>
      <c r="I55" s="1439" t="e">
        <v>#N/A</v>
      </c>
      <c r="J55" s="363">
        <v>0</v>
      </c>
      <c r="K55" s="363">
        <v>0</v>
      </c>
      <c r="L55" s="363">
        <v>0</v>
      </c>
      <c r="M55" s="363">
        <v>0</v>
      </c>
      <c r="N55" s="363">
        <f t="shared" si="7"/>
        <v>0</v>
      </c>
      <c r="O55" s="363">
        <f t="shared" si="8"/>
        <v>0</v>
      </c>
    </row>
    <row r="56" spans="1:18">
      <c r="A56" s="360">
        <v>500035</v>
      </c>
      <c r="B56" s="361" t="str">
        <f>VLOOKUP(A56,'TB for financial'!A:B,2,0)</f>
        <v>Payroll - Restricted Stock</v>
      </c>
      <c r="C56" s="362" t="s">
        <v>738</v>
      </c>
      <c r="E56" s="363">
        <f>VLOOKUP(A56,'TB for financial'!A:F,6,0)</f>
        <v>0</v>
      </c>
      <c r="G56" s="363">
        <f>VLOOKUP(A56,'TB for financial'!A:K,11,0)</f>
        <v>0</v>
      </c>
      <c r="H56" s="346" t="e">
        <v>#N/A</v>
      </c>
      <c r="I56" s="1439" t="e">
        <v>#N/A</v>
      </c>
      <c r="J56" s="363">
        <v>0</v>
      </c>
      <c r="K56" s="363">
        <v>0</v>
      </c>
      <c r="L56" s="363">
        <v>0</v>
      </c>
      <c r="M56" s="363">
        <v>0</v>
      </c>
      <c r="N56" s="363">
        <f t="shared" si="7"/>
        <v>0</v>
      </c>
      <c r="O56" s="363">
        <f t="shared" si="8"/>
        <v>0</v>
      </c>
    </row>
    <row r="57" spans="1:18">
      <c r="A57" s="360">
        <v>500036</v>
      </c>
      <c r="B57" s="361" t="str">
        <f>VLOOKUP(A57,'TB for financial'!A:B,2,0)</f>
        <v>FAS 123R expenses</v>
      </c>
      <c r="C57" s="362" t="s">
        <v>738</v>
      </c>
      <c r="E57" s="363">
        <f>VLOOKUP(A57,'TB for financial'!A:F,6,0)</f>
        <v>0</v>
      </c>
      <c r="G57" s="363">
        <f>VLOOKUP(A57,'TB for financial'!A:K,11,0)</f>
        <v>0</v>
      </c>
      <c r="H57" s="346" t="e">
        <v>#N/A</v>
      </c>
      <c r="I57" s="1439" t="e">
        <v>#N/A</v>
      </c>
      <c r="J57" s="363">
        <v>0</v>
      </c>
      <c r="K57" s="363">
        <v>0</v>
      </c>
      <c r="L57" s="363">
        <v>0</v>
      </c>
      <c r="M57" s="363">
        <v>0</v>
      </c>
      <c r="N57" s="363">
        <f t="shared" si="7"/>
        <v>0</v>
      </c>
      <c r="O57" s="363">
        <f t="shared" si="8"/>
        <v>0</v>
      </c>
    </row>
    <row r="58" spans="1:18">
      <c r="A58" s="360">
        <v>500040</v>
      </c>
      <c r="B58" s="361" t="str">
        <f>VLOOKUP(A58,'TB for financial'!A:B,2,0)</f>
        <v>Payroll - Overtime</v>
      </c>
      <c r="C58" s="362" t="s">
        <v>738</v>
      </c>
      <c r="E58" s="363">
        <f>VLOOKUP(A58,'TB for financial'!A:F,6,0)</f>
        <v>0</v>
      </c>
      <c r="G58" s="363">
        <f>VLOOKUP(A58,'TB for financial'!A:K,11,0)</f>
        <v>0</v>
      </c>
      <c r="H58" s="346" t="e">
        <v>#N/A</v>
      </c>
      <c r="I58" s="1439" t="e">
        <v>#N/A</v>
      </c>
      <c r="J58" s="363">
        <v>0</v>
      </c>
      <c r="K58" s="363">
        <v>0</v>
      </c>
      <c r="L58" s="363">
        <v>0</v>
      </c>
      <c r="M58" s="363">
        <v>0</v>
      </c>
      <c r="N58" s="363">
        <f t="shared" si="7"/>
        <v>0</v>
      </c>
      <c r="O58" s="363">
        <f t="shared" si="8"/>
        <v>0</v>
      </c>
    </row>
    <row r="59" spans="1:18">
      <c r="A59" s="360">
        <v>500060</v>
      </c>
      <c r="B59" s="361" t="str">
        <f>VLOOKUP(A59,'TB for financial'!A:B,2,0)</f>
        <v>Payroll - Misc Bonuses</v>
      </c>
      <c r="C59" s="362" t="s">
        <v>738</v>
      </c>
      <c r="E59" s="363">
        <f>VLOOKUP(A59,'TB for financial'!A:F,6,0)</f>
        <v>0</v>
      </c>
      <c r="G59" s="363">
        <f>VLOOKUP(A59,'TB for financial'!A:K,11,0)</f>
        <v>0</v>
      </c>
      <c r="H59" s="346">
        <v>500060</v>
      </c>
      <c r="I59" s="1439">
        <v>0</v>
      </c>
      <c r="J59" s="363">
        <v>0</v>
      </c>
      <c r="K59" s="363">
        <v>0</v>
      </c>
      <c r="L59" s="363">
        <v>0</v>
      </c>
      <c r="M59" s="363">
        <v>0</v>
      </c>
      <c r="N59" s="363">
        <f t="shared" si="7"/>
        <v>0</v>
      </c>
      <c r="O59" s="363">
        <f t="shared" si="8"/>
        <v>0</v>
      </c>
    </row>
    <row r="60" spans="1:18">
      <c r="A60" s="360">
        <v>500065</v>
      </c>
      <c r="B60" s="361" t="str">
        <f>VLOOKUP(A60,'TB for financial'!A:B,2,0)</f>
        <v>Payroll - Management Bonuses</v>
      </c>
      <c r="C60" s="362" t="s">
        <v>738</v>
      </c>
      <c r="E60" s="363">
        <f>VLOOKUP(A60,'TB for financial'!A:F,6,0)</f>
        <v>0</v>
      </c>
      <c r="G60" s="363">
        <f>VLOOKUP(A60,'TB for financial'!A:K,11,0)</f>
        <v>0</v>
      </c>
      <c r="H60" s="346" t="e">
        <v>#N/A</v>
      </c>
      <c r="I60" s="1439" t="e">
        <v>#N/A</v>
      </c>
      <c r="J60" s="363">
        <v>0</v>
      </c>
      <c r="K60" s="363">
        <v>0</v>
      </c>
      <c r="L60" s="363">
        <v>0</v>
      </c>
      <c r="M60" s="363">
        <v>0</v>
      </c>
      <c r="N60" s="363">
        <f t="shared" si="7"/>
        <v>0</v>
      </c>
      <c r="O60" s="363">
        <f t="shared" si="8"/>
        <v>0</v>
      </c>
    </row>
    <row r="61" spans="1:18">
      <c r="A61" s="360">
        <v>500077</v>
      </c>
      <c r="B61" s="361" t="str">
        <f>VLOOKUP(A61,'TB for financial'!A:B,2,0)</f>
        <v>Payroll - Recovered</v>
      </c>
      <c r="C61" s="362" t="s">
        <v>738</v>
      </c>
      <c r="E61" s="363">
        <f>VLOOKUP(A61,'TB for financial'!A:F,6,0)</f>
        <v>0</v>
      </c>
      <c r="G61" s="363">
        <f>VLOOKUP(A61,'TB for financial'!A:K,11,0)</f>
        <v>0</v>
      </c>
      <c r="H61" s="346" t="e">
        <v>#N/A</v>
      </c>
      <c r="I61" s="1439" t="e">
        <v>#N/A</v>
      </c>
      <c r="J61" s="363">
        <v>0</v>
      </c>
      <c r="K61" s="363">
        <v>0</v>
      </c>
      <c r="L61" s="363">
        <v>0</v>
      </c>
      <c r="M61" s="363">
        <v>0</v>
      </c>
      <c r="N61" s="363">
        <f t="shared" si="7"/>
        <v>0</v>
      </c>
      <c r="O61" s="363">
        <f t="shared" si="8"/>
        <v>0</v>
      </c>
    </row>
    <row r="62" spans="1:18">
      <c r="A62" s="360">
        <v>500078</v>
      </c>
      <c r="B62" s="361" t="str">
        <f>VLOOKUP(A62,'TB for financial'!A:B,2,0)</f>
        <v>Payroll - Notice Period Reimb.</v>
      </c>
      <c r="C62" s="362" t="s">
        <v>738</v>
      </c>
      <c r="E62" s="363">
        <f>VLOOKUP(A62,'TB for financial'!A:F,6,0)</f>
        <v>0</v>
      </c>
      <c r="G62" s="363">
        <f>VLOOKUP(A62,'TB for financial'!A:K,11,0)</f>
        <v>0</v>
      </c>
      <c r="H62" s="346">
        <v>500078</v>
      </c>
      <c r="I62" s="1439">
        <v>0</v>
      </c>
      <c r="J62" s="363">
        <v>0</v>
      </c>
      <c r="K62" s="363">
        <v>0</v>
      </c>
      <c r="L62" s="363">
        <v>0</v>
      </c>
      <c r="M62" s="363">
        <v>0</v>
      </c>
      <c r="N62" s="363">
        <f t="shared" si="7"/>
        <v>0</v>
      </c>
      <c r="O62" s="363">
        <f t="shared" si="8"/>
        <v>0</v>
      </c>
    </row>
    <row r="63" spans="1:18">
      <c r="A63" s="360">
        <v>500079</v>
      </c>
      <c r="B63" s="361" t="str">
        <f>VLOOKUP(A63,'TB for financial'!A:B,2,0)</f>
        <v>Payroll - Notice Pay Recovery</v>
      </c>
      <c r="C63" s="362" t="s">
        <v>738</v>
      </c>
      <c r="E63" s="363">
        <f>VLOOKUP(A63,'TB for financial'!A:F,6,0)</f>
        <v>0</v>
      </c>
      <c r="G63" s="363">
        <f>VLOOKUP(A63,'TB for financial'!A:K,11,0)</f>
        <v>0</v>
      </c>
      <c r="H63" s="346">
        <v>500079</v>
      </c>
      <c r="I63" s="1439">
        <v>0</v>
      </c>
      <c r="J63" s="363">
        <v>0</v>
      </c>
      <c r="K63" s="363">
        <v>0</v>
      </c>
      <c r="L63" s="363">
        <v>0</v>
      </c>
      <c r="M63" s="363">
        <v>0</v>
      </c>
      <c r="N63" s="363">
        <f t="shared" si="7"/>
        <v>0</v>
      </c>
      <c r="O63" s="363">
        <f t="shared" si="8"/>
        <v>0</v>
      </c>
      <c r="P63" s="347">
        <v>500079</v>
      </c>
      <c r="Q63" s="365" t="s">
        <v>1811</v>
      </c>
      <c r="R63" s="365" t="e">
        <f>+E63-Q63</f>
        <v>#VALUE!</v>
      </c>
    </row>
    <row r="64" spans="1:18">
      <c r="A64" s="360">
        <v>500081</v>
      </c>
      <c r="B64" s="361" t="str">
        <f>VLOOKUP(A64,'TB for financial'!A:B,2,0)</f>
        <v>Payroll - Gratuity</v>
      </c>
      <c r="C64" s="362" t="s">
        <v>738</v>
      </c>
      <c r="D64" s="354">
        <v>500081</v>
      </c>
      <c r="E64" s="363">
        <f>VLOOKUP(A64,'TB for financial'!A:F,6,0)</f>
        <v>0</v>
      </c>
      <c r="G64" s="363">
        <f>VLOOKUP(A64,'TB for financial'!A:K,11,0)</f>
        <v>0</v>
      </c>
      <c r="H64" s="346">
        <v>500081</v>
      </c>
      <c r="I64" s="1439">
        <v>348503.65999999992</v>
      </c>
      <c r="J64" s="363">
        <v>380564</v>
      </c>
      <c r="K64" s="363">
        <v>111858</v>
      </c>
      <c r="L64" s="363">
        <v>0</v>
      </c>
      <c r="M64" s="363">
        <v>0</v>
      </c>
      <c r="N64" s="363">
        <f t="shared" si="7"/>
        <v>492422</v>
      </c>
      <c r="O64" s="363">
        <f t="shared" si="8"/>
        <v>-492422</v>
      </c>
      <c r="P64" s="347">
        <v>500081</v>
      </c>
      <c r="Q64" s="365"/>
      <c r="R64" s="365"/>
    </row>
    <row r="65" spans="1:18">
      <c r="A65" s="360">
        <v>500082</v>
      </c>
      <c r="B65" s="361" t="str">
        <f>VLOOKUP(A65,'TB for financial'!A:B,2,0)</f>
        <v>Payroll - P.F. Allowance</v>
      </c>
      <c r="C65" s="362" t="s">
        <v>738</v>
      </c>
      <c r="E65" s="363">
        <f>VLOOKUP(A65,'TB for financial'!A:F,6,0)</f>
        <v>0</v>
      </c>
      <c r="G65" s="363">
        <f>VLOOKUP(A65,'TB for financial'!A:K,11,0)</f>
        <v>0</v>
      </c>
      <c r="H65" s="346" t="e">
        <v>#N/A</v>
      </c>
      <c r="I65" s="1439" t="e">
        <v>#N/A</v>
      </c>
      <c r="J65" s="363">
        <v>0</v>
      </c>
      <c r="K65" s="363">
        <v>0</v>
      </c>
      <c r="L65" s="363">
        <v>0</v>
      </c>
      <c r="M65" s="363">
        <v>0</v>
      </c>
      <c r="N65" s="363">
        <f t="shared" si="7"/>
        <v>0</v>
      </c>
      <c r="O65" s="363">
        <f t="shared" si="8"/>
        <v>0</v>
      </c>
    </row>
    <row r="66" spans="1:18">
      <c r="A66" s="360">
        <v>500083</v>
      </c>
      <c r="B66" s="361" t="str">
        <f>VLOOKUP(A66,'TB for financial'!A:B,2,0)</f>
        <v>Payroll - Salary &amp; Allowances</v>
      </c>
      <c r="C66" s="362" t="s">
        <v>738</v>
      </c>
      <c r="D66" s="354">
        <v>500083</v>
      </c>
      <c r="E66" s="363">
        <f>VLOOKUP(A66,'TB for financial'!A:F,6,0)</f>
        <v>0</v>
      </c>
      <c r="G66" s="363">
        <f>VLOOKUP(A66,'TB for financial'!A:K,11,0)</f>
        <v>0</v>
      </c>
      <c r="H66" s="346">
        <v>500083</v>
      </c>
      <c r="I66" s="1439">
        <v>5348214</v>
      </c>
      <c r="J66" s="363">
        <v>6232827</v>
      </c>
      <c r="K66" s="363">
        <v>2478224</v>
      </c>
      <c r="L66" s="363">
        <v>0</v>
      </c>
      <c r="M66" s="363">
        <v>0</v>
      </c>
      <c r="N66" s="363">
        <f t="shared" si="7"/>
        <v>8711051</v>
      </c>
      <c r="O66" s="363">
        <f t="shared" si="8"/>
        <v>-8711051</v>
      </c>
      <c r="P66" s="347">
        <v>500083</v>
      </c>
      <c r="Q66" s="365" t="e">
        <v>#N/A</v>
      </c>
      <c r="R66" s="365" t="e">
        <f>+E66-Q66</f>
        <v>#N/A</v>
      </c>
    </row>
    <row r="67" spans="1:18">
      <c r="A67" s="360">
        <v>500084</v>
      </c>
      <c r="B67" s="361" t="str">
        <f>VLOOKUP(A67,'TB for financial'!A:B,2,0)</f>
        <v>Payroll - Med. &amp; Trans. Allow.</v>
      </c>
      <c r="C67" s="362" t="s">
        <v>738</v>
      </c>
      <c r="E67" s="363">
        <f>VLOOKUP(A67,'TB for financial'!A:F,6,0)</f>
        <v>0</v>
      </c>
      <c r="G67" s="363">
        <f>VLOOKUP(A67,'TB for financial'!A:K,11,0)</f>
        <v>0</v>
      </c>
      <c r="H67" s="346">
        <v>500084</v>
      </c>
      <c r="I67" s="1439">
        <v>0</v>
      </c>
      <c r="J67" s="363">
        <v>-36</v>
      </c>
      <c r="K67" s="363">
        <v>0</v>
      </c>
      <c r="L67" s="363">
        <v>0</v>
      </c>
      <c r="M67" s="363">
        <v>0</v>
      </c>
      <c r="N67" s="363">
        <f t="shared" si="7"/>
        <v>-36</v>
      </c>
      <c r="O67" s="363">
        <f t="shared" si="8"/>
        <v>36</v>
      </c>
      <c r="P67" s="347">
        <v>500084</v>
      </c>
      <c r="Q67" s="365" t="e">
        <v>#N/A</v>
      </c>
      <c r="R67" s="365" t="e">
        <f>+E67-Q67</f>
        <v>#N/A</v>
      </c>
    </row>
    <row r="68" spans="1:18">
      <c r="A68" s="360">
        <v>500085</v>
      </c>
      <c r="B68" s="361" t="str">
        <f>VLOOKUP(A68,'TB for financial'!A:B,2,0)</f>
        <v>Payroll - Special Allowance</v>
      </c>
      <c r="C68" s="362" t="s">
        <v>738</v>
      </c>
      <c r="E68" s="363">
        <f>VLOOKUP(A68,'TB for financial'!A:F,6,0)</f>
        <v>0</v>
      </c>
      <c r="G68" s="363">
        <f>VLOOKUP(A68,'TB for financial'!A:K,11,0)</f>
        <v>0</v>
      </c>
      <c r="H68" s="346" t="e">
        <v>#N/A</v>
      </c>
      <c r="I68" s="1439" t="e">
        <v>#N/A</v>
      </c>
      <c r="J68" s="363">
        <v>0</v>
      </c>
      <c r="K68" s="363">
        <v>0</v>
      </c>
      <c r="L68" s="363">
        <v>0</v>
      </c>
      <c r="M68" s="363">
        <v>0</v>
      </c>
      <c r="N68" s="363">
        <f t="shared" si="7"/>
        <v>0</v>
      </c>
      <c r="O68" s="363">
        <f t="shared" si="8"/>
        <v>0</v>
      </c>
    </row>
    <row r="69" spans="1:18">
      <c r="A69" s="360">
        <v>500086</v>
      </c>
      <c r="B69" s="361" t="str">
        <f>VLOOKUP(A69,'TB for financial'!A:B,2,0)</f>
        <v>Payroll - House Rent Allowance</v>
      </c>
      <c r="C69" s="362" t="s">
        <v>738</v>
      </c>
      <c r="E69" s="363">
        <f>VLOOKUP(A69,'TB for financial'!A:F,6,0)</f>
        <v>0</v>
      </c>
      <c r="G69" s="363">
        <f>VLOOKUP(A69,'TB for financial'!A:K,11,0)</f>
        <v>0</v>
      </c>
      <c r="H69" s="346" t="e">
        <v>#N/A</v>
      </c>
      <c r="I69" s="1439" t="e">
        <v>#N/A</v>
      </c>
      <c r="J69" s="363">
        <v>0</v>
      </c>
      <c r="K69" s="363">
        <v>0</v>
      </c>
      <c r="L69" s="363">
        <v>0</v>
      </c>
      <c r="M69" s="363">
        <v>0</v>
      </c>
      <c r="N69" s="363">
        <f t="shared" si="7"/>
        <v>0</v>
      </c>
      <c r="O69" s="363">
        <f t="shared" si="8"/>
        <v>0</v>
      </c>
    </row>
    <row r="70" spans="1:18">
      <c r="A70" s="360">
        <v>500087</v>
      </c>
      <c r="B70" s="361" t="str">
        <f>VLOOKUP(A70,'TB for financial'!A:B,2,0)</f>
        <v>Payroll - Incentives</v>
      </c>
      <c r="C70" s="362" t="s">
        <v>738</v>
      </c>
      <c r="D70" s="354">
        <v>500087</v>
      </c>
      <c r="E70" s="363">
        <f>VLOOKUP(A70,'TB for financial'!A:F,6,0)</f>
        <v>0</v>
      </c>
      <c r="G70" s="363">
        <f>VLOOKUP(A70,'TB for financial'!A:K,11,0)</f>
        <v>0</v>
      </c>
      <c r="H70" s="346">
        <v>500087</v>
      </c>
      <c r="I70" s="1439">
        <v>631955</v>
      </c>
      <c r="J70" s="363">
        <v>187259</v>
      </c>
      <c r="K70" s="363">
        <v>-20038</v>
      </c>
      <c r="L70" s="363">
        <v>0</v>
      </c>
      <c r="M70" s="363">
        <v>0</v>
      </c>
      <c r="N70" s="363">
        <f t="shared" si="7"/>
        <v>167221</v>
      </c>
      <c r="O70" s="363">
        <f t="shared" si="8"/>
        <v>-167221</v>
      </c>
      <c r="P70" s="347">
        <v>500087</v>
      </c>
      <c r="Q70" s="365" t="e">
        <v>#N/A</v>
      </c>
      <c r="R70" s="365" t="e">
        <f>+E70-Q70</f>
        <v>#N/A</v>
      </c>
    </row>
    <row r="71" spans="1:18">
      <c r="A71" s="360">
        <v>500088</v>
      </c>
      <c r="B71" s="361" t="str">
        <f>VLOOKUP(A71,'TB for financial'!A:B,2,0)</f>
        <v>Payroll - Leave Travel Allowance</v>
      </c>
      <c r="C71" s="362" t="s">
        <v>738</v>
      </c>
      <c r="D71" s="354">
        <v>500088</v>
      </c>
      <c r="E71" s="363">
        <f>VLOOKUP(A71,'TB for financial'!A:F,6,0)</f>
        <v>0</v>
      </c>
      <c r="G71" s="363">
        <f>VLOOKUP(A71,'TB for financial'!A:K,11,0)</f>
        <v>0</v>
      </c>
      <c r="H71" s="346">
        <v>500088</v>
      </c>
      <c r="I71" s="1439">
        <v>4</v>
      </c>
      <c r="J71" s="363">
        <v>-157.51000000000204</v>
      </c>
      <c r="K71" s="363">
        <v>0</v>
      </c>
      <c r="L71" s="363">
        <v>0</v>
      </c>
      <c r="M71" s="363">
        <v>0</v>
      </c>
      <c r="N71" s="363">
        <f t="shared" si="7"/>
        <v>-157.51000000000204</v>
      </c>
      <c r="O71" s="363">
        <f t="shared" si="8"/>
        <v>157.51000000000204</v>
      </c>
      <c r="P71" s="347">
        <v>500088</v>
      </c>
      <c r="Q71" s="365" t="e">
        <v>#N/A</v>
      </c>
      <c r="R71" s="365" t="e">
        <f>+E71-Q71</f>
        <v>#N/A</v>
      </c>
    </row>
    <row r="72" spans="1:18">
      <c r="A72" s="360">
        <v>500090</v>
      </c>
      <c r="B72" s="361" t="str">
        <f>VLOOKUP(A72,'TB for financial'!A:B,2,0)</f>
        <v>Payroll - Other Payments</v>
      </c>
      <c r="C72" s="362" t="s">
        <v>738</v>
      </c>
      <c r="D72" s="354">
        <v>500090</v>
      </c>
      <c r="E72" s="363">
        <f>VLOOKUP(A72,'TB for financial'!A:F,6,0)</f>
        <v>0</v>
      </c>
      <c r="G72" s="363">
        <f>VLOOKUP(A72,'TB for financial'!A:K,11,0)</f>
        <v>0</v>
      </c>
      <c r="H72" s="346">
        <v>500090</v>
      </c>
      <c r="I72" s="1439">
        <v>59350</v>
      </c>
      <c r="J72" s="363">
        <v>73574</v>
      </c>
      <c r="K72" s="363">
        <v>34433</v>
      </c>
      <c r="L72" s="363">
        <v>0</v>
      </c>
      <c r="M72" s="363">
        <v>0</v>
      </c>
      <c r="N72" s="363">
        <f t="shared" si="7"/>
        <v>108007</v>
      </c>
      <c r="O72" s="363">
        <f t="shared" si="8"/>
        <v>-108007</v>
      </c>
      <c r="P72" s="347">
        <v>500090</v>
      </c>
      <c r="Q72" s="365" t="s">
        <v>1811</v>
      </c>
      <c r="R72" s="365" t="e">
        <f>+E72-Q72</f>
        <v>#VALUE!</v>
      </c>
    </row>
    <row r="73" spans="1:18">
      <c r="A73" s="360">
        <v>500091</v>
      </c>
      <c r="B73" s="361" t="str">
        <f>VLOOKUP(A73,'TB for financial'!A:B,2,0)</f>
        <v>Payroll - Technical Allowances</v>
      </c>
      <c r="C73" s="362" t="s">
        <v>738</v>
      </c>
      <c r="E73" s="363">
        <f>VLOOKUP(A73,'TB for financial'!A:F,6,0)</f>
        <v>0</v>
      </c>
      <c r="G73" s="363">
        <f>VLOOKUP(A73,'TB for financial'!A:K,11,0)</f>
        <v>0</v>
      </c>
      <c r="H73" s="346" t="e">
        <v>#N/A</v>
      </c>
      <c r="I73" s="1439" t="e">
        <v>#N/A</v>
      </c>
      <c r="J73" s="363">
        <v>0</v>
      </c>
      <c r="K73" s="363">
        <v>0</v>
      </c>
      <c r="L73" s="363">
        <v>0</v>
      </c>
      <c r="M73" s="363">
        <v>0</v>
      </c>
      <c r="N73" s="363">
        <f t="shared" si="7"/>
        <v>0</v>
      </c>
      <c r="O73" s="363">
        <f t="shared" si="8"/>
        <v>0</v>
      </c>
    </row>
    <row r="74" spans="1:18">
      <c r="A74" s="360">
        <v>500092</v>
      </c>
      <c r="B74" s="361" t="str">
        <f>VLOOKUP(A74,'TB for financial'!A:B,2,0)</f>
        <v>Payroll - Bond Recovery</v>
      </c>
      <c r="C74" s="362" t="s">
        <v>738</v>
      </c>
      <c r="E74" s="363">
        <f>VLOOKUP(A74,'TB for financial'!A:F,6,0)</f>
        <v>0</v>
      </c>
      <c r="G74" s="363">
        <f>VLOOKUP(A74,'TB for financial'!A:K,11,0)</f>
        <v>0</v>
      </c>
      <c r="H74" s="346">
        <v>500092</v>
      </c>
      <c r="I74" s="1439">
        <v>0</v>
      </c>
      <c r="J74" s="363">
        <v>0</v>
      </c>
      <c r="K74" s="363">
        <v>0</v>
      </c>
      <c r="L74" s="363">
        <v>0</v>
      </c>
      <c r="M74" s="363">
        <v>0</v>
      </c>
      <c r="N74" s="363">
        <f t="shared" si="7"/>
        <v>0</v>
      </c>
      <c r="O74" s="363">
        <f t="shared" si="8"/>
        <v>0</v>
      </c>
      <c r="P74" s="347">
        <v>500092</v>
      </c>
      <c r="Q74" s="365" t="s">
        <v>1811</v>
      </c>
      <c r="R74" s="365" t="e">
        <f>+E74-Q74</f>
        <v>#VALUE!</v>
      </c>
    </row>
    <row r="75" spans="1:18">
      <c r="A75" s="360">
        <v>500093</v>
      </c>
      <c r="B75" s="361" t="str">
        <f>VLOOKUP(A75,'TB for financial'!A:B,2,0)</f>
        <v>Payroll - Transport A</v>
      </c>
      <c r="C75" s="362" t="s">
        <v>738</v>
      </c>
      <c r="E75" s="363">
        <f>VLOOKUP(A75,'TB for financial'!A:F,6,0)</f>
        <v>0</v>
      </c>
      <c r="G75" s="363">
        <f>VLOOKUP(A75,'TB for financial'!A:K,11,0)</f>
        <v>0</v>
      </c>
      <c r="H75" s="346">
        <v>500093</v>
      </c>
      <c r="I75" s="1439">
        <v>0</v>
      </c>
      <c r="J75" s="363">
        <v>-47</v>
      </c>
      <c r="K75" s="363">
        <v>0</v>
      </c>
      <c r="L75" s="363">
        <v>0</v>
      </c>
      <c r="M75" s="363">
        <v>0</v>
      </c>
      <c r="N75" s="363">
        <f t="shared" si="7"/>
        <v>-47</v>
      </c>
      <c r="O75" s="363">
        <f t="shared" si="8"/>
        <v>47</v>
      </c>
      <c r="P75" s="347">
        <v>500093</v>
      </c>
      <c r="Q75" s="365" t="e">
        <v>#N/A</v>
      </c>
      <c r="R75" s="365" t="e">
        <f>+E75-Q75</f>
        <v>#N/A</v>
      </c>
    </row>
    <row r="76" spans="1:18">
      <c r="A76" s="360">
        <v>500094</v>
      </c>
      <c r="B76" s="361" t="str">
        <f>VLOOKUP(A76,'TB for financial'!A:B,2,0)</f>
        <v>Payroll - Meal Alloawnce</v>
      </c>
      <c r="C76" s="362" t="s">
        <v>738</v>
      </c>
      <c r="D76" s="354">
        <v>500094</v>
      </c>
      <c r="E76" s="363">
        <f>VLOOKUP(A76,'TB for financial'!A:F,6,0)</f>
        <v>0</v>
      </c>
      <c r="G76" s="363">
        <f>VLOOKUP(A76,'TB for financial'!A:K,11,0)</f>
        <v>0</v>
      </c>
      <c r="H76" s="346">
        <v>500094</v>
      </c>
      <c r="I76" s="1439">
        <v>19800</v>
      </c>
      <c r="J76" s="363">
        <v>15356</v>
      </c>
      <c r="K76" s="363">
        <v>3300</v>
      </c>
      <c r="L76" s="363">
        <v>0</v>
      </c>
      <c r="M76" s="363">
        <v>0</v>
      </c>
      <c r="N76" s="363">
        <f t="shared" si="7"/>
        <v>18656</v>
      </c>
      <c r="O76" s="363">
        <f t="shared" si="8"/>
        <v>-18656</v>
      </c>
      <c r="P76" s="347">
        <v>500094</v>
      </c>
      <c r="Q76" s="365" t="e">
        <v>#N/A</v>
      </c>
      <c r="R76" s="365" t="e">
        <f>+E76-Q76</f>
        <v>#N/A</v>
      </c>
    </row>
    <row r="77" spans="1:18">
      <c r="A77" s="360">
        <v>500100</v>
      </c>
      <c r="B77" s="361" t="str">
        <f>VLOOKUP(A77,'TB for financial'!A:B,2,0)</f>
        <v>Payroll - Troy</v>
      </c>
      <c r="C77" s="362" t="s">
        <v>738</v>
      </c>
      <c r="E77" s="363">
        <f>VLOOKUP(A77,'TB for financial'!A:F,6,0)</f>
        <v>0</v>
      </c>
      <c r="G77" s="363">
        <f>VLOOKUP(A77,'TB for financial'!A:K,11,0)</f>
        <v>0</v>
      </c>
      <c r="H77" s="346">
        <v>500100</v>
      </c>
      <c r="I77" s="1439">
        <v>0</v>
      </c>
      <c r="J77" s="363">
        <v>0</v>
      </c>
      <c r="K77" s="363">
        <v>0</v>
      </c>
      <c r="L77" s="363">
        <v>0</v>
      </c>
      <c r="M77" s="363">
        <v>0</v>
      </c>
      <c r="N77" s="363">
        <f t="shared" si="7"/>
        <v>0</v>
      </c>
      <c r="O77" s="363">
        <f t="shared" si="8"/>
        <v>0</v>
      </c>
    </row>
    <row r="78" spans="1:18">
      <c r="A78" s="360">
        <v>500101</v>
      </c>
      <c r="B78" s="361" t="str">
        <f>VLOOKUP(A78,'TB for financial'!A:B,2,0)</f>
        <v>Payroll - Bonus Leadership</v>
      </c>
      <c r="C78" s="362" t="s">
        <v>738</v>
      </c>
      <c r="E78" s="363">
        <f>VLOOKUP(A78,'TB for financial'!A:F,6,0)</f>
        <v>0</v>
      </c>
      <c r="G78" s="363">
        <f>VLOOKUP(A78,'TB for financial'!A:K,11,0)</f>
        <v>0</v>
      </c>
      <c r="H78" s="346" t="e">
        <v>#N/A</v>
      </c>
      <c r="I78" s="1439" t="e">
        <v>#N/A</v>
      </c>
      <c r="J78" s="363">
        <v>0</v>
      </c>
      <c r="K78" s="363">
        <v>0</v>
      </c>
      <c r="L78" s="363">
        <v>0</v>
      </c>
      <c r="M78" s="363">
        <v>0</v>
      </c>
      <c r="N78" s="363">
        <f t="shared" si="7"/>
        <v>0</v>
      </c>
      <c r="O78" s="363">
        <f t="shared" si="8"/>
        <v>0</v>
      </c>
    </row>
    <row r="79" spans="1:18">
      <c r="A79" s="360">
        <v>500102</v>
      </c>
      <c r="B79" s="361" t="str">
        <f>VLOOKUP(A79,'TB for financial'!A:B,2,0)</f>
        <v>Payroll - Bonus Vertical Team</v>
      </c>
      <c r="C79" s="362" t="s">
        <v>738</v>
      </c>
      <c r="E79" s="363">
        <f>VLOOKUP(A79,'TB for financial'!A:F,6,0)</f>
        <v>0</v>
      </c>
      <c r="G79" s="363">
        <f>VLOOKUP(A79,'TB for financial'!A:K,11,0)</f>
        <v>0</v>
      </c>
      <c r="H79" s="346" t="e">
        <v>#N/A</v>
      </c>
      <c r="I79" s="1439" t="e">
        <v>#N/A</v>
      </c>
      <c r="J79" s="363">
        <v>0</v>
      </c>
      <c r="K79" s="363">
        <v>0</v>
      </c>
      <c r="L79" s="363">
        <v>0</v>
      </c>
      <c r="M79" s="363">
        <v>0</v>
      </c>
      <c r="N79" s="363">
        <f t="shared" si="7"/>
        <v>0</v>
      </c>
      <c r="O79" s="363">
        <f t="shared" si="8"/>
        <v>0</v>
      </c>
    </row>
    <row r="80" spans="1:18">
      <c r="A80" s="360">
        <v>500103</v>
      </c>
      <c r="B80" s="361" t="str">
        <f>VLOOKUP(A80,'TB for financial'!A:B,2,0)</f>
        <v>Payroll - Bonus Practice Team</v>
      </c>
      <c r="C80" s="362" t="s">
        <v>738</v>
      </c>
      <c r="E80" s="363">
        <f>VLOOKUP(A80,'TB for financial'!A:F,6,0)</f>
        <v>0</v>
      </c>
      <c r="G80" s="363">
        <f>VLOOKUP(A80,'TB for financial'!A:K,11,0)</f>
        <v>0</v>
      </c>
      <c r="H80" s="346" t="e">
        <v>#N/A</v>
      </c>
      <c r="I80" s="1439" t="e">
        <v>#N/A</v>
      </c>
      <c r="J80" s="363">
        <v>0</v>
      </c>
      <c r="K80" s="363">
        <v>0</v>
      </c>
      <c r="L80" s="363">
        <v>0</v>
      </c>
      <c r="M80" s="363">
        <v>0</v>
      </c>
      <c r="N80" s="363">
        <f t="shared" si="7"/>
        <v>0</v>
      </c>
      <c r="O80" s="363">
        <f t="shared" si="8"/>
        <v>0</v>
      </c>
    </row>
    <row r="81" spans="1:18">
      <c r="A81" s="360">
        <v>500104</v>
      </c>
      <c r="B81" s="361" t="str">
        <f>VLOOKUP(A81,'TB for financial'!A:B,2,0)</f>
        <v>Payroll - Bonus Engagement Mgr</v>
      </c>
      <c r="C81" s="362" t="s">
        <v>738</v>
      </c>
      <c r="E81" s="363">
        <f>VLOOKUP(A81,'TB for financial'!A:F,6,0)</f>
        <v>0</v>
      </c>
      <c r="G81" s="363">
        <f>VLOOKUP(A81,'TB for financial'!A:K,11,0)</f>
        <v>0</v>
      </c>
      <c r="H81" s="346" t="e">
        <v>#N/A</v>
      </c>
      <c r="I81" s="1439" t="e">
        <v>#N/A</v>
      </c>
      <c r="J81" s="363">
        <v>0</v>
      </c>
      <c r="K81" s="363">
        <v>0</v>
      </c>
      <c r="L81" s="363">
        <v>0</v>
      </c>
      <c r="M81" s="363">
        <v>0</v>
      </c>
      <c r="N81" s="363">
        <f t="shared" si="7"/>
        <v>0</v>
      </c>
      <c r="O81" s="363">
        <f t="shared" si="8"/>
        <v>0</v>
      </c>
    </row>
    <row r="82" spans="1:18">
      <c r="A82" s="360">
        <v>500105</v>
      </c>
      <c r="B82" s="361" t="str">
        <f>VLOOKUP(A82,'TB for financial'!A:B,2,0)</f>
        <v>Payroll - Bonus TIA for Revenu</v>
      </c>
      <c r="C82" s="362" t="s">
        <v>738</v>
      </c>
      <c r="E82" s="363">
        <f>VLOOKUP(A82,'TB for financial'!A:F,6,0)</f>
        <v>0</v>
      </c>
      <c r="G82" s="363">
        <f>VLOOKUP(A82,'TB for financial'!A:K,11,0)</f>
        <v>0</v>
      </c>
      <c r="H82" s="346" t="e">
        <v>#N/A</v>
      </c>
      <c r="I82" s="1439" t="e">
        <v>#N/A</v>
      </c>
      <c r="J82" s="363">
        <v>0</v>
      </c>
      <c r="K82" s="363">
        <v>0</v>
      </c>
      <c r="L82" s="363">
        <v>0</v>
      </c>
      <c r="M82" s="363">
        <v>0</v>
      </c>
      <c r="N82" s="363">
        <f t="shared" si="7"/>
        <v>0</v>
      </c>
      <c r="O82" s="363">
        <f t="shared" si="8"/>
        <v>0</v>
      </c>
    </row>
    <row r="83" spans="1:18">
      <c r="A83" s="360">
        <v>500106</v>
      </c>
      <c r="B83" s="361" t="str">
        <f>VLOOKUP(A83,'TB for financial'!A:B,2,0)</f>
        <v>Payroll - Bonus TIA for TCV</v>
      </c>
      <c r="C83" s="362" t="s">
        <v>738</v>
      </c>
      <c r="E83" s="363">
        <f>VLOOKUP(A83,'TB for financial'!A:F,6,0)</f>
        <v>0</v>
      </c>
      <c r="G83" s="363">
        <f>VLOOKUP(A83,'TB for financial'!A:K,11,0)</f>
        <v>0</v>
      </c>
      <c r="H83" s="346" t="e">
        <v>#N/A</v>
      </c>
      <c r="I83" s="1439" t="e">
        <v>#N/A</v>
      </c>
      <c r="J83" s="363">
        <v>0</v>
      </c>
      <c r="K83" s="363">
        <v>0</v>
      </c>
      <c r="L83" s="363">
        <v>0</v>
      </c>
      <c r="M83" s="363">
        <v>0</v>
      </c>
      <c r="N83" s="363">
        <f t="shared" si="7"/>
        <v>0</v>
      </c>
      <c r="O83" s="363">
        <f t="shared" si="8"/>
        <v>0</v>
      </c>
    </row>
    <row r="84" spans="1:18">
      <c r="A84" s="360">
        <v>500107</v>
      </c>
      <c r="B84" s="361" t="str">
        <f>VLOOKUP(A84,'TB for financial'!A:B,2,0)</f>
        <v>Payroll - Bonus Billable</v>
      </c>
      <c r="C84" s="362" t="s">
        <v>738</v>
      </c>
      <c r="E84" s="363">
        <f>VLOOKUP(A84,'TB for financial'!A:F,6,0)</f>
        <v>0</v>
      </c>
      <c r="G84" s="363">
        <f>VLOOKUP(A84,'TB for financial'!A:K,11,0)</f>
        <v>0</v>
      </c>
      <c r="H84" s="346" t="e">
        <v>#N/A</v>
      </c>
      <c r="I84" s="1439" t="e">
        <v>#N/A</v>
      </c>
      <c r="J84" s="363">
        <v>0</v>
      </c>
      <c r="K84" s="363">
        <v>0</v>
      </c>
      <c r="L84" s="363">
        <v>0</v>
      </c>
      <c r="M84" s="363">
        <v>0</v>
      </c>
      <c r="N84" s="363">
        <f t="shared" si="7"/>
        <v>0</v>
      </c>
      <c r="O84" s="363">
        <f t="shared" si="8"/>
        <v>0</v>
      </c>
    </row>
    <row r="85" spans="1:18">
      <c r="A85" s="360">
        <v>500108</v>
      </c>
      <c r="B85" s="361" t="str">
        <f>VLOOKUP(A85,'TB for financial'!A:B,2,0)</f>
        <v>Payroll - Bonus Corporate</v>
      </c>
      <c r="C85" s="362" t="s">
        <v>738</v>
      </c>
      <c r="E85" s="363">
        <f>VLOOKUP(A85,'TB for financial'!A:F,6,0)</f>
        <v>0</v>
      </c>
      <c r="G85" s="363">
        <f>VLOOKUP(A85,'TB for financial'!A:K,11,0)</f>
        <v>0</v>
      </c>
      <c r="H85" s="346" t="e">
        <v>#N/A</v>
      </c>
      <c r="I85" s="1439" t="e">
        <v>#N/A</v>
      </c>
      <c r="J85" s="363">
        <v>0</v>
      </c>
      <c r="K85" s="363">
        <v>0</v>
      </c>
      <c r="L85" s="363">
        <v>0</v>
      </c>
      <c r="M85" s="363">
        <v>0</v>
      </c>
      <c r="N85" s="363">
        <f t="shared" si="7"/>
        <v>0</v>
      </c>
      <c r="O85" s="363">
        <f t="shared" si="8"/>
        <v>0</v>
      </c>
    </row>
    <row r="86" spans="1:18">
      <c r="A86" s="360">
        <v>500109</v>
      </c>
      <c r="B86" s="361" t="str">
        <f>VLOOKUP(A86,'TB for financial'!A:B,2,0)</f>
        <v>Payroll - Bonus Others</v>
      </c>
      <c r="C86" s="362" t="s">
        <v>738</v>
      </c>
      <c r="D86" s="354">
        <v>500109</v>
      </c>
      <c r="E86" s="363">
        <f>VLOOKUP(A86,'TB for financial'!A:F,6,0)</f>
        <v>0</v>
      </c>
      <c r="G86" s="363">
        <f>VLOOKUP(A86,'TB for financial'!A:K,11,0)</f>
        <v>0</v>
      </c>
      <c r="H86" s="346">
        <v>500109</v>
      </c>
      <c r="I86" s="1439">
        <v>23022</v>
      </c>
      <c r="J86" s="363">
        <v>21592</v>
      </c>
      <c r="K86" s="363">
        <v>8622</v>
      </c>
      <c r="L86" s="363">
        <v>0</v>
      </c>
      <c r="M86" s="363">
        <v>0</v>
      </c>
      <c r="N86" s="363">
        <f t="shared" si="7"/>
        <v>30214</v>
      </c>
      <c r="O86" s="363">
        <f t="shared" si="8"/>
        <v>-30214</v>
      </c>
      <c r="P86" s="347">
        <v>500109</v>
      </c>
      <c r="Q86" s="365" t="e">
        <v>#N/A</v>
      </c>
      <c r="R86" s="365" t="e">
        <f>+E86-Q86</f>
        <v>#N/A</v>
      </c>
    </row>
    <row r="87" spans="1:18">
      <c r="A87" s="360">
        <v>500110</v>
      </c>
      <c r="B87" s="361" t="str">
        <f>VLOOKUP(A87,'TB for financial'!A:B,2,0)</f>
        <v>Payroll - Bonus CEO</v>
      </c>
      <c r="C87" s="362" t="s">
        <v>738</v>
      </c>
      <c r="E87" s="363">
        <f>VLOOKUP(A87,'TB for financial'!A:F,6,0)</f>
        <v>0</v>
      </c>
      <c r="G87" s="363">
        <f>VLOOKUP(A87,'TB for financial'!A:K,11,0)</f>
        <v>0</v>
      </c>
      <c r="H87" s="346" t="e">
        <v>#N/A</v>
      </c>
      <c r="I87" s="1439" t="e">
        <v>#N/A</v>
      </c>
      <c r="J87" s="363">
        <v>0</v>
      </c>
      <c r="K87" s="363">
        <v>0</v>
      </c>
      <c r="L87" s="363">
        <v>0</v>
      </c>
      <c r="M87" s="363">
        <v>0</v>
      </c>
      <c r="N87" s="363">
        <f t="shared" si="7"/>
        <v>0</v>
      </c>
      <c r="O87" s="363">
        <f t="shared" si="8"/>
        <v>0</v>
      </c>
    </row>
    <row r="88" spans="1:18">
      <c r="A88" s="360">
        <v>500111</v>
      </c>
      <c r="B88" s="361" t="str">
        <f>VLOOKUP(A88,'TB for financial'!A:B,2,0)</f>
        <v>Payroll - Awards</v>
      </c>
      <c r="C88" s="362" t="s">
        <v>738</v>
      </c>
      <c r="D88" s="354">
        <v>500111</v>
      </c>
      <c r="E88" s="363">
        <f>VLOOKUP(A88,'TB for financial'!A:F,6,0)</f>
        <v>0</v>
      </c>
      <c r="G88" s="363">
        <f>VLOOKUP(A88,'TB for financial'!A:K,11,0)</f>
        <v>0</v>
      </c>
      <c r="H88" s="346">
        <v>500111</v>
      </c>
      <c r="I88" s="1439">
        <v>40256</v>
      </c>
      <c r="J88" s="363">
        <v>57190</v>
      </c>
      <c r="K88" s="363">
        <v>-36507</v>
      </c>
      <c r="L88" s="363">
        <v>0</v>
      </c>
      <c r="M88" s="363">
        <v>0</v>
      </c>
      <c r="N88" s="363">
        <f t="shared" si="7"/>
        <v>20683</v>
      </c>
      <c r="O88" s="363">
        <f t="shared" si="8"/>
        <v>-20683</v>
      </c>
      <c r="P88" s="347">
        <v>500111</v>
      </c>
      <c r="Q88" s="365" t="e">
        <v>#N/A</v>
      </c>
      <c r="R88" s="365" t="e">
        <f>+E88-Q88</f>
        <v>#N/A</v>
      </c>
    </row>
    <row r="89" spans="1:18">
      <c r="A89" s="360">
        <v>500114</v>
      </c>
      <c r="B89" s="361" t="str">
        <f>VLOOKUP(A89,'TB for financial'!A:B,2,0)</f>
        <v>HCA Billable Bonus</v>
      </c>
      <c r="C89" s="362" t="s">
        <v>738</v>
      </c>
      <c r="E89" s="363">
        <f>VLOOKUP(A89,'TB for financial'!A:F,6,0)</f>
        <v>0</v>
      </c>
      <c r="G89" s="363">
        <f>VLOOKUP(A89,'TB for financial'!A:K,11,0)</f>
        <v>0</v>
      </c>
      <c r="H89" s="346" t="e">
        <v>#N/A</v>
      </c>
      <c r="I89" s="1439" t="e">
        <v>#N/A</v>
      </c>
      <c r="J89" s="363">
        <v>0</v>
      </c>
      <c r="K89" s="363">
        <v>0</v>
      </c>
      <c r="L89" s="363">
        <v>0</v>
      </c>
      <c r="M89" s="363">
        <v>0</v>
      </c>
      <c r="N89" s="363">
        <f t="shared" si="7"/>
        <v>0</v>
      </c>
      <c r="O89" s="363">
        <f t="shared" si="8"/>
        <v>0</v>
      </c>
    </row>
    <row r="90" spans="1:18">
      <c r="A90" s="360">
        <v>500115</v>
      </c>
      <c r="B90" s="361" t="str">
        <f>VLOOKUP(A90,'TB for financial'!A:B,2,0)</f>
        <v>Increment - Comp/Bonus</v>
      </c>
      <c r="C90" s="362" t="s">
        <v>738</v>
      </c>
      <c r="E90" s="363">
        <f>VLOOKUP(A90,'TB for financial'!A:F,6,0)</f>
        <v>0</v>
      </c>
      <c r="G90" s="363">
        <f>VLOOKUP(A90,'TB for financial'!A:K,11,0)</f>
        <v>0</v>
      </c>
      <c r="H90" s="346" t="e">
        <v>#N/A</v>
      </c>
      <c r="I90" s="1439" t="e">
        <v>#N/A</v>
      </c>
      <c r="J90" s="363">
        <v>0</v>
      </c>
      <c r="K90" s="363">
        <v>0</v>
      </c>
      <c r="L90" s="363">
        <v>0</v>
      </c>
      <c r="M90" s="363">
        <v>0</v>
      </c>
      <c r="N90" s="363">
        <f t="shared" si="7"/>
        <v>0</v>
      </c>
      <c r="O90" s="363">
        <f t="shared" si="8"/>
        <v>0</v>
      </c>
    </row>
    <row r="91" spans="1:18">
      <c r="A91" s="370">
        <v>500117</v>
      </c>
      <c r="B91" s="361" t="str">
        <f>VLOOKUP(A91,'TB for financial'!A:B,2,0)</f>
        <v>Payroll Long term incentive Plan</v>
      </c>
      <c r="C91" s="362" t="s">
        <v>738</v>
      </c>
      <c r="E91" s="363">
        <f>VLOOKUP(A91,'TB for financial'!A:F,6,0)</f>
        <v>0</v>
      </c>
      <c r="G91" s="363">
        <f>VLOOKUP(A91,'TB for financial'!A:K,11,0)</f>
        <v>0</v>
      </c>
      <c r="H91" s="346" t="e">
        <v>#N/A</v>
      </c>
      <c r="I91" s="1439" t="e">
        <v>#N/A</v>
      </c>
      <c r="J91" s="363">
        <v>0</v>
      </c>
      <c r="K91" s="363">
        <v>0</v>
      </c>
      <c r="L91" s="363">
        <v>0</v>
      </c>
      <c r="M91" s="363">
        <v>0</v>
      </c>
      <c r="N91" s="363">
        <f t="shared" si="7"/>
        <v>0</v>
      </c>
      <c r="O91" s="363">
        <f t="shared" si="8"/>
        <v>0</v>
      </c>
    </row>
    <row r="92" spans="1:18">
      <c r="A92" s="370">
        <v>500123</v>
      </c>
      <c r="B92" s="372" t="str">
        <f>VLOOKUP(A92,'TB for financial'!A:B,2,0)</f>
        <v>Employee Referral Bonus Comp</v>
      </c>
      <c r="C92" s="362" t="s">
        <v>738</v>
      </c>
      <c r="E92" s="363">
        <f>VLOOKUP(A92,'TB for financial'!A:F,6,0)</f>
        <v>0</v>
      </c>
      <c r="G92" s="363">
        <f>VLOOKUP(A92,'TB for financial'!A:K,11,0)</f>
        <v>0</v>
      </c>
      <c r="H92" s="346" t="e">
        <v>#N/A</v>
      </c>
      <c r="I92" s="1439" t="e">
        <v>#N/A</v>
      </c>
      <c r="J92" s="363">
        <v>0</v>
      </c>
      <c r="K92" s="363">
        <v>0</v>
      </c>
      <c r="L92" s="363">
        <v>0</v>
      </c>
      <c r="M92" s="363">
        <v>0</v>
      </c>
      <c r="N92" s="363">
        <f t="shared" si="7"/>
        <v>0</v>
      </c>
      <c r="O92" s="363">
        <f t="shared" si="8"/>
        <v>0</v>
      </c>
    </row>
    <row r="93" spans="1:18">
      <c r="A93" s="1380">
        <v>641100</v>
      </c>
      <c r="B93" s="372" t="str">
        <f>VLOOKUP(A93,'TB for financial'!A:B,2,0)</f>
        <v>WAGES AND SALARIES</v>
      </c>
      <c r="C93" s="362" t="s">
        <v>738</v>
      </c>
      <c r="D93" s="354">
        <v>641100</v>
      </c>
      <c r="E93" s="363">
        <f>VLOOKUP(A93,'TB for financial'!A:F,6,0)</f>
        <v>2194721</v>
      </c>
      <c r="G93" s="363">
        <f>VLOOKUP(A93,'TB for financial'!A:K,11,0)</f>
        <v>836707</v>
      </c>
      <c r="H93" s="346">
        <v>641100</v>
      </c>
      <c r="I93" s="1439">
        <v>-99059</v>
      </c>
      <c r="J93" s="363">
        <v>0</v>
      </c>
      <c r="K93" s="363">
        <v>0</v>
      </c>
      <c r="L93" s="363">
        <v>0</v>
      </c>
      <c r="M93" s="363">
        <v>0</v>
      </c>
      <c r="N93" s="363">
        <f t="shared" ref="N93:N101" si="9">+J93+K93</f>
        <v>0</v>
      </c>
      <c r="O93" s="363">
        <f t="shared" ref="O93:O101" si="10">+E93-N93</f>
        <v>2194721</v>
      </c>
    </row>
    <row r="94" spans="1:18">
      <c r="A94" s="1380">
        <v>641111</v>
      </c>
      <c r="B94" s="372" t="s">
        <v>2852</v>
      </c>
      <c r="C94" s="362" t="s">
        <v>738</v>
      </c>
      <c r="E94" s="363">
        <f>VLOOKUP(A94,'TB for financial'!A:F,6,0)</f>
        <v>21600</v>
      </c>
      <c r="G94" s="363">
        <f>VLOOKUP(A94,'TB for financial'!A:K,11,0)</f>
        <v>4250</v>
      </c>
      <c r="I94" s="1439"/>
      <c r="J94" s="363"/>
      <c r="K94" s="363"/>
      <c r="L94" s="363"/>
      <c r="M94" s="363"/>
      <c r="N94" s="363"/>
      <c r="O94" s="363"/>
    </row>
    <row r="95" spans="1:18">
      <c r="A95" s="1380">
        <v>641203</v>
      </c>
      <c r="B95" s="372" t="str">
        <f>VLOOKUP(A95,'TB for financial'!A:B,2,0)</f>
        <v>VACATION LEAVE PAYMENTS - GEN&amp;ADM</v>
      </c>
      <c r="C95" s="362" t="s">
        <v>738</v>
      </c>
      <c r="D95" s="354">
        <v>641203</v>
      </c>
      <c r="E95" s="363">
        <f>VLOOKUP(A95,'TB for financial'!A:F,6,0)</f>
        <v>54162</v>
      </c>
      <c r="G95" s="363">
        <f>VLOOKUP(A95,'TB for financial'!A:K,11,0)</f>
        <v>43143</v>
      </c>
      <c r="H95" s="346">
        <v>641203</v>
      </c>
      <c r="I95" s="1439">
        <v>37421</v>
      </c>
      <c r="J95" s="363">
        <v>0</v>
      </c>
      <c r="K95" s="363">
        <v>0</v>
      </c>
      <c r="L95" s="363">
        <v>0</v>
      </c>
      <c r="M95" s="363">
        <v>0</v>
      </c>
      <c r="N95" s="363">
        <f t="shared" si="9"/>
        <v>0</v>
      </c>
      <c r="O95" s="363">
        <f t="shared" si="10"/>
        <v>54162</v>
      </c>
    </row>
    <row r="96" spans="1:18">
      <c r="A96" s="1380">
        <v>641300</v>
      </c>
      <c r="B96" s="372" t="str">
        <f>VLOOKUP(A96,'TB for financial'!A:B,2,0)</f>
        <v>INCENTIVE WAGES AND BONUSES</v>
      </c>
      <c r="C96" s="362" t="s">
        <v>738</v>
      </c>
      <c r="D96" s="354">
        <v>641300</v>
      </c>
      <c r="E96" s="363">
        <f>VLOOKUP(A96,'TB for financial'!A:F,6,0)</f>
        <v>276811</v>
      </c>
      <c r="G96" s="363">
        <f>VLOOKUP(A96,'TB for financial'!A:K,11,0)</f>
        <v>531646.71</v>
      </c>
      <c r="H96" s="346">
        <v>641300</v>
      </c>
      <c r="I96" s="1439">
        <v>-351550</v>
      </c>
      <c r="J96" s="363">
        <v>0</v>
      </c>
      <c r="K96" s="363">
        <v>0</v>
      </c>
      <c r="L96" s="363">
        <v>0</v>
      </c>
      <c r="M96" s="363">
        <v>0</v>
      </c>
      <c r="N96" s="363">
        <f t="shared" si="9"/>
        <v>0</v>
      </c>
      <c r="O96" s="363">
        <f t="shared" si="10"/>
        <v>276811</v>
      </c>
    </row>
    <row r="97" spans="1:18">
      <c r="A97" s="1380">
        <v>641310</v>
      </c>
      <c r="B97" s="372" t="str">
        <f>VLOOKUP(A97,'TB for financial'!A:B,2,0)</f>
        <v>YEAR-END BONUSES</v>
      </c>
      <c r="C97" s="362" t="s">
        <v>738</v>
      </c>
      <c r="D97" s="354">
        <v>641310</v>
      </c>
      <c r="E97" s="363">
        <f>VLOOKUP(A97,'TB for financial'!A:F,6,0)</f>
        <v>0</v>
      </c>
      <c r="G97" s="363">
        <f>VLOOKUP(A97,'TB for financial'!A:K,11,0)</f>
        <v>0</v>
      </c>
      <c r="H97" s="346">
        <v>641310</v>
      </c>
      <c r="I97" s="1439">
        <v>0</v>
      </c>
      <c r="J97" s="363">
        <v>0</v>
      </c>
      <c r="K97" s="363">
        <v>0</v>
      </c>
      <c r="L97" s="363">
        <v>0</v>
      </c>
      <c r="M97" s="363">
        <v>0</v>
      </c>
      <c r="N97" s="363">
        <f t="shared" si="9"/>
        <v>0</v>
      </c>
      <c r="O97" s="363">
        <f t="shared" si="10"/>
        <v>0</v>
      </c>
    </row>
    <row r="98" spans="1:18">
      <c r="A98" s="1380">
        <v>641404</v>
      </c>
      <c r="B98" s="372" t="s">
        <v>2853</v>
      </c>
      <c r="C98" s="362" t="s">
        <v>738</v>
      </c>
      <c r="E98" s="363">
        <f>VLOOKUP(A98,'TB for financial'!A:F,6,0)</f>
        <v>378582</v>
      </c>
      <c r="G98" s="363">
        <f>VLOOKUP(A98,'TB for financial'!A:K,11,0)</f>
        <v>61908</v>
      </c>
      <c r="I98" s="1439"/>
      <c r="J98" s="363"/>
      <c r="K98" s="363"/>
      <c r="L98" s="363"/>
      <c r="M98" s="363"/>
      <c r="N98" s="363"/>
      <c r="O98" s="363"/>
    </row>
    <row r="99" spans="1:18">
      <c r="A99" s="1380">
        <v>641702</v>
      </c>
      <c r="B99" s="372" t="str">
        <f>VLOOKUP(A99,'TB for financial'!A:B,2,0)</f>
        <v>Allowance 2</v>
      </c>
      <c r="C99" s="362" t="s">
        <v>738</v>
      </c>
      <c r="D99" s="354">
        <v>641702</v>
      </c>
      <c r="E99" s="363">
        <f>VLOOKUP(A99,'TB for financial'!A:F,6,0)</f>
        <v>3461072</v>
      </c>
      <c r="G99" s="363">
        <f>VLOOKUP(A99,'TB for financial'!A:K,11,0)</f>
        <v>6502081</v>
      </c>
      <c r="H99" s="346">
        <v>641702</v>
      </c>
      <c r="I99" s="1439">
        <v>-5095246</v>
      </c>
      <c r="J99" s="363">
        <v>0</v>
      </c>
      <c r="K99" s="363">
        <v>0</v>
      </c>
      <c r="L99" s="363">
        <v>0</v>
      </c>
      <c r="M99" s="363">
        <v>0</v>
      </c>
      <c r="N99" s="363">
        <f t="shared" si="9"/>
        <v>0</v>
      </c>
      <c r="O99" s="363">
        <f t="shared" si="10"/>
        <v>3461072</v>
      </c>
    </row>
    <row r="100" spans="1:18">
      <c r="A100" s="1380">
        <v>641711</v>
      </c>
      <c r="B100" s="372" t="str">
        <f>VLOOKUP(A100,'TB for financial'!A:B,2,0)</f>
        <v>Gratuity</v>
      </c>
      <c r="C100" s="362" t="s">
        <v>738</v>
      </c>
      <c r="D100" s="354">
        <v>641711</v>
      </c>
      <c r="E100" s="363">
        <f>VLOOKUP(A100,'TB for financial'!A:F,6,0)</f>
        <v>248295</v>
      </c>
      <c r="G100" s="363">
        <f>VLOOKUP(A100,'TB for financial'!A:K,11,0)</f>
        <v>293948</v>
      </c>
      <c r="H100" s="346">
        <v>641711</v>
      </c>
      <c r="I100" s="1439">
        <v>-344035</v>
      </c>
      <c r="J100" s="363">
        <v>0</v>
      </c>
      <c r="K100" s="363">
        <v>0</v>
      </c>
      <c r="L100" s="363">
        <v>0</v>
      </c>
      <c r="M100" s="363">
        <v>0</v>
      </c>
      <c r="N100" s="363">
        <f t="shared" si="9"/>
        <v>0</v>
      </c>
      <c r="O100" s="363">
        <f t="shared" si="10"/>
        <v>248295</v>
      </c>
    </row>
    <row r="101" spans="1:18">
      <c r="A101" s="1380">
        <v>658013</v>
      </c>
      <c r="B101" s="372" t="str">
        <f>VLOOKUP(A101,'TB for financial'!A:B,2,0)</f>
        <v>Compensation Awards</v>
      </c>
      <c r="C101" s="362" t="s">
        <v>738</v>
      </c>
      <c r="D101" s="354">
        <v>658013</v>
      </c>
      <c r="E101" s="363">
        <f>VLOOKUP(A101,'TB for financial'!A:F,6,0)</f>
        <v>17829</v>
      </c>
      <c r="G101" s="363">
        <f>VLOOKUP(A101,'TB for financial'!A:K,11,0)</f>
        <v>23000</v>
      </c>
      <c r="H101" s="346">
        <v>658013</v>
      </c>
      <c r="I101" s="1439">
        <v>49059</v>
      </c>
      <c r="J101" s="363">
        <v>0</v>
      </c>
      <c r="K101" s="363">
        <v>0</v>
      </c>
      <c r="L101" s="363">
        <v>0</v>
      </c>
      <c r="M101" s="363">
        <v>0</v>
      </c>
      <c r="N101" s="363">
        <f t="shared" si="9"/>
        <v>0</v>
      </c>
      <c r="O101" s="363">
        <f t="shared" si="10"/>
        <v>17829</v>
      </c>
    </row>
    <row r="102" spans="1:18">
      <c r="A102" s="1380">
        <v>641704</v>
      </c>
      <c r="B102" s="372" t="str">
        <f>VLOOKUP(A102,'TB for financial'!A:B,2,0)</f>
        <v>LTA</v>
      </c>
      <c r="C102" s="362" t="s">
        <v>738</v>
      </c>
      <c r="D102" s="354">
        <v>658013</v>
      </c>
      <c r="E102" s="363">
        <f>VLOOKUP(A102,'TB for financial'!A:F,6,0)</f>
        <v>6250</v>
      </c>
      <c r="G102" s="363">
        <f>VLOOKUP(A102,'TB for financial'!A:K,11,0)</f>
        <v>18750</v>
      </c>
      <c r="H102" s="346">
        <v>641704</v>
      </c>
      <c r="I102" s="1439"/>
      <c r="J102" s="363"/>
      <c r="K102" s="363"/>
      <c r="L102" s="363"/>
      <c r="M102" s="363"/>
      <c r="N102" s="363"/>
      <c r="O102" s="363"/>
    </row>
    <row r="103" spans="1:18" ht="5.0999999999999996" customHeight="1">
      <c r="A103" s="360"/>
      <c r="B103" s="361"/>
      <c r="C103" s="362"/>
      <c r="E103" s="363"/>
      <c r="G103" s="363"/>
      <c r="J103" s="363"/>
      <c r="K103" s="363"/>
      <c r="L103" s="363"/>
      <c r="M103" s="363"/>
      <c r="N103" s="363"/>
      <c r="O103" s="363"/>
    </row>
    <row r="104" spans="1:18" s="350" customFormat="1" ht="15" thickBot="1">
      <c r="A104" s="366"/>
      <c r="B104" s="368" t="s">
        <v>739</v>
      </c>
      <c r="C104" s="1627"/>
      <c r="D104" s="1628"/>
      <c r="E104" s="1630">
        <f>SUM(E48:E103)</f>
        <v>6659322</v>
      </c>
      <c r="F104" s="349"/>
      <c r="G104" s="367">
        <f>SUM(G48:G103)</f>
        <v>8315433.71</v>
      </c>
      <c r="H104" s="349"/>
      <c r="J104" s="367">
        <f t="shared" ref="J104:O104" si="11">SUM(J48:J103)</f>
        <v>6900584.4900000002</v>
      </c>
      <c r="K104" s="367">
        <f t="shared" si="11"/>
        <v>2639646</v>
      </c>
      <c r="L104" s="367">
        <f t="shared" si="11"/>
        <v>0</v>
      </c>
      <c r="M104" s="367">
        <f t="shared" si="11"/>
        <v>0</v>
      </c>
      <c r="N104" s="367">
        <f t="shared" si="11"/>
        <v>9540230.4900000002</v>
      </c>
      <c r="O104" s="367">
        <f t="shared" si="11"/>
        <v>-3287340.49</v>
      </c>
    </row>
    <row r="105" spans="1:18" ht="5.0999999999999996" customHeight="1" thickTop="1">
      <c r="A105" s="360"/>
      <c r="B105" s="361"/>
      <c r="C105" s="362"/>
      <c r="E105" s="363"/>
      <c r="G105" s="363"/>
      <c r="J105" s="363"/>
      <c r="K105" s="363"/>
      <c r="L105" s="363"/>
      <c r="M105" s="363"/>
      <c r="N105" s="363"/>
      <c r="O105" s="363"/>
    </row>
    <row r="106" spans="1:18">
      <c r="A106" s="360">
        <v>501110</v>
      </c>
      <c r="B106" s="361" t="str">
        <f>VLOOKUP(A106,'TB for financial'!A:B,2,0)</f>
        <v>Payroll Taxes</v>
      </c>
      <c r="C106" s="362" t="s">
        <v>738</v>
      </c>
      <c r="E106" s="363">
        <f>VLOOKUP(A106,'TB for financial'!A:F,6,0)</f>
        <v>0</v>
      </c>
      <c r="G106" s="363">
        <f>VLOOKUP(A106,'TB for financial'!A:K,11,0)</f>
        <v>0</v>
      </c>
      <c r="H106" s="346">
        <v>501110</v>
      </c>
      <c r="I106" s="1439">
        <v>0</v>
      </c>
      <c r="J106" s="363">
        <v>0</v>
      </c>
      <c r="K106" s="363">
        <v>0</v>
      </c>
      <c r="L106" s="363">
        <v>0</v>
      </c>
      <c r="M106" s="363">
        <v>0</v>
      </c>
      <c r="N106" s="363">
        <f t="shared" ref="N106:N126" si="12">+J106+K106</f>
        <v>0</v>
      </c>
      <c r="O106" s="363">
        <f t="shared" ref="O106:O126" si="13">+E106-N106</f>
        <v>0</v>
      </c>
    </row>
    <row r="107" spans="1:18">
      <c r="A107" s="370">
        <v>501111</v>
      </c>
      <c r="B107" s="361" t="str">
        <f>VLOOKUP(A107,'TB for financial'!A:B,2,0)</f>
        <v>Payroll-Tax on Perquisites</v>
      </c>
      <c r="C107" s="362" t="s">
        <v>738</v>
      </c>
      <c r="E107" s="363">
        <f>VLOOKUP(A107,'TB for financial'!A:F,6,0)</f>
        <v>0</v>
      </c>
      <c r="G107" s="363">
        <f>VLOOKUP(A107,'TB for financial'!A:K,11,0)</f>
        <v>0</v>
      </c>
      <c r="H107" s="346">
        <v>501111</v>
      </c>
      <c r="I107" s="1439">
        <v>0</v>
      </c>
      <c r="J107" s="363">
        <v>0</v>
      </c>
      <c r="K107" s="363">
        <v>0</v>
      </c>
      <c r="L107" s="363">
        <v>0</v>
      </c>
      <c r="M107" s="363">
        <v>0</v>
      </c>
      <c r="N107" s="363">
        <f t="shared" si="12"/>
        <v>0</v>
      </c>
      <c r="O107" s="363">
        <f t="shared" si="13"/>
        <v>0</v>
      </c>
      <c r="P107" s="347">
        <v>501111</v>
      </c>
      <c r="Q107" s="365" t="s">
        <v>1811</v>
      </c>
      <c r="R107" s="365" t="e">
        <f>+E107-Q107</f>
        <v>#VALUE!</v>
      </c>
    </row>
    <row r="108" spans="1:18">
      <c r="A108" s="360">
        <v>501115</v>
      </c>
      <c r="B108" s="361" t="str">
        <f>VLOOKUP(A108,'TB for financial'!A:B,2,0)</f>
        <v>Health Insurance</v>
      </c>
      <c r="C108" s="362" t="s">
        <v>738</v>
      </c>
      <c r="D108" s="354">
        <v>501115</v>
      </c>
      <c r="E108" s="363">
        <f>VLOOKUP(A108,'TB for financial'!A:F,6,0)</f>
        <v>0</v>
      </c>
      <c r="G108" s="363">
        <f>VLOOKUP(A108,'TB for financial'!A:K,11,0)</f>
        <v>0</v>
      </c>
      <c r="H108" s="346">
        <v>501115</v>
      </c>
      <c r="I108" s="1439">
        <v>120842.15</v>
      </c>
      <c r="J108" s="363">
        <v>19751.00400000003</v>
      </c>
      <c r="K108" s="363">
        <v>21481.64</v>
      </c>
      <c r="L108" s="363">
        <v>0</v>
      </c>
      <c r="M108" s="363">
        <v>0</v>
      </c>
      <c r="N108" s="363">
        <f t="shared" si="12"/>
        <v>41232.644000000029</v>
      </c>
      <c r="O108" s="363">
        <f t="shared" si="13"/>
        <v>-41232.644000000029</v>
      </c>
      <c r="P108" s="347">
        <v>501115</v>
      </c>
      <c r="Q108" s="365" t="e">
        <v>#N/A</v>
      </c>
      <c r="R108" s="365" t="e">
        <f>+E108-Q108</f>
        <v>#N/A</v>
      </c>
    </row>
    <row r="109" spans="1:18">
      <c r="A109" s="360">
        <v>501116</v>
      </c>
      <c r="B109" s="361" t="str">
        <f>VLOOKUP(A109,'TB for financial'!A:B,2,0)</f>
        <v>Accident Insurance</v>
      </c>
      <c r="C109" s="362" t="s">
        <v>738</v>
      </c>
      <c r="E109" s="363">
        <f>VLOOKUP(A109,'TB for financial'!A:F,6,0)</f>
        <v>0</v>
      </c>
      <c r="G109" s="363">
        <f>VLOOKUP(A109,'TB for financial'!A:K,11,0)</f>
        <v>0</v>
      </c>
      <c r="H109" s="346" t="e">
        <v>#N/A</v>
      </c>
      <c r="I109" s="1439" t="e">
        <v>#N/A</v>
      </c>
      <c r="J109" s="363">
        <v>0</v>
      </c>
      <c r="K109" s="363">
        <v>0</v>
      </c>
      <c r="L109" s="363">
        <v>0</v>
      </c>
      <c r="M109" s="363">
        <v>0</v>
      </c>
      <c r="N109" s="363">
        <f t="shared" si="12"/>
        <v>0</v>
      </c>
      <c r="O109" s="363">
        <f t="shared" si="13"/>
        <v>0</v>
      </c>
    </row>
    <row r="110" spans="1:18">
      <c r="A110" s="360">
        <v>501117</v>
      </c>
      <c r="B110" s="361" t="str">
        <f>VLOOKUP(A110,'TB for financial'!A:B,2,0)</f>
        <v>Life Insurance</v>
      </c>
      <c r="C110" s="362" t="s">
        <v>738</v>
      </c>
      <c r="E110" s="363">
        <f>VLOOKUP(A110,'TB for financial'!A:F,6,0)</f>
        <v>0</v>
      </c>
      <c r="G110" s="363">
        <f>VLOOKUP(A110,'TB for financial'!A:K,11,0)</f>
        <v>0</v>
      </c>
      <c r="H110" s="346" t="e">
        <v>#N/A</v>
      </c>
      <c r="I110" s="1439" t="e">
        <v>#N/A</v>
      </c>
      <c r="J110" s="363">
        <v>0</v>
      </c>
      <c r="K110" s="363">
        <v>0</v>
      </c>
      <c r="L110" s="363">
        <v>0</v>
      </c>
      <c r="M110" s="363">
        <v>0</v>
      </c>
      <c r="N110" s="363">
        <f t="shared" si="12"/>
        <v>0</v>
      </c>
      <c r="O110" s="363">
        <f t="shared" si="13"/>
        <v>0</v>
      </c>
    </row>
    <row r="111" spans="1:18">
      <c r="A111" s="360">
        <v>501120</v>
      </c>
      <c r="B111" s="361" t="str">
        <f>VLOOKUP(A111,'TB for financial'!A:B,2,0)</f>
        <v>Benefits - PC Purchase</v>
      </c>
      <c r="C111" s="362" t="s">
        <v>738</v>
      </c>
      <c r="E111" s="363">
        <f>VLOOKUP(A111,'TB for financial'!A:F,6,0)</f>
        <v>0</v>
      </c>
      <c r="G111" s="363">
        <f>VLOOKUP(A111,'TB for financial'!A:K,11,0)</f>
        <v>0</v>
      </c>
      <c r="H111" s="346" t="e">
        <v>#N/A</v>
      </c>
      <c r="I111" s="1439" t="e">
        <v>#N/A</v>
      </c>
      <c r="J111" s="363">
        <v>0</v>
      </c>
      <c r="K111" s="363">
        <v>0</v>
      </c>
      <c r="L111" s="363">
        <v>0</v>
      </c>
      <c r="M111" s="363">
        <v>0</v>
      </c>
      <c r="N111" s="363">
        <f t="shared" si="12"/>
        <v>0</v>
      </c>
      <c r="O111" s="363">
        <f t="shared" si="13"/>
        <v>0</v>
      </c>
    </row>
    <row r="112" spans="1:18">
      <c r="A112" s="360">
        <v>501125</v>
      </c>
      <c r="B112" s="361" t="str">
        <f>VLOOKUP(A112,'TB for financial'!A:B,2,0)</f>
        <v>Tuition Reimbursement</v>
      </c>
      <c r="C112" s="362" t="s">
        <v>738</v>
      </c>
      <c r="E112" s="363">
        <f>VLOOKUP(A112,'TB for financial'!A:F,6,0)</f>
        <v>0</v>
      </c>
      <c r="G112" s="363">
        <f>VLOOKUP(A112,'TB for financial'!A:K,11,0)</f>
        <v>0</v>
      </c>
      <c r="H112" s="346" t="e">
        <v>#N/A</v>
      </c>
      <c r="I112" s="1439" t="e">
        <v>#N/A</v>
      </c>
      <c r="J112" s="363">
        <v>0</v>
      </c>
      <c r="K112" s="363">
        <v>0</v>
      </c>
      <c r="L112" s="363">
        <v>0</v>
      </c>
      <c r="M112" s="363">
        <v>0</v>
      </c>
      <c r="N112" s="363">
        <f t="shared" si="12"/>
        <v>0</v>
      </c>
      <c r="O112" s="363">
        <f t="shared" si="13"/>
        <v>0</v>
      </c>
    </row>
    <row r="113" spans="1:18">
      <c r="A113" s="360">
        <v>501130</v>
      </c>
      <c r="B113" s="361" t="str">
        <f>VLOOKUP(A113,'TB for financial'!A:B,2,0)</f>
        <v>Employee Relations</v>
      </c>
      <c r="C113" s="362" t="s">
        <v>738</v>
      </c>
      <c r="E113" s="363">
        <f>VLOOKUP(A113,'TB for financial'!A:F,6,0)</f>
        <v>0</v>
      </c>
      <c r="G113" s="363">
        <f>VLOOKUP(A113,'TB for financial'!A:K,11,0)</f>
        <v>0</v>
      </c>
      <c r="H113" s="346" t="e">
        <v>#N/A</v>
      </c>
      <c r="I113" s="1439" t="e">
        <v>#N/A</v>
      </c>
      <c r="J113" s="363">
        <v>0</v>
      </c>
      <c r="K113" s="363">
        <v>0</v>
      </c>
      <c r="L113" s="363">
        <v>0</v>
      </c>
      <c r="M113" s="363">
        <v>0</v>
      </c>
      <c r="N113" s="363">
        <f t="shared" si="12"/>
        <v>0</v>
      </c>
      <c r="O113" s="363">
        <f t="shared" si="13"/>
        <v>0</v>
      </c>
    </row>
    <row r="114" spans="1:18">
      <c r="A114" s="360">
        <v>501132</v>
      </c>
      <c r="B114" s="361" t="str">
        <f>VLOOKUP(A114,'TB for financial'!A:B,2,0)</f>
        <v>Client Entertainment Exps</v>
      </c>
      <c r="C114" s="362" t="s">
        <v>738</v>
      </c>
      <c r="E114" s="363">
        <f>VLOOKUP(A114,'TB for financial'!A:F,6,0)</f>
        <v>0</v>
      </c>
      <c r="G114" s="363">
        <f>VLOOKUP(A114,'TB for financial'!A:K,11,0)</f>
        <v>0</v>
      </c>
      <c r="H114" s="346">
        <v>501132</v>
      </c>
      <c r="I114" s="1439">
        <v>0</v>
      </c>
      <c r="J114" s="363">
        <v>0</v>
      </c>
      <c r="K114" s="363">
        <v>0</v>
      </c>
      <c r="L114" s="363">
        <v>0</v>
      </c>
      <c r="M114" s="363">
        <v>0</v>
      </c>
      <c r="N114" s="363">
        <f t="shared" si="12"/>
        <v>0</v>
      </c>
      <c r="O114" s="363">
        <f t="shared" si="13"/>
        <v>0</v>
      </c>
    </row>
    <row r="115" spans="1:18">
      <c r="A115" s="360">
        <v>501135</v>
      </c>
      <c r="B115" s="361" t="str">
        <f>VLOOKUP(A115,'TB for financial'!A:B,2,0)</f>
        <v>Insurance - Workmans Compensat</v>
      </c>
      <c r="C115" s="362" t="s">
        <v>738</v>
      </c>
      <c r="E115" s="363">
        <f>VLOOKUP(A115,'TB for financial'!A:F,6,0)</f>
        <v>0</v>
      </c>
      <c r="G115" s="363">
        <f>VLOOKUP(A115,'TB for financial'!A:K,11,0)</f>
        <v>0</v>
      </c>
      <c r="H115" s="346" t="e">
        <v>#N/A</v>
      </c>
      <c r="I115" s="1439" t="e">
        <v>#N/A</v>
      </c>
      <c r="J115" s="363">
        <v>0</v>
      </c>
      <c r="K115" s="363">
        <v>0</v>
      </c>
      <c r="L115" s="363">
        <v>0</v>
      </c>
      <c r="M115" s="363">
        <v>0</v>
      </c>
      <c r="N115" s="363">
        <f t="shared" si="12"/>
        <v>0</v>
      </c>
      <c r="O115" s="363">
        <f t="shared" si="13"/>
        <v>0</v>
      </c>
    </row>
    <row r="116" spans="1:18">
      <c r="A116" s="360">
        <v>501140</v>
      </c>
      <c r="B116" s="361" t="str">
        <f>VLOOKUP(A116,'TB for financial'!A:B,2,0)</f>
        <v>Benefits - Canteen expenses</v>
      </c>
      <c r="C116" s="362" t="s">
        <v>738</v>
      </c>
      <c r="E116" s="363">
        <f>VLOOKUP(A116,'TB for financial'!A:F,6,0)</f>
        <v>0</v>
      </c>
      <c r="G116" s="363">
        <f>VLOOKUP(A116,'TB for financial'!A:K,11,0)</f>
        <v>0</v>
      </c>
      <c r="H116" s="346">
        <v>501140</v>
      </c>
      <c r="I116" s="1439">
        <v>0</v>
      </c>
      <c r="J116" s="363">
        <v>0</v>
      </c>
      <c r="K116" s="363">
        <v>0</v>
      </c>
      <c r="L116" s="363">
        <v>0</v>
      </c>
      <c r="M116" s="363">
        <v>0</v>
      </c>
      <c r="N116" s="363">
        <f t="shared" si="12"/>
        <v>0</v>
      </c>
      <c r="O116" s="363">
        <f t="shared" si="13"/>
        <v>0</v>
      </c>
      <c r="P116" s="347">
        <v>501140</v>
      </c>
      <c r="Q116" s="365" t="e">
        <v>#N/A</v>
      </c>
      <c r="R116" s="365" t="e">
        <f>+E116-Q116</f>
        <v>#N/A</v>
      </c>
    </row>
    <row r="117" spans="1:18">
      <c r="A117" s="360">
        <v>501141</v>
      </c>
      <c r="B117" s="361" t="str">
        <f>VLOOKUP(A117,'TB for financial'!A:B,2,0)</f>
        <v>Benefits - Medical expenses</v>
      </c>
      <c r="C117" s="362" t="s">
        <v>738</v>
      </c>
      <c r="D117" s="354">
        <v>501141</v>
      </c>
      <c r="E117" s="363">
        <f>VLOOKUP(A117,'TB for financial'!A:F,6,0)</f>
        <v>0</v>
      </c>
      <c r="F117" s="349"/>
      <c r="G117" s="363">
        <f>VLOOKUP(A117,'TB for financial'!A:K,11,0)</f>
        <v>0</v>
      </c>
      <c r="H117" s="346">
        <v>501141</v>
      </c>
      <c r="I117" s="1439">
        <v>1560</v>
      </c>
      <c r="J117" s="363">
        <v>3625</v>
      </c>
      <c r="K117" s="363">
        <v>1200</v>
      </c>
      <c r="L117" s="363">
        <v>0</v>
      </c>
      <c r="M117" s="363">
        <v>0</v>
      </c>
      <c r="N117" s="363">
        <f t="shared" si="12"/>
        <v>4825</v>
      </c>
      <c r="O117" s="363">
        <f t="shared" si="13"/>
        <v>-4825</v>
      </c>
      <c r="P117" s="347">
        <v>501141</v>
      </c>
      <c r="Q117" s="365" t="e">
        <v>#N/A</v>
      </c>
      <c r="R117" s="365" t="e">
        <f>+E117-Q117</f>
        <v>#N/A</v>
      </c>
    </row>
    <row r="118" spans="1:18">
      <c r="A118" s="360">
        <v>501142</v>
      </c>
      <c r="B118" s="361" t="str">
        <f>VLOOKUP(A118,'TB for financial'!A:B,2,0)</f>
        <v>Benefits - Staff Functions</v>
      </c>
      <c r="C118" s="362" t="s">
        <v>738</v>
      </c>
      <c r="D118" s="354">
        <v>501142</v>
      </c>
      <c r="E118" s="363">
        <f>VLOOKUP(A118,'TB for financial'!A:F,6,0)</f>
        <v>0</v>
      </c>
      <c r="F118" s="349"/>
      <c r="G118" s="363">
        <f>VLOOKUP(A118,'TB for financial'!A:K,11,0)</f>
        <v>0</v>
      </c>
      <c r="H118" s="346">
        <v>501142</v>
      </c>
      <c r="I118" s="1439">
        <v>2000</v>
      </c>
      <c r="J118" s="363">
        <v>0</v>
      </c>
      <c r="K118" s="363">
        <v>0</v>
      </c>
      <c r="L118" s="363">
        <v>0</v>
      </c>
      <c r="M118" s="363">
        <v>0</v>
      </c>
      <c r="N118" s="363">
        <f t="shared" si="12"/>
        <v>0</v>
      </c>
      <c r="O118" s="363">
        <f t="shared" si="13"/>
        <v>0</v>
      </c>
    </row>
    <row r="119" spans="1:18">
      <c r="A119" s="360">
        <v>501143</v>
      </c>
      <c r="B119" s="361" t="str">
        <f>VLOOKUP(A119,'TB for financial'!A:B,2,0)</f>
        <v>Benefits - Proj. Lunch/Picnic</v>
      </c>
      <c r="C119" s="362" t="s">
        <v>738</v>
      </c>
      <c r="E119" s="363">
        <f>VLOOKUP(A119,'TB for financial'!A:F,6,0)</f>
        <v>0</v>
      </c>
      <c r="G119" s="363">
        <f>VLOOKUP(A119,'TB for financial'!A:K,11,0)</f>
        <v>0</v>
      </c>
      <c r="H119" s="346">
        <v>501143</v>
      </c>
      <c r="I119" s="1439">
        <v>0</v>
      </c>
      <c r="J119" s="363">
        <v>0</v>
      </c>
      <c r="K119" s="363">
        <v>0</v>
      </c>
      <c r="L119" s="363">
        <v>0</v>
      </c>
      <c r="M119" s="363">
        <v>0</v>
      </c>
      <c r="N119" s="363">
        <f t="shared" si="12"/>
        <v>0</v>
      </c>
      <c r="O119" s="363">
        <f t="shared" si="13"/>
        <v>0</v>
      </c>
    </row>
    <row r="120" spans="1:18">
      <c r="A120" s="360">
        <v>501144</v>
      </c>
      <c r="B120" s="361" t="str">
        <f>VLOOKUP(A120,'TB for financial'!A:B,2,0)</f>
        <v xml:space="preserve">Benefits - Staff Transport </v>
      </c>
      <c r="C120" s="362" t="s">
        <v>738</v>
      </c>
      <c r="E120" s="363">
        <f>VLOOKUP(A120,'TB for financial'!A:F,6,0)</f>
        <v>0</v>
      </c>
      <c r="G120" s="363">
        <f>VLOOKUP(A120,'TB for financial'!A:K,11,0)</f>
        <v>0</v>
      </c>
      <c r="H120" s="346">
        <v>501144</v>
      </c>
      <c r="I120" s="1439">
        <v>0</v>
      </c>
      <c r="J120" s="363">
        <v>-4380</v>
      </c>
      <c r="K120" s="363">
        <v>0</v>
      </c>
      <c r="L120" s="363">
        <v>0</v>
      </c>
      <c r="M120" s="363">
        <v>0</v>
      </c>
      <c r="N120" s="363">
        <f t="shared" si="12"/>
        <v>-4380</v>
      </c>
      <c r="O120" s="363">
        <f t="shared" si="13"/>
        <v>4380</v>
      </c>
      <c r="P120" s="347">
        <v>501144</v>
      </c>
      <c r="Q120" s="365" t="e">
        <v>#N/A</v>
      </c>
      <c r="R120" s="365" t="e">
        <f>+E120-Q120</f>
        <v>#N/A</v>
      </c>
    </row>
    <row r="121" spans="1:18">
      <c r="A121" s="360">
        <v>501145</v>
      </c>
      <c r="B121" s="361" t="str">
        <f>VLOOKUP(A121,'TB for financial'!A:B,2,0)</f>
        <v>Benefits - Others</v>
      </c>
      <c r="C121" s="362" t="s">
        <v>738</v>
      </c>
      <c r="E121" s="363">
        <f>VLOOKUP(A121,'TB for financial'!A:F,6,0)</f>
        <v>0</v>
      </c>
      <c r="G121" s="363">
        <f>VLOOKUP(A121,'TB for financial'!A:K,11,0)</f>
        <v>0</v>
      </c>
      <c r="H121" s="346">
        <v>501145</v>
      </c>
      <c r="I121" s="1439">
        <v>0</v>
      </c>
      <c r="J121" s="363">
        <v>0</v>
      </c>
      <c r="K121" s="363">
        <v>0</v>
      </c>
      <c r="L121" s="363">
        <v>0</v>
      </c>
      <c r="M121" s="363">
        <v>0</v>
      </c>
      <c r="N121" s="363">
        <f t="shared" si="12"/>
        <v>0</v>
      </c>
      <c r="O121" s="363">
        <f t="shared" si="13"/>
        <v>0</v>
      </c>
    </row>
    <row r="122" spans="1:18">
      <c r="A122" s="360">
        <v>501146</v>
      </c>
      <c r="B122" s="361" t="str">
        <f>VLOOKUP(A122,'TB for financial'!A:B,2,0)</f>
        <v>Benefits - Staff Gifts</v>
      </c>
      <c r="C122" s="362" t="s">
        <v>738</v>
      </c>
      <c r="E122" s="363">
        <f>VLOOKUP(A122,'TB for financial'!A:F,6,0)</f>
        <v>0</v>
      </c>
      <c r="G122" s="363">
        <f>VLOOKUP(A122,'TB for financial'!A:K,11,0)</f>
        <v>0</v>
      </c>
      <c r="H122" s="346">
        <v>501146</v>
      </c>
      <c r="I122" s="1439">
        <v>0</v>
      </c>
      <c r="J122" s="363">
        <v>0</v>
      </c>
      <c r="K122" s="363">
        <v>0</v>
      </c>
      <c r="L122" s="363">
        <v>0</v>
      </c>
      <c r="M122" s="363">
        <v>0</v>
      </c>
      <c r="N122" s="363">
        <f t="shared" si="12"/>
        <v>0</v>
      </c>
      <c r="O122" s="363">
        <f t="shared" si="13"/>
        <v>0</v>
      </c>
    </row>
    <row r="123" spans="1:18">
      <c r="A123" s="360">
        <v>501153</v>
      </c>
      <c r="B123" s="361" t="str">
        <f>VLOOKUP(A123,'TB for financial'!A:B,2,0)</f>
        <v>Benefits - Transport Recovery</v>
      </c>
      <c r="C123" s="362" t="s">
        <v>738</v>
      </c>
      <c r="E123" s="363">
        <f>VLOOKUP(A123,'TB for financial'!A:F,6,0)</f>
        <v>0</v>
      </c>
      <c r="G123" s="363">
        <f>VLOOKUP(A123,'TB for financial'!A:K,11,0)</f>
        <v>0</v>
      </c>
      <c r="H123" s="346">
        <v>501153</v>
      </c>
      <c r="I123" s="1439">
        <v>0</v>
      </c>
      <c r="J123" s="363">
        <v>-480</v>
      </c>
      <c r="K123" s="363">
        <v>0</v>
      </c>
      <c r="L123" s="363">
        <v>0</v>
      </c>
      <c r="M123" s="363">
        <v>0</v>
      </c>
      <c r="N123" s="363">
        <f t="shared" si="12"/>
        <v>-480</v>
      </c>
      <c r="O123" s="363">
        <f t="shared" si="13"/>
        <v>480</v>
      </c>
      <c r="P123" s="347">
        <v>501153</v>
      </c>
      <c r="Q123" s="365"/>
      <c r="R123" s="365"/>
    </row>
    <row r="124" spans="1:18">
      <c r="A124" s="360">
        <v>501655</v>
      </c>
      <c r="B124" s="361" t="str">
        <f>VLOOKUP(A124,'TB for financial'!A:B,2,0)</f>
        <v>Training &amp; Seminars</v>
      </c>
      <c r="C124" s="362" t="s">
        <v>738</v>
      </c>
      <c r="E124" s="363">
        <f>VLOOKUP(A124,'TB for financial'!A:F,6,0)</f>
        <v>0</v>
      </c>
      <c r="G124" s="363">
        <f>VLOOKUP(A124,'TB for financial'!A:K,11,0)</f>
        <v>0</v>
      </c>
      <c r="H124" s="346">
        <v>501655</v>
      </c>
      <c r="I124" s="1439">
        <v>0</v>
      </c>
      <c r="J124" s="363">
        <v>0</v>
      </c>
      <c r="K124" s="363">
        <v>0</v>
      </c>
      <c r="L124" s="363">
        <v>0</v>
      </c>
      <c r="M124" s="363">
        <v>0</v>
      </c>
      <c r="N124" s="363">
        <f t="shared" si="12"/>
        <v>0</v>
      </c>
      <c r="O124" s="363">
        <f t="shared" si="13"/>
        <v>0</v>
      </c>
    </row>
    <row r="125" spans="1:18">
      <c r="A125" s="360">
        <v>501660</v>
      </c>
      <c r="B125" s="361" t="str">
        <f>VLOOKUP(A125,'TB for financial'!A:B,2,0)</f>
        <v>Employee Training</v>
      </c>
      <c r="C125" s="362" t="s">
        <v>738</v>
      </c>
      <c r="E125" s="363">
        <f>VLOOKUP(A125,'TB for financial'!A:F,6,0)</f>
        <v>0</v>
      </c>
      <c r="G125" s="363">
        <f>VLOOKUP(A125,'TB for financial'!A:K,11,0)</f>
        <v>0</v>
      </c>
      <c r="H125" s="346">
        <v>501660</v>
      </c>
      <c r="I125" s="1439">
        <v>0</v>
      </c>
      <c r="J125" s="363">
        <v>0</v>
      </c>
      <c r="K125" s="363">
        <v>0</v>
      </c>
      <c r="L125" s="363">
        <v>0</v>
      </c>
      <c r="M125" s="363">
        <v>0</v>
      </c>
      <c r="N125" s="363">
        <f t="shared" si="12"/>
        <v>0</v>
      </c>
      <c r="O125" s="363">
        <f t="shared" si="13"/>
        <v>0</v>
      </c>
      <c r="P125" s="347">
        <v>501660</v>
      </c>
      <c r="Q125" s="365" t="e">
        <v>#N/A</v>
      </c>
      <c r="R125" s="365" t="e">
        <f>+E125-Q125</f>
        <v>#N/A</v>
      </c>
    </row>
    <row r="126" spans="1:18">
      <c r="A126" s="360">
        <v>501661</v>
      </c>
      <c r="B126" s="361" t="str">
        <f>VLOOKUP(A126,'TB for financial'!A:B,2,0)</f>
        <v>Membership - PMI</v>
      </c>
      <c r="C126" s="362" t="s">
        <v>738</v>
      </c>
      <c r="E126" s="363">
        <f>VLOOKUP(A126,'TB for financial'!A:F,6,0)</f>
        <v>0</v>
      </c>
      <c r="G126" s="363">
        <f>VLOOKUP(A126,'TB for financial'!A:K,11,0)</f>
        <v>0</v>
      </c>
      <c r="H126" s="346" t="e">
        <v>#N/A</v>
      </c>
      <c r="I126" s="1439" t="e">
        <v>#N/A</v>
      </c>
      <c r="J126" s="363">
        <v>0</v>
      </c>
      <c r="K126" s="363">
        <v>0</v>
      </c>
      <c r="L126" s="363">
        <v>0</v>
      </c>
      <c r="M126" s="363">
        <v>0</v>
      </c>
      <c r="N126" s="363">
        <f t="shared" si="12"/>
        <v>0</v>
      </c>
      <c r="O126" s="363">
        <f t="shared" si="13"/>
        <v>0</v>
      </c>
    </row>
    <row r="127" spans="1:18">
      <c r="A127" s="1379">
        <v>625714</v>
      </c>
      <c r="B127" s="361" t="str">
        <f>VLOOKUP(A127,'TB for financial'!A:B,2,0)</f>
        <v>Staff Meals - Lunch</v>
      </c>
      <c r="C127" s="362" t="s">
        <v>738</v>
      </c>
      <c r="D127" s="354">
        <v>625714</v>
      </c>
      <c r="E127" s="363">
        <f>VLOOKUP(A127,'TB for financial'!A:F,6,0)</f>
        <v>0</v>
      </c>
      <c r="G127" s="363">
        <f>VLOOKUP(A127,'TB for financial'!A:K,11,0)</f>
        <v>-2200</v>
      </c>
      <c r="H127" s="346">
        <v>625714</v>
      </c>
      <c r="I127" s="1439">
        <v>6600</v>
      </c>
      <c r="J127" s="363">
        <v>0</v>
      </c>
      <c r="K127" s="363">
        <v>0</v>
      </c>
      <c r="L127" s="363">
        <v>0</v>
      </c>
      <c r="M127" s="363">
        <v>0</v>
      </c>
      <c r="N127" s="363">
        <f>+J127+K127</f>
        <v>0</v>
      </c>
      <c r="O127" s="363">
        <f>+E127-N127</f>
        <v>0</v>
      </c>
    </row>
    <row r="128" spans="1:18">
      <c r="A128" s="1379">
        <v>645004</v>
      </c>
      <c r="B128" s="361" t="str">
        <f>VLOOKUP(A128,'TB for financial'!A:B,2,0)</f>
        <v>Health Insurance 4</v>
      </c>
      <c r="C128" s="362" t="s">
        <v>738</v>
      </c>
      <c r="D128" s="354">
        <v>645004</v>
      </c>
      <c r="E128" s="363">
        <f>VLOOKUP(A128,'TB for financial'!A:F,6,0)</f>
        <v>267309.19999999995</v>
      </c>
      <c r="G128" s="363">
        <f>VLOOKUP(A128,'TB for financial'!A:K,11,0)</f>
        <v>221932</v>
      </c>
      <c r="H128" s="346">
        <v>645004</v>
      </c>
      <c r="I128" s="1439">
        <v>-70270.850000000006</v>
      </c>
      <c r="J128" s="363">
        <v>0</v>
      </c>
      <c r="K128" s="363">
        <v>0</v>
      </c>
      <c r="L128" s="363">
        <v>0</v>
      </c>
      <c r="M128" s="363">
        <v>0</v>
      </c>
      <c r="N128" s="363">
        <f>+J128+K128</f>
        <v>0</v>
      </c>
      <c r="O128" s="363">
        <f>+E128-N128</f>
        <v>267309.19999999995</v>
      </c>
    </row>
    <row r="129" spans="1:18">
      <c r="A129" s="1379">
        <v>637803</v>
      </c>
      <c r="B129" s="361" t="str">
        <f>VLOOKUP(A129,'TB for financial'!A:B,2,0)</f>
        <v>TAX PAID ON SALARIES - GEN&amp;ADM</v>
      </c>
      <c r="C129" s="362" t="s">
        <v>738</v>
      </c>
      <c r="D129" s="354">
        <v>637803</v>
      </c>
      <c r="E129" s="363">
        <f>VLOOKUP(A129,'TB for financial'!A:F,6,0)</f>
        <v>0</v>
      </c>
      <c r="G129" s="363">
        <f>VLOOKUP(A129,'TB for financial'!A:K,11,0)</f>
        <v>0</v>
      </c>
      <c r="H129" s="346">
        <v>637803</v>
      </c>
      <c r="I129" s="1439">
        <v>9011</v>
      </c>
      <c r="J129" s="363"/>
      <c r="K129" s="363"/>
      <c r="L129" s="363"/>
      <c r="M129" s="363"/>
      <c r="N129" s="363"/>
      <c r="O129" s="363"/>
    </row>
    <row r="130" spans="1:18">
      <c r="A130" s="1379">
        <v>633300</v>
      </c>
      <c r="B130" s="361" t="str">
        <f>VLOOKUP(A130,'TB for financial'!A:B,2,0)</f>
        <v>TRAINING INVOICES</v>
      </c>
      <c r="C130" s="362" t="s">
        <v>738</v>
      </c>
      <c r="D130" s="354">
        <v>637803</v>
      </c>
      <c r="E130" s="363">
        <f>VLOOKUP(A130,'TB for financial'!A:F,6,0)</f>
        <v>0</v>
      </c>
      <c r="G130" s="363">
        <f>VLOOKUP(A130,'TB for financial'!A:K,11,0)</f>
        <v>0</v>
      </c>
      <c r="H130" s="346">
        <v>633300</v>
      </c>
      <c r="I130" s="1439"/>
      <c r="J130" s="363"/>
      <c r="K130" s="363"/>
      <c r="L130" s="363"/>
      <c r="M130" s="363"/>
      <c r="N130" s="363"/>
      <c r="O130" s="363"/>
    </row>
    <row r="131" spans="1:18">
      <c r="A131" s="1379">
        <v>647500</v>
      </c>
      <c r="B131" s="361" t="str">
        <f>VLOOKUP(A131,'TB for financial'!A:B,2,0)</f>
        <v>COMPANY DOCTOR</v>
      </c>
      <c r="C131" s="362" t="s">
        <v>738</v>
      </c>
      <c r="D131" s="354">
        <v>637803</v>
      </c>
      <c r="E131" s="363">
        <f>VLOOKUP(A131,'TB for financial'!A:F,6,0)</f>
        <v>0</v>
      </c>
      <c r="G131" s="363">
        <f>VLOOKUP(A131,'TB for financial'!A:K,11,0)</f>
        <v>0</v>
      </c>
      <c r="H131" s="346">
        <v>647500</v>
      </c>
      <c r="I131" s="1439"/>
      <c r="J131" s="363"/>
      <c r="K131" s="363"/>
      <c r="L131" s="363"/>
      <c r="M131" s="363"/>
      <c r="N131" s="363"/>
      <c r="O131" s="363"/>
    </row>
    <row r="132" spans="1:18">
      <c r="A132" s="1379">
        <v>647600</v>
      </c>
      <c r="B132" s="361" t="str">
        <f>VLOOKUP(A132,'TB for financial'!A:B,2,0)</f>
        <v>LUNCHEON VOUCHERS AND MEAL CARDS</v>
      </c>
      <c r="C132" s="362" t="s">
        <v>738</v>
      </c>
      <c r="D132" s="354">
        <v>637803</v>
      </c>
      <c r="E132" s="363">
        <f>VLOOKUP(A132,'TB for financial'!A:F,6,0)</f>
        <v>26400</v>
      </c>
      <c r="G132" s="363">
        <f>VLOOKUP(A132,'TB for financial'!A:K,11,0)</f>
        <v>28600.000000000004</v>
      </c>
      <c r="H132" s="346">
        <v>647600</v>
      </c>
      <c r="I132" s="1439"/>
      <c r="J132" s="363"/>
      <c r="K132" s="363"/>
      <c r="L132" s="363"/>
      <c r="M132" s="363"/>
      <c r="N132" s="363"/>
      <c r="O132" s="363"/>
    </row>
    <row r="133" spans="1:18" ht="5.0999999999999996" customHeight="1">
      <c r="A133" s="360"/>
      <c r="B133" s="361"/>
      <c r="C133" s="362"/>
      <c r="E133" s="363"/>
      <c r="G133" s="363"/>
      <c r="J133" s="363"/>
      <c r="K133" s="363"/>
      <c r="L133" s="363"/>
      <c r="M133" s="363"/>
      <c r="N133" s="363"/>
      <c r="O133" s="363"/>
    </row>
    <row r="134" spans="1:18" s="350" customFormat="1" ht="15" thickBot="1">
      <c r="A134" s="366"/>
      <c r="B134" s="368" t="s">
        <v>740</v>
      </c>
      <c r="C134" s="1627"/>
      <c r="D134" s="1628"/>
      <c r="E134" s="1630">
        <f>SUM(E106:E133)</f>
        <v>293709.19999999995</v>
      </c>
      <c r="F134" s="349"/>
      <c r="G134" s="367">
        <f>SUM(G106:G133)</f>
        <v>248332</v>
      </c>
      <c r="H134" s="349"/>
      <c r="J134" s="367">
        <f t="shared" ref="J134:O134" si="14">SUM(J106:J133)</f>
        <v>18516.00400000003</v>
      </c>
      <c r="K134" s="367">
        <f t="shared" si="14"/>
        <v>22681.64</v>
      </c>
      <c r="L134" s="367">
        <f t="shared" si="14"/>
        <v>0</v>
      </c>
      <c r="M134" s="367">
        <f t="shared" si="14"/>
        <v>0</v>
      </c>
      <c r="N134" s="367">
        <f t="shared" si="14"/>
        <v>41197.644000000029</v>
      </c>
      <c r="O134" s="367">
        <f t="shared" si="14"/>
        <v>226111.55599999992</v>
      </c>
    </row>
    <row r="135" spans="1:18" ht="5.0999999999999996" customHeight="1" thickTop="1">
      <c r="A135" s="360"/>
      <c r="B135" s="361"/>
      <c r="C135" s="362"/>
      <c r="E135" s="363"/>
      <c r="G135" s="363"/>
      <c r="J135" s="363"/>
      <c r="K135" s="363"/>
      <c r="L135" s="363"/>
      <c r="M135" s="363"/>
      <c r="N135" s="363"/>
      <c r="O135" s="363"/>
    </row>
    <row r="136" spans="1:18">
      <c r="A136" s="360">
        <v>500071</v>
      </c>
      <c r="B136" s="361" t="str">
        <f>VLOOKUP(A136,'TB for financial'!A:B,2,0)</f>
        <v>Payroll - E.S.I.C. - Co. Cont.</v>
      </c>
      <c r="C136" s="362" t="s">
        <v>738</v>
      </c>
      <c r="E136" s="363">
        <f>VLOOKUP(A136,'TB for financial'!A:F,6,0)</f>
        <v>0</v>
      </c>
      <c r="G136" s="363">
        <f>VLOOKUP(A136,'TB for financial'!A:K,11,0)</f>
        <v>0</v>
      </c>
      <c r="H136" s="346">
        <v>500071</v>
      </c>
      <c r="I136" s="1439">
        <v>0</v>
      </c>
      <c r="J136" s="363">
        <v>0</v>
      </c>
      <c r="K136" s="363">
        <v>0</v>
      </c>
      <c r="L136" s="363">
        <v>0</v>
      </c>
      <c r="M136" s="363">
        <v>0</v>
      </c>
      <c r="N136" s="363">
        <f t="shared" ref="N136:N144" si="15">+J136+K136</f>
        <v>0</v>
      </c>
      <c r="O136" s="363">
        <f t="shared" ref="O136:O144" si="16">+E136-N136</f>
        <v>0</v>
      </c>
    </row>
    <row r="137" spans="1:18">
      <c r="A137" s="360">
        <v>500072</v>
      </c>
      <c r="B137" s="361" t="str">
        <f>VLOOKUP(A137,'TB for financial'!A:B,2,0)</f>
        <v>Payroll - F P F - Co Cont.</v>
      </c>
      <c r="C137" s="362" t="s">
        <v>738</v>
      </c>
      <c r="E137" s="363">
        <f>VLOOKUP(A137,'TB for financial'!A:F,6,0)</f>
        <v>0</v>
      </c>
      <c r="G137" s="363">
        <f>VLOOKUP(A137,'TB for financial'!A:K,11,0)</f>
        <v>0</v>
      </c>
      <c r="H137" s="346" t="e">
        <v>#N/A</v>
      </c>
      <c r="I137" s="1439" t="e">
        <v>#N/A</v>
      </c>
      <c r="J137" s="363">
        <v>0</v>
      </c>
      <c r="K137" s="363">
        <v>0</v>
      </c>
      <c r="L137" s="363">
        <v>0</v>
      </c>
      <c r="M137" s="363">
        <v>0</v>
      </c>
      <c r="N137" s="363">
        <f t="shared" si="15"/>
        <v>0</v>
      </c>
      <c r="O137" s="363">
        <f t="shared" si="16"/>
        <v>0</v>
      </c>
    </row>
    <row r="138" spans="1:18">
      <c r="A138" s="360">
        <v>500073</v>
      </c>
      <c r="B138" s="361" t="str">
        <f>VLOOKUP(A138,'TB for financial'!A:B,2,0)</f>
        <v>Payroll - M L W F - Co. Cont.</v>
      </c>
      <c r="C138" s="362" t="s">
        <v>738</v>
      </c>
      <c r="D138" s="354">
        <v>500073</v>
      </c>
      <c r="E138" s="363">
        <f>VLOOKUP(A138,'TB for financial'!A:F,6,0)</f>
        <v>0</v>
      </c>
      <c r="G138" s="363">
        <f>VLOOKUP(A138,'TB for financial'!A:K,11,0)</f>
        <v>0</v>
      </c>
      <c r="H138" s="346">
        <v>500073</v>
      </c>
      <c r="I138" s="1439">
        <v>72</v>
      </c>
      <c r="J138" s="363">
        <v>72</v>
      </c>
      <c r="K138" s="363">
        <v>0</v>
      </c>
      <c r="L138" s="363">
        <v>0</v>
      </c>
      <c r="M138" s="363">
        <v>0</v>
      </c>
      <c r="N138" s="363">
        <f t="shared" si="15"/>
        <v>72</v>
      </c>
      <c r="O138" s="363">
        <f t="shared" si="16"/>
        <v>-72</v>
      </c>
      <c r="P138" s="347">
        <v>500073</v>
      </c>
      <c r="Q138" s="365" t="e">
        <v>#N/A</v>
      </c>
      <c r="R138" s="365" t="e">
        <f>+E138-Q138</f>
        <v>#N/A</v>
      </c>
    </row>
    <row r="139" spans="1:18">
      <c r="A139" s="360">
        <v>500074</v>
      </c>
      <c r="B139" s="361" t="str">
        <f>VLOOKUP(A139,'TB for financial'!A:B,2,0)</f>
        <v>Payroll - C L W F - Co. Cont.</v>
      </c>
      <c r="C139" s="362" t="s">
        <v>738</v>
      </c>
      <c r="E139" s="363">
        <f>VLOOKUP(A139,'TB for financial'!A:F,6,0)</f>
        <v>0</v>
      </c>
      <c r="F139" s="349"/>
      <c r="G139" s="363">
        <f>VLOOKUP(A139,'TB for financial'!A:K,11,0)</f>
        <v>0</v>
      </c>
      <c r="H139" s="346">
        <v>500074</v>
      </c>
      <c r="I139" s="1439">
        <v>0</v>
      </c>
      <c r="J139" s="363">
        <v>0</v>
      </c>
      <c r="K139" s="363">
        <v>0</v>
      </c>
      <c r="L139" s="363">
        <v>0</v>
      </c>
      <c r="M139" s="363">
        <v>0</v>
      </c>
      <c r="N139" s="363">
        <f t="shared" si="15"/>
        <v>0</v>
      </c>
      <c r="O139" s="363">
        <f t="shared" si="16"/>
        <v>0</v>
      </c>
    </row>
    <row r="140" spans="1:18">
      <c r="A140" s="360">
        <v>500075</v>
      </c>
      <c r="B140" s="361" t="str">
        <f>VLOOKUP(A140,'TB for financial'!A:B,2,0)</f>
        <v>Payroll - P F Admin. Charges</v>
      </c>
      <c r="C140" s="362" t="s">
        <v>738</v>
      </c>
      <c r="D140" s="354">
        <v>500075</v>
      </c>
      <c r="E140" s="363">
        <f>VLOOKUP(A140,'TB for financial'!A:F,6,0)</f>
        <v>0</v>
      </c>
      <c r="G140" s="363">
        <f>VLOOKUP(A140,'TB for financial'!A:K,11,0)</f>
        <v>0</v>
      </c>
      <c r="H140" s="346">
        <v>500075</v>
      </c>
      <c r="I140" s="1439">
        <v>5435.55</v>
      </c>
      <c r="J140" s="363">
        <v>4461.829999999999</v>
      </c>
      <c r="K140" s="363">
        <v>2041.81</v>
      </c>
      <c r="L140" s="363">
        <v>0</v>
      </c>
      <c r="M140" s="363">
        <v>0</v>
      </c>
      <c r="N140" s="363">
        <f t="shared" si="15"/>
        <v>6503.6399999999994</v>
      </c>
      <c r="O140" s="363">
        <f t="shared" si="16"/>
        <v>-6503.6399999999994</v>
      </c>
      <c r="P140" s="347">
        <v>500075</v>
      </c>
      <c r="Q140" s="365" t="e">
        <v>#N/A</v>
      </c>
      <c r="R140" s="365" t="e">
        <f>+E140-Q140</f>
        <v>#N/A</v>
      </c>
    </row>
    <row r="141" spans="1:18">
      <c r="A141" s="360">
        <v>500076</v>
      </c>
      <c r="B141" s="361" t="str">
        <f>VLOOKUP(A141,'TB for financial'!A:B,2,0)</f>
        <v>Payroll - P F - Co Contribution</v>
      </c>
      <c r="C141" s="362" t="s">
        <v>738</v>
      </c>
      <c r="D141" s="354">
        <v>500076</v>
      </c>
      <c r="E141" s="363">
        <f>VLOOKUP(A141,'TB for financial'!A:F,6,0)</f>
        <v>0</v>
      </c>
      <c r="G141" s="363">
        <f>VLOOKUP(A141,'TB for financial'!A:K,11,0)</f>
        <v>0</v>
      </c>
      <c r="H141" s="346">
        <v>500076</v>
      </c>
      <c r="I141" s="1439">
        <v>130453</v>
      </c>
      <c r="J141" s="363">
        <v>99884</v>
      </c>
      <c r="K141" s="363">
        <v>49003</v>
      </c>
      <c r="L141" s="363">
        <v>0</v>
      </c>
      <c r="M141" s="363">
        <v>0</v>
      </c>
      <c r="N141" s="363">
        <f t="shared" si="15"/>
        <v>148887</v>
      </c>
      <c r="O141" s="363">
        <f t="shared" si="16"/>
        <v>-148887</v>
      </c>
      <c r="P141" s="347">
        <v>500076</v>
      </c>
      <c r="Q141" s="365" t="e">
        <v>#N/A</v>
      </c>
      <c r="R141" s="365" t="e">
        <f>+E141-Q141</f>
        <v>#N/A</v>
      </c>
    </row>
    <row r="142" spans="1:18">
      <c r="A142" s="360">
        <v>500089</v>
      </c>
      <c r="B142" s="361" t="str">
        <f>VLOOKUP(A142,'TB for financial'!A:B,2,0)</f>
        <v>Payroll - EDLIS</v>
      </c>
      <c r="C142" s="362" t="s">
        <v>738</v>
      </c>
      <c r="D142" s="354">
        <v>500089</v>
      </c>
      <c r="E142" s="363">
        <f>VLOOKUP(A142,'TB for financial'!A:F,6,0)</f>
        <v>0</v>
      </c>
      <c r="G142" s="363">
        <f>VLOOKUP(A142,'TB for financial'!A:K,11,0)</f>
        <v>0</v>
      </c>
      <c r="H142" s="346">
        <v>500089</v>
      </c>
      <c r="I142" s="1439">
        <v>4865.79</v>
      </c>
      <c r="J142" s="363">
        <v>4311.829999999999</v>
      </c>
      <c r="K142" s="363">
        <v>1809.67</v>
      </c>
      <c r="L142" s="363">
        <v>0</v>
      </c>
      <c r="M142" s="363">
        <v>0</v>
      </c>
      <c r="N142" s="363">
        <f t="shared" si="15"/>
        <v>6121.4999999999991</v>
      </c>
      <c r="O142" s="363">
        <f t="shared" si="16"/>
        <v>-6121.4999999999991</v>
      </c>
      <c r="P142" s="347">
        <v>500089</v>
      </c>
      <c r="Q142" s="365"/>
      <c r="R142" s="365"/>
    </row>
    <row r="143" spans="1:18">
      <c r="A143" s="1379">
        <v>641713</v>
      </c>
      <c r="B143" s="361" t="str">
        <f>VLOOKUP(A143,'TB for financial'!A:B,2,0)</f>
        <v>Co. Cont. to P.F.</v>
      </c>
      <c r="C143" s="362" t="s">
        <v>738</v>
      </c>
      <c r="D143" s="354">
        <v>641713</v>
      </c>
      <c r="E143" s="363">
        <f>VLOOKUP(A143,'TB for financial'!A:F,6,0)</f>
        <v>104408</v>
      </c>
      <c r="G143" s="363">
        <f>VLOOKUP(A143,'TB for financial'!A:K,11,0)</f>
        <v>132173</v>
      </c>
      <c r="H143" s="346">
        <v>641713</v>
      </c>
      <c r="I143" s="1439">
        <v>-99201</v>
      </c>
      <c r="J143" s="363">
        <v>0</v>
      </c>
      <c r="K143" s="363">
        <v>0</v>
      </c>
      <c r="L143" s="363">
        <v>0</v>
      </c>
      <c r="M143" s="363">
        <v>0</v>
      </c>
      <c r="N143" s="363">
        <f t="shared" si="15"/>
        <v>0</v>
      </c>
      <c r="O143" s="363">
        <f t="shared" si="16"/>
        <v>104408</v>
      </c>
    </row>
    <row r="144" spans="1:18">
      <c r="A144" s="1379">
        <v>641716</v>
      </c>
      <c r="B144" s="361" t="str">
        <f>VLOOKUP(A144,'TB for financial'!A:B,2,0)</f>
        <v>Cont.-MLWF/PF/EDLI Admn.</v>
      </c>
      <c r="C144" s="362" t="s">
        <v>738</v>
      </c>
      <c r="D144" s="354">
        <v>641716</v>
      </c>
      <c r="E144" s="363">
        <f>VLOOKUP(A144,'TB for financial'!A:F,6,0)</f>
        <v>5175</v>
      </c>
      <c r="G144" s="363">
        <f>VLOOKUP(A144,'TB for financial'!A:K,11,0)</f>
        <v>5576.21</v>
      </c>
      <c r="H144" s="346">
        <v>641716</v>
      </c>
      <c r="I144" s="1439">
        <v>-3696.38</v>
      </c>
      <c r="J144" s="363">
        <v>0</v>
      </c>
      <c r="K144" s="363">
        <v>0</v>
      </c>
      <c r="L144" s="363">
        <v>0</v>
      </c>
      <c r="M144" s="363">
        <v>0</v>
      </c>
      <c r="N144" s="363">
        <f t="shared" si="15"/>
        <v>0</v>
      </c>
      <c r="O144" s="363">
        <f t="shared" si="16"/>
        <v>5175</v>
      </c>
    </row>
    <row r="145" spans="1:18">
      <c r="A145" s="1379">
        <v>645643</v>
      </c>
      <c r="B145" s="361" t="str">
        <f>VLOOKUP(A145,'TB for financial'!A:B,2,0)</f>
        <v>pension contr own employee</v>
      </c>
      <c r="C145" s="362" t="s">
        <v>738</v>
      </c>
      <c r="D145" s="354">
        <v>645643</v>
      </c>
      <c r="E145" s="363">
        <f>VLOOKUP(A145,'TB for financial'!A:F,6,0)</f>
        <v>5800</v>
      </c>
      <c r="G145" s="363">
        <f>VLOOKUP(A145,'TB for financial'!A:K,11,0)</f>
        <v>5507.21</v>
      </c>
      <c r="H145" s="346">
        <v>645643</v>
      </c>
      <c r="I145" s="1439">
        <v>-5186.38</v>
      </c>
      <c r="J145" s="363">
        <v>0</v>
      </c>
      <c r="K145" s="363">
        <v>0</v>
      </c>
      <c r="L145" s="363">
        <v>0</v>
      </c>
      <c r="M145" s="363">
        <v>0</v>
      </c>
      <c r="N145" s="363">
        <f>+J145+K145</f>
        <v>0</v>
      </c>
      <c r="O145" s="363">
        <f>+E145-N145</f>
        <v>5800</v>
      </c>
    </row>
    <row r="146" spans="1:18">
      <c r="A146" s="1379">
        <v>645700</v>
      </c>
      <c r="B146" s="361" t="s">
        <v>2669</v>
      </c>
      <c r="C146" s="362" t="s">
        <v>738</v>
      </c>
      <c r="E146" s="363">
        <f>VLOOKUP(A146,'TB for financial'!A:F,6,0)</f>
        <v>0</v>
      </c>
      <c r="G146" s="363"/>
      <c r="I146" s="1439"/>
      <c r="J146" s="363"/>
      <c r="K146" s="363"/>
      <c r="L146" s="363"/>
      <c r="M146" s="363"/>
      <c r="N146" s="363"/>
      <c r="O146" s="363"/>
    </row>
    <row r="147" spans="1:18">
      <c r="A147" s="1379">
        <v>681502</v>
      </c>
      <c r="B147" s="361" t="s">
        <v>3027</v>
      </c>
      <c r="C147" s="362" t="s">
        <v>738</v>
      </c>
      <c r="E147" s="363">
        <f>VLOOKUP(A147,'TB for financial'!A:F,6,0)</f>
        <v>0</v>
      </c>
      <c r="G147" s="363"/>
      <c r="I147" s="1439"/>
      <c r="J147" s="363"/>
      <c r="K147" s="363"/>
      <c r="L147" s="363"/>
      <c r="M147" s="363"/>
      <c r="N147" s="363"/>
      <c r="O147" s="363"/>
    </row>
    <row r="148" spans="1:18">
      <c r="A148" s="360"/>
      <c r="B148" s="361" t="s">
        <v>741</v>
      </c>
      <c r="C148" s="362" t="s">
        <v>738</v>
      </c>
      <c r="E148" s="363">
        <v>0</v>
      </c>
      <c r="G148" s="363">
        <v>0</v>
      </c>
      <c r="J148" s="363">
        <v>0</v>
      </c>
      <c r="K148" s="363">
        <v>0</v>
      </c>
      <c r="L148" s="363">
        <v>0</v>
      </c>
      <c r="M148" s="363">
        <v>0</v>
      </c>
      <c r="N148" s="363">
        <v>0</v>
      </c>
      <c r="O148" s="363">
        <v>0</v>
      </c>
    </row>
    <row r="149" spans="1:18" ht="5.0999999999999996" customHeight="1">
      <c r="A149" s="360"/>
      <c r="B149" s="361"/>
      <c r="C149" s="362"/>
      <c r="E149" s="363"/>
      <c r="G149" s="363"/>
      <c r="J149" s="363"/>
      <c r="K149" s="363"/>
      <c r="L149" s="363"/>
      <c r="M149" s="363"/>
      <c r="N149" s="363"/>
      <c r="O149" s="363"/>
    </row>
    <row r="150" spans="1:18" s="350" customFormat="1" ht="15" thickBot="1">
      <c r="A150" s="366"/>
      <c r="B150" s="368" t="s">
        <v>742</v>
      </c>
      <c r="C150" s="1627"/>
      <c r="D150" s="1628"/>
      <c r="E150" s="1630">
        <f>SUM(E136:E149)</f>
        <v>115383</v>
      </c>
      <c r="F150" s="349"/>
      <c r="G150" s="367">
        <f>SUM(G136:G149)</f>
        <v>143256.41999999998</v>
      </c>
      <c r="H150" s="349"/>
      <c r="J150" s="367">
        <f t="shared" ref="J150:O150" si="17">SUM(J136:J149)</f>
        <v>108729.66</v>
      </c>
      <c r="K150" s="367">
        <f t="shared" si="17"/>
        <v>52854.479999999996</v>
      </c>
      <c r="L150" s="367">
        <f t="shared" si="17"/>
        <v>0</v>
      </c>
      <c r="M150" s="367">
        <f t="shared" si="17"/>
        <v>0</v>
      </c>
      <c r="N150" s="367">
        <f t="shared" si="17"/>
        <v>161584.14000000001</v>
      </c>
      <c r="O150" s="367">
        <f t="shared" si="17"/>
        <v>-46201.140000000014</v>
      </c>
    </row>
    <row r="151" spans="1:18" ht="5.0999999999999996" customHeight="1" thickTop="1">
      <c r="A151" s="360"/>
      <c r="B151" s="361"/>
      <c r="C151" s="362"/>
      <c r="E151" s="363"/>
      <c r="G151" s="363"/>
      <c r="J151" s="363"/>
      <c r="K151" s="363"/>
      <c r="L151" s="363"/>
      <c r="M151" s="363"/>
      <c r="N151" s="363"/>
      <c r="O151" s="363"/>
    </row>
    <row r="152" spans="1:18">
      <c r="A152" s="360">
        <v>502121</v>
      </c>
      <c r="B152" s="361" t="str">
        <f>VLOOKUP(A152,'TB for financial'!A:B,2,0)</f>
        <v>Rent - Flat for staff</v>
      </c>
      <c r="C152" s="362" t="s">
        <v>743</v>
      </c>
      <c r="E152" s="363">
        <f>VLOOKUP(A152,'TB for financial'!A:F,6,0)</f>
        <v>0</v>
      </c>
      <c r="G152" s="363">
        <f>VLOOKUP(A152,'TB for financial'!A:K,11,0)</f>
        <v>0</v>
      </c>
      <c r="H152" s="346" t="e">
        <v>#N/A</v>
      </c>
      <c r="I152" s="1439" t="e">
        <v>#N/A</v>
      </c>
      <c r="J152" s="363">
        <v>0</v>
      </c>
      <c r="K152" s="363">
        <v>0</v>
      </c>
      <c r="L152" s="363">
        <v>0</v>
      </c>
      <c r="M152" s="363">
        <v>0</v>
      </c>
      <c r="N152" s="363">
        <f>+J152+K152</f>
        <v>0</v>
      </c>
      <c r="O152" s="363">
        <f>+E152-N152</f>
        <v>0</v>
      </c>
    </row>
    <row r="153" spans="1:18">
      <c r="A153" s="360">
        <v>502110</v>
      </c>
      <c r="B153" s="361" t="str">
        <f>VLOOKUP(A153,'TB for financial'!A:B,2,0)</f>
        <v>Rent - Office</v>
      </c>
      <c r="C153" s="362" t="s">
        <v>743</v>
      </c>
      <c r="E153" s="363">
        <f>VLOOKUP(A153,'TB for financial'!A:F,6,0)</f>
        <v>0</v>
      </c>
      <c r="G153" s="363">
        <f>VLOOKUP(A153,'TB for financial'!A:K,11,0)</f>
        <v>0</v>
      </c>
      <c r="H153" s="346">
        <v>502110</v>
      </c>
      <c r="I153" s="1439">
        <v>0</v>
      </c>
      <c r="J153" s="363">
        <v>0</v>
      </c>
      <c r="K153" s="363">
        <v>0</v>
      </c>
      <c r="L153" s="363">
        <v>0</v>
      </c>
      <c r="M153" s="363">
        <v>0</v>
      </c>
      <c r="N153" s="363">
        <f>+J153+K153</f>
        <v>0</v>
      </c>
      <c r="O153" s="363">
        <f>+E153-N153</f>
        <v>0</v>
      </c>
    </row>
    <row r="154" spans="1:18">
      <c r="A154" s="360">
        <v>502120</v>
      </c>
      <c r="B154" s="361" t="str">
        <f>VLOOKUP(A154,'TB for financial'!A:B,2,0)</f>
        <v>Rent - Guest House</v>
      </c>
      <c r="C154" s="362" t="s">
        <v>743</v>
      </c>
      <c r="E154" s="363">
        <f>VLOOKUP(A154,'TB for financial'!A:F,6,0)</f>
        <v>0</v>
      </c>
      <c r="G154" s="363">
        <f>VLOOKUP(A154,'TB for financial'!A:K,11,0)</f>
        <v>0</v>
      </c>
      <c r="H154" s="346" t="e">
        <v>#N/A</v>
      </c>
      <c r="I154" s="1439" t="e">
        <v>#N/A</v>
      </c>
      <c r="J154" s="363">
        <v>0</v>
      </c>
      <c r="K154" s="363">
        <v>0</v>
      </c>
      <c r="L154" s="363">
        <v>0</v>
      </c>
      <c r="M154" s="363">
        <v>0</v>
      </c>
      <c r="N154" s="363">
        <f>+J154+K154</f>
        <v>0</v>
      </c>
      <c r="O154" s="363">
        <f>+E154-N154</f>
        <v>0</v>
      </c>
    </row>
    <row r="155" spans="1:18">
      <c r="A155" s="360">
        <v>502129</v>
      </c>
      <c r="B155" s="361" t="str">
        <f>VLOOKUP(A155,'TB for financial'!A:B,2,0)</f>
        <v>Rent - Office Intercompany</v>
      </c>
      <c r="C155" s="362" t="s">
        <v>743</v>
      </c>
      <c r="D155" s="354">
        <v>502129</v>
      </c>
      <c r="E155" s="363">
        <f>VLOOKUP(A155,'TB for financial'!A:F,6,0)</f>
        <v>0</v>
      </c>
      <c r="G155" s="363">
        <f>VLOOKUP(A155,'TB for financial'!A:K,11,0)</f>
        <v>0</v>
      </c>
      <c r="H155" s="346">
        <v>502129</v>
      </c>
      <c r="I155" s="1439">
        <v>2472759.0008000014</v>
      </c>
      <c r="J155" s="363">
        <v>2388963.7926999945</v>
      </c>
      <c r="K155" s="363">
        <v>785019</v>
      </c>
      <c r="L155" s="363">
        <v>0</v>
      </c>
      <c r="M155" s="363">
        <v>0</v>
      </c>
      <c r="N155" s="363">
        <f>+J155+K155</f>
        <v>3173982.7926999945</v>
      </c>
      <c r="O155" s="363">
        <f>+E155-N155</f>
        <v>-3173982.7926999945</v>
      </c>
      <c r="P155" s="347">
        <v>502129</v>
      </c>
      <c r="Q155" s="365"/>
      <c r="R155" s="365"/>
    </row>
    <row r="156" spans="1:18">
      <c r="A156" s="360">
        <v>502115</v>
      </c>
      <c r="B156" s="361" t="str">
        <f>VLOOKUP(A156,'TB for financial'!A:B,2,0)</f>
        <v>Reversal of rent Lease IFRS 16</v>
      </c>
      <c r="C156" s="362" t="s">
        <v>743</v>
      </c>
      <c r="E156" s="363">
        <f>VLOOKUP(A156,'TB for financial'!A:F,6,0)</f>
        <v>0</v>
      </c>
      <c r="G156" s="363">
        <f>VLOOKUP(A156,'TB for financial'!A:K,11,0)</f>
        <v>0</v>
      </c>
      <c r="H156" s="346">
        <v>502115</v>
      </c>
      <c r="I156" s="1439">
        <v>0</v>
      </c>
      <c r="J156" s="363"/>
      <c r="K156" s="363"/>
      <c r="L156" s="363"/>
      <c r="M156" s="363"/>
      <c r="N156" s="363"/>
      <c r="O156" s="363"/>
      <c r="Q156" s="365"/>
      <c r="R156" s="365"/>
    </row>
    <row r="157" spans="1:18">
      <c r="A157" s="369">
        <v>502112</v>
      </c>
      <c r="B157" s="361" t="str">
        <f>VLOOKUP(A157,'TB for financial'!A:B,2,0)</f>
        <v>Lease expense IC (IndAS)</v>
      </c>
      <c r="C157" s="362" t="s">
        <v>743</v>
      </c>
      <c r="D157" s="354">
        <v>502112</v>
      </c>
      <c r="E157" s="363">
        <f>VLOOKUP(A157,'TB for financial'!A:F,6,0)</f>
        <v>0</v>
      </c>
      <c r="G157" s="363">
        <f>VLOOKUP(A157,'TB for financial'!A:K,11,0)</f>
        <v>0</v>
      </c>
      <c r="H157" s="346">
        <v>502112</v>
      </c>
      <c r="I157" s="1439">
        <v>0</v>
      </c>
      <c r="J157" s="363">
        <v>0</v>
      </c>
      <c r="K157" s="363">
        <v>0</v>
      </c>
      <c r="L157" s="363">
        <v>0</v>
      </c>
      <c r="M157" s="363">
        <v>0</v>
      </c>
      <c r="N157" s="363">
        <f>+J157+K157</f>
        <v>0</v>
      </c>
      <c r="O157" s="363">
        <f>+E157-N157</f>
        <v>0</v>
      </c>
      <c r="P157" s="347">
        <v>502112</v>
      </c>
      <c r="Q157" s="365"/>
      <c r="R157" s="365"/>
    </row>
    <row r="158" spans="1:18">
      <c r="A158" s="1379">
        <v>613200</v>
      </c>
      <c r="B158" s="361" t="str">
        <f>VLOOKUP(A158,'TB for financial'!A:B,2,0)</f>
        <v>REAL-ESTATE RENTAL</v>
      </c>
      <c r="C158" s="362" t="s">
        <v>743</v>
      </c>
      <c r="D158" s="354">
        <v>613200</v>
      </c>
      <c r="E158" s="363">
        <f>VLOOKUP(A158,'TB for financial'!A:F,6,0)</f>
        <v>3816912</v>
      </c>
      <c r="G158" s="363">
        <f>VLOOKUP(A158,'TB for financial'!A:K,11,0)</f>
        <v>3661342</v>
      </c>
      <c r="H158" s="346">
        <v>613200</v>
      </c>
      <c r="I158" s="1439">
        <v>-2637771</v>
      </c>
      <c r="J158" s="363"/>
      <c r="K158" s="363"/>
      <c r="L158" s="363"/>
      <c r="M158" s="363"/>
      <c r="N158" s="363">
        <f>+J158+K158</f>
        <v>0</v>
      </c>
      <c r="O158" s="363">
        <f>+E158-N158</f>
        <v>3816912</v>
      </c>
      <c r="Q158" s="365"/>
      <c r="R158" s="365"/>
    </row>
    <row r="159" spans="1:18">
      <c r="A159" s="1379">
        <v>615260</v>
      </c>
      <c r="B159" s="361" t="s">
        <v>2849</v>
      </c>
      <c r="C159" s="362" t="s">
        <v>743</v>
      </c>
      <c r="E159" s="363">
        <f>VLOOKUP(A159,'TB for financial'!A:F,6,0)</f>
        <v>0</v>
      </c>
      <c r="G159" s="363"/>
      <c r="I159" s="1439"/>
      <c r="J159" s="363"/>
      <c r="K159" s="363"/>
      <c r="L159" s="363"/>
      <c r="M159" s="363"/>
      <c r="N159" s="363"/>
      <c r="O159" s="363"/>
      <c r="Q159" s="365"/>
      <c r="R159" s="365"/>
    </row>
    <row r="160" spans="1:18">
      <c r="A160" s="1379">
        <v>613207</v>
      </c>
      <c r="B160" s="361" t="str">
        <f>VLOOKUP(A160,'TB for financial'!A:B,2,0)</f>
        <v>Reversal rent real estate IFRS 16</v>
      </c>
      <c r="C160" s="362" t="s">
        <v>743</v>
      </c>
      <c r="D160" s="354">
        <v>613207</v>
      </c>
      <c r="E160" s="363">
        <f>VLOOKUP(A160,'TB for financial'!A:F,6,0)</f>
        <v>-3816704.9056500006</v>
      </c>
      <c r="G160" s="363">
        <f>VLOOKUP(A160,'TB for financial'!A:K,11,0)</f>
        <v>-3634957.0529999998</v>
      </c>
      <c r="H160" s="346">
        <v>613207</v>
      </c>
      <c r="I160" s="1439">
        <v>165011</v>
      </c>
      <c r="J160" s="363"/>
      <c r="K160" s="363"/>
      <c r="L160" s="363"/>
      <c r="M160" s="363"/>
      <c r="N160" s="363"/>
      <c r="O160" s="363"/>
      <c r="Q160" s="365"/>
      <c r="R160" s="365"/>
    </row>
    <row r="161" spans="1:18" ht="5.0999999999999996" customHeight="1">
      <c r="A161" s="360"/>
      <c r="B161" s="361"/>
      <c r="C161" s="362"/>
      <c r="E161" s="363"/>
      <c r="G161" s="363"/>
      <c r="J161" s="363"/>
      <c r="K161" s="363"/>
      <c r="L161" s="363"/>
      <c r="M161" s="363"/>
      <c r="N161" s="363"/>
      <c r="O161" s="363"/>
    </row>
    <row r="162" spans="1:18" s="350" customFormat="1" ht="15" thickBot="1">
      <c r="A162" s="366"/>
      <c r="B162" s="368" t="s">
        <v>307</v>
      </c>
      <c r="C162" s="1627"/>
      <c r="D162" s="1628"/>
      <c r="E162" s="1630">
        <f>SUM(E152:E161)</f>
        <v>207.09434999944642</v>
      </c>
      <c r="F162" s="349"/>
      <c r="G162" s="367">
        <f>SUM(G152:G161)</f>
        <v>26384.94700000016</v>
      </c>
      <c r="H162" s="349"/>
      <c r="J162" s="367">
        <f t="shared" ref="J162:O162" si="18">SUM(J152:J161)</f>
        <v>2388963.7926999945</v>
      </c>
      <c r="K162" s="367">
        <f t="shared" si="18"/>
        <v>785019</v>
      </c>
      <c r="L162" s="367">
        <f t="shared" si="18"/>
        <v>0</v>
      </c>
      <c r="M162" s="367">
        <f t="shared" si="18"/>
        <v>0</v>
      </c>
      <c r="N162" s="367">
        <f t="shared" si="18"/>
        <v>3173982.7926999945</v>
      </c>
      <c r="O162" s="367">
        <f t="shared" si="18"/>
        <v>642929.20730000548</v>
      </c>
    </row>
    <row r="163" spans="1:18" ht="5.0999999999999996" customHeight="1" thickTop="1">
      <c r="A163" s="360"/>
      <c r="B163" s="368"/>
      <c r="C163" s="1627"/>
      <c r="E163" s="363"/>
      <c r="G163" s="363"/>
      <c r="J163" s="363"/>
      <c r="K163" s="363"/>
      <c r="L163" s="363"/>
      <c r="M163" s="363"/>
      <c r="N163" s="363"/>
      <c r="O163" s="363"/>
    </row>
    <row r="164" spans="1:18">
      <c r="A164" s="360">
        <v>503087</v>
      </c>
      <c r="B164" s="361" t="str">
        <f>VLOOKUP(A164,'TB for financial'!A:B,2,0)</f>
        <v>Export Processing Charges</v>
      </c>
      <c r="C164" s="362" t="s">
        <v>743</v>
      </c>
      <c r="E164" s="363">
        <f>VLOOKUP(A164,'TB for financial'!A:F,6,0)</f>
        <v>0</v>
      </c>
      <c r="G164" s="363">
        <f>VLOOKUP(A164,'TB for financial'!A:K,11,0)</f>
        <v>0</v>
      </c>
      <c r="H164" s="346">
        <v>503087</v>
      </c>
      <c r="I164" s="1439">
        <v>0</v>
      </c>
      <c r="J164" s="363">
        <v>0</v>
      </c>
      <c r="K164" s="363">
        <v>0</v>
      </c>
      <c r="L164" s="363">
        <v>0</v>
      </c>
      <c r="M164" s="363">
        <v>0</v>
      </c>
      <c r="N164" s="363">
        <f t="shared" ref="N164:N174" si="19">+J164+K164</f>
        <v>0</v>
      </c>
      <c r="O164" s="363">
        <f t="shared" ref="O164:O174" si="20">+E164-N164</f>
        <v>0</v>
      </c>
    </row>
    <row r="165" spans="1:18">
      <c r="A165" s="360">
        <v>503088</v>
      </c>
      <c r="B165" s="361" t="str">
        <f>VLOOKUP(A165,'TB for financial'!A:B,2,0)</f>
        <v>BMC Taxes</v>
      </c>
      <c r="C165" s="362" t="s">
        <v>743</v>
      </c>
      <c r="E165" s="363">
        <f>VLOOKUP(A165,'TB for financial'!A:F,6,0)</f>
        <v>0</v>
      </c>
      <c r="F165" s="349"/>
      <c r="G165" s="363">
        <f>VLOOKUP(A165,'TB for financial'!A:K,11,0)</f>
        <v>0</v>
      </c>
      <c r="H165" s="346" t="e">
        <v>#N/A</v>
      </c>
      <c r="I165" s="1439" t="e">
        <v>#N/A</v>
      </c>
      <c r="J165" s="363">
        <v>0</v>
      </c>
      <c r="K165" s="363">
        <v>0</v>
      </c>
      <c r="L165" s="363">
        <v>0</v>
      </c>
      <c r="M165" s="363">
        <v>0</v>
      </c>
      <c r="N165" s="363">
        <f t="shared" si="19"/>
        <v>0</v>
      </c>
      <c r="O165" s="363">
        <f t="shared" si="20"/>
        <v>0</v>
      </c>
    </row>
    <row r="166" spans="1:18">
      <c r="A166" s="360">
        <v>503089</v>
      </c>
      <c r="B166" s="361" t="str">
        <f>VLOOKUP(A166,'TB for financial'!A:B,2,0)</f>
        <v>Stamp Duty</v>
      </c>
      <c r="C166" s="362" t="s">
        <v>743</v>
      </c>
      <c r="E166" s="363">
        <f>VLOOKUP(A166,'TB for financial'!A:F,6,0)</f>
        <v>0</v>
      </c>
      <c r="G166" s="363">
        <f>VLOOKUP(A166,'TB for financial'!A:K,11,0)</f>
        <v>0</v>
      </c>
      <c r="H166" s="346">
        <v>503089</v>
      </c>
      <c r="I166" s="1439">
        <v>0</v>
      </c>
      <c r="J166" s="363">
        <v>0</v>
      </c>
      <c r="K166" s="363">
        <v>0</v>
      </c>
      <c r="L166" s="363">
        <v>0</v>
      </c>
      <c r="M166" s="363">
        <v>0</v>
      </c>
      <c r="N166" s="363">
        <f t="shared" si="19"/>
        <v>0</v>
      </c>
      <c r="O166" s="363">
        <f t="shared" si="20"/>
        <v>0</v>
      </c>
      <c r="P166" s="347">
        <v>503089</v>
      </c>
      <c r="Q166" s="365" t="e">
        <v>#N/A</v>
      </c>
      <c r="R166" s="365" t="e">
        <f>+E166-Q166</f>
        <v>#N/A</v>
      </c>
    </row>
    <row r="167" spans="1:18">
      <c r="A167" s="360">
        <v>503090</v>
      </c>
      <c r="B167" s="361" t="str">
        <f>VLOOKUP(A167,'TB for financial'!A:B,2,0)</f>
        <v>Taxes-Property</v>
      </c>
      <c r="C167" s="362" t="s">
        <v>743</v>
      </c>
      <c r="E167" s="363">
        <f>VLOOKUP(A167,'TB for financial'!A:F,6,0)</f>
        <v>0</v>
      </c>
      <c r="G167" s="363">
        <f>VLOOKUP(A167,'TB for financial'!A:K,11,0)</f>
        <v>0</v>
      </c>
      <c r="H167" s="346">
        <v>503090</v>
      </c>
      <c r="I167" s="1439">
        <v>0</v>
      </c>
      <c r="J167" s="363">
        <v>0</v>
      </c>
      <c r="K167" s="363">
        <v>0</v>
      </c>
      <c r="L167" s="363">
        <v>0</v>
      </c>
      <c r="M167" s="363">
        <v>0</v>
      </c>
      <c r="N167" s="363">
        <f t="shared" si="19"/>
        <v>0</v>
      </c>
      <c r="O167" s="363">
        <f t="shared" si="20"/>
        <v>0</v>
      </c>
    </row>
    <row r="168" spans="1:18">
      <c r="A168" s="360">
        <v>503095</v>
      </c>
      <c r="B168" s="361" t="str">
        <f>VLOOKUP(A168,'TB for financial'!A:B,2,0)</f>
        <v>Taxes-Other</v>
      </c>
      <c r="C168" s="362" t="s">
        <v>743</v>
      </c>
      <c r="D168" s="354">
        <v>503095</v>
      </c>
      <c r="E168" s="363">
        <f>VLOOKUP(A168,'TB for financial'!A:F,6,0)</f>
        <v>0</v>
      </c>
      <c r="G168" s="363">
        <f>VLOOKUP(A168,'TB for financial'!A:K,11,0)</f>
        <v>0</v>
      </c>
      <c r="H168" s="346">
        <v>503095</v>
      </c>
      <c r="I168" s="1439">
        <v>13540</v>
      </c>
      <c r="J168" s="363">
        <v>20000</v>
      </c>
      <c r="K168" s="363">
        <v>3540</v>
      </c>
      <c r="L168" s="363">
        <v>0</v>
      </c>
      <c r="M168" s="363">
        <v>0</v>
      </c>
      <c r="N168" s="363">
        <f t="shared" si="19"/>
        <v>23540</v>
      </c>
      <c r="O168" s="363">
        <f t="shared" si="20"/>
        <v>-23540</v>
      </c>
      <c r="P168" s="347">
        <v>503095</v>
      </c>
      <c r="Q168" s="365" t="e">
        <v>#N/A</v>
      </c>
      <c r="R168" s="365" t="e">
        <f>+E168-Q168</f>
        <v>#N/A</v>
      </c>
    </row>
    <row r="169" spans="1:18">
      <c r="A169" s="360">
        <v>503096</v>
      </c>
      <c r="B169" s="361" t="str">
        <f>VLOOKUP(A169,'TB for financial'!A:B,2,0)</f>
        <v>Taxes-Sales Tax</v>
      </c>
      <c r="C169" s="362" t="s">
        <v>743</v>
      </c>
      <c r="E169" s="363">
        <f>VLOOKUP(A169,'TB for financial'!A:F,6,0)</f>
        <v>0</v>
      </c>
      <c r="G169" s="363">
        <f>VLOOKUP(A169,'TB for financial'!A:K,11,0)</f>
        <v>0</v>
      </c>
      <c r="H169" s="346">
        <v>503096</v>
      </c>
      <c r="I169" s="1439">
        <v>0</v>
      </c>
      <c r="J169" s="363">
        <v>0</v>
      </c>
      <c r="K169" s="363">
        <v>0</v>
      </c>
      <c r="L169" s="363">
        <v>0</v>
      </c>
      <c r="M169" s="363">
        <v>0</v>
      </c>
      <c r="N169" s="363">
        <f t="shared" si="19"/>
        <v>0</v>
      </c>
      <c r="O169" s="363">
        <f t="shared" si="20"/>
        <v>0</v>
      </c>
    </row>
    <row r="170" spans="1:18">
      <c r="A170" s="360">
        <v>503097</v>
      </c>
      <c r="B170" s="361" t="str">
        <f>VLOOKUP(A170,'TB for financial'!A:B,2,0)</f>
        <v>Taxes-Wealth Tax</v>
      </c>
      <c r="C170" s="362" t="s">
        <v>743</v>
      </c>
      <c r="E170" s="363">
        <f>VLOOKUP(A170,'TB for financial'!A:F,6,0)</f>
        <v>0</v>
      </c>
      <c r="G170" s="363">
        <f>VLOOKUP(A170,'TB for financial'!A:K,11,0)</f>
        <v>0</v>
      </c>
      <c r="H170" s="346">
        <v>503097</v>
      </c>
      <c r="I170" s="1439">
        <v>0</v>
      </c>
      <c r="J170" s="363">
        <v>0</v>
      </c>
      <c r="K170" s="363">
        <v>0</v>
      </c>
      <c r="L170" s="363">
        <v>0</v>
      </c>
      <c r="M170" s="363">
        <v>0</v>
      </c>
      <c r="N170" s="363">
        <f t="shared" si="19"/>
        <v>0</v>
      </c>
      <c r="O170" s="363">
        <f t="shared" si="20"/>
        <v>0</v>
      </c>
    </row>
    <row r="171" spans="1:18">
      <c r="A171" s="360">
        <v>503098</v>
      </c>
      <c r="B171" s="361" t="str">
        <f>VLOOKUP(A171,'TB for financial'!A:B,2,0)</f>
        <v>ROC Fees</v>
      </c>
      <c r="C171" s="362" t="s">
        <v>743</v>
      </c>
      <c r="E171" s="363">
        <f>VLOOKUP(A171,'TB for financial'!A:F,6,0)</f>
        <v>0</v>
      </c>
      <c r="G171" s="363">
        <f>VLOOKUP(A171,'TB for financial'!A:K,11,0)</f>
        <v>0</v>
      </c>
      <c r="H171" s="346">
        <v>503098</v>
      </c>
      <c r="I171" s="1439">
        <v>0</v>
      </c>
      <c r="J171" s="363">
        <v>0</v>
      </c>
      <c r="K171" s="363">
        <v>0</v>
      </c>
      <c r="L171" s="363">
        <v>0</v>
      </c>
      <c r="M171" s="363">
        <v>0</v>
      </c>
      <c r="N171" s="363">
        <f t="shared" si="19"/>
        <v>0</v>
      </c>
      <c r="O171" s="363">
        <f t="shared" si="20"/>
        <v>0</v>
      </c>
    </row>
    <row r="172" spans="1:18">
      <c r="A172" s="360">
        <v>503084</v>
      </c>
      <c r="B172" s="361" t="str">
        <f>VLOOKUP(A172,'TB for financial'!A:B,2,0)</f>
        <v>Water Charges</v>
      </c>
      <c r="C172" s="362" t="s">
        <v>743</v>
      </c>
      <c r="E172" s="363">
        <f>VLOOKUP(A172,'TB for financial'!A:F,6,0)</f>
        <v>0</v>
      </c>
      <c r="G172" s="363">
        <f>VLOOKUP(A172,'TB for financial'!A:K,11,0)</f>
        <v>0</v>
      </c>
      <c r="H172" s="346">
        <v>503084</v>
      </c>
      <c r="I172" s="1439">
        <v>0</v>
      </c>
      <c r="J172" s="363">
        <v>0</v>
      </c>
      <c r="K172" s="363">
        <v>0</v>
      </c>
      <c r="L172" s="363">
        <v>0</v>
      </c>
      <c r="M172" s="363">
        <v>0</v>
      </c>
      <c r="N172" s="363">
        <f t="shared" si="19"/>
        <v>0</v>
      </c>
      <c r="O172" s="363">
        <f t="shared" si="20"/>
        <v>0</v>
      </c>
    </row>
    <row r="173" spans="1:18">
      <c r="A173" s="360">
        <v>502010</v>
      </c>
      <c r="B173" s="361" t="str">
        <f>VLOOKUP(A173,'TB for financial'!A:B,2,0)</f>
        <v>Michigan SBT Tax</v>
      </c>
      <c r="C173" s="362" t="s">
        <v>743</v>
      </c>
      <c r="E173" s="363">
        <f>VLOOKUP(A173,'TB for financial'!A:F,6,0)</f>
        <v>0</v>
      </c>
      <c r="G173" s="363">
        <f>VLOOKUP(A173,'TB for financial'!A:K,11,0)</f>
        <v>0</v>
      </c>
      <c r="H173" s="346" t="e">
        <v>#N/A</v>
      </c>
      <c r="I173" s="1439" t="e">
        <v>#N/A</v>
      </c>
      <c r="J173" s="363">
        <v>0</v>
      </c>
      <c r="K173" s="363">
        <v>0</v>
      </c>
      <c r="L173" s="363">
        <v>0</v>
      </c>
      <c r="M173" s="363">
        <v>0</v>
      </c>
      <c r="N173" s="363">
        <f t="shared" si="19"/>
        <v>0</v>
      </c>
      <c r="O173" s="363">
        <f t="shared" si="20"/>
        <v>0</v>
      </c>
    </row>
    <row r="174" spans="1:18">
      <c r="A174" s="360">
        <v>502020</v>
      </c>
      <c r="B174" s="361" t="str">
        <f>VLOOKUP(A174,'TB for financial'!A:B,2,0)</f>
        <v>Taxes - Federal Provision</v>
      </c>
      <c r="C174" s="362" t="s">
        <v>743</v>
      </c>
      <c r="E174" s="363">
        <f>VLOOKUP(A174,'TB for financial'!A:F,6,0)</f>
        <v>0</v>
      </c>
      <c r="G174" s="363">
        <f>VLOOKUP(A174,'TB for financial'!A:K,11,0)</f>
        <v>0</v>
      </c>
      <c r="H174" s="346" t="e">
        <v>#N/A</v>
      </c>
      <c r="I174" s="1439" t="e">
        <v>#N/A</v>
      </c>
      <c r="J174" s="363">
        <v>0</v>
      </c>
      <c r="K174" s="363">
        <v>0</v>
      </c>
      <c r="L174" s="363">
        <v>0</v>
      </c>
      <c r="M174" s="363">
        <v>0</v>
      </c>
      <c r="N174" s="363">
        <f t="shared" si="19"/>
        <v>0</v>
      </c>
      <c r="O174" s="363">
        <f t="shared" si="20"/>
        <v>0</v>
      </c>
    </row>
    <row r="175" spans="1:18" ht="5.0999999999999996" customHeight="1">
      <c r="A175" s="360"/>
      <c r="B175" s="361"/>
      <c r="C175" s="362"/>
      <c r="E175" s="363"/>
      <c r="G175" s="363"/>
      <c r="J175" s="363"/>
      <c r="K175" s="363"/>
      <c r="L175" s="363"/>
      <c r="M175" s="363"/>
      <c r="N175" s="363"/>
      <c r="O175" s="363"/>
    </row>
    <row r="176" spans="1:18" s="350" customFormat="1" ht="15" thickBot="1">
      <c r="A176" s="366"/>
      <c r="B176" s="368" t="s">
        <v>312</v>
      </c>
      <c r="C176" s="1627"/>
      <c r="D176" s="1628"/>
      <c r="E176" s="367">
        <f>SUM(E164:E175)</f>
        <v>0</v>
      </c>
      <c r="F176" s="349"/>
      <c r="G176" s="367">
        <f>SUM(G164:G175)</f>
        <v>0</v>
      </c>
      <c r="H176" s="349"/>
      <c r="J176" s="367">
        <f t="shared" ref="J176:O176" si="21">SUM(J164:J175)</f>
        <v>20000</v>
      </c>
      <c r="K176" s="367">
        <f t="shared" si="21"/>
        <v>3540</v>
      </c>
      <c r="L176" s="367">
        <f t="shared" si="21"/>
        <v>0</v>
      </c>
      <c r="M176" s="367">
        <f t="shared" si="21"/>
        <v>0</v>
      </c>
      <c r="N176" s="367">
        <f t="shared" si="21"/>
        <v>23540</v>
      </c>
      <c r="O176" s="367">
        <f t="shared" si="21"/>
        <v>-23540</v>
      </c>
    </row>
    <row r="177" spans="1:18" ht="5.0999999999999996" customHeight="1" thickTop="1">
      <c r="A177" s="360"/>
      <c r="B177" s="361"/>
      <c r="C177" s="362"/>
      <c r="E177" s="363"/>
      <c r="G177" s="363"/>
      <c r="J177" s="363"/>
      <c r="K177" s="363"/>
      <c r="L177" s="363"/>
      <c r="M177" s="363"/>
      <c r="N177" s="363"/>
      <c r="O177" s="363"/>
    </row>
    <row r="178" spans="1:18">
      <c r="A178" s="360">
        <v>503086</v>
      </c>
      <c r="B178" s="361" t="str">
        <f>VLOOKUP(A178,'TB for financial'!A:B,2,0)</f>
        <v>Electricity Charges</v>
      </c>
      <c r="C178" s="362" t="s">
        <v>743</v>
      </c>
      <c r="D178" s="354">
        <v>503086</v>
      </c>
      <c r="E178" s="363">
        <f>VLOOKUP(A178,'TB for financial'!A:F,6,0)</f>
        <v>0</v>
      </c>
      <c r="G178" s="363">
        <f>VLOOKUP(A178,'TB for financial'!A:K,11,0)</f>
        <v>0</v>
      </c>
      <c r="H178" s="346">
        <v>503086</v>
      </c>
      <c r="I178" s="1439">
        <v>273045</v>
      </c>
      <c r="J178" s="363">
        <v>315570</v>
      </c>
      <c r="K178" s="363">
        <v>90268</v>
      </c>
      <c r="L178" s="363">
        <v>0</v>
      </c>
      <c r="M178" s="363">
        <v>0</v>
      </c>
      <c r="N178" s="363">
        <f>+J178+K178</f>
        <v>405838</v>
      </c>
      <c r="O178" s="363">
        <f>+E178-N178</f>
        <v>-405838</v>
      </c>
      <c r="P178" s="347">
        <v>503086</v>
      </c>
      <c r="Q178" s="365" t="e">
        <v>#N/A</v>
      </c>
      <c r="R178" s="365" t="e">
        <f>+E178-Q178</f>
        <v>#N/A</v>
      </c>
    </row>
    <row r="179" spans="1:18">
      <c r="A179" s="1379">
        <v>606130</v>
      </c>
      <c r="B179" s="361" t="str">
        <f>VLOOKUP(A179,'TB for financial'!A:B,2,0)</f>
        <v>ELECTRICITY</v>
      </c>
      <c r="C179" s="362" t="s">
        <v>743</v>
      </c>
      <c r="D179" s="354">
        <v>606130</v>
      </c>
      <c r="E179" s="363">
        <f>VLOOKUP(A179,'TB for financial'!A:F,6,0)</f>
        <v>404310</v>
      </c>
      <c r="G179" s="363">
        <f>VLOOKUP(A179,'TB for financial'!A:K,11,0)</f>
        <v>414275</v>
      </c>
      <c r="H179" s="346">
        <v>606130</v>
      </c>
      <c r="I179" s="1439">
        <v>-321661</v>
      </c>
      <c r="J179" s="363"/>
      <c r="K179" s="363"/>
      <c r="L179" s="363"/>
      <c r="M179" s="363"/>
      <c r="N179" s="363">
        <f>+J179+K179</f>
        <v>0</v>
      </c>
      <c r="O179" s="363">
        <f>+E179-N179</f>
        <v>404310</v>
      </c>
      <c r="Q179" s="365" t="e">
        <v>#N/A</v>
      </c>
      <c r="R179" s="365" t="e">
        <f>+E179-Q179</f>
        <v>#N/A</v>
      </c>
    </row>
    <row r="180" spans="1:18" ht="5.0999999999999996" customHeight="1">
      <c r="A180" s="360"/>
      <c r="B180" s="361"/>
      <c r="C180" s="362"/>
      <c r="E180" s="363"/>
      <c r="G180" s="363"/>
      <c r="J180" s="363"/>
      <c r="K180" s="363"/>
      <c r="L180" s="363"/>
      <c r="M180" s="363"/>
      <c r="N180" s="363"/>
      <c r="O180" s="363"/>
    </row>
    <row r="181" spans="1:18" s="350" customFormat="1" ht="15" thickBot="1">
      <c r="A181" s="366"/>
      <c r="B181" s="368" t="s">
        <v>744</v>
      </c>
      <c r="C181" s="1627"/>
      <c r="D181" s="1628"/>
      <c r="E181" s="1630">
        <f>SUM(E178:E180)</f>
        <v>404310</v>
      </c>
      <c r="F181" s="349"/>
      <c r="G181" s="367">
        <f>SUM(G178:G180)</f>
        <v>414275</v>
      </c>
      <c r="H181" s="349"/>
      <c r="J181" s="367">
        <f t="shared" ref="J181:O181" si="22">SUM(J178:J180)</f>
        <v>315570</v>
      </c>
      <c r="K181" s="367">
        <f t="shared" si="22"/>
        <v>90268</v>
      </c>
      <c r="L181" s="367">
        <f t="shared" si="22"/>
        <v>0</v>
      </c>
      <c r="M181" s="367">
        <f t="shared" si="22"/>
        <v>0</v>
      </c>
      <c r="N181" s="367">
        <f t="shared" si="22"/>
        <v>405838</v>
      </c>
      <c r="O181" s="367">
        <f t="shared" si="22"/>
        <v>-1528</v>
      </c>
    </row>
    <row r="182" spans="1:18" ht="5.0999999999999996" customHeight="1" thickTop="1">
      <c r="A182" s="360"/>
      <c r="B182" s="361"/>
      <c r="C182" s="362"/>
      <c r="E182" s="363"/>
      <c r="G182" s="363"/>
      <c r="J182" s="363"/>
      <c r="K182" s="363"/>
      <c r="L182" s="363"/>
      <c r="M182" s="363"/>
      <c r="N182" s="363"/>
      <c r="O182" s="363"/>
    </row>
    <row r="183" spans="1:18">
      <c r="A183" s="360">
        <v>502170</v>
      </c>
      <c r="B183" s="361" t="str">
        <f>VLOOKUP(A183,'TB for financial'!A:B,2,0)</f>
        <v>Voice &amp; Data Communications</v>
      </c>
      <c r="C183" s="362" t="s">
        <v>743</v>
      </c>
      <c r="E183" s="363">
        <f>VLOOKUP(A183,'TB for financial'!A:F,6,0)</f>
        <v>0</v>
      </c>
      <c r="G183" s="363">
        <f>VLOOKUP(A183,'TB for financial'!A:K,11,0)</f>
        <v>0</v>
      </c>
      <c r="H183" s="346">
        <v>502170</v>
      </c>
      <c r="I183" s="1439">
        <v>0</v>
      </c>
      <c r="J183" s="363">
        <v>0</v>
      </c>
      <c r="K183" s="363">
        <v>0</v>
      </c>
      <c r="L183" s="363">
        <v>0</v>
      </c>
      <c r="M183" s="363">
        <v>0</v>
      </c>
      <c r="N183" s="363">
        <f>+J183+K183</f>
        <v>0</v>
      </c>
      <c r="O183" s="363">
        <f>+E183-N183</f>
        <v>0</v>
      </c>
    </row>
    <row r="184" spans="1:18">
      <c r="A184" s="360">
        <v>502171</v>
      </c>
      <c r="B184" s="361" t="str">
        <f>VLOOKUP(A184,'TB for financial'!A:B,2,0)</f>
        <v>Satellite Link Expenses</v>
      </c>
      <c r="C184" s="362" t="s">
        <v>743</v>
      </c>
      <c r="E184" s="363">
        <f>VLOOKUP(A184,'TB for financial'!A:F,6,0)</f>
        <v>0</v>
      </c>
      <c r="G184" s="363">
        <f>VLOOKUP(A184,'TB for financial'!A:K,11,0)</f>
        <v>0</v>
      </c>
      <c r="H184" s="346">
        <v>502171</v>
      </c>
      <c r="I184" s="1439">
        <v>0</v>
      </c>
      <c r="J184" s="363">
        <v>0</v>
      </c>
      <c r="K184" s="363">
        <v>0</v>
      </c>
      <c r="L184" s="363">
        <v>0</v>
      </c>
      <c r="M184" s="363">
        <v>0</v>
      </c>
      <c r="N184" s="363">
        <f>+J184+K184</f>
        <v>0</v>
      </c>
      <c r="O184" s="363">
        <f>+E184-N184</f>
        <v>0</v>
      </c>
    </row>
    <row r="185" spans="1:18">
      <c r="A185" s="360">
        <v>502172</v>
      </c>
      <c r="B185" s="361" t="str">
        <f>VLOOKUP(A185,'TB for financial'!A:B,2,0)</f>
        <v>Internet expenses</v>
      </c>
      <c r="C185" s="362" t="s">
        <v>743</v>
      </c>
      <c r="E185" s="363">
        <f>VLOOKUP(A185,'TB for financial'!A:F,6,0)</f>
        <v>0</v>
      </c>
      <c r="F185" s="349"/>
      <c r="G185" s="363">
        <f>VLOOKUP(A185,'TB for financial'!A:K,11,0)</f>
        <v>0</v>
      </c>
      <c r="H185" s="346">
        <v>502172</v>
      </c>
      <c r="I185" s="1439">
        <v>0</v>
      </c>
      <c r="J185" s="363">
        <v>0</v>
      </c>
      <c r="K185" s="363">
        <v>0</v>
      </c>
      <c r="L185" s="363">
        <v>0</v>
      </c>
      <c r="M185" s="363">
        <v>0</v>
      </c>
      <c r="N185" s="363">
        <f>+J185+K185</f>
        <v>0</v>
      </c>
      <c r="O185" s="363">
        <f>+E185-N185</f>
        <v>0</v>
      </c>
    </row>
    <row r="186" spans="1:18">
      <c r="A186" s="360">
        <v>502173</v>
      </c>
      <c r="B186" s="361" t="str">
        <f>VLOOKUP(A186,'TB for financial'!A:B,2,0)</f>
        <v>Telephone / Mobile Reimursemen</v>
      </c>
      <c r="C186" s="362" t="s">
        <v>743</v>
      </c>
      <c r="D186" s="354">
        <v>502173</v>
      </c>
      <c r="E186" s="363">
        <f>VLOOKUP(A186,'TB for financial'!A:F,6,0)</f>
        <v>0</v>
      </c>
      <c r="G186" s="363">
        <f>VLOOKUP(A186,'TB for financial'!A:K,11,0)</f>
        <v>0</v>
      </c>
      <c r="H186" s="346">
        <v>502173</v>
      </c>
      <c r="I186" s="1439">
        <v>22500</v>
      </c>
      <c r="J186" s="363">
        <v>7419</v>
      </c>
      <c r="K186" s="363">
        <v>5565</v>
      </c>
      <c r="L186" s="363">
        <v>0</v>
      </c>
      <c r="M186" s="363">
        <v>0</v>
      </c>
      <c r="N186" s="363">
        <f>+J186+K186</f>
        <v>12984</v>
      </c>
      <c r="O186" s="363">
        <f>+E186-N186</f>
        <v>-12984</v>
      </c>
      <c r="P186" s="347">
        <v>502173</v>
      </c>
      <c r="Q186" s="365" t="e">
        <v>#N/A</v>
      </c>
      <c r="R186" s="365" t="e">
        <f>+E186-Q186</f>
        <v>#N/A</v>
      </c>
    </row>
    <row r="187" spans="1:18">
      <c r="A187" s="1379">
        <v>626424</v>
      </c>
      <c r="B187" s="361" t="str">
        <f>VLOOKUP(A187,'TB for financial'!A:B,2,0)</f>
        <v>Telephone Charges</v>
      </c>
      <c r="C187" s="362" t="s">
        <v>743</v>
      </c>
      <c r="D187" s="354">
        <v>626424</v>
      </c>
      <c r="E187" s="363">
        <f>VLOOKUP(A187,'TB for financial'!A:F,6,0)</f>
        <v>60000</v>
      </c>
      <c r="G187" s="363">
        <f>VLOOKUP(A187,'TB for financial'!A:K,11,0)</f>
        <v>60000</v>
      </c>
      <c r="H187" s="346">
        <v>626424</v>
      </c>
      <c r="I187" s="1439">
        <v>-22500</v>
      </c>
      <c r="J187" s="363">
        <v>0</v>
      </c>
      <c r="K187" s="363">
        <v>0</v>
      </c>
      <c r="L187" s="363">
        <v>0</v>
      </c>
      <c r="M187" s="363">
        <v>0</v>
      </c>
      <c r="N187" s="363">
        <f>+J187+K187</f>
        <v>0</v>
      </c>
      <c r="O187" s="363">
        <f>+E187-N187</f>
        <v>60000</v>
      </c>
      <c r="Q187" s="365" t="e">
        <v>#N/A</v>
      </c>
      <c r="R187" s="365" t="e">
        <f>+E187-Q187</f>
        <v>#N/A</v>
      </c>
    </row>
    <row r="188" spans="1:18" ht="5.0999999999999996" customHeight="1">
      <c r="A188" s="360"/>
      <c r="B188" s="361"/>
      <c r="C188" s="362"/>
      <c r="E188" s="363"/>
      <c r="G188" s="363"/>
      <c r="J188" s="363"/>
      <c r="K188" s="363"/>
      <c r="L188" s="363"/>
      <c r="M188" s="363"/>
      <c r="N188" s="363"/>
      <c r="O188" s="363"/>
    </row>
    <row r="189" spans="1:18" s="350" customFormat="1" ht="15" thickBot="1">
      <c r="A189" s="366"/>
      <c r="B189" s="368" t="s">
        <v>745</v>
      </c>
      <c r="C189" s="1627"/>
      <c r="D189" s="1628"/>
      <c r="E189" s="1630">
        <f>SUM(E183:E188)</f>
        <v>60000</v>
      </c>
      <c r="F189" s="349"/>
      <c r="G189" s="367">
        <f>SUM(G183:G188)</f>
        <v>60000</v>
      </c>
      <c r="H189" s="349"/>
      <c r="J189" s="367">
        <f t="shared" ref="J189:O189" si="23">SUM(J183:J188)</f>
        <v>7419</v>
      </c>
      <c r="K189" s="367">
        <f t="shared" si="23"/>
        <v>5565</v>
      </c>
      <c r="L189" s="367">
        <f t="shared" si="23"/>
        <v>0</v>
      </c>
      <c r="M189" s="367">
        <f t="shared" si="23"/>
        <v>0</v>
      </c>
      <c r="N189" s="367">
        <f t="shared" si="23"/>
        <v>12984</v>
      </c>
      <c r="O189" s="367">
        <f t="shared" si="23"/>
        <v>47016</v>
      </c>
    </row>
    <row r="190" spans="1:18" ht="5.0999999999999996" customHeight="1" thickTop="1">
      <c r="A190" s="360"/>
      <c r="B190" s="361"/>
      <c r="C190" s="362"/>
      <c r="E190" s="363"/>
      <c r="G190" s="363"/>
      <c r="J190" s="363"/>
      <c r="K190" s="363"/>
      <c r="L190" s="363"/>
      <c r="M190" s="363"/>
      <c r="N190" s="363"/>
      <c r="O190" s="363"/>
    </row>
    <row r="191" spans="1:18">
      <c r="A191" s="360">
        <v>501310</v>
      </c>
      <c r="B191" s="361" t="str">
        <f>VLOOKUP(A191,'TB for financial'!A:B,2,0)</f>
        <v>Billable Outside Consulting</v>
      </c>
      <c r="C191" s="362" t="s">
        <v>63</v>
      </c>
      <c r="E191" s="363">
        <f>VLOOKUP(A191,'TB for financial'!A:F,6,0)</f>
        <v>0</v>
      </c>
      <c r="F191" s="349"/>
      <c r="G191" s="363">
        <f>VLOOKUP(A191,'TB for financial'!A:K,11,0)</f>
        <v>0</v>
      </c>
      <c r="H191" s="346">
        <v>501310</v>
      </c>
      <c r="I191" s="1439">
        <v>0</v>
      </c>
      <c r="J191" s="363">
        <v>0</v>
      </c>
      <c r="K191" s="363">
        <v>0</v>
      </c>
      <c r="L191" s="363">
        <v>0</v>
      </c>
      <c r="M191" s="363">
        <v>0</v>
      </c>
      <c r="N191" s="363">
        <f t="shared" ref="N191:N199" si="24">+J191+K191</f>
        <v>0</v>
      </c>
      <c r="O191" s="363">
        <f t="shared" ref="O191:O199" si="25">+E191-N191</f>
        <v>0</v>
      </c>
    </row>
    <row r="192" spans="1:18">
      <c r="A192" s="370">
        <v>501311</v>
      </c>
      <c r="B192" s="361" t="str">
        <f>VLOOKUP(A192,'TB for financial'!A:B,2,0)</f>
        <v>Billable out consulting - Inter Co.</v>
      </c>
      <c r="C192" s="362" t="s">
        <v>63</v>
      </c>
      <c r="E192" s="363">
        <f>VLOOKUP(A192,'TB for financial'!A:F,6,0)</f>
        <v>0</v>
      </c>
      <c r="G192" s="363">
        <f>VLOOKUP(A192,'TB for financial'!A:K,11,0)</f>
        <v>0</v>
      </c>
      <c r="H192" s="346">
        <v>501311</v>
      </c>
      <c r="I192" s="1439">
        <v>0</v>
      </c>
      <c r="J192" s="363">
        <v>0</v>
      </c>
      <c r="K192" s="363">
        <v>0</v>
      </c>
      <c r="L192" s="363">
        <v>0</v>
      </c>
      <c r="M192" s="363">
        <v>0</v>
      </c>
      <c r="N192" s="363">
        <f t="shared" si="24"/>
        <v>0</v>
      </c>
      <c r="O192" s="363">
        <f t="shared" si="25"/>
        <v>0</v>
      </c>
    </row>
    <row r="193" spans="1:18">
      <c r="A193" s="360">
        <v>501324</v>
      </c>
      <c r="B193" s="361" t="str">
        <f>VLOOKUP(A193,'TB for financial'!A:B,2,0)</f>
        <v>Inter-Co. Service charges</v>
      </c>
      <c r="C193" s="362" t="s">
        <v>63</v>
      </c>
      <c r="E193" s="363">
        <f>VLOOKUP(A193,'TB for financial'!A:F,6,0)</f>
        <v>0</v>
      </c>
      <c r="G193" s="363">
        <f>VLOOKUP(A193,'TB for financial'!A:K,11,0)</f>
        <v>0</v>
      </c>
      <c r="H193" s="346">
        <v>501324</v>
      </c>
      <c r="I193" s="1439">
        <v>0</v>
      </c>
      <c r="J193" s="363">
        <v>0</v>
      </c>
      <c r="K193" s="363">
        <v>0</v>
      </c>
      <c r="L193" s="363">
        <v>0</v>
      </c>
      <c r="M193" s="363">
        <v>0</v>
      </c>
      <c r="N193" s="363">
        <f t="shared" si="24"/>
        <v>0</v>
      </c>
      <c r="O193" s="363">
        <f t="shared" si="25"/>
        <v>0</v>
      </c>
    </row>
    <row r="194" spans="1:18">
      <c r="A194" s="360">
        <v>501315</v>
      </c>
      <c r="B194" s="361" t="str">
        <f>VLOOKUP(A194,'TB for financial'!A:B,2,0)</f>
        <v>Offshore Charges</v>
      </c>
      <c r="C194" s="362" t="s">
        <v>63</v>
      </c>
      <c r="E194" s="363">
        <f>VLOOKUP(A194,'TB for financial'!A:F,6,0)</f>
        <v>0</v>
      </c>
      <c r="G194" s="363">
        <f>VLOOKUP(A194,'TB for financial'!A:K,11,0)</f>
        <v>0</v>
      </c>
      <c r="H194" s="346">
        <v>501315</v>
      </c>
      <c r="I194" s="1439">
        <v>0</v>
      </c>
      <c r="J194" s="363">
        <v>0</v>
      </c>
      <c r="K194" s="363">
        <v>0</v>
      </c>
      <c r="L194" s="363">
        <v>0</v>
      </c>
      <c r="M194" s="363">
        <v>0</v>
      </c>
      <c r="N194" s="363">
        <f t="shared" si="24"/>
        <v>0</v>
      </c>
      <c r="O194" s="363">
        <f t="shared" si="25"/>
        <v>0</v>
      </c>
    </row>
    <row r="195" spans="1:18">
      <c r="A195" s="360">
        <v>501320</v>
      </c>
      <c r="B195" s="361" t="str">
        <f>VLOOKUP(A195,'TB for financial'!A:B,2,0)</f>
        <v>Offshore -Transition Charges</v>
      </c>
      <c r="C195" s="362" t="s">
        <v>63</v>
      </c>
      <c r="E195" s="363">
        <f>VLOOKUP(A195,'TB for financial'!A:F,6,0)</f>
        <v>0</v>
      </c>
      <c r="G195" s="363">
        <f>VLOOKUP(A195,'TB for financial'!A:K,11,0)</f>
        <v>0</v>
      </c>
      <c r="H195" s="346" t="e">
        <v>#N/A</v>
      </c>
      <c r="I195" s="1439" t="e">
        <v>#N/A</v>
      </c>
      <c r="J195" s="363">
        <v>0</v>
      </c>
      <c r="K195" s="363">
        <v>0</v>
      </c>
      <c r="L195" s="363">
        <v>0</v>
      </c>
      <c r="M195" s="363">
        <v>0</v>
      </c>
      <c r="N195" s="363">
        <f t="shared" si="24"/>
        <v>0</v>
      </c>
      <c r="O195" s="363">
        <f t="shared" si="25"/>
        <v>0</v>
      </c>
    </row>
    <row r="196" spans="1:18">
      <c r="A196" s="360">
        <v>501321</v>
      </c>
      <c r="B196" s="361" t="str">
        <f>VLOOKUP(A196,'TB for financial'!A:B,2,0)</f>
        <v>Offshore-L1 Charges</v>
      </c>
      <c r="C196" s="362" t="s">
        <v>63</v>
      </c>
      <c r="E196" s="363">
        <f>VLOOKUP(A196,'TB for financial'!A:F,6,0)</f>
        <v>0</v>
      </c>
      <c r="G196" s="363">
        <f>VLOOKUP(A196,'TB for financial'!A:K,11,0)</f>
        <v>0</v>
      </c>
      <c r="H196" s="346">
        <v>501321</v>
      </c>
      <c r="I196" s="1439">
        <v>0</v>
      </c>
      <c r="J196" s="363">
        <v>0</v>
      </c>
      <c r="K196" s="363">
        <v>0</v>
      </c>
      <c r="L196" s="363">
        <v>0</v>
      </c>
      <c r="M196" s="363">
        <v>0</v>
      </c>
      <c r="N196" s="363">
        <f t="shared" si="24"/>
        <v>0</v>
      </c>
      <c r="O196" s="363">
        <f t="shared" si="25"/>
        <v>0</v>
      </c>
    </row>
    <row r="197" spans="1:18">
      <c r="A197" s="360">
        <v>501322</v>
      </c>
      <c r="B197" s="361" t="str">
        <f>VLOOKUP(A197,'TB for financial'!A:B,2,0)</f>
        <v>Offshore-Buffer Charges</v>
      </c>
      <c r="C197" s="362" t="s">
        <v>63</v>
      </c>
      <c r="E197" s="363">
        <f>VLOOKUP(A197,'TB for financial'!A:F,6,0)</f>
        <v>0</v>
      </c>
      <c r="G197" s="363">
        <f>VLOOKUP(A197,'TB for financial'!A:K,11,0)</f>
        <v>0</v>
      </c>
      <c r="H197" s="346" t="e">
        <v>#N/A</v>
      </c>
      <c r="I197" s="1439" t="e">
        <v>#N/A</v>
      </c>
      <c r="J197" s="363">
        <v>0</v>
      </c>
      <c r="K197" s="363">
        <v>0</v>
      </c>
      <c r="L197" s="363">
        <v>0</v>
      </c>
      <c r="M197" s="363">
        <v>0</v>
      </c>
      <c r="N197" s="363">
        <f t="shared" si="24"/>
        <v>0</v>
      </c>
      <c r="O197" s="363">
        <f t="shared" si="25"/>
        <v>0</v>
      </c>
    </row>
    <row r="198" spans="1:18">
      <c r="A198" s="360">
        <v>501329</v>
      </c>
      <c r="B198" s="361" t="str">
        <f>VLOOKUP(A198,'TB for financial'!A:B,2,0)</f>
        <v>Deferred Offshore/Onsite Chgs</v>
      </c>
      <c r="C198" s="362" t="s">
        <v>63</v>
      </c>
      <c r="E198" s="363">
        <f>VLOOKUP(A198,'TB for financial'!A:F,6,0)</f>
        <v>0</v>
      </c>
      <c r="G198" s="363">
        <f>VLOOKUP(A198,'TB for financial'!A:K,11,0)</f>
        <v>0</v>
      </c>
      <c r="H198" s="346">
        <v>501329</v>
      </c>
      <c r="I198" s="1439">
        <v>0</v>
      </c>
      <c r="J198" s="363">
        <v>0</v>
      </c>
      <c r="K198" s="363">
        <v>0</v>
      </c>
      <c r="L198" s="363">
        <v>0</v>
      </c>
      <c r="M198" s="363">
        <v>0</v>
      </c>
      <c r="N198" s="363">
        <f t="shared" si="24"/>
        <v>0</v>
      </c>
      <c r="O198" s="363">
        <f t="shared" si="25"/>
        <v>0</v>
      </c>
    </row>
    <row r="199" spans="1:18">
      <c r="A199" s="360">
        <v>501330</v>
      </c>
      <c r="B199" s="361" t="str">
        <f>VLOOKUP(A199,'TB for financial'!A:B,2,0)</f>
        <v>Outside Services</v>
      </c>
      <c r="C199" s="362" t="s">
        <v>63</v>
      </c>
      <c r="E199" s="363">
        <f>VLOOKUP(A199,'TB for financial'!A:F,6,0)</f>
        <v>0</v>
      </c>
      <c r="G199" s="363">
        <f>VLOOKUP(A199,'TB for financial'!A:K,11,0)</f>
        <v>0</v>
      </c>
      <c r="H199" s="346" t="e">
        <v>#N/A</v>
      </c>
      <c r="I199" s="1439" t="e">
        <v>#N/A</v>
      </c>
      <c r="J199" s="363">
        <v>0</v>
      </c>
      <c r="K199" s="363">
        <v>0</v>
      </c>
      <c r="L199" s="363">
        <v>0</v>
      </c>
      <c r="M199" s="363">
        <v>0</v>
      </c>
      <c r="N199" s="363">
        <f t="shared" si="24"/>
        <v>0</v>
      </c>
      <c r="O199" s="363">
        <f t="shared" si="25"/>
        <v>0</v>
      </c>
    </row>
    <row r="200" spans="1:18" ht="5.0999999999999996" customHeight="1">
      <c r="A200" s="360"/>
      <c r="B200" s="361"/>
      <c r="C200" s="362"/>
      <c r="E200" s="363"/>
      <c r="G200" s="363"/>
      <c r="J200" s="363"/>
      <c r="K200" s="363"/>
      <c r="L200" s="363"/>
      <c r="M200" s="363"/>
      <c r="N200" s="363"/>
      <c r="O200" s="363"/>
    </row>
    <row r="201" spans="1:18" s="350" customFormat="1" ht="15" thickBot="1">
      <c r="A201" s="366"/>
      <c r="B201" s="368" t="s">
        <v>746</v>
      </c>
      <c r="C201" s="1627"/>
      <c r="D201" s="1628"/>
      <c r="E201" s="367">
        <f>SUM(E191:E200)</f>
        <v>0</v>
      </c>
      <c r="F201" s="349"/>
      <c r="G201" s="367">
        <f>SUM(G191:G200)</f>
        <v>0</v>
      </c>
      <c r="H201" s="349"/>
      <c r="J201" s="367">
        <f t="shared" ref="J201:O201" si="26">SUM(J191:J200)</f>
        <v>0</v>
      </c>
      <c r="K201" s="367">
        <f t="shared" si="26"/>
        <v>0</v>
      </c>
      <c r="L201" s="367">
        <f t="shared" si="26"/>
        <v>0</v>
      </c>
      <c r="M201" s="367">
        <f t="shared" si="26"/>
        <v>0</v>
      </c>
      <c r="N201" s="367">
        <f t="shared" si="26"/>
        <v>0</v>
      </c>
      <c r="O201" s="367">
        <f t="shared" si="26"/>
        <v>0</v>
      </c>
    </row>
    <row r="202" spans="1:18" ht="5.0999999999999996" customHeight="1" thickTop="1">
      <c r="A202" s="360"/>
      <c r="B202" s="361"/>
      <c r="C202" s="362"/>
      <c r="E202" s="363"/>
      <c r="G202" s="363"/>
      <c r="J202" s="363"/>
      <c r="K202" s="363"/>
      <c r="L202" s="363"/>
      <c r="M202" s="363"/>
      <c r="N202" s="363"/>
      <c r="O202" s="363"/>
    </row>
    <row r="203" spans="1:18">
      <c r="A203" s="360">
        <v>505015</v>
      </c>
      <c r="B203" s="361" t="str">
        <f>VLOOKUP(A203,'TB for financial'!A:B,2,0)</f>
        <v>Fees - Legal</v>
      </c>
      <c r="C203" s="362" t="s">
        <v>743</v>
      </c>
      <c r="D203" s="354">
        <v>505015</v>
      </c>
      <c r="E203" s="363">
        <f>VLOOKUP(A203,'TB for financial'!A:F,6,0)</f>
        <v>0</v>
      </c>
      <c r="G203" s="363">
        <f>VLOOKUP(A203,'TB for financial'!A:K,11,0)</f>
        <v>0</v>
      </c>
      <c r="H203" s="346">
        <v>505015</v>
      </c>
      <c r="I203" s="1439">
        <v>-74319.960000000006</v>
      </c>
      <c r="J203" s="363">
        <v>3500</v>
      </c>
      <c r="K203" s="363">
        <v>-3500</v>
      </c>
      <c r="L203" s="363">
        <v>0</v>
      </c>
      <c r="M203" s="363">
        <v>0</v>
      </c>
      <c r="N203" s="363">
        <f t="shared" ref="N203:N209" si="27">+J203+K203</f>
        <v>0</v>
      </c>
      <c r="O203" s="363">
        <f t="shared" ref="O203:O209" si="28">+E203-N203</f>
        <v>0</v>
      </c>
      <c r="P203" s="347">
        <v>505015</v>
      </c>
      <c r="Q203" s="365" t="e">
        <v>#N/A</v>
      </c>
      <c r="R203" s="365" t="e">
        <f>+E203-Q203</f>
        <v>#N/A</v>
      </c>
    </row>
    <row r="204" spans="1:18">
      <c r="A204" s="360">
        <v>505020</v>
      </c>
      <c r="B204" s="361" t="str">
        <f>VLOOKUP(A204,'TB for financial'!A:B,2,0)</f>
        <v>Fees - Other</v>
      </c>
      <c r="C204" s="362" t="s">
        <v>743</v>
      </c>
      <c r="D204" s="354">
        <v>505020</v>
      </c>
      <c r="E204" s="363">
        <f>VLOOKUP(A204,'TB for financial'!A:F,6,0)</f>
        <v>0</v>
      </c>
      <c r="G204" s="363">
        <f>VLOOKUP(A204,'TB for financial'!A:K,11,0)</f>
        <v>0</v>
      </c>
      <c r="H204" s="346">
        <v>505020</v>
      </c>
      <c r="I204" s="1439">
        <v>10000</v>
      </c>
      <c r="J204" s="363">
        <v>0</v>
      </c>
      <c r="K204" s="363">
        <v>5000</v>
      </c>
      <c r="L204" s="363">
        <v>0</v>
      </c>
      <c r="M204" s="363">
        <v>0</v>
      </c>
      <c r="N204" s="363">
        <f t="shared" si="27"/>
        <v>5000</v>
      </c>
      <c r="O204" s="363">
        <f t="shared" si="28"/>
        <v>-5000</v>
      </c>
      <c r="P204" s="347">
        <v>505020</v>
      </c>
      <c r="Q204" s="365" t="e">
        <v>#N/A</v>
      </c>
      <c r="R204" s="365" t="e">
        <f>+E204-Q204</f>
        <v>#N/A</v>
      </c>
    </row>
    <row r="205" spans="1:18">
      <c r="A205" s="360">
        <v>505025</v>
      </c>
      <c r="B205" s="361" t="str">
        <f>VLOOKUP(A205,'TB for financial'!A:B,2,0)</f>
        <v>Fees-Professional / Accounting</v>
      </c>
      <c r="C205" s="362" t="s">
        <v>743</v>
      </c>
      <c r="D205" s="354">
        <v>505025</v>
      </c>
      <c r="E205" s="363">
        <f>VLOOKUP(A205,'TB for financial'!A:F,6,0)</f>
        <v>0</v>
      </c>
      <c r="G205" s="363">
        <f>VLOOKUP(A205,'TB for financial'!A:K,11,0)</f>
        <v>0</v>
      </c>
      <c r="H205" s="346">
        <v>505025</v>
      </c>
      <c r="I205" s="1439">
        <v>138057.1</v>
      </c>
      <c r="J205" s="363">
        <v>794349</v>
      </c>
      <c r="K205" s="363">
        <v>59375</v>
      </c>
      <c r="L205" s="363">
        <v>0</v>
      </c>
      <c r="M205" s="363">
        <v>0</v>
      </c>
      <c r="N205" s="363">
        <f t="shared" si="27"/>
        <v>853724</v>
      </c>
      <c r="O205" s="363">
        <f t="shared" si="28"/>
        <v>-853724</v>
      </c>
      <c r="P205" s="347">
        <v>505025</v>
      </c>
      <c r="Q205" s="365"/>
      <c r="R205" s="365"/>
    </row>
    <row r="206" spans="1:18">
      <c r="A206" s="360">
        <v>505028</v>
      </c>
      <c r="B206" s="361" t="str">
        <f>VLOOKUP(A206,'TB for financial'!A:B,2,0)</f>
        <v>Audit Fees-Internal Audit</v>
      </c>
      <c r="C206" s="362" t="s">
        <v>743</v>
      </c>
      <c r="E206" s="363">
        <f>VLOOKUP(A206,'TB for financial'!A:F,6,0)</f>
        <v>0</v>
      </c>
      <c r="G206" s="363">
        <f>VLOOKUP(A206,'TB for financial'!A:K,11,0)</f>
        <v>0</v>
      </c>
      <c r="H206" s="346">
        <v>505028</v>
      </c>
      <c r="I206" s="1439">
        <v>0</v>
      </c>
      <c r="J206" s="363">
        <v>0</v>
      </c>
      <c r="K206" s="363">
        <v>0</v>
      </c>
      <c r="L206" s="363">
        <v>0</v>
      </c>
      <c r="M206" s="363">
        <v>0</v>
      </c>
      <c r="N206" s="363">
        <f t="shared" si="27"/>
        <v>0</v>
      </c>
      <c r="O206" s="363">
        <f t="shared" si="28"/>
        <v>0</v>
      </c>
    </row>
    <row r="207" spans="1:18">
      <c r="A207" s="360">
        <v>505027</v>
      </c>
      <c r="B207" s="361" t="str">
        <f>VLOOKUP(A207,'TB for financial'!A:B,2,0)</f>
        <v>Audit Fees-Tax Audit</v>
      </c>
      <c r="C207" s="362" t="s">
        <v>743</v>
      </c>
      <c r="E207" s="363">
        <f>VLOOKUP(A207,'TB for financial'!A:F,6,0)</f>
        <v>0</v>
      </c>
      <c r="G207" s="363">
        <f>VLOOKUP(A207,'TB for financial'!A:K,11,0)</f>
        <v>0</v>
      </c>
      <c r="H207" s="346">
        <v>505027</v>
      </c>
      <c r="I207" s="1439">
        <v>0</v>
      </c>
      <c r="J207" s="363">
        <v>-510000</v>
      </c>
      <c r="K207" s="363">
        <v>0</v>
      </c>
      <c r="L207" s="363">
        <v>0</v>
      </c>
      <c r="M207" s="363">
        <v>0</v>
      </c>
      <c r="N207" s="363">
        <f t="shared" si="27"/>
        <v>-510000</v>
      </c>
      <c r="O207" s="363">
        <f t="shared" si="28"/>
        <v>510000</v>
      </c>
      <c r="P207" s="347">
        <v>505027</v>
      </c>
      <c r="Q207" s="365" t="e">
        <v>#N/A</v>
      </c>
      <c r="R207" s="365" t="e">
        <f>+E207-Q207</f>
        <v>#N/A</v>
      </c>
    </row>
    <row r="208" spans="1:18">
      <c r="A208" s="1379">
        <v>622500</v>
      </c>
      <c r="B208" s="361" t="str">
        <f>VLOOKUP(A208,'TB for financial'!A:B,2,0)</f>
        <v>lawyer fees (vs legal fees, counselling</v>
      </c>
      <c r="C208" s="362" t="s">
        <v>743</v>
      </c>
      <c r="D208" s="354">
        <v>622500</v>
      </c>
      <c r="E208" s="363">
        <f>VLOOKUP(A208,'TB for financial'!A:F,6,0)</f>
        <v>28200</v>
      </c>
      <c r="G208" s="363">
        <f>VLOOKUP(A208,'TB for financial'!A:K,11,0)</f>
        <v>4835.1499999999996</v>
      </c>
      <c r="H208" s="346">
        <v>622500</v>
      </c>
      <c r="I208" s="1439">
        <v>918275</v>
      </c>
      <c r="J208" s="363">
        <v>0</v>
      </c>
      <c r="K208" s="363">
        <v>0</v>
      </c>
      <c r="L208" s="363">
        <v>0</v>
      </c>
      <c r="M208" s="363">
        <v>0</v>
      </c>
      <c r="N208" s="363">
        <f t="shared" si="27"/>
        <v>0</v>
      </c>
      <c r="O208" s="363">
        <f t="shared" si="28"/>
        <v>28200</v>
      </c>
      <c r="Q208" s="365" t="e">
        <v>#N/A</v>
      </c>
      <c r="R208" s="365" t="e">
        <f>+E208-Q208</f>
        <v>#N/A</v>
      </c>
    </row>
    <row r="209" spans="1:18">
      <c r="A209" s="1379">
        <v>622800</v>
      </c>
      <c r="B209" s="361" t="str">
        <f>VLOOKUP(A209,'TB for financial'!A:B,2,0)</f>
        <v>OTHER PROFESSIONAL FEES</v>
      </c>
      <c r="C209" s="362" t="s">
        <v>743</v>
      </c>
      <c r="D209" s="354">
        <v>622800</v>
      </c>
      <c r="E209" s="363">
        <f>VLOOKUP(A209,'TB for financial'!A:F,6,0)</f>
        <v>1327798.0600000005</v>
      </c>
      <c r="G209" s="363">
        <f>VLOOKUP(A209,'TB for financial'!A:K,11,0)</f>
        <v>957230.58000000007</v>
      </c>
      <c r="H209" s="346">
        <v>622800</v>
      </c>
      <c r="I209" s="1439">
        <v>-321894.33000000007</v>
      </c>
      <c r="J209" s="363">
        <v>0</v>
      </c>
      <c r="K209" s="363">
        <v>0</v>
      </c>
      <c r="L209" s="363">
        <v>0</v>
      </c>
      <c r="M209" s="363">
        <v>0</v>
      </c>
      <c r="N209" s="363">
        <f t="shared" si="27"/>
        <v>0</v>
      </c>
      <c r="O209" s="363">
        <f t="shared" si="28"/>
        <v>1327798.0600000005</v>
      </c>
      <c r="Q209" s="365" t="e">
        <v>#N/A</v>
      </c>
      <c r="R209" s="365" t="e">
        <f>+E209-Q209</f>
        <v>#N/A</v>
      </c>
    </row>
    <row r="210" spans="1:18">
      <c r="A210" s="1379">
        <v>622803</v>
      </c>
      <c r="B210" s="361" t="s">
        <v>3043</v>
      </c>
      <c r="C210" s="362" t="s">
        <v>743</v>
      </c>
      <c r="E210" s="363">
        <f>VLOOKUP(A210,'TB for financial'!A:F,6,0)</f>
        <v>15500</v>
      </c>
      <c r="G210" s="363">
        <v>0</v>
      </c>
      <c r="I210" s="1439"/>
      <c r="J210" s="363"/>
      <c r="K210" s="363"/>
      <c r="L210" s="363"/>
      <c r="M210" s="363"/>
      <c r="N210" s="363"/>
      <c r="O210" s="363"/>
      <c r="Q210" s="365"/>
      <c r="R210" s="365"/>
    </row>
    <row r="211" spans="1:18">
      <c r="A211" s="360"/>
      <c r="B211" s="361" t="s">
        <v>747</v>
      </c>
      <c r="C211" s="362" t="s">
        <v>743</v>
      </c>
      <c r="E211" s="363">
        <v>0</v>
      </c>
      <c r="G211" s="363">
        <v>0</v>
      </c>
      <c r="J211" s="363">
        <v>0</v>
      </c>
      <c r="K211" s="363">
        <v>0</v>
      </c>
      <c r="L211" s="363">
        <v>0</v>
      </c>
      <c r="M211" s="363">
        <v>0</v>
      </c>
      <c r="N211" s="363">
        <v>0</v>
      </c>
      <c r="O211" s="363">
        <v>0</v>
      </c>
    </row>
    <row r="212" spans="1:18">
      <c r="A212" s="360"/>
      <c r="B212" s="361" t="s">
        <v>748</v>
      </c>
      <c r="C212" s="362" t="s">
        <v>743</v>
      </c>
      <c r="E212" s="363">
        <v>0</v>
      </c>
      <c r="G212" s="363">
        <v>0</v>
      </c>
      <c r="J212" s="363">
        <v>0</v>
      </c>
      <c r="K212" s="363">
        <v>0</v>
      </c>
      <c r="L212" s="363">
        <v>0</v>
      </c>
      <c r="M212" s="363">
        <v>0</v>
      </c>
      <c r="N212" s="363">
        <v>0</v>
      </c>
      <c r="O212" s="363">
        <v>0</v>
      </c>
    </row>
    <row r="213" spans="1:18" ht="5.0999999999999996" customHeight="1">
      <c r="A213" s="360"/>
      <c r="B213" s="361"/>
      <c r="C213" s="362"/>
      <c r="E213" s="363"/>
      <c r="G213" s="363"/>
      <c r="J213" s="363"/>
      <c r="K213" s="363"/>
      <c r="L213" s="363"/>
      <c r="M213" s="363"/>
      <c r="N213" s="363"/>
      <c r="O213" s="363"/>
    </row>
    <row r="214" spans="1:18" s="350" customFormat="1" ht="15" thickBot="1">
      <c r="A214" s="366"/>
      <c r="B214" s="368" t="s">
        <v>749</v>
      </c>
      <c r="C214" s="1627"/>
      <c r="D214" s="1628"/>
      <c r="E214" s="1630">
        <f>SUM(E203:E213)</f>
        <v>1371498.0600000005</v>
      </c>
      <c r="F214" s="349"/>
      <c r="G214" s="367">
        <f>SUM(G203:G213)</f>
        <v>962065.7300000001</v>
      </c>
      <c r="H214" s="349"/>
      <c r="J214" s="367">
        <f t="shared" ref="J214:O214" si="29">SUM(J203:J213)</f>
        <v>287849</v>
      </c>
      <c r="K214" s="367">
        <f t="shared" si="29"/>
        <v>60875</v>
      </c>
      <c r="L214" s="367">
        <f t="shared" si="29"/>
        <v>0</v>
      </c>
      <c r="M214" s="367">
        <f t="shared" si="29"/>
        <v>0</v>
      </c>
      <c r="N214" s="367">
        <f t="shared" si="29"/>
        <v>348724</v>
      </c>
      <c r="O214" s="367">
        <f t="shared" si="29"/>
        <v>1007274.0600000005</v>
      </c>
    </row>
    <row r="215" spans="1:18" ht="5.0999999999999996" customHeight="1" thickTop="1">
      <c r="A215" s="360"/>
      <c r="B215" s="361"/>
      <c r="C215" s="362"/>
      <c r="E215" s="363"/>
      <c r="G215" s="363"/>
      <c r="J215" s="363"/>
      <c r="K215" s="363"/>
      <c r="L215" s="363"/>
      <c r="M215" s="363"/>
      <c r="N215" s="363"/>
      <c r="O215" s="363"/>
    </row>
    <row r="216" spans="1:18">
      <c r="A216" s="360">
        <v>503047</v>
      </c>
      <c r="B216" s="361" t="str">
        <f>VLOOKUP(A216,'TB for financial'!A:B,2,0)</f>
        <v>Maint. &amp; Repairs - Hw/Sw</v>
      </c>
      <c r="C216" s="362" t="s">
        <v>743</v>
      </c>
      <c r="E216" s="363">
        <f>VLOOKUP(A216,'TB for financial'!A:F,6,0)</f>
        <v>0</v>
      </c>
      <c r="G216" s="363">
        <f>VLOOKUP(A216,'TB for financial'!A:K,11,0)</f>
        <v>0</v>
      </c>
      <c r="H216" s="346">
        <v>503047</v>
      </c>
      <c r="I216" s="1439">
        <v>0</v>
      </c>
      <c r="J216" s="363">
        <v>22467</v>
      </c>
      <c r="K216" s="363">
        <v>-22467</v>
      </c>
      <c r="L216" s="363">
        <v>0</v>
      </c>
      <c r="M216" s="363">
        <v>0</v>
      </c>
      <c r="N216" s="363">
        <f>+J216+K216</f>
        <v>0</v>
      </c>
      <c r="O216" s="363">
        <f>+E216-N216</f>
        <v>0</v>
      </c>
    </row>
    <row r="217" spans="1:18">
      <c r="A217" s="360">
        <v>503048</v>
      </c>
      <c r="B217" s="361" t="str">
        <f>VLOOKUP(A217,'TB for financial'!A:B,2,0)</f>
        <v>Maint. &amp; Repairs - AMC</v>
      </c>
      <c r="C217" s="362" t="s">
        <v>743</v>
      </c>
      <c r="E217" s="363">
        <f>VLOOKUP(A217,'TB for financial'!A:F,6,0)</f>
        <v>0</v>
      </c>
      <c r="G217" s="363">
        <f>VLOOKUP(A217,'TB for financial'!A:K,11,0)</f>
        <v>0</v>
      </c>
      <c r="H217" s="346">
        <v>503048</v>
      </c>
      <c r="I217" s="1439">
        <v>0</v>
      </c>
      <c r="J217" s="363">
        <v>0</v>
      </c>
      <c r="K217" s="363">
        <v>0</v>
      </c>
      <c r="L217" s="363">
        <v>0</v>
      </c>
      <c r="M217" s="363">
        <v>0</v>
      </c>
      <c r="N217" s="363">
        <f>+J217+K217</f>
        <v>0</v>
      </c>
      <c r="O217" s="363">
        <f>+E217-N217</f>
        <v>0</v>
      </c>
    </row>
    <row r="218" spans="1:18" ht="5.0999999999999996" customHeight="1">
      <c r="A218" s="360"/>
      <c r="B218" s="361"/>
      <c r="C218" s="362"/>
      <c r="E218" s="363"/>
      <c r="G218" s="363"/>
      <c r="J218" s="363"/>
      <c r="K218" s="363"/>
      <c r="L218" s="363"/>
      <c r="M218" s="363"/>
      <c r="N218" s="363"/>
      <c r="O218" s="363"/>
    </row>
    <row r="219" spans="1:18" s="350" customFormat="1" ht="15" thickBot="1">
      <c r="A219" s="366"/>
      <c r="B219" s="368" t="s">
        <v>750</v>
      </c>
      <c r="C219" s="1627"/>
      <c r="D219" s="1628"/>
      <c r="E219" s="367">
        <f>SUM(E216:E218)</f>
        <v>0</v>
      </c>
      <c r="F219" s="349"/>
      <c r="G219" s="367">
        <f>SUM(G216:G218)</f>
        <v>0</v>
      </c>
      <c r="H219" s="349"/>
      <c r="J219" s="367">
        <f t="shared" ref="J219:O219" si="30">SUM(J216:J218)</f>
        <v>22467</v>
      </c>
      <c r="K219" s="367">
        <f t="shared" si="30"/>
        <v>-22467</v>
      </c>
      <c r="L219" s="367">
        <f t="shared" si="30"/>
        <v>0</v>
      </c>
      <c r="M219" s="367">
        <f t="shared" si="30"/>
        <v>0</v>
      </c>
      <c r="N219" s="367">
        <f t="shared" si="30"/>
        <v>0</v>
      </c>
      <c r="O219" s="367">
        <f t="shared" si="30"/>
        <v>0</v>
      </c>
    </row>
    <row r="220" spans="1:18" ht="5.0999999999999996" customHeight="1" thickTop="1">
      <c r="A220" s="360"/>
      <c r="B220" s="368"/>
      <c r="C220" s="1627"/>
      <c r="E220" s="363"/>
      <c r="G220" s="363"/>
      <c r="J220" s="363"/>
      <c r="K220" s="363"/>
      <c r="L220" s="363"/>
      <c r="M220" s="363"/>
      <c r="N220" s="363"/>
      <c r="O220" s="363"/>
    </row>
    <row r="221" spans="1:18">
      <c r="A221" s="360">
        <v>503045</v>
      </c>
      <c r="B221" s="361" t="str">
        <f>VLOOKUP(A221,'TB for financial'!A:B,2,0)</f>
        <v>Maint.&amp; Repairs - Facilities</v>
      </c>
      <c r="C221" s="362" t="s">
        <v>743</v>
      </c>
      <c r="E221" s="363">
        <f>VLOOKUP(A221,'TB for financial'!A:F,6,0)</f>
        <v>0</v>
      </c>
      <c r="G221" s="363">
        <f>VLOOKUP(A221,'TB for financial'!A:K,11,0)</f>
        <v>0</v>
      </c>
      <c r="H221" s="346">
        <v>503045</v>
      </c>
      <c r="I221" s="1439">
        <v>0</v>
      </c>
      <c r="J221" s="363">
        <v>0</v>
      </c>
      <c r="K221" s="363">
        <v>0</v>
      </c>
      <c r="L221" s="363">
        <v>0</v>
      </c>
      <c r="M221" s="363">
        <v>0</v>
      </c>
      <c r="N221" s="363">
        <f>+J221+K221</f>
        <v>0</v>
      </c>
      <c r="O221" s="363">
        <f>+E221-N221</f>
        <v>0</v>
      </c>
    </row>
    <row r="222" spans="1:18">
      <c r="A222" s="360">
        <v>503046</v>
      </c>
      <c r="B222" s="361" t="str">
        <f>VLOOKUP(A222,'TB for financial'!A:B,2,0)</f>
        <v>Maint. &amp; Repairs - Housekeep</v>
      </c>
      <c r="C222" s="362" t="s">
        <v>743</v>
      </c>
      <c r="D222" s="354">
        <v>503046</v>
      </c>
      <c r="E222" s="363">
        <f>VLOOKUP(A222,'TB for financial'!A:F,6,0)</f>
        <v>0</v>
      </c>
      <c r="G222" s="363">
        <f>VLOOKUP(A222,'TB for financial'!A:K,11,0)</f>
        <v>0</v>
      </c>
      <c r="H222" s="346">
        <v>503046</v>
      </c>
      <c r="I222" s="1439">
        <v>49460.08</v>
      </c>
      <c r="J222" s="363">
        <v>72614.570000000007</v>
      </c>
      <c r="K222" s="363">
        <v>17997.080000000002</v>
      </c>
      <c r="L222" s="363">
        <v>0</v>
      </c>
      <c r="M222" s="363">
        <v>0</v>
      </c>
      <c r="N222" s="363">
        <f>+J222+K222</f>
        <v>90611.650000000009</v>
      </c>
      <c r="O222" s="363">
        <f>+E222-N222</f>
        <v>-90611.650000000009</v>
      </c>
      <c r="P222" s="347">
        <v>503046</v>
      </c>
      <c r="Q222" s="365" t="e">
        <v>#N/A</v>
      </c>
      <c r="R222" s="365" t="e">
        <f>+E222-Q222</f>
        <v>#N/A</v>
      </c>
    </row>
    <row r="223" spans="1:18">
      <c r="A223" s="360">
        <v>503049</v>
      </c>
      <c r="B223" s="361" t="str">
        <f>VLOOKUP(A223,'TB for financial'!A:B,2,0)</f>
        <v>Maint. &amp; Repairs - Others</v>
      </c>
      <c r="C223" s="362" t="s">
        <v>743</v>
      </c>
      <c r="E223" s="363">
        <f>VLOOKUP(A223,'TB for financial'!A:F,6,0)</f>
        <v>0</v>
      </c>
      <c r="G223" s="363">
        <f>VLOOKUP(A223,'TB for financial'!A:K,11,0)</f>
        <v>0</v>
      </c>
      <c r="H223" s="346">
        <v>503049</v>
      </c>
      <c r="I223" s="1439">
        <v>0</v>
      </c>
      <c r="J223" s="363">
        <v>0</v>
      </c>
      <c r="K223" s="363">
        <v>0</v>
      </c>
      <c r="L223" s="363">
        <v>0</v>
      </c>
      <c r="M223" s="363">
        <v>0</v>
      </c>
      <c r="N223" s="363">
        <f>+J223+K223</f>
        <v>0</v>
      </c>
      <c r="O223" s="363">
        <f>+E223-N223</f>
        <v>0</v>
      </c>
    </row>
    <row r="224" spans="1:18">
      <c r="A224" s="1379">
        <v>615290</v>
      </c>
      <c r="B224" s="361" t="str">
        <f>VLOOKUP(A224,'TB for financial'!A:B,2,0)</f>
        <v>OTHER BUILDING-RELATED SERVICES</v>
      </c>
      <c r="C224" s="362" t="s">
        <v>743</v>
      </c>
      <c r="D224" s="354">
        <v>615290</v>
      </c>
      <c r="E224" s="363">
        <f>VLOOKUP(A224,'TB for financial'!A:F,6,0)</f>
        <v>0</v>
      </c>
      <c r="G224" s="363">
        <f>VLOOKUP(A224,'TB for financial'!A:K,11,0)</f>
        <v>5983</v>
      </c>
      <c r="H224" s="346">
        <v>615290</v>
      </c>
      <c r="I224" s="1439">
        <v>41879</v>
      </c>
      <c r="J224" s="363"/>
      <c r="K224" s="363"/>
      <c r="L224" s="363"/>
      <c r="M224" s="363"/>
      <c r="N224" s="363">
        <f>+J224+K224</f>
        <v>0</v>
      </c>
      <c r="O224" s="363">
        <f>+E224-N224</f>
        <v>0</v>
      </c>
    </row>
    <row r="225" spans="1:18">
      <c r="A225" s="1379">
        <v>615605</v>
      </c>
      <c r="B225" s="361" t="s">
        <v>2850</v>
      </c>
      <c r="C225" s="362" t="s">
        <v>743</v>
      </c>
      <c r="E225" s="363">
        <f>VLOOKUP(A225,'TB for financial'!A:F,6,0)</f>
        <v>0</v>
      </c>
      <c r="G225" s="363"/>
      <c r="I225" s="1439"/>
      <c r="J225" s="363"/>
      <c r="K225" s="363"/>
      <c r="L225" s="363"/>
      <c r="M225" s="363"/>
      <c r="N225" s="363"/>
      <c r="O225" s="363"/>
    </row>
    <row r="226" spans="1:18" ht="28.8">
      <c r="A226" s="1379">
        <v>606300</v>
      </c>
      <c r="B226" s="361" t="str">
        <f>VLOOKUP(A226,'TB for financial'!A:B,2,0)</f>
        <v>OFFICE SUPPLIES, SMALL TOOLS, MAINTENANCE SUPPLIES</v>
      </c>
      <c r="C226" s="362" t="s">
        <v>743</v>
      </c>
      <c r="D226" s="354">
        <v>615290</v>
      </c>
      <c r="E226" s="363">
        <f>VLOOKUP(A226,'TB for financial'!A:F,6,0)</f>
        <v>0</v>
      </c>
      <c r="G226" s="363"/>
      <c r="H226" s="346">
        <v>606300</v>
      </c>
      <c r="I226" s="1439"/>
      <c r="J226" s="363"/>
      <c r="K226" s="363"/>
      <c r="L226" s="363"/>
      <c r="M226" s="363"/>
      <c r="N226" s="363"/>
      <c r="O226" s="363"/>
    </row>
    <row r="227" spans="1:18">
      <c r="A227" s="1379">
        <v>658003</v>
      </c>
      <c r="B227" s="361" t="str">
        <f>VLOOKUP(A227,'TB for financial'!A:B,2,0)</f>
        <v>Other facility management expenses</v>
      </c>
      <c r="C227" s="362" t="s">
        <v>743</v>
      </c>
      <c r="D227" s="354">
        <v>615290</v>
      </c>
      <c r="E227" s="363">
        <f>VLOOKUP(A227,'TB for financial'!A:F,6,0)</f>
        <v>226297.89999999991</v>
      </c>
      <c r="G227" s="363">
        <f>VLOOKUP(A227,'TB for financial'!A:K,11,0)</f>
        <v>161236</v>
      </c>
      <c r="H227" s="346">
        <v>658003</v>
      </c>
      <c r="I227" s="1439"/>
      <c r="J227" s="363"/>
      <c r="K227" s="363"/>
      <c r="L227" s="363"/>
      <c r="M227" s="363"/>
      <c r="N227" s="363"/>
      <c r="O227" s="363"/>
    </row>
    <row r="228" spans="1:18" ht="5.0999999999999996" customHeight="1">
      <c r="A228" s="360"/>
      <c r="B228" s="361"/>
      <c r="C228" s="362"/>
      <c r="E228" s="363"/>
      <c r="G228" s="363"/>
      <c r="J228" s="363"/>
      <c r="K228" s="363"/>
      <c r="L228" s="363"/>
      <c r="M228" s="363"/>
      <c r="N228" s="363"/>
      <c r="O228" s="363"/>
    </row>
    <row r="229" spans="1:18" s="350" customFormat="1" ht="15" thickBot="1">
      <c r="A229" s="366"/>
      <c r="B229" s="368" t="s">
        <v>751</v>
      </c>
      <c r="C229" s="1627"/>
      <c r="D229" s="1628"/>
      <c r="E229" s="1630">
        <f>SUM(E221:E228)</f>
        <v>226297.89999999991</v>
      </c>
      <c r="F229" s="349"/>
      <c r="G229" s="367">
        <f>SUM(G221:G228)</f>
        <v>167219</v>
      </c>
      <c r="H229" s="349"/>
      <c r="J229" s="367">
        <f t="shared" ref="J229:O229" si="31">SUM(J221:J228)</f>
        <v>72614.570000000007</v>
      </c>
      <c r="K229" s="367">
        <f t="shared" si="31"/>
        <v>17997.080000000002</v>
      </c>
      <c r="L229" s="367">
        <f t="shared" si="31"/>
        <v>0</v>
      </c>
      <c r="M229" s="367">
        <f t="shared" si="31"/>
        <v>0</v>
      </c>
      <c r="N229" s="367">
        <f t="shared" si="31"/>
        <v>90611.650000000009</v>
      </c>
      <c r="O229" s="367">
        <f t="shared" si="31"/>
        <v>-90611.650000000009</v>
      </c>
    </row>
    <row r="230" spans="1:18" ht="5.0999999999999996" customHeight="1" thickTop="1">
      <c r="A230" s="360"/>
      <c r="B230" s="368"/>
      <c r="C230" s="1627"/>
      <c r="E230" s="363"/>
      <c r="G230" s="363"/>
      <c r="J230" s="363"/>
      <c r="K230" s="363"/>
      <c r="L230" s="363"/>
      <c r="M230" s="363"/>
      <c r="N230" s="363"/>
      <c r="O230" s="363"/>
    </row>
    <row r="231" spans="1:18">
      <c r="A231" s="360">
        <v>503065</v>
      </c>
      <c r="B231" s="361" t="str">
        <f>VLOOKUP(A231,'TB for financial'!A:B,2,0)</f>
        <v>Books, Subscriptions &amp; Periodicals</v>
      </c>
      <c r="C231" s="362" t="s">
        <v>743</v>
      </c>
      <c r="E231" s="363">
        <f>VLOOKUP(A231,'TB for financial'!A:F,6,0)</f>
        <v>0</v>
      </c>
      <c r="G231" s="363">
        <f>VLOOKUP(A231,'TB for financial'!A:K,11,0)</f>
        <v>0</v>
      </c>
      <c r="H231" s="346">
        <v>503065</v>
      </c>
      <c r="I231" s="1439">
        <v>0</v>
      </c>
      <c r="J231" s="363">
        <v>0</v>
      </c>
      <c r="K231" s="363">
        <v>0</v>
      </c>
      <c r="L231" s="363">
        <v>0</v>
      </c>
      <c r="M231" s="363">
        <v>0</v>
      </c>
      <c r="N231" s="363">
        <f>+J231+K231</f>
        <v>0</v>
      </c>
      <c r="O231" s="363">
        <f>+E231-N231</f>
        <v>0</v>
      </c>
    </row>
    <row r="232" spans="1:18">
      <c r="A232" s="360">
        <v>503070</v>
      </c>
      <c r="B232" s="361" t="str">
        <f>VLOOKUP(A232,'TB for financial'!A:B,2,0)</f>
        <v>Stationary &amp; Office Supplies</v>
      </c>
      <c r="C232" s="362" t="s">
        <v>743</v>
      </c>
      <c r="E232" s="363">
        <f>VLOOKUP(A232,'TB for financial'!A:F,6,0)</f>
        <v>0</v>
      </c>
      <c r="G232" s="363">
        <f>VLOOKUP(A232,'TB for financial'!A:K,11,0)</f>
        <v>0</v>
      </c>
      <c r="H232" s="346">
        <v>503070</v>
      </c>
      <c r="I232" s="1439">
        <v>0</v>
      </c>
      <c r="J232" s="363">
        <v>0</v>
      </c>
      <c r="K232" s="363">
        <v>0</v>
      </c>
      <c r="L232" s="363">
        <v>0</v>
      </c>
      <c r="M232" s="363">
        <v>0</v>
      </c>
      <c r="N232" s="363">
        <f>+J232+K232</f>
        <v>0</v>
      </c>
      <c r="O232" s="363">
        <f>+E232-N232</f>
        <v>0</v>
      </c>
      <c r="P232" s="347">
        <v>503070</v>
      </c>
      <c r="Q232" s="365" t="e">
        <v>#N/A</v>
      </c>
      <c r="R232" s="365" t="e">
        <f>+E232-Q232</f>
        <v>#N/A</v>
      </c>
    </row>
    <row r="233" spans="1:18">
      <c r="A233" s="360">
        <v>503075</v>
      </c>
      <c r="B233" s="361" t="str">
        <f>VLOOKUP(A233,'TB for financial'!A:B,2,0)</f>
        <v>Office Equipment Consumables</v>
      </c>
      <c r="C233" s="362" t="s">
        <v>743</v>
      </c>
      <c r="E233" s="363">
        <f>VLOOKUP(A233,'TB for financial'!A:F,6,0)</f>
        <v>0</v>
      </c>
      <c r="G233" s="363">
        <f>VLOOKUP(A233,'TB for financial'!A:K,11,0)</f>
        <v>0</v>
      </c>
      <c r="H233" s="346">
        <v>503075</v>
      </c>
      <c r="I233" s="1439">
        <v>0</v>
      </c>
      <c r="J233" s="363">
        <v>0</v>
      </c>
      <c r="K233" s="363">
        <v>0</v>
      </c>
      <c r="L233" s="363">
        <v>0</v>
      </c>
      <c r="M233" s="363">
        <v>0</v>
      </c>
      <c r="N233" s="363">
        <f>+J233+K233</f>
        <v>0</v>
      </c>
      <c r="O233" s="363">
        <f>+E233-N233</f>
        <v>0</v>
      </c>
    </row>
    <row r="234" spans="1:18">
      <c r="A234" s="360">
        <v>503080</v>
      </c>
      <c r="B234" s="361" t="str">
        <f>VLOOKUP(A234,'TB for financial'!A:B,2,0)</f>
        <v>Computer Consumables</v>
      </c>
      <c r="C234" s="362" t="s">
        <v>743</v>
      </c>
      <c r="E234" s="363">
        <f>VLOOKUP(A234,'TB for financial'!A:F,6,0)</f>
        <v>0</v>
      </c>
      <c r="G234" s="363">
        <f>VLOOKUP(A234,'TB for financial'!A:K,11,0)</f>
        <v>0</v>
      </c>
      <c r="H234" s="346">
        <v>503080</v>
      </c>
      <c r="I234" s="1439">
        <v>0</v>
      </c>
      <c r="J234" s="363">
        <v>0</v>
      </c>
      <c r="K234" s="363">
        <v>0</v>
      </c>
      <c r="L234" s="363">
        <v>0</v>
      </c>
      <c r="M234" s="363">
        <v>0</v>
      </c>
      <c r="N234" s="363">
        <f>+J234+K234</f>
        <v>0</v>
      </c>
      <c r="O234" s="363">
        <f>+E234-N234</f>
        <v>0</v>
      </c>
    </row>
    <row r="235" spans="1:18">
      <c r="A235" s="360">
        <v>503099</v>
      </c>
      <c r="B235" s="361" t="str">
        <f>VLOOKUP(A235,'TB for financial'!A:B,2,0)</f>
        <v>Oracle Application Guides</v>
      </c>
      <c r="C235" s="362" t="s">
        <v>743</v>
      </c>
      <c r="E235" s="363">
        <f>VLOOKUP(A235,'TB for financial'!A:F,6,0)</f>
        <v>0</v>
      </c>
      <c r="G235" s="363">
        <f>VLOOKUP(A235,'TB for financial'!A:K,11,0)</f>
        <v>0</v>
      </c>
      <c r="H235" s="346" t="e">
        <v>#N/A</v>
      </c>
      <c r="I235" s="1439" t="e">
        <v>#N/A</v>
      </c>
      <c r="J235" s="363">
        <v>0</v>
      </c>
      <c r="K235" s="363">
        <v>0</v>
      </c>
      <c r="L235" s="363">
        <v>0</v>
      </c>
      <c r="M235" s="363">
        <v>0</v>
      </c>
      <c r="N235" s="363">
        <f>+J235+K235</f>
        <v>0</v>
      </c>
      <c r="O235" s="363">
        <f>+E235-N235</f>
        <v>0</v>
      </c>
    </row>
    <row r="236" spans="1:18" ht="5.0999999999999996" customHeight="1">
      <c r="A236" s="360"/>
      <c r="B236" s="361"/>
      <c r="C236" s="362"/>
      <c r="E236" s="363"/>
      <c r="G236" s="363"/>
      <c r="J236" s="363"/>
      <c r="K236" s="363"/>
      <c r="L236" s="363"/>
      <c r="M236" s="363"/>
      <c r="N236" s="363"/>
      <c r="O236" s="363"/>
    </row>
    <row r="237" spans="1:18" s="350" customFormat="1" ht="15" thickBot="1">
      <c r="A237" s="366"/>
      <c r="B237" s="368" t="s">
        <v>752</v>
      </c>
      <c r="C237" s="1627"/>
      <c r="D237" s="1628"/>
      <c r="E237" s="367">
        <f>SUM(E231:E236)</f>
        <v>0</v>
      </c>
      <c r="F237" s="349"/>
      <c r="G237" s="367">
        <f>SUM(G231:G236)</f>
        <v>0</v>
      </c>
      <c r="H237" s="349"/>
      <c r="J237" s="367">
        <f t="shared" ref="J237:O237" si="32">SUM(J231:J236)</f>
        <v>0</v>
      </c>
      <c r="K237" s="367">
        <f t="shared" si="32"/>
        <v>0</v>
      </c>
      <c r="L237" s="367">
        <f t="shared" si="32"/>
        <v>0</v>
      </c>
      <c r="M237" s="367">
        <f t="shared" si="32"/>
        <v>0</v>
      </c>
      <c r="N237" s="367">
        <f t="shared" si="32"/>
        <v>0</v>
      </c>
      <c r="O237" s="367">
        <f t="shared" si="32"/>
        <v>0</v>
      </c>
    </row>
    <row r="238" spans="1:18" ht="5.0999999999999996" customHeight="1" thickTop="1">
      <c r="A238" s="360"/>
      <c r="B238" s="361"/>
      <c r="C238" s="362"/>
      <c r="E238" s="363"/>
      <c r="G238" s="363"/>
      <c r="J238" s="363"/>
      <c r="K238" s="363"/>
      <c r="L238" s="363"/>
      <c r="M238" s="363"/>
      <c r="N238" s="363"/>
      <c r="O238" s="363"/>
    </row>
    <row r="239" spans="1:18">
      <c r="A239" s="360">
        <v>501901</v>
      </c>
      <c r="B239" s="361" t="str">
        <f>VLOOKUP(A239,'TB for financial'!A:B,2,0)</f>
        <v>F Travel - Living Exp.US</v>
      </c>
      <c r="C239" s="362" t="s">
        <v>62</v>
      </c>
      <c r="E239" s="363">
        <f>VLOOKUP(A239,'TB for financial'!A:F,6,0)</f>
        <v>0</v>
      </c>
      <c r="G239" s="363">
        <f>VLOOKUP(A239,'TB for financial'!A:K,11,0)</f>
        <v>0</v>
      </c>
      <c r="H239" s="346">
        <v>501901</v>
      </c>
      <c r="I239" s="1439">
        <v>0</v>
      </c>
      <c r="J239" s="363">
        <v>0</v>
      </c>
      <c r="K239" s="363">
        <v>0</v>
      </c>
      <c r="L239" s="363">
        <v>0</v>
      </c>
      <c r="M239" s="363">
        <v>0</v>
      </c>
      <c r="N239" s="363">
        <f t="shared" ref="N239:N246" si="33">+J239+K239</f>
        <v>0</v>
      </c>
      <c r="O239" s="363">
        <f t="shared" ref="O239:O246" si="34">+E239-N239</f>
        <v>0</v>
      </c>
    </row>
    <row r="240" spans="1:18">
      <c r="A240" s="360">
        <v>501902</v>
      </c>
      <c r="B240" s="361" t="str">
        <f>VLOOKUP(A240,'TB for financial'!A:B,2,0)</f>
        <v>F Travel - Living Exp.UK</v>
      </c>
      <c r="C240" s="362" t="s">
        <v>62</v>
      </c>
      <c r="E240" s="363">
        <f>VLOOKUP(A240,'TB for financial'!A:F,6,0)</f>
        <v>0</v>
      </c>
      <c r="G240" s="363">
        <f>VLOOKUP(A240,'TB for financial'!A:K,11,0)</f>
        <v>0</v>
      </c>
      <c r="H240" s="346">
        <v>501902</v>
      </c>
      <c r="I240" s="1439">
        <v>0</v>
      </c>
      <c r="J240" s="363">
        <v>0</v>
      </c>
      <c r="K240" s="363">
        <v>0</v>
      </c>
      <c r="L240" s="363">
        <v>0</v>
      </c>
      <c r="M240" s="363">
        <v>0</v>
      </c>
      <c r="N240" s="363">
        <f t="shared" si="33"/>
        <v>0</v>
      </c>
      <c r="O240" s="363">
        <f t="shared" si="34"/>
        <v>0</v>
      </c>
      <c r="P240" s="347">
        <v>501902</v>
      </c>
      <c r="Q240" s="365" t="e">
        <v>#N/A</v>
      </c>
      <c r="R240" s="365" t="e">
        <f>+E240-Q240</f>
        <v>#N/A</v>
      </c>
    </row>
    <row r="241" spans="1:15">
      <c r="A241" s="360">
        <v>501903</v>
      </c>
      <c r="B241" s="361" t="str">
        <f>VLOOKUP(A241,'TB for financial'!A:B,2,0)</f>
        <v>F Travel - Living Exp.Germany</v>
      </c>
      <c r="C241" s="362" t="s">
        <v>62</v>
      </c>
      <c r="E241" s="363">
        <f>VLOOKUP(A241,'TB for financial'!A:F,6,0)</f>
        <v>0</v>
      </c>
      <c r="G241" s="363">
        <f>VLOOKUP(A241,'TB for financial'!A:K,11,0)</f>
        <v>0</v>
      </c>
      <c r="H241" s="346">
        <v>501903</v>
      </c>
      <c r="I241" s="1439">
        <v>0</v>
      </c>
      <c r="J241" s="363">
        <v>0</v>
      </c>
      <c r="K241" s="363">
        <v>0</v>
      </c>
      <c r="L241" s="363">
        <v>0</v>
      </c>
      <c r="M241" s="363">
        <v>0</v>
      </c>
      <c r="N241" s="363">
        <f t="shared" si="33"/>
        <v>0</v>
      </c>
      <c r="O241" s="363">
        <f t="shared" si="34"/>
        <v>0</v>
      </c>
    </row>
    <row r="242" spans="1:15">
      <c r="A242" s="360">
        <v>501904</v>
      </c>
      <c r="B242" s="361" t="str">
        <f>VLOOKUP(A242,'TB for financial'!A:B,2,0)</f>
        <v>F Travel - Living Exp.Corp.</v>
      </c>
      <c r="C242" s="362" t="s">
        <v>62</v>
      </c>
      <c r="E242" s="363">
        <f>VLOOKUP(A242,'TB for financial'!A:F,6,0)</f>
        <v>0</v>
      </c>
      <c r="F242" s="349"/>
      <c r="G242" s="363">
        <f>VLOOKUP(A242,'TB for financial'!A:K,11,0)</f>
        <v>0</v>
      </c>
      <c r="H242" s="346" t="e">
        <v>#N/A</v>
      </c>
      <c r="I242" s="1439" t="e">
        <v>#N/A</v>
      </c>
      <c r="J242" s="363">
        <v>0</v>
      </c>
      <c r="K242" s="363">
        <v>0</v>
      </c>
      <c r="L242" s="363">
        <v>0</v>
      </c>
      <c r="M242" s="363">
        <v>0</v>
      </c>
      <c r="N242" s="363">
        <f t="shared" si="33"/>
        <v>0</v>
      </c>
      <c r="O242" s="363">
        <f t="shared" si="34"/>
        <v>0</v>
      </c>
    </row>
    <row r="243" spans="1:15">
      <c r="A243" s="360">
        <v>501905</v>
      </c>
      <c r="B243" s="361" t="str">
        <f>VLOOKUP(A243,'TB for financial'!A:B,2,0)</f>
        <v>F Travel - Living Exp.Others</v>
      </c>
      <c r="C243" s="362" t="s">
        <v>62</v>
      </c>
      <c r="E243" s="363">
        <f>VLOOKUP(A243,'TB for financial'!A:F,6,0)</f>
        <v>0</v>
      </c>
      <c r="G243" s="363">
        <f>VLOOKUP(A243,'TB for financial'!A:K,11,0)</f>
        <v>0</v>
      </c>
      <c r="H243" s="346">
        <v>501905</v>
      </c>
      <c r="I243" s="1439">
        <v>0</v>
      </c>
      <c r="J243" s="363">
        <v>0</v>
      </c>
      <c r="K243" s="363">
        <v>0</v>
      </c>
      <c r="L243" s="363">
        <v>0</v>
      </c>
      <c r="M243" s="363">
        <v>0</v>
      </c>
      <c r="N243" s="363">
        <f t="shared" si="33"/>
        <v>0</v>
      </c>
      <c r="O243" s="363">
        <f t="shared" si="34"/>
        <v>0</v>
      </c>
    </row>
    <row r="244" spans="1:15">
      <c r="A244" s="360">
        <v>501906</v>
      </c>
      <c r="B244" s="361" t="str">
        <f>VLOOKUP(A244,'TB for financial'!A:B,2,0)</f>
        <v>F Travel - Living Exp. Jersey</v>
      </c>
      <c r="C244" s="362" t="s">
        <v>62</v>
      </c>
      <c r="E244" s="363">
        <f>VLOOKUP(A244,'TB for financial'!A:F,6,0)</f>
        <v>0</v>
      </c>
      <c r="G244" s="363">
        <f>VLOOKUP(A244,'TB for financial'!A:K,11,0)</f>
        <v>0</v>
      </c>
      <c r="H244" s="346" t="e">
        <v>#N/A</v>
      </c>
      <c r="I244" s="1439" t="e">
        <v>#N/A</v>
      </c>
      <c r="J244" s="363">
        <v>0</v>
      </c>
      <c r="K244" s="363">
        <v>0</v>
      </c>
      <c r="L244" s="363">
        <v>0</v>
      </c>
      <c r="M244" s="363">
        <v>0</v>
      </c>
      <c r="N244" s="363">
        <f t="shared" si="33"/>
        <v>0</v>
      </c>
      <c r="O244" s="363">
        <f t="shared" si="34"/>
        <v>0</v>
      </c>
    </row>
    <row r="245" spans="1:15">
      <c r="A245" s="360">
        <v>501907</v>
      </c>
      <c r="B245" s="361" t="str">
        <f>VLOOKUP(A245,'TB for financial'!A:B,2,0)</f>
        <v>F Travel - Living Exp.Canada</v>
      </c>
      <c r="C245" s="362" t="s">
        <v>62</v>
      </c>
      <c r="E245" s="363">
        <f>VLOOKUP(A245,'TB for financial'!A:F,6,0)</f>
        <v>0</v>
      </c>
      <c r="G245" s="363">
        <f>VLOOKUP(A245,'TB for financial'!A:K,11,0)</f>
        <v>0</v>
      </c>
      <c r="H245" s="346">
        <v>501907</v>
      </c>
      <c r="I245" s="1439">
        <v>0</v>
      </c>
      <c r="J245" s="363">
        <v>0</v>
      </c>
      <c r="K245" s="363">
        <v>0</v>
      </c>
      <c r="L245" s="363">
        <v>0</v>
      </c>
      <c r="M245" s="363">
        <v>0</v>
      </c>
      <c r="N245" s="363">
        <f t="shared" si="33"/>
        <v>0</v>
      </c>
      <c r="O245" s="363">
        <f t="shared" si="34"/>
        <v>0</v>
      </c>
    </row>
    <row r="246" spans="1:15">
      <c r="A246" s="360">
        <v>501908</v>
      </c>
      <c r="B246" s="361" t="str">
        <f>VLOOKUP(A246,'TB for financial'!A:B,2,0)</f>
        <v>F Travel - Cost Deferral</v>
      </c>
      <c r="C246" s="362" t="s">
        <v>62</v>
      </c>
      <c r="E246" s="363">
        <f>VLOOKUP(A246,'TB for financial'!A:F,6,0)</f>
        <v>0</v>
      </c>
      <c r="G246" s="363">
        <f>VLOOKUP(A246,'TB for financial'!A:K,11,0)</f>
        <v>0</v>
      </c>
      <c r="H246" s="346">
        <v>501908</v>
      </c>
      <c r="I246" s="1439">
        <v>0</v>
      </c>
      <c r="J246" s="363">
        <v>0</v>
      </c>
      <c r="K246" s="363">
        <v>0</v>
      </c>
      <c r="L246" s="363">
        <v>0</v>
      </c>
      <c r="M246" s="363">
        <v>0</v>
      </c>
      <c r="N246" s="363">
        <f t="shared" si="33"/>
        <v>0</v>
      </c>
      <c r="O246" s="363">
        <f t="shared" si="34"/>
        <v>0</v>
      </c>
    </row>
    <row r="247" spans="1:15" ht="3" customHeight="1">
      <c r="A247" s="360"/>
      <c r="B247" s="361"/>
      <c r="C247" s="362"/>
      <c r="E247" s="363"/>
      <c r="G247" s="363"/>
      <c r="J247" s="373"/>
      <c r="K247" s="373"/>
      <c r="L247" s="373"/>
      <c r="M247" s="373"/>
      <c r="N247" s="373"/>
      <c r="O247" s="373"/>
    </row>
    <row r="248" spans="1:15" ht="15" thickBot="1">
      <c r="A248" s="360"/>
      <c r="B248" s="361"/>
      <c r="C248" s="362"/>
      <c r="E248" s="367">
        <f>SUM(E239:E247)</f>
        <v>0</v>
      </c>
      <c r="F248" s="349"/>
      <c r="G248" s="367">
        <f>SUM(G239:G247)</f>
        <v>0</v>
      </c>
      <c r="H248" s="349"/>
      <c r="J248" s="367">
        <f t="shared" ref="J248:O248" si="35">SUM(J239:J247)</f>
        <v>0</v>
      </c>
      <c r="K248" s="367">
        <f t="shared" si="35"/>
        <v>0</v>
      </c>
      <c r="L248" s="367">
        <f t="shared" si="35"/>
        <v>0</v>
      </c>
      <c r="M248" s="367">
        <f t="shared" si="35"/>
        <v>0</v>
      </c>
      <c r="N248" s="367">
        <f t="shared" si="35"/>
        <v>0</v>
      </c>
      <c r="O248" s="367">
        <f t="shared" si="35"/>
        <v>0</v>
      </c>
    </row>
    <row r="249" spans="1:15" ht="15" thickTop="1">
      <c r="A249" s="360">
        <v>501911</v>
      </c>
      <c r="B249" s="361" t="str">
        <f>VLOOKUP(A249,'TB for financial'!A:B,2,0)</f>
        <v>F Travel - Airfare US</v>
      </c>
      <c r="C249" s="362" t="s">
        <v>62</v>
      </c>
      <c r="E249" s="363">
        <f>VLOOKUP(A249,'TB for financial'!A:F,6,0)</f>
        <v>0</v>
      </c>
      <c r="G249" s="363">
        <f>VLOOKUP(A249,'TB for financial'!A:K,11,0)</f>
        <v>0</v>
      </c>
      <c r="H249" s="346">
        <v>501911</v>
      </c>
      <c r="I249" s="1439">
        <v>0</v>
      </c>
      <c r="J249" s="363">
        <v>0</v>
      </c>
      <c r="K249" s="363">
        <v>0</v>
      </c>
      <c r="L249" s="363">
        <v>0</v>
      </c>
      <c r="M249" s="363">
        <v>0</v>
      </c>
      <c r="N249" s="363">
        <f t="shared" ref="N249:N255" si="36">+J249+K249</f>
        <v>0</v>
      </c>
      <c r="O249" s="363">
        <f t="shared" ref="O249:O255" si="37">+E249-N249</f>
        <v>0</v>
      </c>
    </row>
    <row r="250" spans="1:15">
      <c r="A250" s="360">
        <v>501912</v>
      </c>
      <c r="B250" s="361" t="str">
        <f>VLOOKUP(A250,'TB for financial'!A:B,2,0)</f>
        <v>F Travel - Airfare UK</v>
      </c>
      <c r="C250" s="362" t="s">
        <v>62</v>
      </c>
      <c r="E250" s="363">
        <f>VLOOKUP(A250,'TB for financial'!A:F,6,0)</f>
        <v>0</v>
      </c>
      <c r="G250" s="363">
        <f>VLOOKUP(A250,'TB for financial'!A:K,11,0)</f>
        <v>0</v>
      </c>
      <c r="H250" s="346">
        <v>501912</v>
      </c>
      <c r="I250" s="1439">
        <v>0</v>
      </c>
      <c r="J250" s="363">
        <v>0</v>
      </c>
      <c r="K250" s="363">
        <v>0</v>
      </c>
      <c r="L250" s="363">
        <v>0</v>
      </c>
      <c r="M250" s="363">
        <v>0</v>
      </c>
      <c r="N250" s="363">
        <f t="shared" si="36"/>
        <v>0</v>
      </c>
      <c r="O250" s="363">
        <f t="shared" si="37"/>
        <v>0</v>
      </c>
    </row>
    <row r="251" spans="1:15">
      <c r="A251" s="360">
        <v>501913</v>
      </c>
      <c r="B251" s="361" t="str">
        <f>VLOOKUP(A251,'TB for financial'!A:B,2,0)</f>
        <v>F Travel - Airfare Germany</v>
      </c>
      <c r="C251" s="362" t="s">
        <v>62</v>
      </c>
      <c r="E251" s="363">
        <f>VLOOKUP(A251,'TB for financial'!A:F,6,0)</f>
        <v>0</v>
      </c>
      <c r="G251" s="363">
        <f>VLOOKUP(A251,'TB for financial'!A:K,11,0)</f>
        <v>0</v>
      </c>
      <c r="H251" s="346">
        <v>501913</v>
      </c>
      <c r="I251" s="1439">
        <v>0</v>
      </c>
      <c r="J251" s="363">
        <v>0</v>
      </c>
      <c r="K251" s="363">
        <v>0</v>
      </c>
      <c r="L251" s="363">
        <v>0</v>
      </c>
      <c r="M251" s="363">
        <v>0</v>
      </c>
      <c r="N251" s="363">
        <f t="shared" si="36"/>
        <v>0</v>
      </c>
      <c r="O251" s="363">
        <f t="shared" si="37"/>
        <v>0</v>
      </c>
    </row>
    <row r="252" spans="1:15">
      <c r="A252" s="360">
        <v>501914</v>
      </c>
      <c r="B252" s="361" t="str">
        <f>VLOOKUP(A252,'TB for financial'!A:B,2,0)</f>
        <v>F Travel - Airfare Corp.</v>
      </c>
      <c r="C252" s="362" t="s">
        <v>62</v>
      </c>
      <c r="E252" s="363">
        <f>VLOOKUP(A252,'TB for financial'!A:F,6,0)</f>
        <v>0</v>
      </c>
      <c r="G252" s="363">
        <f>VLOOKUP(A252,'TB for financial'!A:K,11,0)</f>
        <v>0</v>
      </c>
      <c r="H252" s="346" t="e">
        <v>#N/A</v>
      </c>
      <c r="I252" s="1439" t="e">
        <v>#N/A</v>
      </c>
      <c r="J252" s="363">
        <v>0</v>
      </c>
      <c r="K252" s="363">
        <v>0</v>
      </c>
      <c r="L252" s="363">
        <v>0</v>
      </c>
      <c r="M252" s="363">
        <v>0</v>
      </c>
      <c r="N252" s="363">
        <f t="shared" si="36"/>
        <v>0</v>
      </c>
      <c r="O252" s="363">
        <f t="shared" si="37"/>
        <v>0</v>
      </c>
    </row>
    <row r="253" spans="1:15">
      <c r="A253" s="360">
        <v>501915</v>
      </c>
      <c r="B253" s="361" t="str">
        <f>VLOOKUP(A253,'TB for financial'!A:B,2,0)</f>
        <v>F Travel - Airfare Family</v>
      </c>
      <c r="C253" s="362" t="s">
        <v>62</v>
      </c>
      <c r="E253" s="363">
        <f>VLOOKUP(A253,'TB for financial'!A:F,6,0)</f>
        <v>0</v>
      </c>
      <c r="G253" s="363">
        <f>VLOOKUP(A253,'TB for financial'!A:K,11,0)</f>
        <v>0</v>
      </c>
      <c r="H253" s="346" t="e">
        <v>#N/A</v>
      </c>
      <c r="I253" s="1439" t="e">
        <v>#N/A</v>
      </c>
      <c r="J253" s="363">
        <v>0</v>
      </c>
      <c r="K253" s="363">
        <v>0</v>
      </c>
      <c r="L253" s="363">
        <v>0</v>
      </c>
      <c r="M253" s="363">
        <v>0</v>
      </c>
      <c r="N253" s="363">
        <f t="shared" si="36"/>
        <v>0</v>
      </c>
      <c r="O253" s="363">
        <f t="shared" si="37"/>
        <v>0</v>
      </c>
    </row>
    <row r="254" spans="1:15">
      <c r="A254" s="360">
        <v>501916</v>
      </c>
      <c r="B254" s="361" t="str">
        <f>VLOOKUP(A254,'TB for financial'!A:B,2,0)</f>
        <v>F Travel - Airfare Others</v>
      </c>
      <c r="C254" s="362" t="s">
        <v>62</v>
      </c>
      <c r="E254" s="363">
        <f>VLOOKUP(A254,'TB for financial'!A:F,6,0)</f>
        <v>0</v>
      </c>
      <c r="G254" s="363">
        <f>VLOOKUP(A254,'TB for financial'!A:K,11,0)</f>
        <v>0</v>
      </c>
      <c r="H254" s="346">
        <v>501916</v>
      </c>
      <c r="I254" s="1439">
        <v>0</v>
      </c>
      <c r="J254" s="363">
        <v>0</v>
      </c>
      <c r="K254" s="363">
        <v>0</v>
      </c>
      <c r="L254" s="363">
        <v>0</v>
      </c>
      <c r="M254" s="363">
        <v>0</v>
      </c>
      <c r="N254" s="363">
        <f t="shared" si="36"/>
        <v>0</v>
      </c>
      <c r="O254" s="363">
        <f t="shared" si="37"/>
        <v>0</v>
      </c>
    </row>
    <row r="255" spans="1:15">
      <c r="A255" s="360">
        <v>501917</v>
      </c>
      <c r="B255" s="361" t="str">
        <f>VLOOKUP(A255,'TB for financial'!A:B,2,0)</f>
        <v>F Travel - Airfare Canada</v>
      </c>
      <c r="C255" s="362" t="s">
        <v>62</v>
      </c>
      <c r="E255" s="363">
        <f>VLOOKUP(A255,'TB for financial'!A:F,6,0)</f>
        <v>0</v>
      </c>
      <c r="G255" s="363">
        <f>VLOOKUP(A255,'TB for financial'!A:K,11,0)</f>
        <v>0</v>
      </c>
      <c r="H255" s="346">
        <v>501917</v>
      </c>
      <c r="I255" s="1439">
        <v>0</v>
      </c>
      <c r="J255" s="363">
        <v>0</v>
      </c>
      <c r="K255" s="363">
        <v>0</v>
      </c>
      <c r="L255" s="363">
        <v>0</v>
      </c>
      <c r="M255" s="363">
        <v>0</v>
      </c>
      <c r="N255" s="363">
        <f t="shared" si="36"/>
        <v>0</v>
      </c>
      <c r="O255" s="363">
        <f t="shared" si="37"/>
        <v>0</v>
      </c>
    </row>
    <row r="256" spans="1:15" ht="3" customHeight="1">
      <c r="A256" s="360"/>
      <c r="B256" s="361"/>
      <c r="C256" s="362"/>
      <c r="E256" s="363"/>
      <c r="G256" s="363"/>
      <c r="J256" s="363"/>
      <c r="K256" s="363"/>
      <c r="L256" s="363"/>
      <c r="M256" s="363"/>
      <c r="N256" s="363"/>
      <c r="O256" s="363"/>
    </row>
    <row r="257" spans="1:18" ht="15" thickBot="1">
      <c r="A257" s="360"/>
      <c r="B257" s="361"/>
      <c r="C257" s="362"/>
      <c r="E257" s="367">
        <f>SUM(E249:E256)</f>
        <v>0</v>
      </c>
      <c r="F257" s="349"/>
      <c r="G257" s="367">
        <f>SUM(G249:G256)</f>
        <v>0</v>
      </c>
      <c r="H257" s="349"/>
      <c r="J257" s="367">
        <f t="shared" ref="J257:O257" si="38">SUM(J249:J256)</f>
        <v>0</v>
      </c>
      <c r="K257" s="367">
        <f t="shared" si="38"/>
        <v>0</v>
      </c>
      <c r="L257" s="367">
        <f t="shared" si="38"/>
        <v>0</v>
      </c>
      <c r="M257" s="367">
        <f t="shared" si="38"/>
        <v>0</v>
      </c>
      <c r="N257" s="367">
        <f t="shared" si="38"/>
        <v>0</v>
      </c>
      <c r="O257" s="367">
        <f t="shared" si="38"/>
        <v>0</v>
      </c>
    </row>
    <row r="258" spans="1:18" ht="15" thickTop="1">
      <c r="A258" s="360">
        <v>501921</v>
      </c>
      <c r="B258" s="361" t="str">
        <f>VLOOKUP(A258,'TB for financial'!A:B,2,0)</f>
        <v>F Travel - Insurance US</v>
      </c>
      <c r="C258" s="362" t="s">
        <v>62</v>
      </c>
      <c r="D258" s="354">
        <v>501921</v>
      </c>
      <c r="E258" s="363">
        <f>VLOOKUP(A258,'TB for financial'!A:F,6,0)</f>
        <v>0</v>
      </c>
      <c r="G258" s="363">
        <f>VLOOKUP(A258,'TB for financial'!A:K,11,0)</f>
        <v>0</v>
      </c>
      <c r="H258" s="346">
        <v>501921</v>
      </c>
      <c r="I258" s="1439">
        <v>675</v>
      </c>
      <c r="J258" s="363">
        <v>263</v>
      </c>
      <c r="K258" s="363">
        <v>789</v>
      </c>
      <c r="L258" s="363">
        <v>0</v>
      </c>
      <c r="M258" s="363">
        <v>0</v>
      </c>
      <c r="N258" s="363">
        <f t="shared" ref="N258:N263" si="39">+J258+K258</f>
        <v>1052</v>
      </c>
      <c r="O258" s="363">
        <f t="shared" ref="O258:O263" si="40">+E258-N258</f>
        <v>-1052</v>
      </c>
    </row>
    <row r="259" spans="1:18">
      <c r="A259" s="360">
        <v>501922</v>
      </c>
      <c r="B259" s="361" t="str">
        <f>VLOOKUP(A259,'TB for financial'!A:B,2,0)</f>
        <v>F Travel - Insurance UK</v>
      </c>
      <c r="C259" s="362" t="s">
        <v>62</v>
      </c>
      <c r="E259" s="363">
        <f>VLOOKUP(A259,'TB for financial'!A:F,6,0)</f>
        <v>0</v>
      </c>
      <c r="G259" s="363">
        <f>VLOOKUP(A259,'TB for financial'!A:K,11,0)</f>
        <v>0</v>
      </c>
      <c r="H259" s="346" t="e">
        <v>#N/A</v>
      </c>
      <c r="I259" s="1439" t="e">
        <v>#N/A</v>
      </c>
      <c r="J259" s="363">
        <v>0</v>
      </c>
      <c r="K259" s="363">
        <v>0</v>
      </c>
      <c r="L259" s="363">
        <v>0</v>
      </c>
      <c r="M259" s="363">
        <v>0</v>
      </c>
      <c r="N259" s="363">
        <f t="shared" si="39"/>
        <v>0</v>
      </c>
      <c r="O259" s="363">
        <f t="shared" si="40"/>
        <v>0</v>
      </c>
    </row>
    <row r="260" spans="1:18">
      <c r="A260" s="360">
        <v>501923</v>
      </c>
      <c r="B260" s="361" t="str">
        <f>VLOOKUP(A260,'TB for financial'!A:B,2,0)</f>
        <v>F Travel - Insurance Germany</v>
      </c>
      <c r="C260" s="362" t="s">
        <v>62</v>
      </c>
      <c r="E260" s="363">
        <f>VLOOKUP(A260,'TB for financial'!A:F,6,0)</f>
        <v>0</v>
      </c>
      <c r="G260" s="363">
        <f>VLOOKUP(A260,'TB for financial'!A:K,11,0)</f>
        <v>0</v>
      </c>
      <c r="H260" s="346">
        <v>501923</v>
      </c>
      <c r="I260" s="1439">
        <v>0</v>
      </c>
      <c r="J260" s="363">
        <v>0</v>
      </c>
      <c r="K260" s="363">
        <v>0</v>
      </c>
      <c r="L260" s="363">
        <v>0</v>
      </c>
      <c r="M260" s="363">
        <v>0</v>
      </c>
      <c r="N260" s="363">
        <f t="shared" si="39"/>
        <v>0</v>
      </c>
      <c r="O260" s="363">
        <f t="shared" si="40"/>
        <v>0</v>
      </c>
    </row>
    <row r="261" spans="1:18">
      <c r="A261" s="360">
        <v>501925</v>
      </c>
      <c r="B261" s="361" t="str">
        <f>VLOOKUP(A261,'TB for financial'!A:B,2,0)</f>
        <v>F Travel - Insurance Others</v>
      </c>
      <c r="C261" s="362" t="s">
        <v>62</v>
      </c>
      <c r="E261" s="363">
        <f>VLOOKUP(A261,'TB for financial'!A:F,6,0)</f>
        <v>0</v>
      </c>
      <c r="G261" s="363">
        <f>VLOOKUP(A261,'TB for financial'!A:K,11,0)</f>
        <v>0</v>
      </c>
      <c r="H261" s="346">
        <v>501925</v>
      </c>
      <c r="I261" s="1439">
        <v>0</v>
      </c>
      <c r="J261" s="363">
        <v>0</v>
      </c>
      <c r="K261" s="363">
        <v>0</v>
      </c>
      <c r="L261" s="363">
        <v>0</v>
      </c>
      <c r="M261" s="363">
        <v>0</v>
      </c>
      <c r="N261" s="363">
        <f t="shared" si="39"/>
        <v>0</v>
      </c>
      <c r="O261" s="363">
        <f t="shared" si="40"/>
        <v>0</v>
      </c>
      <c r="P261" s="347">
        <v>501925</v>
      </c>
      <c r="Q261" s="365" t="e">
        <v>#N/A</v>
      </c>
      <c r="R261" s="365" t="e">
        <f>+E261-Q261</f>
        <v>#N/A</v>
      </c>
    </row>
    <row r="262" spans="1:18">
      <c r="A262" s="360">
        <v>501926</v>
      </c>
      <c r="B262" s="361" t="str">
        <f>VLOOKUP(A262,'TB for financial'!A:B,2,0)</f>
        <v>F Travel - Insurance Marsh US</v>
      </c>
      <c r="C262" s="362" t="s">
        <v>62</v>
      </c>
      <c r="E262" s="363">
        <f>VLOOKUP(A262,'TB for financial'!A:F,6,0)</f>
        <v>0</v>
      </c>
      <c r="G262" s="363">
        <f>VLOOKUP(A262,'TB for financial'!A:K,11,0)</f>
        <v>0</v>
      </c>
      <c r="H262" s="346" t="e">
        <v>#N/A</v>
      </c>
      <c r="I262" s="1439" t="e">
        <v>#N/A</v>
      </c>
      <c r="J262" s="363">
        <v>0</v>
      </c>
      <c r="K262" s="363">
        <v>0</v>
      </c>
      <c r="L262" s="363">
        <v>0</v>
      </c>
      <c r="M262" s="363">
        <v>0</v>
      </c>
      <c r="N262" s="363">
        <f t="shared" si="39"/>
        <v>0</v>
      </c>
      <c r="O262" s="363">
        <f t="shared" si="40"/>
        <v>0</v>
      </c>
    </row>
    <row r="263" spans="1:18">
      <c r="A263" s="360">
        <v>501927</v>
      </c>
      <c r="B263" s="361" t="str">
        <f>VLOOKUP(A263,'TB for financial'!A:B,2,0)</f>
        <v>F Travel - Insurance Canada</v>
      </c>
      <c r="C263" s="362" t="s">
        <v>62</v>
      </c>
      <c r="E263" s="363">
        <f>VLOOKUP(A263,'TB for financial'!A:F,6,0)</f>
        <v>0</v>
      </c>
      <c r="G263" s="363">
        <f>VLOOKUP(A263,'TB for financial'!A:K,11,0)</f>
        <v>0</v>
      </c>
      <c r="H263" s="346">
        <v>501927</v>
      </c>
      <c r="I263" s="1439">
        <v>0</v>
      </c>
      <c r="J263" s="363">
        <v>0</v>
      </c>
      <c r="K263" s="363">
        <v>0</v>
      </c>
      <c r="L263" s="363">
        <v>0</v>
      </c>
      <c r="M263" s="363">
        <v>0</v>
      </c>
      <c r="N263" s="363">
        <f t="shared" si="39"/>
        <v>0</v>
      </c>
      <c r="O263" s="363">
        <f t="shared" si="40"/>
        <v>0</v>
      </c>
    </row>
    <row r="264" spans="1:18" ht="3" customHeight="1">
      <c r="A264" s="360"/>
      <c r="B264" s="361"/>
      <c r="C264" s="362"/>
      <c r="E264" s="363"/>
      <c r="G264" s="363"/>
      <c r="J264" s="363"/>
      <c r="K264" s="363"/>
      <c r="L264" s="363"/>
      <c r="M264" s="363"/>
      <c r="N264" s="363"/>
      <c r="O264" s="363"/>
    </row>
    <row r="265" spans="1:18" ht="15" thickBot="1">
      <c r="A265" s="360"/>
      <c r="B265" s="361"/>
      <c r="C265" s="362"/>
      <c r="E265" s="367">
        <f>SUM(E258:E264)</f>
        <v>0</v>
      </c>
      <c r="F265" s="349"/>
      <c r="G265" s="367">
        <f>SUM(G258:G264)</f>
        <v>0</v>
      </c>
      <c r="H265" s="349"/>
      <c r="J265" s="367">
        <f t="shared" ref="J265:O265" si="41">SUM(J258:J264)</f>
        <v>263</v>
      </c>
      <c r="K265" s="367">
        <f t="shared" si="41"/>
        <v>789</v>
      </c>
      <c r="L265" s="367">
        <f t="shared" si="41"/>
        <v>0</v>
      </c>
      <c r="M265" s="367">
        <f t="shared" si="41"/>
        <v>0</v>
      </c>
      <c r="N265" s="367">
        <f t="shared" si="41"/>
        <v>1052</v>
      </c>
      <c r="O265" s="367">
        <f t="shared" si="41"/>
        <v>-1052</v>
      </c>
    </row>
    <row r="266" spans="1:18" ht="15" thickTop="1">
      <c r="A266" s="360">
        <v>501931</v>
      </c>
      <c r="B266" s="361" t="str">
        <f>VLOOKUP(A266,'TB for financial'!A:B,2,0)</f>
        <v>F Travel - Visa US</v>
      </c>
      <c r="C266" s="362" t="s">
        <v>62</v>
      </c>
      <c r="E266" s="363">
        <f>VLOOKUP(A266,'TB for financial'!A:F,6,0)</f>
        <v>0</v>
      </c>
      <c r="G266" s="363">
        <f>VLOOKUP(A266,'TB for financial'!A:K,11,0)</f>
        <v>0</v>
      </c>
      <c r="H266" s="346">
        <v>501931</v>
      </c>
      <c r="I266" s="1439">
        <v>0</v>
      </c>
      <c r="J266" s="363">
        <v>0</v>
      </c>
      <c r="K266" s="363">
        <v>0</v>
      </c>
      <c r="L266" s="363">
        <v>0</v>
      </c>
      <c r="M266" s="363">
        <v>0</v>
      </c>
      <c r="N266" s="363">
        <f>+J266+K266</f>
        <v>0</v>
      </c>
      <c r="O266" s="363">
        <f>+E266-N266</f>
        <v>0</v>
      </c>
    </row>
    <row r="267" spans="1:18">
      <c r="A267" s="360">
        <v>501932</v>
      </c>
      <c r="B267" s="361" t="str">
        <f>VLOOKUP(A267,'TB for financial'!A:B,2,0)</f>
        <v>F Travel - Visa UK</v>
      </c>
      <c r="C267" s="362" t="s">
        <v>62</v>
      </c>
      <c r="E267" s="363">
        <f>VLOOKUP(A267,'TB for financial'!A:F,6,0)</f>
        <v>0</v>
      </c>
      <c r="G267" s="363">
        <f>VLOOKUP(A267,'TB for financial'!A:K,11,0)</f>
        <v>0</v>
      </c>
      <c r="H267" s="346">
        <v>501932</v>
      </c>
      <c r="I267" s="1439">
        <v>0</v>
      </c>
      <c r="J267" s="363">
        <v>0</v>
      </c>
      <c r="K267" s="363">
        <v>0</v>
      </c>
      <c r="L267" s="363">
        <v>0</v>
      </c>
      <c r="M267" s="363">
        <v>0</v>
      </c>
      <c r="N267" s="363">
        <f>+J267+K267</f>
        <v>0</v>
      </c>
      <c r="O267" s="363">
        <f>+E267-N267</f>
        <v>0</v>
      </c>
    </row>
    <row r="268" spans="1:18">
      <c r="A268" s="360">
        <v>501933</v>
      </c>
      <c r="B268" s="361" t="str">
        <f>VLOOKUP(A268,'TB for financial'!A:B,2,0)</f>
        <v>F Travel - Visa Germany</v>
      </c>
      <c r="C268" s="362" t="s">
        <v>62</v>
      </c>
      <c r="E268" s="363">
        <f>VLOOKUP(A268,'TB for financial'!A:F,6,0)</f>
        <v>0</v>
      </c>
      <c r="G268" s="363">
        <f>VLOOKUP(A268,'TB for financial'!A:K,11,0)</f>
        <v>0</v>
      </c>
      <c r="H268" s="346" t="e">
        <v>#N/A</v>
      </c>
      <c r="I268" s="1439" t="e">
        <v>#N/A</v>
      </c>
      <c r="J268" s="363">
        <v>0</v>
      </c>
      <c r="K268" s="363">
        <v>0</v>
      </c>
      <c r="L268" s="363">
        <v>0</v>
      </c>
      <c r="M268" s="363">
        <v>0</v>
      </c>
      <c r="N268" s="363">
        <f>+J268+K268</f>
        <v>0</v>
      </c>
      <c r="O268" s="363">
        <f>+E268-N268</f>
        <v>0</v>
      </c>
    </row>
    <row r="269" spans="1:18">
      <c r="A269" s="360">
        <v>501935</v>
      </c>
      <c r="B269" s="361" t="str">
        <f>VLOOKUP(A269,'TB for financial'!A:B,2,0)</f>
        <v>F Travel - Visa Others</v>
      </c>
      <c r="C269" s="362" t="s">
        <v>62</v>
      </c>
      <c r="E269" s="363">
        <f>VLOOKUP(A269,'TB for financial'!A:F,6,0)</f>
        <v>0</v>
      </c>
      <c r="G269" s="363">
        <f>VLOOKUP(A269,'TB for financial'!A:K,11,0)</f>
        <v>0</v>
      </c>
      <c r="H269" s="346">
        <v>501935</v>
      </c>
      <c r="I269" s="1439">
        <v>0</v>
      </c>
      <c r="J269" s="363">
        <v>0</v>
      </c>
      <c r="K269" s="363">
        <v>0</v>
      </c>
      <c r="L269" s="363">
        <v>0</v>
      </c>
      <c r="M269" s="363">
        <v>0</v>
      </c>
      <c r="N269" s="363">
        <f>+J269+K269</f>
        <v>0</v>
      </c>
      <c r="O269" s="363">
        <f>+E269-N269</f>
        <v>0</v>
      </c>
    </row>
    <row r="270" spans="1:18">
      <c r="A270" s="360">
        <v>501937</v>
      </c>
      <c r="B270" s="361" t="str">
        <f>VLOOKUP(A270,'TB for financial'!A:B,2,0)</f>
        <v>F Travel - Visa Canada</v>
      </c>
      <c r="C270" s="362" t="s">
        <v>62</v>
      </c>
      <c r="E270" s="363">
        <f>VLOOKUP(A270,'TB for financial'!A:F,6,0)</f>
        <v>0</v>
      </c>
      <c r="G270" s="363">
        <f>VLOOKUP(A270,'TB for financial'!A:K,11,0)</f>
        <v>0</v>
      </c>
      <c r="H270" s="346" t="e">
        <v>#N/A</v>
      </c>
      <c r="I270" s="1439" t="e">
        <v>#N/A</v>
      </c>
      <c r="J270" s="363">
        <v>0</v>
      </c>
      <c r="K270" s="363">
        <v>0</v>
      </c>
      <c r="L270" s="363">
        <v>0</v>
      </c>
      <c r="M270" s="363">
        <v>0</v>
      </c>
      <c r="N270" s="363">
        <f>+J270+K270</f>
        <v>0</v>
      </c>
      <c r="O270" s="363">
        <f>+E270-N270</f>
        <v>0</v>
      </c>
    </row>
    <row r="271" spans="1:18" ht="3" customHeight="1">
      <c r="A271" s="360"/>
      <c r="B271" s="361"/>
      <c r="C271" s="362"/>
      <c r="E271" s="363"/>
      <c r="G271" s="363"/>
      <c r="J271" s="363"/>
      <c r="K271" s="363"/>
      <c r="L271" s="363"/>
      <c r="M271" s="363"/>
      <c r="N271" s="363"/>
      <c r="O271" s="363"/>
    </row>
    <row r="272" spans="1:18" ht="15" thickBot="1">
      <c r="A272" s="360"/>
      <c r="B272" s="361"/>
      <c r="C272" s="362"/>
      <c r="E272" s="367">
        <f>SUM(E266:E271)</f>
        <v>0</v>
      </c>
      <c r="F272" s="349"/>
      <c r="G272" s="367">
        <f>SUM(G266:G271)</f>
        <v>0</v>
      </c>
      <c r="H272" s="349"/>
      <c r="J272" s="367">
        <f t="shared" ref="J272:O272" si="42">SUM(J266:J271)</f>
        <v>0</v>
      </c>
      <c r="K272" s="367">
        <f t="shared" si="42"/>
        <v>0</v>
      </c>
      <c r="L272" s="367">
        <f t="shared" si="42"/>
        <v>0</v>
      </c>
      <c r="M272" s="367">
        <f t="shared" si="42"/>
        <v>0</v>
      </c>
      <c r="N272" s="367">
        <f t="shared" si="42"/>
        <v>0</v>
      </c>
      <c r="O272" s="367">
        <f t="shared" si="42"/>
        <v>0</v>
      </c>
    </row>
    <row r="273" spans="1:15" ht="15" thickTop="1">
      <c r="A273" s="360">
        <v>501945</v>
      </c>
      <c r="B273" s="361" t="str">
        <f>VLOOKUP(A273,'TB for financial'!A:B,2,0)</f>
        <v>F Travel - US Employment tax</v>
      </c>
      <c r="C273" s="362" t="s">
        <v>62</v>
      </c>
      <c r="E273" s="363">
        <f>VLOOKUP(A273,'TB for financial'!A:F,6,0)</f>
        <v>0</v>
      </c>
      <c r="G273" s="363">
        <f>VLOOKUP(A273,'TB for financial'!A:K,11,0)</f>
        <v>0</v>
      </c>
      <c r="H273" s="346">
        <v>501945</v>
      </c>
      <c r="I273" s="1439">
        <v>0</v>
      </c>
      <c r="J273" s="363">
        <v>0</v>
      </c>
      <c r="K273" s="363">
        <v>0</v>
      </c>
      <c r="L273" s="363">
        <v>0</v>
      </c>
      <c r="M273" s="363">
        <v>0</v>
      </c>
      <c r="N273" s="363">
        <f>+J273+K273</f>
        <v>0</v>
      </c>
      <c r="O273" s="363">
        <f>+E273-N273</f>
        <v>0</v>
      </c>
    </row>
    <row r="274" spans="1:15">
      <c r="A274" s="370">
        <v>501948</v>
      </c>
      <c r="B274" s="361" t="str">
        <f>VLOOKUP(A274,'TB for financial'!A:B,2,0)</f>
        <v>F Travel-Canada Employment Tax</v>
      </c>
      <c r="C274" s="362" t="s">
        <v>62</v>
      </c>
      <c r="E274" s="363">
        <f>VLOOKUP(A274,'TB for financial'!A:F,6,0)</f>
        <v>0</v>
      </c>
      <c r="G274" s="363">
        <f>VLOOKUP(A274,'TB for financial'!A:K,11,0)</f>
        <v>0</v>
      </c>
      <c r="H274" s="346" t="e">
        <v>#N/A</v>
      </c>
      <c r="I274" s="1439" t="e">
        <v>#N/A</v>
      </c>
      <c r="J274" s="363">
        <v>0</v>
      </c>
      <c r="K274" s="363">
        <v>0</v>
      </c>
      <c r="L274" s="363">
        <v>0</v>
      </c>
      <c r="M274" s="363">
        <v>0</v>
      </c>
      <c r="N274" s="363">
        <f>+J274+K274</f>
        <v>0</v>
      </c>
      <c r="O274" s="363">
        <f>+E274-N274</f>
        <v>0</v>
      </c>
    </row>
    <row r="275" spans="1:15" ht="3" customHeight="1">
      <c r="A275" s="370"/>
      <c r="B275" s="374"/>
      <c r="C275" s="374"/>
      <c r="E275" s="363"/>
      <c r="G275" s="363"/>
      <c r="J275" s="363"/>
      <c r="K275" s="363"/>
      <c r="L275" s="363"/>
      <c r="M275" s="363"/>
      <c r="N275" s="363"/>
      <c r="O275" s="363"/>
    </row>
    <row r="276" spans="1:15" ht="15" thickBot="1">
      <c r="A276" s="370"/>
      <c r="B276" s="374"/>
      <c r="C276" s="374"/>
      <c r="E276" s="367">
        <f>SUM(E273:E275)</f>
        <v>0</v>
      </c>
      <c r="F276" s="349"/>
      <c r="G276" s="367">
        <f>SUM(G273:G275)</f>
        <v>0</v>
      </c>
      <c r="H276" s="349"/>
      <c r="J276" s="367">
        <f t="shared" ref="J276:O276" si="43">SUM(J273:J275)</f>
        <v>0</v>
      </c>
      <c r="K276" s="367">
        <f t="shared" si="43"/>
        <v>0</v>
      </c>
      <c r="L276" s="367">
        <f t="shared" si="43"/>
        <v>0</v>
      </c>
      <c r="M276" s="367">
        <f t="shared" si="43"/>
        <v>0</v>
      </c>
      <c r="N276" s="367">
        <f t="shared" si="43"/>
        <v>0</v>
      </c>
      <c r="O276" s="367">
        <f t="shared" si="43"/>
        <v>0</v>
      </c>
    </row>
    <row r="277" spans="1:15" ht="15" thickTop="1">
      <c r="A277" s="360">
        <v>501732</v>
      </c>
      <c r="B277" s="361" t="str">
        <f>VLOOKUP(A277,'TB for financial'!A:B,2,0)</f>
        <v>Guest House expenses</v>
      </c>
      <c r="C277" s="362" t="s">
        <v>62</v>
      </c>
      <c r="E277" s="363">
        <f>VLOOKUP(A277,'TB for financial'!A:F,6,0)</f>
        <v>0</v>
      </c>
      <c r="G277" s="363">
        <f>VLOOKUP(A277,'TB for financial'!A:K,11,0)</f>
        <v>0</v>
      </c>
      <c r="H277" s="346">
        <v>501732</v>
      </c>
      <c r="I277" s="1439">
        <v>0</v>
      </c>
      <c r="J277" s="363">
        <v>0</v>
      </c>
      <c r="K277" s="363">
        <v>0</v>
      </c>
      <c r="L277" s="363">
        <v>0</v>
      </c>
      <c r="M277" s="363">
        <v>0</v>
      </c>
      <c r="N277" s="363">
        <f t="shared" ref="N277:N287" si="44">+J277+K277</f>
        <v>0</v>
      </c>
      <c r="O277" s="363">
        <f t="shared" ref="O277:O287" si="45">+E277-N277</f>
        <v>0</v>
      </c>
    </row>
    <row r="278" spans="1:15">
      <c r="A278" s="360">
        <v>501740</v>
      </c>
      <c r="B278" s="361" t="str">
        <f>VLOOKUP(A278,'TB for financial'!A:B,2,0)</f>
        <v>Immigration Travel Expenses</v>
      </c>
      <c r="C278" s="362" t="s">
        <v>62</v>
      </c>
      <c r="E278" s="363">
        <f>VLOOKUP(A278,'TB for financial'!A:F,6,0)</f>
        <v>0</v>
      </c>
      <c r="G278" s="363">
        <f>VLOOKUP(A278,'TB for financial'!A:K,11,0)</f>
        <v>0</v>
      </c>
      <c r="H278" s="346">
        <v>501740</v>
      </c>
      <c r="I278" s="1439">
        <v>0</v>
      </c>
      <c r="J278" s="363">
        <v>0</v>
      </c>
      <c r="K278" s="363">
        <v>0</v>
      </c>
      <c r="L278" s="363">
        <v>0</v>
      </c>
      <c r="M278" s="363">
        <v>0</v>
      </c>
      <c r="N278" s="363">
        <f t="shared" si="44"/>
        <v>0</v>
      </c>
      <c r="O278" s="363">
        <f t="shared" si="45"/>
        <v>0</v>
      </c>
    </row>
    <row r="279" spans="1:15">
      <c r="A279" s="360">
        <v>501745</v>
      </c>
      <c r="B279" s="361" t="str">
        <f>VLOOKUP(A279,'TB for financial'!A:B,2,0)</f>
        <v>Billable Travel</v>
      </c>
      <c r="C279" s="362" t="s">
        <v>62</v>
      </c>
      <c r="E279" s="363">
        <f>VLOOKUP(A279,'TB for financial'!A:F,6,0)</f>
        <v>0</v>
      </c>
      <c r="G279" s="363">
        <f>VLOOKUP(A279,'TB for financial'!A:K,11,0)</f>
        <v>0</v>
      </c>
      <c r="H279" s="346" t="e">
        <v>#N/A</v>
      </c>
      <c r="I279" s="1439" t="e">
        <v>#N/A</v>
      </c>
      <c r="J279" s="363">
        <v>0</v>
      </c>
      <c r="K279" s="363">
        <v>0</v>
      </c>
      <c r="L279" s="363">
        <v>0</v>
      </c>
      <c r="M279" s="363">
        <v>0</v>
      </c>
      <c r="N279" s="363">
        <f t="shared" si="44"/>
        <v>0</v>
      </c>
      <c r="O279" s="363">
        <f t="shared" si="45"/>
        <v>0</v>
      </c>
    </row>
    <row r="280" spans="1:15">
      <c r="A280" s="360">
        <v>501610</v>
      </c>
      <c r="B280" s="361" t="str">
        <f>VLOOKUP(A280,'TB for financial'!A:B,2,0)</f>
        <v>Immigration Fees</v>
      </c>
      <c r="C280" s="362" t="s">
        <v>62</v>
      </c>
      <c r="E280" s="363">
        <f>VLOOKUP(A280,'TB for financial'!A:F,6,0)</f>
        <v>0</v>
      </c>
      <c r="G280" s="363">
        <f>VLOOKUP(A280,'TB for financial'!A:K,11,0)</f>
        <v>0</v>
      </c>
      <c r="H280" s="346">
        <v>501610</v>
      </c>
      <c r="I280" s="1439">
        <v>0</v>
      </c>
      <c r="J280" s="363">
        <v>0</v>
      </c>
      <c r="K280" s="363">
        <v>0</v>
      </c>
      <c r="L280" s="363">
        <v>0</v>
      </c>
      <c r="M280" s="363">
        <v>0</v>
      </c>
      <c r="N280" s="363">
        <f t="shared" si="44"/>
        <v>0</v>
      </c>
      <c r="O280" s="363">
        <f t="shared" si="45"/>
        <v>0</v>
      </c>
    </row>
    <row r="281" spans="1:15">
      <c r="A281" s="360">
        <v>501941</v>
      </c>
      <c r="B281" s="361" t="str">
        <f>VLOOKUP(A281,'TB for financial'!A:B,2,0)</f>
        <v>F Travel - Kit allowance US</v>
      </c>
      <c r="C281" s="362" t="s">
        <v>62</v>
      </c>
      <c r="E281" s="363">
        <f>VLOOKUP(A281,'TB for financial'!A:F,6,0)</f>
        <v>0</v>
      </c>
      <c r="F281" s="349"/>
      <c r="G281" s="363">
        <f>VLOOKUP(A281,'TB for financial'!A:K,11,0)</f>
        <v>0</v>
      </c>
      <c r="H281" s="346">
        <v>501941</v>
      </c>
      <c r="I281" s="1439">
        <v>0</v>
      </c>
      <c r="J281" s="363">
        <v>0</v>
      </c>
      <c r="K281" s="363">
        <v>0</v>
      </c>
      <c r="L281" s="363">
        <v>0</v>
      </c>
      <c r="M281" s="363">
        <v>0</v>
      </c>
      <c r="N281" s="363">
        <f t="shared" si="44"/>
        <v>0</v>
      </c>
      <c r="O281" s="363">
        <f t="shared" si="45"/>
        <v>0</v>
      </c>
    </row>
    <row r="282" spans="1:15">
      <c r="A282" s="360">
        <v>501942</v>
      </c>
      <c r="B282" s="361" t="str">
        <f>VLOOKUP(A282,'TB for financial'!A:B,2,0)</f>
        <v>F Travel - Kit allowance UK</v>
      </c>
      <c r="C282" s="362" t="s">
        <v>62</v>
      </c>
      <c r="E282" s="363">
        <f>VLOOKUP(A282,'TB for financial'!A:F,6,0)</f>
        <v>0</v>
      </c>
      <c r="G282" s="363">
        <f>VLOOKUP(A282,'TB for financial'!A:K,11,0)</f>
        <v>0</v>
      </c>
      <c r="H282" s="346" t="e">
        <v>#N/A</v>
      </c>
      <c r="I282" s="1439" t="e">
        <v>#N/A</v>
      </c>
      <c r="J282" s="363">
        <v>0</v>
      </c>
      <c r="K282" s="363">
        <v>0</v>
      </c>
      <c r="L282" s="363">
        <v>0</v>
      </c>
      <c r="M282" s="363">
        <v>0</v>
      </c>
      <c r="N282" s="363">
        <f t="shared" si="44"/>
        <v>0</v>
      </c>
      <c r="O282" s="363">
        <f t="shared" si="45"/>
        <v>0</v>
      </c>
    </row>
    <row r="283" spans="1:15">
      <c r="A283" s="360">
        <v>501944</v>
      </c>
      <c r="B283" s="361" t="str">
        <f>VLOOKUP(A283,'TB for financial'!A:B,2,0)</f>
        <v>F Travel - Kit allowance Other</v>
      </c>
      <c r="C283" s="362" t="s">
        <v>62</v>
      </c>
      <c r="E283" s="363">
        <f>VLOOKUP(A283,'TB for financial'!A:F,6,0)</f>
        <v>0</v>
      </c>
      <c r="G283" s="363">
        <f>VLOOKUP(A283,'TB for financial'!A:K,11,0)</f>
        <v>0</v>
      </c>
      <c r="H283" s="346">
        <v>501944</v>
      </c>
      <c r="I283" s="1439">
        <v>0</v>
      </c>
      <c r="J283" s="363">
        <v>0</v>
      </c>
      <c r="K283" s="363">
        <v>0</v>
      </c>
      <c r="L283" s="363">
        <v>0</v>
      </c>
      <c r="M283" s="363">
        <v>0</v>
      </c>
      <c r="N283" s="363">
        <f t="shared" si="44"/>
        <v>0</v>
      </c>
      <c r="O283" s="363">
        <f t="shared" si="45"/>
        <v>0</v>
      </c>
    </row>
    <row r="284" spans="1:15">
      <c r="A284" s="360">
        <v>501946</v>
      </c>
      <c r="B284" s="361" t="str">
        <f>VLOOKUP(A284,'TB for financial'!A:B,2,0)</f>
        <v>F Travel - Registration charges</v>
      </c>
      <c r="C284" s="362" t="s">
        <v>62</v>
      </c>
      <c r="E284" s="363">
        <f>VLOOKUP(A284,'TB for financial'!A:F,6,0)</f>
        <v>0</v>
      </c>
      <c r="F284" s="349"/>
      <c r="G284" s="363">
        <f>VLOOKUP(A284,'TB for financial'!A:K,11,0)</f>
        <v>0</v>
      </c>
      <c r="H284" s="346" t="e">
        <v>#N/A</v>
      </c>
      <c r="I284" s="1439" t="e">
        <v>#N/A</v>
      </c>
      <c r="J284" s="363">
        <v>0</v>
      </c>
      <c r="K284" s="363">
        <v>0</v>
      </c>
      <c r="L284" s="363">
        <v>0</v>
      </c>
      <c r="M284" s="363">
        <v>0</v>
      </c>
      <c r="N284" s="363">
        <f t="shared" si="44"/>
        <v>0</v>
      </c>
      <c r="O284" s="363">
        <f t="shared" si="45"/>
        <v>0</v>
      </c>
    </row>
    <row r="285" spans="1:15">
      <c r="A285" s="360">
        <v>501924</v>
      </c>
      <c r="B285" s="361" t="str">
        <f>VLOOKUP(A285,'TB for financial'!A:B,2,0)</f>
        <v>F Travel - Insurance Corporate</v>
      </c>
      <c r="C285" s="362" t="s">
        <v>62</v>
      </c>
      <c r="E285" s="363">
        <f>VLOOKUP(A285,'TB for financial'!A:F,6,0)</f>
        <v>0</v>
      </c>
      <c r="G285" s="363">
        <f>VLOOKUP(A285,'TB for financial'!A:K,11,0)</f>
        <v>0</v>
      </c>
      <c r="H285" s="346" t="e">
        <v>#N/A</v>
      </c>
      <c r="I285" s="1439" t="e">
        <v>#N/A</v>
      </c>
      <c r="J285" s="363">
        <v>0</v>
      </c>
      <c r="K285" s="363">
        <v>0</v>
      </c>
      <c r="L285" s="363">
        <v>0</v>
      </c>
      <c r="M285" s="363">
        <v>0</v>
      </c>
      <c r="N285" s="363">
        <f t="shared" si="44"/>
        <v>0</v>
      </c>
      <c r="O285" s="363">
        <f t="shared" si="45"/>
        <v>0</v>
      </c>
    </row>
    <row r="286" spans="1:15">
      <c r="A286" s="360">
        <v>501934</v>
      </c>
      <c r="B286" s="361" t="str">
        <f>VLOOKUP(A286,'TB for financial'!A:B,2,0)</f>
        <v>F Travel - Visa Corp.</v>
      </c>
      <c r="C286" s="362" t="s">
        <v>62</v>
      </c>
      <c r="E286" s="363">
        <f>VLOOKUP(A286,'TB for financial'!A:F,6,0)</f>
        <v>0</v>
      </c>
      <c r="F286" s="349"/>
      <c r="G286" s="363">
        <f>VLOOKUP(A286,'TB for financial'!A:K,11,0)</f>
        <v>0</v>
      </c>
      <c r="H286" s="346" t="e">
        <v>#N/A</v>
      </c>
      <c r="I286" s="1439" t="e">
        <v>#N/A</v>
      </c>
      <c r="J286" s="363">
        <v>0</v>
      </c>
      <c r="K286" s="363">
        <v>0</v>
      </c>
      <c r="L286" s="363">
        <v>0</v>
      </c>
      <c r="M286" s="363">
        <v>0</v>
      </c>
      <c r="N286" s="363">
        <f t="shared" si="44"/>
        <v>0</v>
      </c>
      <c r="O286" s="363">
        <f t="shared" si="45"/>
        <v>0</v>
      </c>
    </row>
    <row r="287" spans="1:15">
      <c r="A287" s="360">
        <v>501943</v>
      </c>
      <c r="B287" s="361" t="str">
        <f>VLOOKUP(A287,'TB for financial'!A:B,2,0)</f>
        <v>F Travel - Kit allowance Corp.</v>
      </c>
      <c r="C287" s="362" t="s">
        <v>62</v>
      </c>
      <c r="E287" s="363">
        <f>VLOOKUP(A287,'TB for financial'!A:F,6,0)</f>
        <v>0</v>
      </c>
      <c r="G287" s="363">
        <f>VLOOKUP(A287,'TB for financial'!A:K,11,0)</f>
        <v>0</v>
      </c>
      <c r="H287" s="346" t="e">
        <v>#N/A</v>
      </c>
      <c r="I287" s="1439" t="e">
        <v>#N/A</v>
      </c>
      <c r="J287" s="363">
        <v>0</v>
      </c>
      <c r="K287" s="363">
        <v>0</v>
      </c>
      <c r="L287" s="363">
        <v>0</v>
      </c>
      <c r="M287" s="363">
        <v>0</v>
      </c>
      <c r="N287" s="363">
        <f t="shared" si="44"/>
        <v>0</v>
      </c>
      <c r="O287" s="363">
        <f t="shared" si="45"/>
        <v>0</v>
      </c>
    </row>
    <row r="288" spans="1:15" ht="5.0999999999999996" customHeight="1">
      <c r="A288" s="360"/>
      <c r="B288" s="361"/>
      <c r="C288" s="362"/>
      <c r="E288" s="363"/>
      <c r="G288" s="363"/>
      <c r="J288" s="363"/>
      <c r="K288" s="363"/>
      <c r="L288" s="363"/>
      <c r="M288" s="363"/>
      <c r="N288" s="363"/>
      <c r="O288" s="363"/>
    </row>
    <row r="289" spans="1:18" s="350" customFormat="1">
      <c r="A289" s="366"/>
      <c r="B289" s="368" t="s">
        <v>753</v>
      </c>
      <c r="C289" s="1627"/>
      <c r="D289" s="1628"/>
      <c r="E289" s="375">
        <f>SUM(E277:E288)</f>
        <v>0</v>
      </c>
      <c r="F289" s="349"/>
      <c r="G289" s="375">
        <f>SUM(G277:G288)</f>
        <v>0</v>
      </c>
      <c r="H289" s="349"/>
      <c r="J289" s="375">
        <f t="shared" ref="J289:O289" si="46">SUM(J277:J288)</f>
        <v>0</v>
      </c>
      <c r="K289" s="375">
        <f t="shared" si="46"/>
        <v>0</v>
      </c>
      <c r="L289" s="375">
        <f t="shared" si="46"/>
        <v>0</v>
      </c>
      <c r="M289" s="375">
        <f t="shared" si="46"/>
        <v>0</v>
      </c>
      <c r="N289" s="375">
        <f t="shared" si="46"/>
        <v>0</v>
      </c>
      <c r="O289" s="375">
        <f t="shared" si="46"/>
        <v>0</v>
      </c>
    </row>
    <row r="290" spans="1:18" ht="5.0999999999999996" customHeight="1">
      <c r="A290" s="360"/>
      <c r="B290" s="361"/>
      <c r="C290" s="362"/>
      <c r="E290" s="363"/>
      <c r="G290" s="363"/>
      <c r="J290" s="363"/>
      <c r="K290" s="363"/>
      <c r="L290" s="363"/>
      <c r="M290" s="363"/>
      <c r="N290" s="363"/>
      <c r="O290" s="363"/>
    </row>
    <row r="291" spans="1:18">
      <c r="A291" s="360"/>
      <c r="B291" s="361" t="s">
        <v>301</v>
      </c>
      <c r="C291" s="362"/>
      <c r="E291" s="363">
        <f>+E248</f>
        <v>0</v>
      </c>
      <c r="G291" s="363">
        <f>+G248</f>
        <v>0</v>
      </c>
      <c r="J291" s="363">
        <f t="shared" ref="J291:O291" si="47">+J248</f>
        <v>0</v>
      </c>
      <c r="K291" s="363">
        <f t="shared" si="47"/>
        <v>0</v>
      </c>
      <c r="L291" s="363">
        <f t="shared" si="47"/>
        <v>0</v>
      </c>
      <c r="M291" s="363">
        <f t="shared" si="47"/>
        <v>0</v>
      </c>
      <c r="N291" s="363">
        <f t="shared" si="47"/>
        <v>0</v>
      </c>
      <c r="O291" s="363">
        <f t="shared" si="47"/>
        <v>0</v>
      </c>
    </row>
    <row r="292" spans="1:18">
      <c r="A292" s="360"/>
      <c r="B292" s="361" t="s">
        <v>754</v>
      </c>
      <c r="C292" s="362"/>
      <c r="E292" s="363">
        <f>+E276</f>
        <v>0</v>
      </c>
      <c r="G292" s="363">
        <f>+G276</f>
        <v>0</v>
      </c>
      <c r="J292" s="363">
        <f t="shared" ref="J292:O292" si="48">+J276</f>
        <v>0</v>
      </c>
      <c r="K292" s="363">
        <f t="shared" si="48"/>
        <v>0</v>
      </c>
      <c r="L292" s="363">
        <f t="shared" si="48"/>
        <v>0</v>
      </c>
      <c r="M292" s="363">
        <f t="shared" si="48"/>
        <v>0</v>
      </c>
      <c r="N292" s="363">
        <f t="shared" si="48"/>
        <v>0</v>
      </c>
      <c r="O292" s="363">
        <f t="shared" si="48"/>
        <v>0</v>
      </c>
    </row>
    <row r="293" spans="1:18">
      <c r="A293" s="360"/>
      <c r="B293" s="361" t="s">
        <v>303</v>
      </c>
      <c r="C293" s="362"/>
      <c r="E293" s="363">
        <f>+E257</f>
        <v>0</v>
      </c>
      <c r="G293" s="363">
        <f>+G257</f>
        <v>0</v>
      </c>
      <c r="J293" s="363">
        <f t="shared" ref="J293:O293" si="49">+J257</f>
        <v>0</v>
      </c>
      <c r="K293" s="363">
        <f t="shared" si="49"/>
        <v>0</v>
      </c>
      <c r="L293" s="363">
        <f t="shared" si="49"/>
        <v>0</v>
      </c>
      <c r="M293" s="363">
        <f t="shared" si="49"/>
        <v>0</v>
      </c>
      <c r="N293" s="363">
        <f t="shared" si="49"/>
        <v>0</v>
      </c>
      <c r="O293" s="363">
        <f t="shared" si="49"/>
        <v>0</v>
      </c>
    </row>
    <row r="294" spans="1:18">
      <c r="A294" s="360"/>
      <c r="B294" s="361" t="s">
        <v>755</v>
      </c>
      <c r="C294" s="362"/>
      <c r="E294" s="363">
        <f>+E272</f>
        <v>0</v>
      </c>
      <c r="G294" s="363">
        <f>+G272</f>
        <v>0</v>
      </c>
      <c r="J294" s="363">
        <f t="shared" ref="J294:O294" si="50">+J272</f>
        <v>0</v>
      </c>
      <c r="K294" s="363">
        <f t="shared" si="50"/>
        <v>0</v>
      </c>
      <c r="L294" s="363">
        <f t="shared" si="50"/>
        <v>0</v>
      </c>
      <c r="M294" s="363">
        <f t="shared" si="50"/>
        <v>0</v>
      </c>
      <c r="N294" s="363">
        <f t="shared" si="50"/>
        <v>0</v>
      </c>
      <c r="O294" s="363">
        <f t="shared" si="50"/>
        <v>0</v>
      </c>
    </row>
    <row r="295" spans="1:18">
      <c r="A295" s="360"/>
      <c r="B295" s="361" t="s">
        <v>756</v>
      </c>
      <c r="C295" s="362"/>
      <c r="E295" s="363">
        <f>+E265</f>
        <v>0</v>
      </c>
      <c r="G295" s="363">
        <f>+G265</f>
        <v>0</v>
      </c>
      <c r="J295" s="363">
        <f t="shared" ref="J295:O295" si="51">+J265</f>
        <v>263</v>
      </c>
      <c r="K295" s="363">
        <f t="shared" si="51"/>
        <v>789</v>
      </c>
      <c r="L295" s="363">
        <f t="shared" si="51"/>
        <v>0</v>
      </c>
      <c r="M295" s="363">
        <f t="shared" si="51"/>
        <v>0</v>
      </c>
      <c r="N295" s="363">
        <f t="shared" si="51"/>
        <v>1052</v>
      </c>
      <c r="O295" s="363">
        <f t="shared" si="51"/>
        <v>-1052</v>
      </c>
    </row>
    <row r="296" spans="1:18">
      <c r="A296" s="360"/>
      <c r="B296" s="361" t="s">
        <v>757</v>
      </c>
      <c r="C296" s="362"/>
      <c r="E296" s="363">
        <f>+E289</f>
        <v>0</v>
      </c>
      <c r="G296" s="363">
        <f>+G289</f>
        <v>0</v>
      </c>
      <c r="J296" s="363">
        <f t="shared" ref="J296:O296" si="52">+J289</f>
        <v>0</v>
      </c>
      <c r="K296" s="363">
        <f t="shared" si="52"/>
        <v>0</v>
      </c>
      <c r="L296" s="363">
        <f t="shared" si="52"/>
        <v>0</v>
      </c>
      <c r="M296" s="363">
        <f t="shared" si="52"/>
        <v>0</v>
      </c>
      <c r="N296" s="363">
        <f t="shared" si="52"/>
        <v>0</v>
      </c>
      <c r="O296" s="363">
        <f t="shared" si="52"/>
        <v>0</v>
      </c>
    </row>
    <row r="297" spans="1:18" ht="15" thickBot="1">
      <c r="A297" s="360"/>
      <c r="B297" s="361"/>
      <c r="C297" s="362"/>
      <c r="E297" s="367">
        <f>SUM(E291:E296)</f>
        <v>0</v>
      </c>
      <c r="F297" s="349"/>
      <c r="G297" s="367">
        <f>SUM(G291:G296)</f>
        <v>0</v>
      </c>
      <c r="H297" s="349"/>
      <c r="J297" s="367">
        <f t="shared" ref="J297:O297" si="53">SUM(J291:J296)</f>
        <v>263</v>
      </c>
      <c r="K297" s="367">
        <f t="shared" si="53"/>
        <v>789</v>
      </c>
      <c r="L297" s="367">
        <f t="shared" si="53"/>
        <v>0</v>
      </c>
      <c r="M297" s="367">
        <f t="shared" si="53"/>
        <v>0</v>
      </c>
      <c r="N297" s="367">
        <f t="shared" si="53"/>
        <v>1052</v>
      </c>
      <c r="O297" s="367">
        <f t="shared" si="53"/>
        <v>-1052</v>
      </c>
    </row>
    <row r="298" spans="1:18" ht="15" thickTop="1">
      <c r="A298" s="360"/>
      <c r="B298" s="361"/>
      <c r="C298" s="362"/>
      <c r="E298" s="364"/>
      <c r="F298" s="349"/>
      <c r="G298" s="364"/>
      <c r="H298" s="349"/>
      <c r="J298" s="364"/>
      <c r="K298" s="364"/>
      <c r="L298" s="364"/>
      <c r="M298" s="364"/>
      <c r="N298" s="364"/>
      <c r="O298" s="364"/>
    </row>
    <row r="299" spans="1:18">
      <c r="A299" s="360">
        <v>501410</v>
      </c>
      <c r="B299" s="361" t="str">
        <f>VLOOKUP(A299,'TB for financial'!A:B,2,0)</f>
        <v>Relocation - NonTaxable</v>
      </c>
      <c r="C299" s="362" t="s">
        <v>743</v>
      </c>
      <c r="E299" s="363">
        <f>VLOOKUP(A299,'TB for financial'!A:F,6,0)</f>
        <v>0</v>
      </c>
      <c r="G299" s="363">
        <f>VLOOKUP(A299,'TB for financial'!A:K,11,0)</f>
        <v>0</v>
      </c>
      <c r="H299" s="346">
        <v>501410</v>
      </c>
      <c r="I299" s="1439">
        <v>0</v>
      </c>
      <c r="J299" s="363">
        <v>0</v>
      </c>
      <c r="K299" s="363">
        <v>0</v>
      </c>
      <c r="L299" s="363">
        <v>0</v>
      </c>
      <c r="M299" s="363">
        <v>0</v>
      </c>
      <c r="N299" s="363">
        <f t="shared" ref="N299:N309" si="54">+J299+K299</f>
        <v>0</v>
      </c>
      <c r="O299" s="363">
        <f t="shared" ref="O299:O311" si="55">+E299-N299</f>
        <v>0</v>
      </c>
      <c r="P299" s="347">
        <v>501410</v>
      </c>
      <c r="Q299" s="365" t="e">
        <v>#N/A</v>
      </c>
      <c r="R299" s="365" t="e">
        <f>+E299-Q299</f>
        <v>#N/A</v>
      </c>
    </row>
    <row r="300" spans="1:18">
      <c r="A300" s="360">
        <v>501420</v>
      </c>
      <c r="B300" s="361" t="str">
        <f>VLOOKUP(A300,'TB for financial'!A:B,2,0)</f>
        <v>Relocation - Taxable</v>
      </c>
      <c r="C300" s="362" t="s">
        <v>743</v>
      </c>
      <c r="E300" s="363">
        <f>VLOOKUP(A300,'TB for financial'!A:F,6,0)</f>
        <v>0</v>
      </c>
      <c r="G300" s="363">
        <f>VLOOKUP(A300,'TB for financial'!A:K,11,0)</f>
        <v>0</v>
      </c>
      <c r="H300" s="346" t="e">
        <v>#N/A</v>
      </c>
      <c r="I300" s="1439" t="e">
        <v>#N/A</v>
      </c>
      <c r="J300" s="363">
        <v>0</v>
      </c>
      <c r="K300" s="363">
        <v>0</v>
      </c>
      <c r="L300" s="363">
        <v>0</v>
      </c>
      <c r="M300" s="363">
        <v>0</v>
      </c>
      <c r="N300" s="363">
        <f t="shared" si="54"/>
        <v>0</v>
      </c>
      <c r="O300" s="363">
        <f t="shared" si="55"/>
        <v>0</v>
      </c>
    </row>
    <row r="301" spans="1:18">
      <c r="A301" s="360">
        <v>501710</v>
      </c>
      <c r="B301" s="361" t="str">
        <f>VLOOKUP(A301,'TB for financial'!A:B,2,0)</f>
        <v>Travel - Personal Meals</v>
      </c>
      <c r="C301" s="362" t="s">
        <v>743</v>
      </c>
      <c r="E301" s="363">
        <f>VLOOKUP(A301,'TB for financial'!A:F,6,0)</f>
        <v>0</v>
      </c>
      <c r="G301" s="363">
        <f>VLOOKUP(A301,'TB for financial'!A:K,11,0)</f>
        <v>0</v>
      </c>
      <c r="H301" s="346" t="e">
        <v>#N/A</v>
      </c>
      <c r="I301" s="1439" t="e">
        <v>#N/A</v>
      </c>
      <c r="J301" s="363">
        <v>0</v>
      </c>
      <c r="K301" s="363">
        <v>0</v>
      </c>
      <c r="L301" s="363">
        <v>0</v>
      </c>
      <c r="M301" s="363">
        <v>0</v>
      </c>
      <c r="N301" s="363">
        <f t="shared" si="54"/>
        <v>0</v>
      </c>
      <c r="O301" s="363">
        <f t="shared" si="55"/>
        <v>0</v>
      </c>
    </row>
    <row r="302" spans="1:18">
      <c r="A302" s="360">
        <v>501715</v>
      </c>
      <c r="B302" s="361" t="str">
        <f>VLOOKUP(A302,'TB for financial'!A:B,2,0)</f>
        <v>Travel-Business Meals</v>
      </c>
      <c r="C302" s="362" t="s">
        <v>743</v>
      </c>
      <c r="E302" s="363">
        <f>VLOOKUP(A302,'TB for financial'!A:F,6,0)</f>
        <v>0</v>
      </c>
      <c r="G302" s="363">
        <f>VLOOKUP(A302,'TB for financial'!A:K,11,0)</f>
        <v>0</v>
      </c>
      <c r="H302" s="346" t="e">
        <v>#N/A</v>
      </c>
      <c r="I302" s="1439" t="e">
        <v>#N/A</v>
      </c>
      <c r="J302" s="363">
        <v>0</v>
      </c>
      <c r="K302" s="363">
        <v>0</v>
      </c>
      <c r="L302" s="363">
        <v>0</v>
      </c>
      <c r="M302" s="363">
        <v>0</v>
      </c>
      <c r="N302" s="363">
        <f t="shared" si="54"/>
        <v>0</v>
      </c>
      <c r="O302" s="363">
        <f t="shared" si="55"/>
        <v>0</v>
      </c>
    </row>
    <row r="303" spans="1:18">
      <c r="A303" s="360">
        <v>501720</v>
      </c>
      <c r="B303" s="361" t="str">
        <f>VLOOKUP(A303,'TB for financial'!A:B,2,0)</f>
        <v>Travel-Automobile</v>
      </c>
      <c r="C303" s="362" t="s">
        <v>743</v>
      </c>
      <c r="E303" s="363">
        <f>VLOOKUP(A303,'TB for financial'!A:F,6,0)</f>
        <v>0</v>
      </c>
      <c r="G303" s="363">
        <f>VLOOKUP(A303,'TB for financial'!A:K,11,0)</f>
        <v>0</v>
      </c>
      <c r="H303" s="346" t="e">
        <v>#N/A</v>
      </c>
      <c r="I303" s="1439" t="e">
        <v>#N/A</v>
      </c>
      <c r="J303" s="363">
        <v>0</v>
      </c>
      <c r="K303" s="363">
        <v>0</v>
      </c>
      <c r="L303" s="363">
        <v>0</v>
      </c>
      <c r="M303" s="363">
        <v>0</v>
      </c>
      <c r="N303" s="363">
        <f t="shared" si="54"/>
        <v>0</v>
      </c>
      <c r="O303" s="363">
        <f t="shared" si="55"/>
        <v>0</v>
      </c>
    </row>
    <row r="304" spans="1:18">
      <c r="A304" s="360">
        <v>501725</v>
      </c>
      <c r="B304" s="361" t="str">
        <f>VLOOKUP(A304,'TB for financial'!A:B,2,0)</f>
        <v>Travel-Airfare/Train</v>
      </c>
      <c r="C304" s="362" t="s">
        <v>743</v>
      </c>
      <c r="E304" s="363">
        <f>VLOOKUP(A304,'TB for financial'!A:F,6,0)</f>
        <v>0</v>
      </c>
      <c r="G304" s="363">
        <f>VLOOKUP(A304,'TB for financial'!A:K,11,0)</f>
        <v>0</v>
      </c>
      <c r="H304" s="346">
        <v>501725</v>
      </c>
      <c r="I304" s="1439">
        <v>0</v>
      </c>
      <c r="J304" s="363">
        <v>0</v>
      </c>
      <c r="K304" s="363">
        <v>0</v>
      </c>
      <c r="L304" s="363">
        <v>0</v>
      </c>
      <c r="M304" s="363">
        <v>0</v>
      </c>
      <c r="N304" s="363">
        <f t="shared" si="54"/>
        <v>0</v>
      </c>
      <c r="O304" s="363">
        <f t="shared" si="55"/>
        <v>0</v>
      </c>
      <c r="P304" s="347">
        <v>501725</v>
      </c>
      <c r="Q304" s="365" t="e">
        <v>#N/A</v>
      </c>
      <c r="R304" s="365" t="e">
        <f>+E304-Q304</f>
        <v>#N/A</v>
      </c>
    </row>
    <row r="305" spans="1:18">
      <c r="A305" s="360">
        <v>501730</v>
      </c>
      <c r="B305" s="361" t="str">
        <f>VLOOKUP(A305,'TB for financial'!A:B,2,0)</f>
        <v>Travel-Lodging</v>
      </c>
      <c r="C305" s="362" t="s">
        <v>743</v>
      </c>
      <c r="E305" s="363">
        <f>VLOOKUP(A305,'TB for financial'!A:F,6,0)</f>
        <v>0</v>
      </c>
      <c r="G305" s="363">
        <f>VLOOKUP(A305,'TB for financial'!A:K,11,0)</f>
        <v>0</v>
      </c>
      <c r="H305" s="346">
        <v>501730</v>
      </c>
      <c r="I305" s="1439">
        <v>0</v>
      </c>
      <c r="J305" s="363">
        <v>3800</v>
      </c>
      <c r="K305" s="363">
        <v>0</v>
      </c>
      <c r="L305" s="363">
        <v>0</v>
      </c>
      <c r="M305" s="363">
        <v>0</v>
      </c>
      <c r="N305" s="363">
        <f t="shared" si="54"/>
        <v>3800</v>
      </c>
      <c r="O305" s="363">
        <f t="shared" si="55"/>
        <v>-3800</v>
      </c>
      <c r="P305" s="347">
        <v>501730</v>
      </c>
      <c r="Q305" s="365" t="e">
        <v>#N/A</v>
      </c>
      <c r="R305" s="365" t="e">
        <f>+E305-Q305</f>
        <v>#N/A</v>
      </c>
    </row>
    <row r="306" spans="1:18">
      <c r="A306" s="360">
        <v>501735</v>
      </c>
      <c r="B306" s="361" t="str">
        <f>VLOOKUP(A306,'TB for financial'!A:B,2,0)</f>
        <v>Travel - Billable</v>
      </c>
      <c r="C306" s="362" t="s">
        <v>743</v>
      </c>
      <c r="E306" s="363">
        <f>VLOOKUP(A306,'TB for financial'!A:F,6,0)</f>
        <v>0</v>
      </c>
      <c r="G306" s="363">
        <f>VLOOKUP(A306,'TB for financial'!A:K,11,0)</f>
        <v>0</v>
      </c>
      <c r="H306" s="346" t="e">
        <v>#N/A</v>
      </c>
      <c r="I306" s="1439" t="e">
        <v>#N/A</v>
      </c>
      <c r="J306" s="363">
        <v>0</v>
      </c>
      <c r="K306" s="363">
        <v>0</v>
      </c>
      <c r="L306" s="363">
        <v>0</v>
      </c>
      <c r="M306" s="363">
        <v>0</v>
      </c>
      <c r="N306" s="363">
        <f t="shared" si="54"/>
        <v>0</v>
      </c>
      <c r="O306" s="363">
        <f t="shared" si="55"/>
        <v>0</v>
      </c>
    </row>
    <row r="307" spans="1:18">
      <c r="A307" s="360">
        <v>501801</v>
      </c>
      <c r="B307" s="361" t="str">
        <f>VLOOKUP(A307,'TB for financial'!A:B,2,0)</f>
        <v xml:space="preserve">Vehicle - Petrol </v>
      </c>
      <c r="C307" s="362" t="s">
        <v>743</v>
      </c>
      <c r="D307" s="354">
        <v>501801</v>
      </c>
      <c r="E307" s="363">
        <f>VLOOKUP(A307,'TB for financial'!A:F,6,0)</f>
        <v>0</v>
      </c>
      <c r="G307" s="363">
        <f>VLOOKUP(A307,'TB for financial'!A:K,11,0)</f>
        <v>0</v>
      </c>
      <c r="H307" s="346">
        <v>501801</v>
      </c>
      <c r="I307" s="1439">
        <v>16200</v>
      </c>
      <c r="J307" s="363">
        <v>5342</v>
      </c>
      <c r="K307" s="363">
        <v>-5342</v>
      </c>
      <c r="L307" s="363">
        <v>0</v>
      </c>
      <c r="M307" s="363">
        <v>0</v>
      </c>
      <c r="N307" s="363">
        <f t="shared" si="54"/>
        <v>0</v>
      </c>
      <c r="O307" s="363">
        <f t="shared" si="55"/>
        <v>0</v>
      </c>
    </row>
    <row r="308" spans="1:18">
      <c r="A308" s="360">
        <v>501802</v>
      </c>
      <c r="B308" s="361" t="str">
        <f>VLOOKUP(A308,'TB for financial'!A:B,2,0)</f>
        <v>Vehicle - RM/Driver</v>
      </c>
      <c r="C308" s="362" t="s">
        <v>743</v>
      </c>
      <c r="D308" s="354">
        <v>501802</v>
      </c>
      <c r="E308" s="363">
        <f>VLOOKUP(A308,'TB for financial'!A:F,6,0)</f>
        <v>0</v>
      </c>
      <c r="G308" s="363">
        <f>VLOOKUP(A308,'TB for financial'!A:K,11,0)</f>
        <v>0</v>
      </c>
      <c r="H308" s="346">
        <v>501802</v>
      </c>
      <c r="I308" s="1439">
        <v>8100</v>
      </c>
      <c r="J308" s="363">
        <v>2670.9679999999998</v>
      </c>
      <c r="K308" s="363">
        <v>-2670.9679999999998</v>
      </c>
      <c r="L308" s="363">
        <v>0</v>
      </c>
      <c r="M308" s="363">
        <v>0</v>
      </c>
      <c r="N308" s="363">
        <f t="shared" si="54"/>
        <v>0</v>
      </c>
      <c r="O308" s="363">
        <f t="shared" si="55"/>
        <v>0</v>
      </c>
    </row>
    <row r="309" spans="1:18">
      <c r="A309" s="360">
        <v>501803</v>
      </c>
      <c r="B309" s="361" t="str">
        <f>VLOOKUP(A309,'TB for financial'!A:B,2,0)</f>
        <v>Local Conveyance</v>
      </c>
      <c r="C309" s="362" t="s">
        <v>743</v>
      </c>
      <c r="E309" s="363">
        <f>VLOOKUP(A309,'TB for financial'!A:F,6,0)</f>
        <v>0</v>
      </c>
      <c r="G309" s="363">
        <f>VLOOKUP(A309,'TB for financial'!A:K,11,0)</f>
        <v>0</v>
      </c>
      <c r="H309" s="346">
        <v>501803</v>
      </c>
      <c r="I309" s="1439">
        <v>0</v>
      </c>
      <c r="J309" s="363">
        <v>0</v>
      </c>
      <c r="K309" s="363">
        <v>0</v>
      </c>
      <c r="L309" s="363">
        <v>0</v>
      </c>
      <c r="M309" s="363">
        <v>0</v>
      </c>
      <c r="N309" s="363">
        <f t="shared" si="54"/>
        <v>0</v>
      </c>
      <c r="O309" s="363">
        <f t="shared" si="55"/>
        <v>0</v>
      </c>
      <c r="P309" s="347">
        <v>501803</v>
      </c>
      <c r="Q309" s="365" t="e">
        <v>#N/A</v>
      </c>
      <c r="R309" s="365" t="e">
        <f>+E309-Q309</f>
        <v>#N/A</v>
      </c>
    </row>
    <row r="310" spans="1:18">
      <c r="A310" s="1379">
        <v>641721</v>
      </c>
      <c r="B310" s="361" t="str">
        <f>VLOOKUP(A310,'TB for financial'!A:B,2,0)</f>
        <v>Petrol Exps-Personnel</v>
      </c>
      <c r="C310" s="362" t="s">
        <v>743</v>
      </c>
      <c r="D310" s="354">
        <v>641721</v>
      </c>
      <c r="E310" s="363">
        <f>VLOOKUP(A310,'TB for financial'!A:F,6,0)</f>
        <v>21600</v>
      </c>
      <c r="G310" s="363">
        <f>VLOOKUP(A310,'TB for financial'!A:K,11,0)</f>
        <v>37800</v>
      </c>
      <c r="H310" s="346">
        <v>641721</v>
      </c>
      <c r="I310" s="1439">
        <v>-18000</v>
      </c>
      <c r="J310" s="363"/>
      <c r="K310" s="363"/>
      <c r="L310" s="363"/>
      <c r="M310" s="363"/>
      <c r="N310" s="363"/>
      <c r="O310" s="363">
        <f t="shared" si="55"/>
        <v>21600</v>
      </c>
      <c r="Q310" s="365"/>
      <c r="R310" s="365"/>
    </row>
    <row r="311" spans="1:18">
      <c r="A311" s="1379">
        <v>641722</v>
      </c>
      <c r="B311" s="361" t="str">
        <f>VLOOKUP(A311,'TB for financial'!A:B,2,0)</f>
        <v>Car Hire-Personnel</v>
      </c>
      <c r="C311" s="362" t="s">
        <v>743</v>
      </c>
      <c r="D311" s="354">
        <v>641722</v>
      </c>
      <c r="E311" s="363">
        <f>VLOOKUP(A311,'TB for financial'!A:F,6,0)</f>
        <v>10800</v>
      </c>
      <c r="G311" s="363">
        <f>VLOOKUP(A311,'TB for financial'!A:K,11,0)</f>
        <v>18900</v>
      </c>
      <c r="H311" s="346">
        <v>641722</v>
      </c>
      <c r="I311" s="1439">
        <v>-6300</v>
      </c>
      <c r="J311" s="363"/>
      <c r="K311" s="363"/>
      <c r="L311" s="363"/>
      <c r="M311" s="363"/>
      <c r="N311" s="363"/>
      <c r="O311" s="363">
        <f t="shared" si="55"/>
        <v>10800</v>
      </c>
      <c r="Q311" s="365"/>
      <c r="R311" s="365"/>
    </row>
    <row r="312" spans="1:18" ht="5.0999999999999996" customHeight="1">
      <c r="A312" s="360"/>
      <c r="B312" s="361"/>
      <c r="C312" s="362"/>
      <c r="E312" s="363"/>
      <c r="G312" s="363"/>
      <c r="J312" s="363"/>
      <c r="K312" s="363"/>
      <c r="L312" s="363"/>
      <c r="M312" s="363"/>
      <c r="N312" s="363"/>
      <c r="O312" s="363"/>
    </row>
    <row r="313" spans="1:18" s="350" customFormat="1">
      <c r="A313" s="366"/>
      <c r="B313" s="368" t="s">
        <v>758</v>
      </c>
      <c r="C313" s="1627"/>
      <c r="D313" s="1628"/>
      <c r="E313" s="1632">
        <f>SUM(E299:E312)</f>
        <v>32400</v>
      </c>
      <c r="F313" s="349"/>
      <c r="G313" s="375">
        <f>SUM(G299:G312)</f>
        <v>56700</v>
      </c>
      <c r="H313" s="349"/>
      <c r="J313" s="375">
        <f t="shared" ref="J313:O313" si="56">SUM(J299:J312)</f>
        <v>11812.968000000001</v>
      </c>
      <c r="K313" s="375">
        <f t="shared" si="56"/>
        <v>-8012.9679999999998</v>
      </c>
      <c r="L313" s="375">
        <f t="shared" si="56"/>
        <v>0</v>
      </c>
      <c r="M313" s="375">
        <f t="shared" si="56"/>
        <v>0</v>
      </c>
      <c r="N313" s="375">
        <f t="shared" si="56"/>
        <v>3800</v>
      </c>
      <c r="O313" s="375">
        <f t="shared" si="56"/>
        <v>28600</v>
      </c>
    </row>
    <row r="314" spans="1:18" ht="5.0999999999999996" customHeight="1">
      <c r="A314" s="360"/>
      <c r="B314" s="361"/>
      <c r="C314" s="362"/>
      <c r="E314" s="363"/>
      <c r="G314" s="363"/>
      <c r="J314" s="363"/>
      <c r="K314" s="363"/>
      <c r="L314" s="363"/>
      <c r="M314" s="363"/>
      <c r="N314" s="363"/>
      <c r="O314" s="363"/>
    </row>
    <row r="315" spans="1:18" ht="5.0999999999999996" customHeight="1">
      <c r="A315" s="360"/>
      <c r="B315" s="361"/>
      <c r="C315" s="362"/>
      <c r="E315" s="363"/>
      <c r="G315" s="363"/>
      <c r="J315" s="363"/>
      <c r="K315" s="363"/>
      <c r="L315" s="363"/>
      <c r="M315" s="363"/>
      <c r="N315" s="363"/>
      <c r="O315" s="363"/>
    </row>
    <row r="316" spans="1:18">
      <c r="A316" s="360">
        <v>505026</v>
      </c>
      <c r="B316" s="361" t="str">
        <f>VLOOKUP(A316,'TB for financial'!A:B,2,0)</f>
        <v>Audit Fees-Statutory Audit</v>
      </c>
      <c r="C316" s="362" t="s">
        <v>743</v>
      </c>
      <c r="D316" s="354">
        <v>505026</v>
      </c>
      <c r="E316" s="363">
        <f>VLOOKUP(A316,'TB for financial'!A:F,6,0)</f>
        <v>0</v>
      </c>
      <c r="G316" s="363">
        <f>VLOOKUP(A316,'TB for financial'!A:K,11,0)</f>
        <v>0</v>
      </c>
      <c r="H316" s="346">
        <v>505026</v>
      </c>
      <c r="I316" s="1439">
        <v>153617</v>
      </c>
      <c r="J316" s="363">
        <v>149998</v>
      </c>
      <c r="K316" s="363">
        <v>50000</v>
      </c>
      <c r="L316" s="363">
        <v>0</v>
      </c>
      <c r="M316" s="363">
        <v>0</v>
      </c>
      <c r="N316" s="363">
        <f>+J316+K316</f>
        <v>199998</v>
      </c>
      <c r="O316" s="363">
        <f t="shared" ref="O316:O321" si="57">+E316-N316</f>
        <v>-199998</v>
      </c>
      <c r="P316" s="347">
        <v>505026</v>
      </c>
      <c r="Q316" s="365"/>
      <c r="R316" s="365"/>
    </row>
    <row r="317" spans="1:18">
      <c r="A317" s="360">
        <v>505029</v>
      </c>
      <c r="B317" s="361" t="str">
        <f>VLOOKUP(A317,'TB for financial'!A:B,2,0)</f>
        <v>Audit Fees-Cerfitication</v>
      </c>
      <c r="C317" s="362" t="s">
        <v>743</v>
      </c>
      <c r="E317" s="363">
        <f>VLOOKUP(A317,'TB for financial'!A:F,6,0)</f>
        <v>0</v>
      </c>
      <c r="G317" s="363">
        <f>VLOOKUP(A317,'TB for financial'!A:K,11,0)</f>
        <v>0</v>
      </c>
      <c r="H317" s="346">
        <v>505029</v>
      </c>
      <c r="I317" s="1439">
        <v>0</v>
      </c>
      <c r="J317" s="363">
        <v>0</v>
      </c>
      <c r="K317" s="363">
        <v>0</v>
      </c>
      <c r="L317" s="363">
        <v>0</v>
      </c>
      <c r="M317" s="363">
        <v>0</v>
      </c>
      <c r="N317" s="363">
        <f>+J317+K317</f>
        <v>0</v>
      </c>
      <c r="O317" s="363">
        <f t="shared" si="57"/>
        <v>0</v>
      </c>
      <c r="P317" s="347">
        <v>505029</v>
      </c>
      <c r="Q317" s="365" t="e">
        <v>#N/A</v>
      </c>
      <c r="R317" s="365" t="e">
        <f>+E317-Q317</f>
        <v>#N/A</v>
      </c>
    </row>
    <row r="318" spans="1:18">
      <c r="A318" s="360">
        <v>505030</v>
      </c>
      <c r="B318" s="361" t="str">
        <f>VLOOKUP(A318,'TB for financial'!A:B,2,0)</f>
        <v>Fees - 401K</v>
      </c>
      <c r="C318" s="362" t="s">
        <v>743</v>
      </c>
      <c r="E318" s="363">
        <f>VLOOKUP(A318,'TB for financial'!A:F,6,0)</f>
        <v>0</v>
      </c>
      <c r="G318" s="363">
        <f>VLOOKUP(A318,'TB for financial'!A:K,11,0)</f>
        <v>0</v>
      </c>
      <c r="H318" s="346" t="e">
        <v>#N/A</v>
      </c>
      <c r="I318" s="1439" t="e">
        <v>#N/A</v>
      </c>
      <c r="J318" s="363">
        <v>0</v>
      </c>
      <c r="K318" s="363">
        <v>0</v>
      </c>
      <c r="L318" s="363">
        <v>0</v>
      </c>
      <c r="M318" s="363">
        <v>0</v>
      </c>
      <c r="N318" s="363">
        <f>+J318+K318</f>
        <v>0</v>
      </c>
      <c r="O318" s="363">
        <f t="shared" si="57"/>
        <v>0</v>
      </c>
    </row>
    <row r="319" spans="1:18">
      <c r="A319" s="360">
        <v>505031</v>
      </c>
      <c r="B319" s="361" t="str">
        <f>VLOOKUP(A319,'TB for financial'!A:B,2,0)</f>
        <v>Audit Fees-Out of pocket</v>
      </c>
      <c r="C319" s="362" t="s">
        <v>743</v>
      </c>
      <c r="D319" s="354">
        <v>505031</v>
      </c>
      <c r="E319" s="363">
        <f>VLOOKUP(A319,'TB for financial'!A:F,6,0)</f>
        <v>0</v>
      </c>
      <c r="G319" s="363">
        <f>VLOOKUP(A319,'TB for financial'!A:K,11,0)</f>
        <v>0</v>
      </c>
      <c r="H319" s="346">
        <v>505031</v>
      </c>
      <c r="I319" s="1439">
        <v>9000</v>
      </c>
      <c r="J319" s="363">
        <v>9000</v>
      </c>
      <c r="K319" s="363">
        <v>3000</v>
      </c>
      <c r="L319" s="363">
        <v>0</v>
      </c>
      <c r="M319" s="363">
        <v>0</v>
      </c>
      <c r="N319" s="363">
        <f>+J319+K319</f>
        <v>12000</v>
      </c>
      <c r="O319" s="363">
        <f t="shared" si="57"/>
        <v>-12000</v>
      </c>
      <c r="P319" s="347">
        <v>505031</v>
      </c>
      <c r="Q319" s="365"/>
      <c r="R319" s="365"/>
    </row>
    <row r="320" spans="1:18">
      <c r="A320" s="360">
        <v>505032</v>
      </c>
      <c r="B320" s="361" t="str">
        <f>VLOOKUP(A320,'TB for financial'!A:B,2,0)</f>
        <v>Fees - Auditors</v>
      </c>
      <c r="C320" s="362" t="s">
        <v>743</v>
      </c>
      <c r="E320" s="363">
        <f>VLOOKUP(A320,'TB for financial'!A:F,6,0)</f>
        <v>0</v>
      </c>
      <c r="G320" s="363">
        <f>VLOOKUP(A320,'TB for financial'!A:K,11,0)</f>
        <v>0</v>
      </c>
      <c r="H320" s="346">
        <v>505032</v>
      </c>
      <c r="I320" s="1439">
        <v>0</v>
      </c>
      <c r="J320" s="363">
        <v>0</v>
      </c>
      <c r="K320" s="363">
        <v>0</v>
      </c>
      <c r="L320" s="363">
        <v>0</v>
      </c>
      <c r="M320" s="363">
        <v>0</v>
      </c>
      <c r="N320" s="363">
        <f>+J320+K320</f>
        <v>0</v>
      </c>
      <c r="O320" s="363">
        <f t="shared" si="57"/>
        <v>0</v>
      </c>
      <c r="P320" s="347">
        <v>505032</v>
      </c>
      <c r="Q320" s="365" t="e">
        <v>#N/A</v>
      </c>
      <c r="R320" s="365" t="e">
        <f>+E320-Q320</f>
        <v>#N/A</v>
      </c>
    </row>
    <row r="321" spans="1:18">
      <c r="A321" s="1379">
        <v>622600</v>
      </c>
      <c r="B321" s="361" t="str">
        <f>VLOOKUP(A321,'TB for financial'!A:B,2,0)</f>
        <v>AUDITORS' FEES</v>
      </c>
      <c r="C321" s="362" t="s">
        <v>743</v>
      </c>
      <c r="D321" s="354">
        <v>622600</v>
      </c>
      <c r="E321" s="363">
        <f>VLOOKUP(A321,'TB for financial'!A:F,6,0)</f>
        <v>360400.00000000041</v>
      </c>
      <c r="G321" s="363">
        <f>VLOOKUP(A321,'TB for financial'!A:K,11,0)</f>
        <v>222600</v>
      </c>
      <c r="H321" s="346">
        <v>622600</v>
      </c>
      <c r="I321" s="1439">
        <v>-180200</v>
      </c>
      <c r="J321" s="363"/>
      <c r="K321" s="363"/>
      <c r="L321" s="363"/>
      <c r="M321" s="363"/>
      <c r="N321" s="363"/>
      <c r="O321" s="363">
        <f t="shared" si="57"/>
        <v>360400.00000000041</v>
      </c>
      <c r="Q321" s="365"/>
      <c r="R321" s="365"/>
    </row>
    <row r="322" spans="1:18">
      <c r="A322" s="360"/>
      <c r="B322" s="361" t="s">
        <v>759</v>
      </c>
      <c r="C322" s="362" t="s">
        <v>743</v>
      </c>
      <c r="E322" s="363"/>
      <c r="G322" s="363">
        <v>0</v>
      </c>
      <c r="J322" s="363">
        <v>0</v>
      </c>
      <c r="K322" s="363">
        <v>0</v>
      </c>
      <c r="L322" s="363">
        <v>0</v>
      </c>
      <c r="M322" s="363">
        <v>0</v>
      </c>
      <c r="N322" s="363">
        <v>0</v>
      </c>
      <c r="O322" s="363">
        <v>0</v>
      </c>
    </row>
    <row r="323" spans="1:18">
      <c r="A323" s="360"/>
      <c r="B323" s="361" t="s">
        <v>760</v>
      </c>
      <c r="C323" s="362" t="s">
        <v>743</v>
      </c>
      <c r="E323" s="363"/>
      <c r="G323" s="363">
        <v>0</v>
      </c>
      <c r="J323" s="363">
        <v>0</v>
      </c>
      <c r="K323" s="363">
        <v>0</v>
      </c>
      <c r="L323" s="363">
        <v>0</v>
      </c>
      <c r="M323" s="363">
        <v>0</v>
      </c>
      <c r="N323" s="363">
        <v>0</v>
      </c>
      <c r="O323" s="363">
        <v>0</v>
      </c>
    </row>
    <row r="324" spans="1:18" ht="5.0999999999999996" customHeight="1">
      <c r="A324" s="360"/>
      <c r="B324" s="361"/>
      <c r="C324" s="362"/>
      <c r="E324" s="363"/>
      <c r="G324" s="363"/>
      <c r="J324" s="363"/>
      <c r="K324" s="363"/>
      <c r="L324" s="363"/>
      <c r="M324" s="363"/>
      <c r="N324" s="363"/>
      <c r="O324" s="363"/>
    </row>
    <row r="325" spans="1:18" s="350" customFormat="1" ht="15" thickBot="1">
      <c r="A325" s="366"/>
      <c r="B325" s="368" t="s">
        <v>761</v>
      </c>
      <c r="C325" s="1627"/>
      <c r="D325" s="1628"/>
      <c r="E325" s="1630">
        <f>SUM(E315:E324)</f>
        <v>360400.00000000041</v>
      </c>
      <c r="F325" s="349"/>
      <c r="G325" s="367">
        <f>SUM(G315:G324)</f>
        <v>222600</v>
      </c>
      <c r="H325" s="349"/>
      <c r="J325" s="367">
        <f t="shared" ref="J325:O325" si="58">SUM(J315:J324)</f>
        <v>158998</v>
      </c>
      <c r="K325" s="367">
        <f t="shared" si="58"/>
        <v>53000</v>
      </c>
      <c r="L325" s="367">
        <f t="shared" si="58"/>
        <v>0</v>
      </c>
      <c r="M325" s="367">
        <f t="shared" si="58"/>
        <v>0</v>
      </c>
      <c r="N325" s="367">
        <f t="shared" si="58"/>
        <v>211998</v>
      </c>
      <c r="O325" s="367">
        <f t="shared" si="58"/>
        <v>148402.00000000041</v>
      </c>
    </row>
    <row r="326" spans="1:18" ht="5.0999999999999996" customHeight="1" thickTop="1">
      <c r="A326" s="360"/>
      <c r="B326" s="361"/>
      <c r="C326" s="362"/>
      <c r="E326" s="363"/>
      <c r="G326" s="363"/>
      <c r="J326" s="363"/>
      <c r="K326" s="363"/>
      <c r="L326" s="363"/>
      <c r="M326" s="363"/>
      <c r="N326" s="363"/>
      <c r="O326" s="363"/>
    </row>
    <row r="327" spans="1:18">
      <c r="A327" s="360">
        <v>503025</v>
      </c>
      <c r="B327" s="361" t="str">
        <f>VLOOKUP(A327,'TB for financial'!A:B,2,0)</f>
        <v>Insurance-Property &amp; Other</v>
      </c>
      <c r="C327" s="362" t="s">
        <v>743</v>
      </c>
      <c r="D327" s="354">
        <v>503025</v>
      </c>
      <c r="E327" s="363">
        <f>VLOOKUP(A327,'TB for financial'!A:F,6,0)</f>
        <v>0</v>
      </c>
      <c r="G327" s="363">
        <f>VLOOKUP(A327,'TB for financial'!A:K,11,0)</f>
        <v>0</v>
      </c>
      <c r="H327" s="346">
        <v>503025</v>
      </c>
      <c r="I327" s="1439">
        <v>20452.638999999999</v>
      </c>
      <c r="J327" s="363">
        <v>7993.4779999999955</v>
      </c>
      <c r="K327" s="363">
        <v>4553.259</v>
      </c>
      <c r="L327" s="363">
        <v>0</v>
      </c>
      <c r="M327" s="363">
        <v>0</v>
      </c>
      <c r="N327" s="363">
        <f>+J327+K327</f>
        <v>12546.736999999996</v>
      </c>
      <c r="O327" s="363">
        <f>+E327-N327</f>
        <v>-12546.736999999996</v>
      </c>
      <c r="P327" s="347">
        <v>503025</v>
      </c>
      <c r="Q327" s="365" t="e">
        <v>#N/A</v>
      </c>
      <c r="R327" s="365" t="e">
        <f>+E327-Q327</f>
        <v>#N/A</v>
      </c>
    </row>
    <row r="328" spans="1:18">
      <c r="A328" s="360">
        <v>503030</v>
      </c>
      <c r="B328" s="361" t="str">
        <f>VLOOKUP(A328,'TB for financial'!A:B,2,0)</f>
        <v>Insurance-Directors &amp; Officers</v>
      </c>
      <c r="C328" s="362" t="s">
        <v>743</v>
      </c>
      <c r="E328" s="363">
        <f>VLOOKUP(A328,'TB for financial'!A:F,6,0)</f>
        <v>0</v>
      </c>
      <c r="G328" s="363">
        <f>VLOOKUP(A328,'TB for financial'!A:K,11,0)</f>
        <v>0</v>
      </c>
      <c r="H328" s="346" t="e">
        <v>#N/A</v>
      </c>
      <c r="I328" s="1439" t="e">
        <v>#N/A</v>
      </c>
      <c r="J328" s="363">
        <v>0</v>
      </c>
      <c r="K328" s="363">
        <v>0</v>
      </c>
      <c r="L328" s="363">
        <v>0</v>
      </c>
      <c r="M328" s="363">
        <v>0</v>
      </c>
      <c r="N328" s="363">
        <f>+J328+K328</f>
        <v>0</v>
      </c>
      <c r="O328" s="363">
        <f>+E328-N328</f>
        <v>0</v>
      </c>
    </row>
    <row r="329" spans="1:18">
      <c r="A329" s="360">
        <v>503040</v>
      </c>
      <c r="B329" s="361" t="str">
        <f>VLOOKUP(A329,'TB for financial'!A:B,2,0)</f>
        <v>Insurance-Vehicles</v>
      </c>
      <c r="C329" s="362" t="s">
        <v>743</v>
      </c>
      <c r="E329" s="363">
        <f>VLOOKUP(A329,'TB for financial'!A:F,6,0)</f>
        <v>0</v>
      </c>
      <c r="G329" s="363">
        <f>VLOOKUP(A329,'TB for financial'!A:K,11,0)</f>
        <v>0</v>
      </c>
      <c r="H329" s="346" t="e">
        <v>#N/A</v>
      </c>
      <c r="I329" s="1439" t="e">
        <v>#N/A</v>
      </c>
      <c r="J329" s="363">
        <v>0</v>
      </c>
      <c r="K329" s="363">
        <v>0</v>
      </c>
      <c r="L329" s="363">
        <v>0</v>
      </c>
      <c r="M329" s="363">
        <v>0</v>
      </c>
      <c r="N329" s="363">
        <f>+J329+K329</f>
        <v>0</v>
      </c>
      <c r="O329" s="363">
        <f>+E329-N329</f>
        <v>0</v>
      </c>
    </row>
    <row r="330" spans="1:18">
      <c r="A330" s="360">
        <v>503041</v>
      </c>
      <c r="B330" s="361" t="str">
        <f>VLOOKUP(A330,'TB for financial'!A:B,2,0)</f>
        <v>Insurance-Transit</v>
      </c>
      <c r="C330" s="362" t="s">
        <v>743</v>
      </c>
      <c r="E330" s="363">
        <f>VLOOKUP(A330,'TB for financial'!A:F,6,0)</f>
        <v>0</v>
      </c>
      <c r="G330" s="363">
        <f>VLOOKUP(A330,'TB for financial'!A:K,11,0)</f>
        <v>0</v>
      </c>
      <c r="H330" s="346" t="e">
        <v>#N/A</v>
      </c>
      <c r="I330" s="1439" t="e">
        <v>#N/A</v>
      </c>
      <c r="J330" s="363">
        <v>0</v>
      </c>
      <c r="K330" s="363">
        <v>0</v>
      </c>
      <c r="L330" s="363">
        <v>0</v>
      </c>
      <c r="M330" s="363">
        <v>0</v>
      </c>
      <c r="N330" s="363">
        <f>+J330+K330</f>
        <v>0</v>
      </c>
      <c r="O330" s="363">
        <f>+E330-N330</f>
        <v>0</v>
      </c>
    </row>
    <row r="331" spans="1:18">
      <c r="A331" s="360">
        <v>616221</v>
      </c>
      <c r="B331" s="361" t="s">
        <v>3025</v>
      </c>
      <c r="C331" s="362" t="s">
        <v>743</v>
      </c>
      <c r="E331" s="363">
        <f>VLOOKUP(A331,'TB for financial'!A:F,6,0)</f>
        <v>4149</v>
      </c>
      <c r="G331" s="363"/>
      <c r="I331" s="1439"/>
      <c r="J331" s="363"/>
      <c r="K331" s="363"/>
      <c r="L331" s="363"/>
      <c r="M331" s="363"/>
      <c r="N331" s="363"/>
      <c r="O331" s="363"/>
    </row>
    <row r="332" spans="1:18">
      <c r="A332" s="360">
        <v>616400</v>
      </c>
      <c r="B332" s="361" t="s">
        <v>2851</v>
      </c>
      <c r="C332" s="362" t="s">
        <v>743</v>
      </c>
      <c r="E332" s="363">
        <f>VLOOKUP(A332,'TB for financial'!A:F,6,0)</f>
        <v>0</v>
      </c>
      <c r="G332" s="363">
        <f>VLOOKUP(A332,'TB for financial'!A:K,11,0)</f>
        <v>211</v>
      </c>
      <c r="I332" s="1439"/>
      <c r="J332" s="363"/>
      <c r="K332" s="363"/>
      <c r="L332" s="363"/>
      <c r="M332" s="363"/>
      <c r="N332" s="363"/>
      <c r="O332" s="363"/>
    </row>
    <row r="333" spans="1:18">
      <c r="A333" s="360">
        <v>503042</v>
      </c>
      <c r="B333" s="361" t="str">
        <f>VLOOKUP(A333,'TB for financial'!A:B,2,0)</f>
        <v>Insurance Others</v>
      </c>
      <c r="C333" s="362" t="s">
        <v>743</v>
      </c>
      <c r="E333" s="363">
        <f>VLOOKUP(A333,'TB for financial'!A:F,6,0)</f>
        <v>0</v>
      </c>
      <c r="G333" s="363">
        <f>VLOOKUP(A333,'TB for financial'!A:K,11,0)</f>
        <v>0</v>
      </c>
      <c r="H333" s="346">
        <v>503042</v>
      </c>
      <c r="I333" s="1439">
        <v>0</v>
      </c>
      <c r="J333" s="363">
        <v>0</v>
      </c>
      <c r="K333" s="363">
        <v>0</v>
      </c>
      <c r="L333" s="363">
        <v>0</v>
      </c>
      <c r="M333" s="363">
        <v>0</v>
      </c>
      <c r="N333" s="363">
        <f>+J333+K333</f>
        <v>0</v>
      </c>
      <c r="O333" s="363">
        <f>+E333-N333</f>
        <v>0</v>
      </c>
    </row>
    <row r="334" spans="1:18" ht="5.0999999999999996" customHeight="1">
      <c r="A334" s="360"/>
      <c r="B334" s="361"/>
      <c r="C334" s="362"/>
      <c r="E334" s="363"/>
      <c r="G334" s="363"/>
      <c r="J334" s="363"/>
      <c r="K334" s="363"/>
      <c r="L334" s="363"/>
      <c r="M334" s="363"/>
      <c r="N334" s="363"/>
      <c r="O334" s="363"/>
    </row>
    <row r="335" spans="1:18" s="350" customFormat="1" ht="15" thickBot="1">
      <c r="A335" s="366"/>
      <c r="B335" s="368" t="s">
        <v>762</v>
      </c>
      <c r="C335" s="1627"/>
      <c r="D335" s="1628"/>
      <c r="E335" s="1630">
        <f>SUM(E327:E334)</f>
        <v>4149</v>
      </c>
      <c r="F335" s="349"/>
      <c r="G335" s="367">
        <f>SUM(G327:G334)</f>
        <v>211</v>
      </c>
      <c r="H335" s="349"/>
      <c r="J335" s="367">
        <f t="shared" ref="J335:O335" si="59">SUM(J327:J334)</f>
        <v>7993.4779999999955</v>
      </c>
      <c r="K335" s="367">
        <f t="shared" si="59"/>
        <v>4553.259</v>
      </c>
      <c r="L335" s="367">
        <f t="shared" si="59"/>
        <v>0</v>
      </c>
      <c r="M335" s="367">
        <f t="shared" si="59"/>
        <v>0</v>
      </c>
      <c r="N335" s="367">
        <f t="shared" si="59"/>
        <v>12546.736999999996</v>
      </c>
      <c r="O335" s="367">
        <f t="shared" si="59"/>
        <v>-12546.736999999996</v>
      </c>
    </row>
    <row r="336" spans="1:18" ht="5.0999999999999996" customHeight="1" thickTop="1">
      <c r="A336" s="360"/>
      <c r="B336" s="361"/>
      <c r="C336" s="362"/>
      <c r="E336" s="363"/>
      <c r="G336" s="363"/>
      <c r="J336" s="363"/>
      <c r="K336" s="363"/>
      <c r="L336" s="363"/>
      <c r="M336" s="363"/>
      <c r="N336" s="363"/>
      <c r="O336" s="363"/>
    </row>
    <row r="337" spans="1:15">
      <c r="A337" s="360">
        <v>504010</v>
      </c>
      <c r="B337" s="361" t="str">
        <f>VLOOKUP(A337,'TB for financial'!A:B,2,0)</f>
        <v>Advertising - Marketing</v>
      </c>
      <c r="C337" s="362" t="s">
        <v>743</v>
      </c>
      <c r="E337" s="363">
        <f>VLOOKUP(A337,'TB for financial'!A:F,6,0)</f>
        <v>0</v>
      </c>
      <c r="F337" s="349"/>
      <c r="G337" s="363">
        <f>VLOOKUP(A337,'TB for financial'!A:K,11,0)</f>
        <v>0</v>
      </c>
      <c r="H337" s="346">
        <v>504010</v>
      </c>
      <c r="I337" s="1439">
        <v>0</v>
      </c>
      <c r="J337" s="363">
        <v>0</v>
      </c>
      <c r="K337" s="363">
        <v>0</v>
      </c>
      <c r="L337" s="363">
        <v>0</v>
      </c>
      <c r="M337" s="363">
        <v>0</v>
      </c>
      <c r="N337" s="363">
        <f t="shared" ref="N337:N351" si="60">+J337+K337</f>
        <v>0</v>
      </c>
      <c r="O337" s="363">
        <f t="shared" ref="O337:O351" si="61">+E337-N337</f>
        <v>0</v>
      </c>
    </row>
    <row r="338" spans="1:15">
      <c r="A338" s="360">
        <v>504015</v>
      </c>
      <c r="B338" s="361" t="str">
        <f>VLOOKUP(A338,'TB for financial'!A:B,2,0)</f>
        <v>Business Promotions / Gifts</v>
      </c>
      <c r="C338" s="362" t="s">
        <v>743</v>
      </c>
      <c r="E338" s="363">
        <f>VLOOKUP(A338,'TB for financial'!A:F,6,0)</f>
        <v>0</v>
      </c>
      <c r="G338" s="363">
        <f>VLOOKUP(A338,'TB for financial'!A:K,11,0)</f>
        <v>0</v>
      </c>
      <c r="H338" s="346" t="e">
        <v>#N/A</v>
      </c>
      <c r="I338" s="1439" t="e">
        <v>#N/A</v>
      </c>
      <c r="J338" s="363">
        <v>0</v>
      </c>
      <c r="K338" s="363">
        <v>0</v>
      </c>
      <c r="L338" s="363">
        <v>0</v>
      </c>
      <c r="M338" s="363">
        <v>0</v>
      </c>
      <c r="N338" s="363">
        <f t="shared" si="60"/>
        <v>0</v>
      </c>
      <c r="O338" s="363">
        <f t="shared" si="61"/>
        <v>0</v>
      </c>
    </row>
    <row r="339" spans="1:15">
      <c r="A339" s="360">
        <v>504016</v>
      </c>
      <c r="B339" s="361" t="str">
        <f>VLOOKUP(A339,'TB for financial'!A:B,2,0)</f>
        <v>Gifts to clients</v>
      </c>
      <c r="C339" s="362" t="s">
        <v>743</v>
      </c>
      <c r="E339" s="363">
        <f>VLOOKUP(A339,'TB for financial'!A:F,6,0)</f>
        <v>0</v>
      </c>
      <c r="G339" s="363">
        <f>VLOOKUP(A339,'TB for financial'!A:K,11,0)</f>
        <v>0</v>
      </c>
      <c r="H339" s="346">
        <v>504016</v>
      </c>
      <c r="I339" s="1439">
        <v>0</v>
      </c>
      <c r="J339" s="363">
        <v>0</v>
      </c>
      <c r="K339" s="363">
        <v>0</v>
      </c>
      <c r="L339" s="363">
        <v>0</v>
      </c>
      <c r="M339" s="363">
        <v>0</v>
      </c>
      <c r="N339" s="363">
        <f t="shared" si="60"/>
        <v>0</v>
      </c>
      <c r="O339" s="363">
        <f t="shared" si="61"/>
        <v>0</v>
      </c>
    </row>
    <row r="340" spans="1:15">
      <c r="A340" s="370">
        <v>504018</v>
      </c>
      <c r="B340" s="361" t="str">
        <f>VLOOKUP(A340,'TB for financial'!A:B,2,0)</f>
        <v>Client Entertainment Exps</v>
      </c>
      <c r="C340" s="362" t="s">
        <v>743</v>
      </c>
      <c r="E340" s="363">
        <f>VLOOKUP(A340,'TB for financial'!A:F,6,0)</f>
        <v>0</v>
      </c>
      <c r="G340" s="363">
        <f>VLOOKUP(A340,'TB for financial'!A:K,11,0)</f>
        <v>0</v>
      </c>
      <c r="H340" s="346" t="e">
        <v>#N/A</v>
      </c>
      <c r="I340" s="1439" t="e">
        <v>#N/A</v>
      </c>
      <c r="J340" s="363">
        <v>0</v>
      </c>
      <c r="K340" s="363">
        <v>0</v>
      </c>
      <c r="L340" s="363">
        <v>0</v>
      </c>
      <c r="M340" s="363">
        <v>0</v>
      </c>
      <c r="N340" s="363">
        <f t="shared" si="60"/>
        <v>0</v>
      </c>
      <c r="O340" s="363">
        <f t="shared" si="61"/>
        <v>0</v>
      </c>
    </row>
    <row r="341" spans="1:15">
      <c r="A341" s="360">
        <v>504025</v>
      </c>
      <c r="B341" s="361" t="str">
        <f>VLOOKUP(A341,'TB for financial'!A:B,2,0)</f>
        <v>Marketing Exp</v>
      </c>
      <c r="C341" s="362" t="s">
        <v>743</v>
      </c>
      <c r="E341" s="363">
        <f>VLOOKUP(A341,'TB for financial'!A:F,6,0)</f>
        <v>0</v>
      </c>
      <c r="G341" s="363">
        <f>VLOOKUP(A341,'TB for financial'!A:K,11,0)</f>
        <v>0</v>
      </c>
      <c r="H341" s="346">
        <v>504025</v>
      </c>
      <c r="I341" s="1439">
        <v>0</v>
      </c>
      <c r="J341" s="363">
        <v>0</v>
      </c>
      <c r="K341" s="363">
        <v>0</v>
      </c>
      <c r="L341" s="363">
        <v>0</v>
      </c>
      <c r="M341" s="363">
        <v>0</v>
      </c>
      <c r="N341" s="363">
        <f t="shared" si="60"/>
        <v>0</v>
      </c>
      <c r="O341" s="363">
        <f t="shared" si="61"/>
        <v>0</v>
      </c>
    </row>
    <row r="342" spans="1:15">
      <c r="A342" s="360">
        <v>504030</v>
      </c>
      <c r="B342" s="361" t="str">
        <f>VLOOKUP(A342,'TB for financial'!A:B,2,0)</f>
        <v>Marketing Conferences</v>
      </c>
      <c r="C342" s="362" t="s">
        <v>743</v>
      </c>
      <c r="E342" s="363">
        <f>VLOOKUP(A342,'TB for financial'!A:F,6,0)</f>
        <v>0</v>
      </c>
      <c r="F342" s="349"/>
      <c r="G342" s="363">
        <f>VLOOKUP(A342,'TB for financial'!A:K,11,0)</f>
        <v>0</v>
      </c>
      <c r="H342" s="346" t="e">
        <v>#N/A</v>
      </c>
      <c r="I342" s="1439" t="e">
        <v>#N/A</v>
      </c>
      <c r="J342" s="363">
        <v>0</v>
      </c>
      <c r="K342" s="363">
        <v>0</v>
      </c>
      <c r="L342" s="363">
        <v>0</v>
      </c>
      <c r="M342" s="363">
        <v>0</v>
      </c>
      <c r="N342" s="363">
        <f t="shared" si="60"/>
        <v>0</v>
      </c>
      <c r="O342" s="363">
        <f t="shared" si="61"/>
        <v>0</v>
      </c>
    </row>
    <row r="343" spans="1:15">
      <c r="A343" s="360">
        <v>504035</v>
      </c>
      <c r="B343" s="361" t="str">
        <f>VLOOKUP(A343,'TB for financial'!A:B,2,0)</f>
        <v>Marketing Materials</v>
      </c>
      <c r="C343" s="362" t="s">
        <v>743</v>
      </c>
      <c r="E343" s="363">
        <f>VLOOKUP(A343,'TB for financial'!A:F,6,0)</f>
        <v>0</v>
      </c>
      <c r="G343" s="363">
        <f>VLOOKUP(A343,'TB for financial'!A:K,11,0)</f>
        <v>0</v>
      </c>
      <c r="H343" s="346" t="e">
        <v>#N/A</v>
      </c>
      <c r="I343" s="1439" t="e">
        <v>#N/A</v>
      </c>
      <c r="J343" s="363">
        <v>0</v>
      </c>
      <c r="K343" s="363">
        <v>0</v>
      </c>
      <c r="L343" s="363">
        <v>0</v>
      </c>
      <c r="M343" s="363">
        <v>0</v>
      </c>
      <c r="N343" s="363">
        <f t="shared" si="60"/>
        <v>0</v>
      </c>
      <c r="O343" s="363">
        <f t="shared" si="61"/>
        <v>0</v>
      </c>
    </row>
    <row r="344" spans="1:15">
      <c r="A344" s="360">
        <v>504040</v>
      </c>
      <c r="B344" s="361" t="str">
        <f>VLOOKUP(A344,'TB for financial'!A:B,2,0)</f>
        <v>Customer Relations</v>
      </c>
      <c r="C344" s="362" t="s">
        <v>743</v>
      </c>
      <c r="E344" s="363">
        <f>VLOOKUP(A344,'TB for financial'!A:F,6,0)</f>
        <v>0</v>
      </c>
      <c r="G344" s="363">
        <f>VLOOKUP(A344,'TB for financial'!A:K,11,0)</f>
        <v>0</v>
      </c>
      <c r="H344" s="346" t="e">
        <v>#N/A</v>
      </c>
      <c r="I344" s="1439" t="e">
        <v>#N/A</v>
      </c>
      <c r="J344" s="363">
        <v>0</v>
      </c>
      <c r="K344" s="363">
        <v>0</v>
      </c>
      <c r="L344" s="363">
        <v>0</v>
      </c>
      <c r="M344" s="363">
        <v>0</v>
      </c>
      <c r="N344" s="363">
        <f t="shared" si="60"/>
        <v>0</v>
      </c>
      <c r="O344" s="363">
        <f t="shared" si="61"/>
        <v>0</v>
      </c>
    </row>
    <row r="345" spans="1:15">
      <c r="A345" s="360">
        <v>504042</v>
      </c>
      <c r="B345" s="361" t="str">
        <f>VLOOKUP(A345,'TB for financial'!A:B,2,0)</f>
        <v>Print Advertising</v>
      </c>
      <c r="C345" s="362" t="s">
        <v>743</v>
      </c>
      <c r="E345" s="363">
        <f>VLOOKUP(A345,'TB for financial'!A:F,6,0)</f>
        <v>0</v>
      </c>
      <c r="G345" s="363">
        <f>VLOOKUP(A345,'TB for financial'!A:K,11,0)</f>
        <v>0</v>
      </c>
      <c r="H345" s="346" t="e">
        <v>#N/A</v>
      </c>
      <c r="I345" s="1439" t="e">
        <v>#N/A</v>
      </c>
      <c r="J345" s="363">
        <v>0</v>
      </c>
      <c r="K345" s="363">
        <v>0</v>
      </c>
      <c r="L345" s="363">
        <v>0</v>
      </c>
      <c r="M345" s="363">
        <v>0</v>
      </c>
      <c r="N345" s="363">
        <f t="shared" si="60"/>
        <v>0</v>
      </c>
      <c r="O345" s="363">
        <f t="shared" si="61"/>
        <v>0</v>
      </c>
    </row>
    <row r="346" spans="1:15">
      <c r="A346" s="360">
        <v>504044</v>
      </c>
      <c r="B346" s="361" t="str">
        <f>VLOOKUP(A346,'TB for financial'!A:B,2,0)</f>
        <v>Trade Shows/Conferences</v>
      </c>
      <c r="C346" s="362" t="s">
        <v>743</v>
      </c>
      <c r="E346" s="363">
        <f>VLOOKUP(A346,'TB for financial'!A:F,6,0)</f>
        <v>0</v>
      </c>
      <c r="G346" s="363">
        <f>VLOOKUP(A346,'TB for financial'!A:K,11,0)</f>
        <v>0</v>
      </c>
      <c r="H346" s="346">
        <v>504044</v>
      </c>
      <c r="I346" s="1439">
        <v>0</v>
      </c>
      <c r="J346" s="363">
        <v>0</v>
      </c>
      <c r="K346" s="363">
        <v>0</v>
      </c>
      <c r="L346" s="363">
        <v>0</v>
      </c>
      <c r="M346" s="363">
        <v>0</v>
      </c>
      <c r="N346" s="363">
        <f t="shared" si="60"/>
        <v>0</v>
      </c>
      <c r="O346" s="363">
        <f t="shared" si="61"/>
        <v>0</v>
      </c>
    </row>
    <row r="347" spans="1:15">
      <c r="A347" s="360">
        <v>504046</v>
      </c>
      <c r="B347" s="361" t="str">
        <f>VLOOKUP(A347,'TB for financial'!A:B,2,0)</f>
        <v>Public Relations</v>
      </c>
      <c r="C347" s="362" t="s">
        <v>743</v>
      </c>
      <c r="E347" s="363">
        <f>VLOOKUP(A347,'TB for financial'!A:F,6,0)</f>
        <v>0</v>
      </c>
      <c r="G347" s="363">
        <f>VLOOKUP(A347,'TB for financial'!A:K,11,0)</f>
        <v>0</v>
      </c>
      <c r="H347" s="346" t="e">
        <v>#N/A</v>
      </c>
      <c r="I347" s="1439" t="e">
        <v>#N/A</v>
      </c>
      <c r="J347" s="363">
        <v>0</v>
      </c>
      <c r="K347" s="363">
        <v>0</v>
      </c>
      <c r="L347" s="363">
        <v>0</v>
      </c>
      <c r="M347" s="363">
        <v>0</v>
      </c>
      <c r="N347" s="363">
        <f t="shared" si="60"/>
        <v>0</v>
      </c>
      <c r="O347" s="363">
        <f t="shared" si="61"/>
        <v>0</v>
      </c>
    </row>
    <row r="348" spans="1:15">
      <c r="A348" s="360">
        <v>504048</v>
      </c>
      <c r="B348" s="361" t="str">
        <f>VLOOKUP(A348,'TB for financial'!A:B,2,0)</f>
        <v>Marketing Collateral</v>
      </c>
      <c r="C348" s="362" t="s">
        <v>743</v>
      </c>
      <c r="E348" s="363">
        <f>VLOOKUP(A348,'TB for financial'!A:F,6,0)</f>
        <v>0</v>
      </c>
      <c r="G348" s="363">
        <f>VLOOKUP(A348,'TB for financial'!A:K,11,0)</f>
        <v>0</v>
      </c>
      <c r="H348" s="346" t="e">
        <v>#N/A</v>
      </c>
      <c r="I348" s="1439" t="e">
        <v>#N/A</v>
      </c>
      <c r="J348" s="363">
        <v>0</v>
      </c>
      <c r="K348" s="363">
        <v>0</v>
      </c>
      <c r="L348" s="363">
        <v>0</v>
      </c>
      <c r="M348" s="363">
        <v>0</v>
      </c>
      <c r="N348" s="363">
        <f t="shared" si="60"/>
        <v>0</v>
      </c>
      <c r="O348" s="363">
        <f t="shared" si="61"/>
        <v>0</v>
      </c>
    </row>
    <row r="349" spans="1:15">
      <c r="A349" s="360">
        <v>504052</v>
      </c>
      <c r="B349" s="361" t="str">
        <f>VLOOKUP(A349,'TB for financial'!A:B,2,0)</f>
        <v>Investor Relations</v>
      </c>
      <c r="C349" s="362" t="s">
        <v>743</v>
      </c>
      <c r="E349" s="363">
        <f>VLOOKUP(A349,'TB for financial'!A:F,6,0)</f>
        <v>0</v>
      </c>
      <c r="G349" s="363">
        <f>VLOOKUP(A349,'TB for financial'!A:K,11,0)</f>
        <v>0</v>
      </c>
      <c r="H349" s="346" t="e">
        <v>#N/A</v>
      </c>
      <c r="I349" s="1439" t="e">
        <v>#N/A</v>
      </c>
      <c r="J349" s="363">
        <v>0</v>
      </c>
      <c r="K349" s="363">
        <v>0</v>
      </c>
      <c r="L349" s="363">
        <v>0</v>
      </c>
      <c r="M349" s="363">
        <v>0</v>
      </c>
      <c r="N349" s="363">
        <f t="shared" si="60"/>
        <v>0</v>
      </c>
      <c r="O349" s="363">
        <f t="shared" si="61"/>
        <v>0</v>
      </c>
    </row>
    <row r="350" spans="1:15">
      <c r="A350" s="370">
        <v>504060</v>
      </c>
      <c r="B350" s="361" t="str">
        <f>VLOOKUP(A350,'TB for financial'!A:B,2,0)</f>
        <v>Publications</v>
      </c>
      <c r="C350" s="362" t="s">
        <v>743</v>
      </c>
      <c r="E350" s="363">
        <f>VLOOKUP(A350,'TB for financial'!A:F,6,0)</f>
        <v>0</v>
      </c>
      <c r="G350" s="363">
        <f>VLOOKUP(A350,'TB for financial'!A:K,11,0)</f>
        <v>0</v>
      </c>
      <c r="H350" s="346" t="e">
        <v>#N/A</v>
      </c>
      <c r="I350" s="1439" t="e">
        <v>#N/A</v>
      </c>
      <c r="J350" s="363">
        <v>0</v>
      </c>
      <c r="K350" s="363">
        <v>0</v>
      </c>
      <c r="L350" s="363">
        <v>0</v>
      </c>
      <c r="M350" s="363">
        <v>0</v>
      </c>
      <c r="N350" s="363">
        <f t="shared" si="60"/>
        <v>0</v>
      </c>
      <c r="O350" s="363">
        <f t="shared" si="61"/>
        <v>0</v>
      </c>
    </row>
    <row r="351" spans="1:15">
      <c r="A351" s="360">
        <v>504090</v>
      </c>
      <c r="B351" s="361" t="str">
        <f>VLOOKUP(A351,'TB for financial'!A:B,2,0)</f>
        <v>Marketing fees - Interco.</v>
      </c>
      <c r="C351" s="362" t="s">
        <v>743</v>
      </c>
      <c r="E351" s="363">
        <f>VLOOKUP(A351,'TB for financial'!A:F,6,0)</f>
        <v>0</v>
      </c>
      <c r="G351" s="363">
        <f>VLOOKUP(A351,'TB for financial'!A:K,11,0)</f>
        <v>0</v>
      </c>
      <c r="H351" s="346">
        <v>504090</v>
      </c>
      <c r="I351" s="1439">
        <v>0</v>
      </c>
      <c r="J351" s="363">
        <v>0</v>
      </c>
      <c r="K351" s="363">
        <v>0</v>
      </c>
      <c r="L351" s="363">
        <v>0</v>
      </c>
      <c r="M351" s="363">
        <v>0</v>
      </c>
      <c r="N351" s="363">
        <f t="shared" si="60"/>
        <v>0</v>
      </c>
      <c r="O351" s="363">
        <f t="shared" si="61"/>
        <v>0</v>
      </c>
    </row>
    <row r="352" spans="1:15" ht="5.0999999999999996" customHeight="1">
      <c r="A352" s="360"/>
      <c r="B352" s="361"/>
      <c r="C352" s="362"/>
      <c r="E352" s="363"/>
      <c r="G352" s="363"/>
      <c r="J352" s="363"/>
      <c r="K352" s="363"/>
      <c r="L352" s="363"/>
      <c r="M352" s="363"/>
      <c r="N352" s="363"/>
      <c r="O352" s="363"/>
    </row>
    <row r="353" spans="1:15" s="350" customFormat="1" ht="15" thickBot="1">
      <c r="A353" s="366"/>
      <c r="B353" s="368" t="s">
        <v>763</v>
      </c>
      <c r="C353" s="1627"/>
      <c r="D353" s="1628"/>
      <c r="E353" s="367">
        <f>SUM(E336:E352)</f>
        <v>0</v>
      </c>
      <c r="F353" s="349"/>
      <c r="G353" s="367">
        <f>SUM(G336:G352)</f>
        <v>0</v>
      </c>
      <c r="H353" s="349"/>
      <c r="J353" s="367">
        <f t="shared" ref="J353:O353" si="62">SUM(J336:J352)</f>
        <v>0</v>
      </c>
      <c r="K353" s="367">
        <f t="shared" si="62"/>
        <v>0</v>
      </c>
      <c r="L353" s="367">
        <f t="shared" si="62"/>
        <v>0</v>
      </c>
      <c r="M353" s="367">
        <f t="shared" si="62"/>
        <v>0</v>
      </c>
      <c r="N353" s="367">
        <f t="shared" si="62"/>
        <v>0</v>
      </c>
      <c r="O353" s="367">
        <f t="shared" si="62"/>
        <v>0</v>
      </c>
    </row>
    <row r="354" spans="1:15" ht="5.0999999999999996" customHeight="1" thickTop="1">
      <c r="A354" s="360"/>
      <c r="B354" s="361"/>
      <c r="C354" s="362"/>
      <c r="E354" s="363"/>
      <c r="G354" s="363"/>
      <c r="J354" s="363"/>
      <c r="K354" s="363"/>
      <c r="L354" s="363"/>
      <c r="M354" s="363"/>
      <c r="N354" s="363"/>
      <c r="O354" s="363"/>
    </row>
    <row r="355" spans="1:15">
      <c r="A355" s="360">
        <v>505013</v>
      </c>
      <c r="B355" s="361" t="str">
        <f>VLOOKUP(A355,'TB for financial'!A:B,2,0)</f>
        <v>Loss on Sale of Assets</v>
      </c>
      <c r="C355" s="362" t="s">
        <v>58</v>
      </c>
      <c r="E355" s="363">
        <f>-VLOOKUP(A355,'TB for financial'!A:F,6,0)</f>
        <v>0</v>
      </c>
      <c r="G355" s="363">
        <f>-VLOOKUP(A355,'TB for financial'!A:K,11,0)</f>
        <v>0</v>
      </c>
      <c r="H355" s="346">
        <v>505013</v>
      </c>
      <c r="I355" s="1439">
        <v>0</v>
      </c>
      <c r="J355" s="363">
        <v>0</v>
      </c>
      <c r="K355" s="363">
        <v>0</v>
      </c>
      <c r="L355" s="363">
        <v>0</v>
      </c>
      <c r="M355" s="363">
        <v>0</v>
      </c>
      <c r="N355" s="363">
        <f>+J355+K355</f>
        <v>0</v>
      </c>
      <c r="O355" s="363">
        <f>+E355-N355</f>
        <v>0</v>
      </c>
    </row>
    <row r="356" spans="1:15">
      <c r="A356" s="370">
        <v>601019</v>
      </c>
      <c r="B356" s="361" t="str">
        <f>VLOOKUP(A356,'TB for financial'!A:B,2,0)</f>
        <v>Profit on Sale of Assets</v>
      </c>
      <c r="C356" s="362" t="s">
        <v>58</v>
      </c>
      <c r="E356" s="363">
        <f>-VLOOKUP(A356,'TB for financial'!A:F,6,0)</f>
        <v>0</v>
      </c>
      <c r="G356" s="363">
        <f>-VLOOKUP(A356,'TB for financial'!A:K,11,0)</f>
        <v>0</v>
      </c>
      <c r="H356" s="346" t="e">
        <v>#N/A</v>
      </c>
      <c r="I356" s="1439" t="e">
        <v>#N/A</v>
      </c>
      <c r="J356" s="363">
        <v>0</v>
      </c>
      <c r="K356" s="363">
        <v>0</v>
      </c>
      <c r="L356" s="363">
        <v>0</v>
      </c>
      <c r="M356" s="363">
        <v>0</v>
      </c>
      <c r="N356" s="363">
        <f>+J356+K356</f>
        <v>0</v>
      </c>
      <c r="O356" s="363">
        <f>+E356-N356</f>
        <v>0</v>
      </c>
    </row>
    <row r="357" spans="1:15" ht="5.0999999999999996" customHeight="1">
      <c r="A357" s="360"/>
      <c r="B357" s="361"/>
      <c r="C357" s="362"/>
      <c r="E357" s="363"/>
      <c r="G357" s="363"/>
      <c r="J357" s="363"/>
      <c r="K357" s="363"/>
      <c r="L357" s="363"/>
      <c r="M357" s="363"/>
      <c r="N357" s="363"/>
      <c r="O357" s="363"/>
    </row>
    <row r="358" spans="1:15" s="350" customFormat="1" ht="15" thickBot="1">
      <c r="A358" s="366"/>
      <c r="B358" s="368" t="s">
        <v>764</v>
      </c>
      <c r="C358" s="1627"/>
      <c r="D358" s="1628"/>
      <c r="E358" s="367">
        <f>SUM(E355:E357)</f>
        <v>0</v>
      </c>
      <c r="F358" s="349"/>
      <c r="G358" s="367">
        <f>SUM(G355:G357)</f>
        <v>0</v>
      </c>
      <c r="H358" s="349"/>
      <c r="J358" s="367">
        <f t="shared" ref="J358:O358" si="63">SUM(J355:J357)</f>
        <v>0</v>
      </c>
      <c r="K358" s="367">
        <f t="shared" si="63"/>
        <v>0</v>
      </c>
      <c r="L358" s="367">
        <f t="shared" si="63"/>
        <v>0</v>
      </c>
      <c r="M358" s="367">
        <f t="shared" si="63"/>
        <v>0</v>
      </c>
      <c r="N358" s="367">
        <f t="shared" si="63"/>
        <v>0</v>
      </c>
      <c r="O358" s="367">
        <f t="shared" si="63"/>
        <v>0</v>
      </c>
    </row>
    <row r="359" spans="1:15" ht="5.0999999999999996" customHeight="1" thickTop="1">
      <c r="A359" s="360"/>
      <c r="B359" s="361"/>
      <c r="C359" s="362"/>
      <c r="E359" s="363"/>
      <c r="G359" s="363"/>
      <c r="J359" s="363"/>
      <c r="K359" s="363"/>
      <c r="L359" s="363"/>
      <c r="M359" s="363"/>
      <c r="N359" s="363"/>
      <c r="O359" s="363"/>
    </row>
    <row r="360" spans="1:15">
      <c r="A360" s="360">
        <v>502025</v>
      </c>
      <c r="B360" s="361" t="str">
        <f>VLOOKUP(A360,'TB for financial'!A:B,2,0)</f>
        <v>Warranty Expense</v>
      </c>
      <c r="C360" s="362" t="s">
        <v>743</v>
      </c>
      <c r="E360" s="363">
        <f>VLOOKUP(A360,'TB for financial'!A:F,6,0)</f>
        <v>0</v>
      </c>
      <c r="G360" s="363">
        <f>VLOOKUP(A360,'TB for financial'!A:K,11,0)</f>
        <v>0</v>
      </c>
      <c r="H360" s="346" t="e">
        <v>#N/A</v>
      </c>
      <c r="I360" s="1439" t="e">
        <v>#N/A</v>
      </c>
      <c r="J360" s="363">
        <v>0</v>
      </c>
      <c r="K360" s="363">
        <v>0</v>
      </c>
      <c r="L360" s="363">
        <v>0</v>
      </c>
      <c r="M360" s="363">
        <v>0</v>
      </c>
      <c r="N360" s="363">
        <f t="shared" ref="N360:N396" si="64">+J360+K360</f>
        <v>0</v>
      </c>
      <c r="O360" s="363">
        <f t="shared" ref="O360:O396" si="65">+E360-N360</f>
        <v>0</v>
      </c>
    </row>
    <row r="361" spans="1:15">
      <c r="A361" s="360">
        <v>502050</v>
      </c>
      <c r="B361" s="361" t="str">
        <f>VLOOKUP(A361,'TB for financial'!A:B,2,0)</f>
        <v>CPC Charges</v>
      </c>
      <c r="C361" s="362" t="s">
        <v>743</v>
      </c>
      <c r="E361" s="363">
        <f>VLOOKUP(A361,'TB for financial'!A:F,6,0)</f>
        <v>0</v>
      </c>
      <c r="G361" s="363">
        <f>VLOOKUP(A361,'TB for financial'!A:K,11,0)</f>
        <v>0</v>
      </c>
      <c r="H361" s="346">
        <v>502050</v>
      </c>
      <c r="I361" s="1439">
        <v>0</v>
      </c>
      <c r="J361" s="363">
        <v>0</v>
      </c>
      <c r="K361" s="363">
        <v>0</v>
      </c>
      <c r="L361" s="363">
        <v>0</v>
      </c>
      <c r="M361" s="363">
        <v>0</v>
      </c>
      <c r="N361" s="363">
        <f t="shared" si="64"/>
        <v>0</v>
      </c>
      <c r="O361" s="363">
        <f t="shared" si="65"/>
        <v>0</v>
      </c>
    </row>
    <row r="362" spans="1:15">
      <c r="A362" s="360">
        <v>502051</v>
      </c>
      <c r="B362" s="376" t="str">
        <f>VLOOKUP(A362,'TB for financial'!A:B,2,0)</f>
        <v>Customer Claim</v>
      </c>
      <c r="C362" s="362" t="s">
        <v>743</v>
      </c>
      <c r="E362" s="363">
        <f>VLOOKUP(A362,'TB for financial'!A:F,6,0)</f>
        <v>0</v>
      </c>
      <c r="G362" s="363">
        <f>VLOOKUP(A362,'TB for financial'!A:K,11,0)</f>
        <v>0</v>
      </c>
      <c r="H362" s="346" t="e">
        <v>#N/A</v>
      </c>
      <c r="I362" s="1439" t="e">
        <v>#N/A</v>
      </c>
      <c r="J362" s="363">
        <v>0</v>
      </c>
      <c r="K362" s="363">
        <v>0</v>
      </c>
      <c r="L362" s="363">
        <v>0</v>
      </c>
      <c r="M362" s="363">
        <v>0</v>
      </c>
      <c r="N362" s="363">
        <f t="shared" si="64"/>
        <v>0</v>
      </c>
      <c r="O362" s="363">
        <f t="shared" si="65"/>
        <v>0</v>
      </c>
    </row>
    <row r="363" spans="1:15">
      <c r="A363" s="360">
        <v>503015</v>
      </c>
      <c r="B363" s="361" t="str">
        <f>VLOOKUP(A363,'TB for financial'!A:B,2,0)</f>
        <v>Dues</v>
      </c>
      <c r="C363" s="362" t="s">
        <v>743</v>
      </c>
      <c r="E363" s="363">
        <f>VLOOKUP(A363,'TB for financial'!A:F,6,0)</f>
        <v>0</v>
      </c>
      <c r="G363" s="363">
        <f>VLOOKUP(A363,'TB for financial'!A:K,11,0)</f>
        <v>0</v>
      </c>
      <c r="H363" s="346" t="e">
        <v>#N/A</v>
      </c>
      <c r="I363" s="1439" t="e">
        <v>#N/A</v>
      </c>
      <c r="J363" s="363">
        <v>0</v>
      </c>
      <c r="K363" s="363">
        <v>0</v>
      </c>
      <c r="L363" s="363">
        <v>0</v>
      </c>
      <c r="M363" s="363">
        <v>0</v>
      </c>
      <c r="N363" s="363">
        <f t="shared" si="64"/>
        <v>0</v>
      </c>
      <c r="O363" s="363">
        <f t="shared" si="65"/>
        <v>0</v>
      </c>
    </row>
    <row r="364" spans="1:15">
      <c r="A364" s="360">
        <v>503020</v>
      </c>
      <c r="B364" s="361" t="str">
        <f>VLOOKUP(A364,'TB for financial'!A:B,2,0)</f>
        <v>Freight/Postage</v>
      </c>
      <c r="C364" s="362" t="s">
        <v>743</v>
      </c>
      <c r="E364" s="363">
        <f>VLOOKUP(A364,'TB for financial'!A:F,6,0)</f>
        <v>0</v>
      </c>
      <c r="G364" s="363">
        <f>VLOOKUP(A364,'TB for financial'!A:K,11,0)</f>
        <v>0</v>
      </c>
      <c r="H364" s="346">
        <v>503020</v>
      </c>
      <c r="I364" s="1439">
        <v>0</v>
      </c>
      <c r="J364" s="363">
        <v>0</v>
      </c>
      <c r="K364" s="363">
        <v>0</v>
      </c>
      <c r="L364" s="363">
        <v>0</v>
      </c>
      <c r="M364" s="363">
        <v>0</v>
      </c>
      <c r="N364" s="363">
        <f t="shared" si="64"/>
        <v>0</v>
      </c>
      <c r="O364" s="363">
        <f t="shared" si="65"/>
        <v>0</v>
      </c>
    </row>
    <row r="365" spans="1:15">
      <c r="A365" s="360">
        <v>503021</v>
      </c>
      <c r="B365" s="361" t="str">
        <f>VLOOKUP(A365,'TB for financial'!A:B,2,0)</f>
        <v>Goods Clearing charges</v>
      </c>
      <c r="C365" s="362" t="s">
        <v>743</v>
      </c>
      <c r="E365" s="363">
        <f>VLOOKUP(A365,'TB for financial'!A:F,6,0)</f>
        <v>0</v>
      </c>
      <c r="G365" s="363">
        <f>VLOOKUP(A365,'TB for financial'!A:K,11,0)</f>
        <v>0</v>
      </c>
      <c r="H365" s="346">
        <v>503021</v>
      </c>
      <c r="I365" s="1439">
        <v>0</v>
      </c>
      <c r="J365" s="363">
        <v>0</v>
      </c>
      <c r="K365" s="363">
        <v>0</v>
      </c>
      <c r="L365" s="363">
        <v>0</v>
      </c>
      <c r="M365" s="363">
        <v>0</v>
      </c>
      <c r="N365" s="363">
        <f t="shared" si="64"/>
        <v>0</v>
      </c>
      <c r="O365" s="363">
        <f t="shared" si="65"/>
        <v>0</v>
      </c>
    </row>
    <row r="366" spans="1:15">
      <c r="A366" s="360">
        <v>503022</v>
      </c>
      <c r="B366" s="361" t="str">
        <f>VLOOKUP(A366,'TB for financial'!A:B,2,0)</f>
        <v>Octroi Charges</v>
      </c>
      <c r="C366" s="362" t="s">
        <v>743</v>
      </c>
      <c r="E366" s="363">
        <f>VLOOKUP(A366,'TB for financial'!A:F,6,0)</f>
        <v>0</v>
      </c>
      <c r="G366" s="363">
        <f>VLOOKUP(A366,'TB for financial'!A:K,11,0)</f>
        <v>0</v>
      </c>
      <c r="H366" s="346">
        <v>503022</v>
      </c>
      <c r="I366" s="1439">
        <v>0</v>
      </c>
      <c r="J366" s="363">
        <v>0</v>
      </c>
      <c r="K366" s="363">
        <v>0</v>
      </c>
      <c r="L366" s="363">
        <v>0</v>
      </c>
      <c r="M366" s="363">
        <v>0</v>
      </c>
      <c r="N366" s="363">
        <f t="shared" si="64"/>
        <v>0</v>
      </c>
      <c r="O366" s="363">
        <f t="shared" si="65"/>
        <v>0</v>
      </c>
    </row>
    <row r="367" spans="1:15">
      <c r="A367" s="360">
        <v>503050</v>
      </c>
      <c r="B367" s="361" t="str">
        <f>VLOOKUP(A367,'TB for financial'!A:B,2,0)</f>
        <v>Space Rentals / Meeting  Expen</v>
      </c>
      <c r="C367" s="362" t="s">
        <v>743</v>
      </c>
      <c r="E367" s="363">
        <f>VLOOKUP(A367,'TB for financial'!A:F,6,0)</f>
        <v>0</v>
      </c>
      <c r="G367" s="363">
        <f>VLOOKUP(A367,'TB for financial'!A:K,11,0)</f>
        <v>0</v>
      </c>
      <c r="H367" s="346" t="e">
        <v>#N/A</v>
      </c>
      <c r="I367" s="1439" t="e">
        <v>#N/A</v>
      </c>
      <c r="J367" s="363">
        <v>0</v>
      </c>
      <c r="K367" s="363">
        <v>0</v>
      </c>
      <c r="L367" s="363">
        <v>0</v>
      </c>
      <c r="M367" s="363">
        <v>0</v>
      </c>
      <c r="N367" s="363">
        <f t="shared" si="64"/>
        <v>0</v>
      </c>
      <c r="O367" s="363">
        <f t="shared" si="65"/>
        <v>0</v>
      </c>
    </row>
    <row r="368" spans="1:15">
      <c r="A368" s="360">
        <v>503055</v>
      </c>
      <c r="B368" s="361" t="str">
        <f>VLOOKUP(A368,'TB for financial'!A:B,2,0)</f>
        <v>Equipment Rentals</v>
      </c>
      <c r="C368" s="362" t="s">
        <v>743</v>
      </c>
      <c r="E368" s="363">
        <f>VLOOKUP(A368,'TB for financial'!A:F,6,0)</f>
        <v>0</v>
      </c>
      <c r="G368" s="363">
        <f>VLOOKUP(A368,'TB for financial'!A:K,11,0)</f>
        <v>0</v>
      </c>
      <c r="H368" s="346">
        <v>503055</v>
      </c>
      <c r="I368" s="1439">
        <v>0</v>
      </c>
      <c r="J368" s="363">
        <v>0</v>
      </c>
      <c r="K368" s="363">
        <v>0</v>
      </c>
      <c r="L368" s="363">
        <v>0</v>
      </c>
      <c r="M368" s="363">
        <v>0</v>
      </c>
      <c r="N368" s="363">
        <f t="shared" si="64"/>
        <v>0</v>
      </c>
      <c r="O368" s="363">
        <f t="shared" si="65"/>
        <v>0</v>
      </c>
    </row>
    <row r="369" spans="1:18">
      <c r="A369" s="360">
        <v>503060</v>
      </c>
      <c r="B369" s="361" t="str">
        <f>VLOOKUP(A369,'TB for financial'!A:B,2,0)</f>
        <v>Vehicle Rentals</v>
      </c>
      <c r="C369" s="362" t="s">
        <v>743</v>
      </c>
      <c r="E369" s="363">
        <f>VLOOKUP(A369,'TB for financial'!A:F,6,0)</f>
        <v>0</v>
      </c>
      <c r="G369" s="363">
        <f>VLOOKUP(A369,'TB for financial'!A:K,11,0)</f>
        <v>0</v>
      </c>
      <c r="H369" s="346">
        <v>503060</v>
      </c>
      <c r="I369" s="1439">
        <v>0</v>
      </c>
      <c r="J369" s="363">
        <v>0</v>
      </c>
      <c r="K369" s="363">
        <v>0</v>
      </c>
      <c r="L369" s="363">
        <v>0</v>
      </c>
      <c r="M369" s="363">
        <v>0</v>
      </c>
      <c r="N369" s="363">
        <f t="shared" si="64"/>
        <v>0</v>
      </c>
      <c r="O369" s="363">
        <f t="shared" si="65"/>
        <v>0</v>
      </c>
    </row>
    <row r="370" spans="1:18">
      <c r="A370" s="360">
        <v>503061</v>
      </c>
      <c r="B370" s="361" t="str">
        <f>VLOOKUP(A370,'TB for financial'!A:B,2,0)</f>
        <v>Other Rentals</v>
      </c>
      <c r="C370" s="362" t="s">
        <v>743</v>
      </c>
      <c r="E370" s="363">
        <f>VLOOKUP(A370,'TB for financial'!A:F,6,0)</f>
        <v>0</v>
      </c>
      <c r="G370" s="363">
        <f>VLOOKUP(A370,'TB for financial'!A:K,11,0)</f>
        <v>0</v>
      </c>
      <c r="H370" s="346">
        <v>503061</v>
      </c>
      <c r="I370" s="1439">
        <v>0</v>
      </c>
      <c r="J370" s="363">
        <v>0</v>
      </c>
      <c r="K370" s="363">
        <v>0</v>
      </c>
      <c r="L370" s="363">
        <v>0</v>
      </c>
      <c r="M370" s="363">
        <v>0</v>
      </c>
      <c r="N370" s="363">
        <f t="shared" si="64"/>
        <v>0</v>
      </c>
      <c r="O370" s="363">
        <f t="shared" si="65"/>
        <v>0</v>
      </c>
    </row>
    <row r="371" spans="1:18">
      <c r="A371" s="360">
        <v>503062</v>
      </c>
      <c r="B371" s="361" t="str">
        <f>VLOOKUP(A371,'TB for financial'!A:B,2,0)</f>
        <v>Maint. Chgs - Society</v>
      </c>
      <c r="C371" s="362" t="s">
        <v>743</v>
      </c>
      <c r="E371" s="363">
        <f>VLOOKUP(A371,'TB for financial'!A:F,6,0)</f>
        <v>0</v>
      </c>
      <c r="G371" s="363">
        <f>VLOOKUP(A371,'TB for financial'!A:K,11,0)</f>
        <v>0</v>
      </c>
      <c r="H371" s="346">
        <v>503062</v>
      </c>
      <c r="I371" s="1439">
        <v>0</v>
      </c>
      <c r="J371" s="363">
        <v>0</v>
      </c>
      <c r="K371" s="363">
        <v>0</v>
      </c>
      <c r="L371" s="363">
        <v>0</v>
      </c>
      <c r="M371" s="363">
        <v>0</v>
      </c>
      <c r="N371" s="363">
        <f t="shared" si="64"/>
        <v>0</v>
      </c>
      <c r="O371" s="363">
        <f t="shared" si="65"/>
        <v>0</v>
      </c>
    </row>
    <row r="372" spans="1:18">
      <c r="A372" s="360">
        <v>503063</v>
      </c>
      <c r="B372" s="361" t="str">
        <f>VLOOKUP(A372,'TB for financial'!A:B,2,0)</f>
        <v>Lease Rent - Car</v>
      </c>
      <c r="C372" s="362" t="s">
        <v>743</v>
      </c>
      <c r="E372" s="363">
        <f>VLOOKUP(A372,'TB for financial'!A:F,6,0)</f>
        <v>0</v>
      </c>
      <c r="G372" s="363">
        <f>VLOOKUP(A372,'TB for financial'!A:K,11,0)</f>
        <v>0</v>
      </c>
      <c r="H372" s="346" t="e">
        <v>#N/A</v>
      </c>
      <c r="I372" s="1439" t="e">
        <v>#N/A</v>
      </c>
      <c r="J372" s="363">
        <v>0</v>
      </c>
      <c r="K372" s="363">
        <v>0</v>
      </c>
      <c r="L372" s="363">
        <v>0</v>
      </c>
      <c r="M372" s="363">
        <v>0</v>
      </c>
      <c r="N372" s="363">
        <f t="shared" si="64"/>
        <v>0</v>
      </c>
      <c r="O372" s="363">
        <f t="shared" si="65"/>
        <v>0</v>
      </c>
    </row>
    <row r="373" spans="1:18">
      <c r="A373" s="360">
        <v>503081</v>
      </c>
      <c r="B373" s="361" t="str">
        <f>VLOOKUP(A373,'TB for financial'!A:B,2,0)</f>
        <v>Bank Charges</v>
      </c>
      <c r="C373" s="362" t="s">
        <v>743</v>
      </c>
      <c r="D373" s="354">
        <v>503081</v>
      </c>
      <c r="E373" s="363">
        <f>VLOOKUP(A373,'TB for financial'!A:F,6,0)</f>
        <v>0</v>
      </c>
      <c r="G373" s="363">
        <f>VLOOKUP(A373,'TB for financial'!A:K,11,0)</f>
        <v>0</v>
      </c>
      <c r="H373" s="346">
        <v>503081</v>
      </c>
      <c r="I373" s="1439">
        <v>32310.69</v>
      </c>
      <c r="J373" s="363">
        <v>9768.0999999999985</v>
      </c>
      <c r="K373" s="363">
        <v>298</v>
      </c>
      <c r="L373" s="363">
        <v>0</v>
      </c>
      <c r="M373" s="363">
        <v>0</v>
      </c>
      <c r="N373" s="363">
        <f t="shared" si="64"/>
        <v>10066.099999999999</v>
      </c>
      <c r="O373" s="363">
        <f t="shared" si="65"/>
        <v>-10066.099999999999</v>
      </c>
      <c r="P373" s="347">
        <v>503081</v>
      </c>
      <c r="Q373" s="365" t="e">
        <v>#N/A</v>
      </c>
      <c r="R373" s="365" t="e">
        <f>+E373-Q373</f>
        <v>#N/A</v>
      </c>
    </row>
    <row r="374" spans="1:18">
      <c r="A374" s="360">
        <v>503082</v>
      </c>
      <c r="B374" s="361" t="str">
        <f>VLOOKUP(A374,'TB for financial'!A:B,2,0)</f>
        <v>NMMC Cess</v>
      </c>
      <c r="C374" s="362" t="s">
        <v>743</v>
      </c>
      <c r="E374" s="363">
        <f>VLOOKUP(A374,'TB for financial'!A:F,6,0)</f>
        <v>0</v>
      </c>
      <c r="G374" s="363">
        <f>VLOOKUP(A374,'TB for financial'!A:K,11,0)</f>
        <v>0</v>
      </c>
      <c r="H374" s="346">
        <v>503082</v>
      </c>
      <c r="I374" s="1439">
        <v>0</v>
      </c>
      <c r="J374" s="363">
        <v>0</v>
      </c>
      <c r="K374" s="363">
        <v>0</v>
      </c>
      <c r="L374" s="363">
        <v>0</v>
      </c>
      <c r="M374" s="363">
        <v>0</v>
      </c>
      <c r="N374" s="363">
        <f t="shared" si="64"/>
        <v>0</v>
      </c>
      <c r="O374" s="363">
        <f t="shared" si="65"/>
        <v>0</v>
      </c>
    </row>
    <row r="375" spans="1:18">
      <c r="A375" s="360">
        <v>503085</v>
      </c>
      <c r="B375" s="361" t="str">
        <f>VLOOKUP(A375,'TB for financial'!A:B,2,0)</f>
        <v>Utilities</v>
      </c>
      <c r="C375" s="362" t="s">
        <v>743</v>
      </c>
      <c r="E375" s="363">
        <f>VLOOKUP(A375,'TB for financial'!A:F,6,0)</f>
        <v>0</v>
      </c>
      <c r="G375" s="363">
        <f>VLOOKUP(A375,'TB for financial'!A:K,11,0)</f>
        <v>0</v>
      </c>
      <c r="H375" s="346">
        <v>503085</v>
      </c>
      <c r="I375" s="1439">
        <v>0</v>
      </c>
      <c r="J375" s="363">
        <v>0</v>
      </c>
      <c r="K375" s="363">
        <v>0</v>
      </c>
      <c r="L375" s="363">
        <v>0</v>
      </c>
      <c r="M375" s="363">
        <v>0</v>
      </c>
      <c r="N375" s="363">
        <f t="shared" si="64"/>
        <v>0</v>
      </c>
      <c r="O375" s="363">
        <f t="shared" si="65"/>
        <v>0</v>
      </c>
    </row>
    <row r="376" spans="1:18">
      <c r="A376" s="360">
        <v>503100</v>
      </c>
      <c r="B376" s="361" t="str">
        <f>VLOOKUP(A376,'TB for financial'!A:B,2,0)</f>
        <v>Misc Expense</v>
      </c>
      <c r="C376" s="362" t="s">
        <v>743</v>
      </c>
      <c r="E376" s="363">
        <f>VLOOKUP(A376,'TB for financial'!A:F,6,0)</f>
        <v>0</v>
      </c>
      <c r="G376" s="363">
        <f>VLOOKUP(A376,'TB for financial'!A:K,11,0)</f>
        <v>0</v>
      </c>
      <c r="H376" s="346">
        <v>503100</v>
      </c>
      <c r="I376" s="1439">
        <v>0</v>
      </c>
      <c r="J376" s="363">
        <v>0</v>
      </c>
      <c r="K376" s="363">
        <v>0</v>
      </c>
      <c r="L376" s="363">
        <v>0</v>
      </c>
      <c r="M376" s="363">
        <v>0</v>
      </c>
      <c r="N376" s="363">
        <f t="shared" si="64"/>
        <v>0</v>
      </c>
      <c r="O376" s="363">
        <f t="shared" si="65"/>
        <v>0</v>
      </c>
      <c r="P376" s="347">
        <v>503100</v>
      </c>
      <c r="Q376" s="365" t="e">
        <v>#N/A</v>
      </c>
      <c r="R376" s="365" t="e">
        <f>+E376-Q376</f>
        <v>#N/A</v>
      </c>
    </row>
    <row r="377" spans="1:18">
      <c r="A377" s="360">
        <v>503101</v>
      </c>
      <c r="B377" s="361" t="str">
        <f>VLOOKUP(A377,'TB for financial'!A:B,2,0)</f>
        <v>Finance Charges</v>
      </c>
      <c r="C377" s="362" t="s">
        <v>2041</v>
      </c>
      <c r="E377" s="363">
        <f>VLOOKUP(A377,'TB for financial'!A:F,6,0)</f>
        <v>0</v>
      </c>
      <c r="G377" s="363">
        <f>VLOOKUP(A377,'TB for financial'!A:K,11,0)</f>
        <v>0</v>
      </c>
      <c r="H377" s="346">
        <v>503101</v>
      </c>
      <c r="I377" s="1439">
        <v>0</v>
      </c>
      <c r="J377" s="363">
        <v>0</v>
      </c>
      <c r="K377" s="363">
        <v>0</v>
      </c>
      <c r="L377" s="363">
        <v>0</v>
      </c>
      <c r="M377" s="363">
        <v>0</v>
      </c>
      <c r="N377" s="363">
        <f t="shared" si="64"/>
        <v>0</v>
      </c>
      <c r="O377" s="363">
        <f t="shared" si="65"/>
        <v>0</v>
      </c>
      <c r="P377" s="347">
        <v>503101</v>
      </c>
      <c r="Q377" s="365" t="e">
        <v>#N/A</v>
      </c>
      <c r="R377" s="365" t="e">
        <f>+E377-Q377</f>
        <v>#N/A</v>
      </c>
    </row>
    <row r="378" spans="1:18">
      <c r="A378" s="360">
        <v>503102</v>
      </c>
      <c r="B378" s="361" t="str">
        <f>VLOOKUP(A378,'TB for financial'!A:B,2,0)</f>
        <v>Security Charges</v>
      </c>
      <c r="C378" s="362" t="s">
        <v>743</v>
      </c>
      <c r="D378" s="354">
        <v>503102</v>
      </c>
      <c r="E378" s="1520">
        <f>VLOOKUP(A378,'TB for financial'!A:F,6,0)</f>
        <v>0</v>
      </c>
      <c r="G378" s="363">
        <f>VLOOKUP(A378,'TB for financial'!A:K,11,0)</f>
        <v>0</v>
      </c>
      <c r="H378" s="346">
        <v>503102</v>
      </c>
      <c r="I378" s="1439">
        <v>17582.86</v>
      </c>
      <c r="J378" s="363">
        <v>61435.309999999983</v>
      </c>
      <c r="K378" s="363">
        <v>7482.2</v>
      </c>
      <c r="L378" s="363">
        <v>0</v>
      </c>
      <c r="M378" s="363">
        <v>0</v>
      </c>
      <c r="N378" s="363">
        <f t="shared" si="64"/>
        <v>68917.50999999998</v>
      </c>
      <c r="O378" s="363">
        <f t="shared" si="65"/>
        <v>-68917.50999999998</v>
      </c>
      <c r="P378" s="347">
        <v>503102</v>
      </c>
      <c r="Q378" s="365" t="e">
        <v>#N/A</v>
      </c>
      <c r="R378" s="365" t="e">
        <f>+E378-Q378</f>
        <v>#N/A</v>
      </c>
    </row>
    <row r="379" spans="1:18">
      <c r="A379" s="360">
        <v>503103</v>
      </c>
      <c r="B379" s="361" t="str">
        <f>VLOOKUP(A379,'TB for financial'!A:B,2,0)</f>
        <v>Finance Charges - Interco</v>
      </c>
      <c r="C379" s="362" t="s">
        <v>2041</v>
      </c>
      <c r="D379" s="354">
        <v>503103</v>
      </c>
      <c r="E379" s="363">
        <f>VLOOKUP(A379,'TB for financial'!A:F,6,0)</f>
        <v>0</v>
      </c>
      <c r="G379" s="363">
        <f>VLOOKUP(A379,'TB for financial'!A:K,11,0)</f>
        <v>0</v>
      </c>
      <c r="H379" s="346">
        <v>503103</v>
      </c>
      <c r="I379" s="1439">
        <v>10526586.708907673</v>
      </c>
      <c r="J379" s="363">
        <v>9871223.8299999982</v>
      </c>
      <c r="K379" s="363">
        <v>3370267.7718286393</v>
      </c>
      <c r="L379" s="363">
        <v>0</v>
      </c>
      <c r="M379" s="363">
        <v>0</v>
      </c>
      <c r="N379" s="363">
        <f t="shared" si="64"/>
        <v>13241491.601828638</v>
      </c>
      <c r="O379" s="363">
        <f t="shared" si="65"/>
        <v>-13241491.601828638</v>
      </c>
      <c r="P379" s="347">
        <v>503103</v>
      </c>
      <c r="Q379" s="365" t="e">
        <v>#N/A</v>
      </c>
      <c r="R379" s="365" t="e">
        <f>+E379-Q379</f>
        <v>#N/A</v>
      </c>
    </row>
    <row r="380" spans="1:18">
      <c r="A380" s="360">
        <v>504020</v>
      </c>
      <c r="B380" s="361" t="str">
        <f>VLOOKUP(A380,'TB for financial'!A:B,2,0)</f>
        <v>Donations &amp; Contributions</v>
      </c>
      <c r="C380" s="362" t="s">
        <v>743</v>
      </c>
      <c r="E380" s="363">
        <f>VLOOKUP(A380,'TB for financial'!A:F,6,0)</f>
        <v>0</v>
      </c>
      <c r="G380" s="363">
        <f>VLOOKUP(A380,'TB for financial'!A:K,11,0)</f>
        <v>0</v>
      </c>
      <c r="H380" s="346">
        <v>504020</v>
      </c>
      <c r="I380" s="1439">
        <v>0</v>
      </c>
      <c r="J380" s="363">
        <v>0</v>
      </c>
      <c r="K380" s="363">
        <v>0</v>
      </c>
      <c r="L380" s="363">
        <v>0</v>
      </c>
      <c r="M380" s="363">
        <v>0</v>
      </c>
      <c r="N380" s="363">
        <f t="shared" si="64"/>
        <v>0</v>
      </c>
      <c r="O380" s="363">
        <f t="shared" si="65"/>
        <v>0</v>
      </c>
      <c r="P380" s="347">
        <v>504020</v>
      </c>
      <c r="Q380" s="365" t="e">
        <v>#N/A</v>
      </c>
      <c r="R380" s="365" t="e">
        <f>+E380-Q380</f>
        <v>#N/A</v>
      </c>
    </row>
    <row r="381" spans="1:18">
      <c r="A381" s="360">
        <v>504045</v>
      </c>
      <c r="B381" s="361" t="str">
        <f>VLOOKUP(A381,'TB for financial'!A:B,2,0)</f>
        <v>Entertainment</v>
      </c>
      <c r="C381" s="362" t="s">
        <v>743</v>
      </c>
      <c r="E381" s="363">
        <f>VLOOKUP(A381,'TB for financial'!A:F,6,0)</f>
        <v>0</v>
      </c>
      <c r="G381" s="363">
        <f>VLOOKUP(A381,'TB for financial'!A:K,11,0)</f>
        <v>0</v>
      </c>
      <c r="H381" s="346" t="e">
        <v>#N/A</v>
      </c>
      <c r="I381" s="1439" t="e">
        <v>#N/A</v>
      </c>
      <c r="J381" s="363">
        <v>0</v>
      </c>
      <c r="K381" s="363">
        <v>0</v>
      </c>
      <c r="L381" s="363">
        <v>0</v>
      </c>
      <c r="M381" s="363">
        <v>0</v>
      </c>
      <c r="N381" s="363">
        <f t="shared" si="64"/>
        <v>0</v>
      </c>
      <c r="O381" s="363">
        <f t="shared" si="65"/>
        <v>0</v>
      </c>
    </row>
    <row r="382" spans="1:18">
      <c r="A382" s="360">
        <v>505010</v>
      </c>
      <c r="B382" s="361" t="str">
        <f>VLOOKUP(A382,'TB for financial'!A:B,2,0)</f>
        <v>Bad Debt Expense</v>
      </c>
      <c r="C382" s="362" t="s">
        <v>743</v>
      </c>
      <c r="E382" s="363">
        <f>VLOOKUP(A382,'TB for financial'!A:F,6,0)</f>
        <v>0</v>
      </c>
      <c r="G382" s="363">
        <f>VLOOKUP(A382,'TB for financial'!A:K,11,0)</f>
        <v>0</v>
      </c>
      <c r="H382" s="346" t="e">
        <v>#N/A</v>
      </c>
      <c r="I382" s="1439" t="e">
        <v>#N/A</v>
      </c>
      <c r="J382" s="363">
        <v>0</v>
      </c>
      <c r="K382" s="363">
        <v>0</v>
      </c>
      <c r="L382" s="363">
        <v>0</v>
      </c>
      <c r="M382" s="363">
        <v>0</v>
      </c>
      <c r="N382" s="363">
        <f t="shared" si="64"/>
        <v>0</v>
      </c>
      <c r="O382" s="363">
        <f t="shared" si="65"/>
        <v>0</v>
      </c>
    </row>
    <row r="383" spans="1:18">
      <c r="A383" s="360">
        <v>505011</v>
      </c>
      <c r="B383" s="361" t="str">
        <f>VLOOKUP(A383,'TB for financial'!A:B,2,0)</f>
        <v>Provision for Doubtful Debts / Advances</v>
      </c>
      <c r="C383" s="362" t="s">
        <v>743</v>
      </c>
      <c r="E383" s="363">
        <f>VLOOKUP(A383,'TB for financial'!A:F,6,0)</f>
        <v>0</v>
      </c>
      <c r="G383" s="363">
        <f>VLOOKUP(A383,'TB for financial'!A:K,11,0)</f>
        <v>0</v>
      </c>
      <c r="H383" s="346">
        <v>505011</v>
      </c>
      <c r="I383" s="1439">
        <v>0</v>
      </c>
      <c r="J383" s="363">
        <v>0</v>
      </c>
      <c r="K383" s="363">
        <v>0</v>
      </c>
      <c r="L383" s="363">
        <v>0</v>
      </c>
      <c r="M383" s="363">
        <v>0</v>
      </c>
      <c r="N383" s="363">
        <f t="shared" si="64"/>
        <v>0</v>
      </c>
      <c r="O383" s="363">
        <f t="shared" si="65"/>
        <v>0</v>
      </c>
      <c r="P383" s="347">
        <v>505011</v>
      </c>
      <c r="Q383" s="365" t="e">
        <v>#N/A</v>
      </c>
      <c r="R383" s="365" t="e">
        <f>+E383-Q383</f>
        <v>#N/A</v>
      </c>
    </row>
    <row r="384" spans="1:18">
      <c r="A384" s="360">
        <v>505012</v>
      </c>
      <c r="B384" s="361" t="str">
        <f>VLOOKUP(A384,'TB for financial'!A:B,2,0)</f>
        <v>Sundry Debit / Credit balances w/off</v>
      </c>
      <c r="C384" s="362" t="s">
        <v>743</v>
      </c>
      <c r="E384" s="363">
        <f>VLOOKUP(A384,'TB for financial'!A:F,6,0)</f>
        <v>0</v>
      </c>
      <c r="G384" s="363">
        <f>VLOOKUP(A384,'TB for financial'!A:K,11,0)</f>
        <v>0</v>
      </c>
      <c r="H384" s="346">
        <v>505012</v>
      </c>
      <c r="I384" s="1439">
        <v>0</v>
      </c>
      <c r="J384" s="363">
        <v>0</v>
      </c>
      <c r="K384" s="363">
        <v>0</v>
      </c>
      <c r="L384" s="363">
        <v>0</v>
      </c>
      <c r="M384" s="363">
        <v>0</v>
      </c>
      <c r="N384" s="363">
        <f t="shared" si="64"/>
        <v>0</v>
      </c>
      <c r="O384" s="363">
        <f t="shared" si="65"/>
        <v>0</v>
      </c>
    </row>
    <row r="385" spans="1:18" ht="28.8">
      <c r="A385" s="360">
        <v>505017</v>
      </c>
      <c r="B385" s="361" t="str">
        <f>VLOOKUP(A385,'TB for financial'!A:B,2,0)</f>
        <v xml:space="preserve">Provision for doubtful Service tax recoverable </v>
      </c>
      <c r="C385" s="362" t="s">
        <v>743</v>
      </c>
      <c r="E385" s="363">
        <f>VLOOKUP(A385,'TB for financial'!A:F,6,0)</f>
        <v>0</v>
      </c>
      <c r="G385" s="363">
        <f>VLOOKUP(A385,'TB for financial'!A:K,11,0)</f>
        <v>0</v>
      </c>
      <c r="H385" s="346" t="e">
        <v>#N/A</v>
      </c>
      <c r="I385" s="1439" t="e">
        <v>#N/A</v>
      </c>
      <c r="J385" s="363">
        <v>0</v>
      </c>
      <c r="K385" s="363">
        <v>0</v>
      </c>
      <c r="L385" s="363">
        <v>0</v>
      </c>
      <c r="M385" s="363">
        <v>0</v>
      </c>
      <c r="N385" s="363">
        <f t="shared" si="64"/>
        <v>0</v>
      </c>
      <c r="O385" s="363">
        <f t="shared" si="65"/>
        <v>0</v>
      </c>
    </row>
    <row r="386" spans="1:18">
      <c r="A386" s="360">
        <v>505019</v>
      </c>
      <c r="B386" s="361" t="str">
        <f>VLOOKUP(A386,'TB for financial'!A:B,2,0)</f>
        <v>Prov doubtful VAT reco-SEZ P&amp;L</v>
      </c>
      <c r="C386" s="362" t="s">
        <v>743</v>
      </c>
      <c r="E386" s="363">
        <f>VLOOKUP(A386,'TB for financial'!A:F,6,0)</f>
        <v>0</v>
      </c>
      <c r="G386" s="363">
        <f>VLOOKUP(A386,'TB for financial'!A:K,11,0)</f>
        <v>0</v>
      </c>
      <c r="H386" s="346" t="e">
        <v>#N/A</v>
      </c>
      <c r="I386" s="1439" t="e">
        <v>#N/A</v>
      </c>
      <c r="J386" s="363">
        <v>0</v>
      </c>
      <c r="K386" s="363">
        <v>0</v>
      </c>
      <c r="L386" s="363">
        <v>0</v>
      </c>
      <c r="M386" s="363">
        <v>0</v>
      </c>
      <c r="N386" s="363">
        <f t="shared" si="64"/>
        <v>0</v>
      </c>
      <c r="O386" s="363">
        <f t="shared" si="65"/>
        <v>0</v>
      </c>
    </row>
    <row r="387" spans="1:18">
      <c r="A387" s="360">
        <v>505040</v>
      </c>
      <c r="B387" s="361" t="str">
        <f>VLOOKUP(A387,'TB for financial'!A:B,2,0)</f>
        <v>Capitalized Development Costs</v>
      </c>
      <c r="C387" s="362" t="s">
        <v>743</v>
      </c>
      <c r="E387" s="363">
        <f>VLOOKUP(A387,'TB for financial'!A:F,6,0)</f>
        <v>0</v>
      </c>
      <c r="G387" s="363">
        <f>VLOOKUP(A387,'TB for financial'!A:K,11,0)</f>
        <v>0</v>
      </c>
      <c r="H387" s="346">
        <v>505040</v>
      </c>
      <c r="I387" s="1439">
        <v>0</v>
      </c>
      <c r="J387" s="363">
        <v>0</v>
      </c>
      <c r="K387" s="363">
        <v>0</v>
      </c>
      <c r="L387" s="363">
        <v>0</v>
      </c>
      <c r="M387" s="363">
        <v>0</v>
      </c>
      <c r="N387" s="363">
        <f t="shared" si="64"/>
        <v>0</v>
      </c>
      <c r="O387" s="363">
        <f t="shared" si="65"/>
        <v>0</v>
      </c>
    </row>
    <row r="388" spans="1:18">
      <c r="A388" s="360">
        <v>505043</v>
      </c>
      <c r="B388" s="376" t="str">
        <f>VLOOKUP(A388,'TB for financial'!A:B,2,0)</f>
        <v>CSR Expenses</v>
      </c>
      <c r="C388" s="362" t="s">
        <v>743</v>
      </c>
      <c r="E388" s="363">
        <f>VLOOKUP(A388,'TB for financial'!A:F,6,0)</f>
        <v>0</v>
      </c>
      <c r="G388" s="363">
        <f>VLOOKUP(A388,'TB for financial'!A:K,11,0)</f>
        <v>0</v>
      </c>
      <c r="H388" s="346" t="e">
        <v>#N/A</v>
      </c>
      <c r="I388" s="1439" t="e">
        <v>#N/A</v>
      </c>
      <c r="J388" s="363">
        <v>0</v>
      </c>
      <c r="K388" s="363">
        <v>0</v>
      </c>
      <c r="L388" s="363">
        <v>0</v>
      </c>
      <c r="M388" s="363">
        <v>0</v>
      </c>
      <c r="N388" s="363">
        <f t="shared" si="64"/>
        <v>0</v>
      </c>
      <c r="O388" s="363">
        <f t="shared" si="65"/>
        <v>0</v>
      </c>
    </row>
    <row r="389" spans="1:18">
      <c r="A389" s="360">
        <v>505035</v>
      </c>
      <c r="B389" s="361" t="str">
        <f>VLOOKUP(A389,'TB for financial'!A:B,2,0)</f>
        <v>Interest Expense</v>
      </c>
      <c r="C389" s="362" t="s">
        <v>743</v>
      </c>
      <c r="E389" s="363">
        <f>VLOOKUP(A389,'TB for financial'!A:F,6,0)</f>
        <v>0</v>
      </c>
      <c r="G389" s="363">
        <f>VLOOKUP(A389,'TB for financial'!A:K,11,0)</f>
        <v>0</v>
      </c>
      <c r="H389" s="346">
        <v>505035</v>
      </c>
      <c r="I389" s="1439">
        <v>0</v>
      </c>
      <c r="J389" s="363">
        <v>64</v>
      </c>
      <c r="K389" s="363">
        <v>0</v>
      </c>
      <c r="L389" s="363">
        <v>0</v>
      </c>
      <c r="M389" s="363">
        <v>0</v>
      </c>
      <c r="N389" s="363">
        <f t="shared" si="64"/>
        <v>64</v>
      </c>
      <c r="O389" s="363">
        <f t="shared" si="65"/>
        <v>-64</v>
      </c>
      <c r="P389" s="347">
        <v>505035</v>
      </c>
      <c r="Q389" s="365" t="e">
        <v>#N/A</v>
      </c>
      <c r="R389" s="365" t="e">
        <f>+E389-Q389</f>
        <v>#N/A</v>
      </c>
    </row>
    <row r="390" spans="1:18">
      <c r="A390" s="360">
        <v>501510</v>
      </c>
      <c r="B390" s="361" t="str">
        <f>VLOOKUP(A390,'TB for financial'!A:B,2,0)</f>
        <v>Advertising - Recruitng</v>
      </c>
      <c r="C390" s="362" t="s">
        <v>743</v>
      </c>
      <c r="E390" s="363">
        <f>VLOOKUP(A390,'TB for financial'!A:F,6,0)</f>
        <v>0</v>
      </c>
      <c r="G390" s="363">
        <f>VLOOKUP(A390,'TB for financial'!A:K,11,0)</f>
        <v>0</v>
      </c>
      <c r="H390" s="346" t="e">
        <v>#N/A</v>
      </c>
      <c r="I390" s="1439" t="e">
        <v>#N/A</v>
      </c>
      <c r="J390" s="363">
        <v>0</v>
      </c>
      <c r="K390" s="363">
        <v>0</v>
      </c>
      <c r="L390" s="363">
        <v>0</v>
      </c>
      <c r="M390" s="363">
        <v>0</v>
      </c>
      <c r="N390" s="363">
        <f t="shared" si="64"/>
        <v>0</v>
      </c>
      <c r="O390" s="363">
        <f t="shared" si="65"/>
        <v>0</v>
      </c>
    </row>
    <row r="391" spans="1:18">
      <c r="A391" s="360">
        <v>501515</v>
      </c>
      <c r="B391" s="361" t="str">
        <f>VLOOKUP(A391,'TB for financial'!A:B,2,0)</f>
        <v>Employee Recruitng Expense</v>
      </c>
      <c r="C391" s="362" t="s">
        <v>743</v>
      </c>
      <c r="D391" s="354">
        <v>501515</v>
      </c>
      <c r="E391" s="1520">
        <f>VLOOKUP(A391,'TB for financial'!A:F,6,0)</f>
        <v>0</v>
      </c>
      <c r="G391" s="363">
        <f>VLOOKUP(A391,'TB for financial'!A:K,11,0)</f>
        <v>0</v>
      </c>
      <c r="H391" s="346">
        <v>501515</v>
      </c>
      <c r="I391" s="1439">
        <v>3541303.5</v>
      </c>
      <c r="J391" s="363">
        <v>648</v>
      </c>
      <c r="K391" s="363">
        <v>0</v>
      </c>
      <c r="L391" s="363">
        <v>0</v>
      </c>
      <c r="M391" s="363">
        <v>0</v>
      </c>
      <c r="N391" s="363">
        <f t="shared" si="64"/>
        <v>648</v>
      </c>
      <c r="O391" s="363">
        <f t="shared" si="65"/>
        <v>-648</v>
      </c>
      <c r="P391" s="347">
        <v>501515</v>
      </c>
      <c r="Q391" s="365" t="e">
        <v>#N/A</v>
      </c>
      <c r="R391" s="365" t="e">
        <f>+E391-Q391</f>
        <v>#N/A</v>
      </c>
    </row>
    <row r="392" spans="1:18">
      <c r="A392" s="360">
        <v>501590</v>
      </c>
      <c r="B392" s="361" t="str">
        <f>VLOOKUP(A392,'TB for financial'!A:B,2,0)</f>
        <v>Finder Fees - Inter co. Costs</v>
      </c>
      <c r="C392" s="362" t="s">
        <v>743</v>
      </c>
      <c r="E392" s="363">
        <f>VLOOKUP(A392,'TB for financial'!A:F,6,0)</f>
        <v>0</v>
      </c>
      <c r="G392" s="363">
        <f>VLOOKUP(A392,'TB for financial'!A:K,11,0)</f>
        <v>0</v>
      </c>
      <c r="H392" s="346">
        <v>501590</v>
      </c>
      <c r="I392" s="1439">
        <v>0</v>
      </c>
      <c r="J392" s="363">
        <v>0</v>
      </c>
      <c r="K392" s="363">
        <v>0</v>
      </c>
      <c r="L392" s="363">
        <v>0</v>
      </c>
      <c r="M392" s="363">
        <v>0</v>
      </c>
      <c r="N392" s="363">
        <f t="shared" si="64"/>
        <v>0</v>
      </c>
      <c r="O392" s="363">
        <f t="shared" si="65"/>
        <v>0</v>
      </c>
    </row>
    <row r="393" spans="1:18">
      <c r="A393" s="360">
        <v>501516</v>
      </c>
      <c r="B393" s="361" t="str">
        <f>VLOOKUP(A393,'TB for financial'!A:B,2,0)</f>
        <v>Employee Referal Incentive</v>
      </c>
      <c r="C393" s="362" t="s">
        <v>743</v>
      </c>
      <c r="E393" s="363">
        <f>VLOOKUP(A393,'TB for financial'!A:F,6,0)</f>
        <v>0</v>
      </c>
      <c r="G393" s="363">
        <f>VLOOKUP(A393,'TB for financial'!A:K,11,0)</f>
        <v>0</v>
      </c>
      <c r="H393" s="346">
        <v>501516</v>
      </c>
      <c r="I393" s="1439">
        <v>0</v>
      </c>
      <c r="J393" s="363">
        <v>0</v>
      </c>
      <c r="K393" s="363">
        <v>0</v>
      </c>
      <c r="L393" s="363">
        <v>0</v>
      </c>
      <c r="M393" s="363">
        <v>0</v>
      </c>
      <c r="N393" s="363">
        <f t="shared" si="64"/>
        <v>0</v>
      </c>
      <c r="O393" s="363">
        <f t="shared" si="65"/>
        <v>0</v>
      </c>
    </row>
    <row r="394" spans="1:18">
      <c r="A394" s="360">
        <v>501520</v>
      </c>
      <c r="B394" s="361" t="str">
        <f>VLOOKUP(A394,'TB for financial'!A:B,2,0)</f>
        <v>Employee Referral Bonus</v>
      </c>
      <c r="C394" s="362" t="s">
        <v>743</v>
      </c>
      <c r="E394" s="363">
        <f>VLOOKUP(A394,'TB for financial'!A:F,6,0)</f>
        <v>0</v>
      </c>
      <c r="G394" s="363">
        <f>VLOOKUP(A394,'TB for financial'!A:K,11,0)</f>
        <v>0</v>
      </c>
      <c r="H394" s="346" t="e">
        <v>#N/A</v>
      </c>
      <c r="I394" s="1439" t="e">
        <v>#N/A</v>
      </c>
      <c r="J394" s="363">
        <v>0</v>
      </c>
      <c r="K394" s="363">
        <v>0</v>
      </c>
      <c r="L394" s="363">
        <v>0</v>
      </c>
      <c r="M394" s="363">
        <v>0</v>
      </c>
      <c r="N394" s="363">
        <f t="shared" si="64"/>
        <v>0</v>
      </c>
      <c r="O394" s="363">
        <f t="shared" si="65"/>
        <v>0</v>
      </c>
    </row>
    <row r="395" spans="1:18">
      <c r="A395" s="360">
        <v>503104</v>
      </c>
      <c r="B395" s="361" t="str">
        <f>VLOOKUP(A395,'TB for financial'!A:B,2,0)</f>
        <v>Early Paymt Discount - Int Co</v>
      </c>
      <c r="C395" s="362" t="s">
        <v>743</v>
      </c>
      <c r="E395" s="363">
        <f>VLOOKUP(A395,'TB for financial'!A:F,6,0)</f>
        <v>0</v>
      </c>
      <c r="G395" s="363">
        <f>VLOOKUP(A395,'TB for financial'!A:K,11,0)</f>
        <v>0</v>
      </c>
      <c r="H395" s="346" t="e">
        <v>#N/A</v>
      </c>
      <c r="I395" s="1439" t="e">
        <v>#N/A</v>
      </c>
      <c r="J395" s="363">
        <v>0</v>
      </c>
      <c r="K395" s="363">
        <v>0</v>
      </c>
      <c r="L395" s="363">
        <v>0</v>
      </c>
      <c r="M395" s="363">
        <v>0</v>
      </c>
      <c r="N395" s="363">
        <f t="shared" si="64"/>
        <v>0</v>
      </c>
      <c r="O395" s="363">
        <f t="shared" si="65"/>
        <v>0</v>
      </c>
    </row>
    <row r="396" spans="1:18">
      <c r="A396" s="360">
        <v>505053</v>
      </c>
      <c r="B396" s="361" t="str">
        <f>VLOOKUP(A396,'TB for financial'!A:B,2,0)</f>
        <v>Global Crg. - Support function</v>
      </c>
      <c r="C396" s="362" t="s">
        <v>743</v>
      </c>
      <c r="D396" s="354">
        <v>505053</v>
      </c>
      <c r="E396" s="363">
        <f>VLOOKUP(A396,'TB for financial'!A:F,6,0)</f>
        <v>0</v>
      </c>
      <c r="G396" s="363">
        <f>VLOOKUP(A396,'TB for financial'!A:K,11,0)</f>
        <v>0</v>
      </c>
      <c r="H396" s="346">
        <v>505053</v>
      </c>
      <c r="I396" s="1439">
        <v>21593.7</v>
      </c>
      <c r="J396" s="363">
        <v>0</v>
      </c>
      <c r="K396" s="363">
        <v>0</v>
      </c>
      <c r="L396" s="363">
        <v>0</v>
      </c>
      <c r="M396" s="363">
        <v>0</v>
      </c>
      <c r="N396" s="363">
        <f t="shared" si="64"/>
        <v>0</v>
      </c>
      <c r="O396" s="363">
        <f t="shared" si="65"/>
        <v>0</v>
      </c>
    </row>
    <row r="397" spans="1:18">
      <c r="A397" s="1379">
        <v>635130</v>
      </c>
      <c r="B397" s="361" t="str">
        <f>VLOOKUP(A397,'TB for financial'!A:B,2,0)</f>
        <v>OTHER LOCAL TAXES</v>
      </c>
      <c r="C397" s="362" t="s">
        <v>743</v>
      </c>
      <c r="E397" s="363">
        <f>VLOOKUP(A397,'TB for financial'!A:F,6,0)</f>
        <v>45400</v>
      </c>
      <c r="G397" s="363">
        <f>VLOOKUP(A397,'TB for financial'!A:K,11,0)</f>
        <v>20862</v>
      </c>
      <c r="H397" s="346">
        <v>635130</v>
      </c>
      <c r="I397" s="1439">
        <v>-5347</v>
      </c>
      <c r="J397" s="363"/>
      <c r="K397" s="363"/>
      <c r="L397" s="363"/>
      <c r="M397" s="363"/>
      <c r="N397" s="363"/>
      <c r="O397" s="363"/>
    </row>
    <row r="398" spans="1:18">
      <c r="A398" s="1379">
        <v>661510</v>
      </c>
      <c r="B398" s="361" t="str">
        <f>VLOOKUP(A398,'TB for financial'!A:B,2,0)</f>
        <v>OVERDRAFT INTEREST AND BANK CHARGES</v>
      </c>
      <c r="C398" s="362" t="s">
        <v>743</v>
      </c>
      <c r="E398" s="363">
        <f>VLOOKUP(A398,'TB for financial'!A:F,6,0)</f>
        <v>0</v>
      </c>
      <c r="G398" s="363">
        <f>VLOOKUP(A398,'TB for financial'!A:K,11,0)</f>
        <v>0</v>
      </c>
      <c r="H398" s="346">
        <v>661510</v>
      </c>
      <c r="I398" s="1439">
        <v>1995.9699999999998</v>
      </c>
      <c r="J398" s="363"/>
      <c r="K398" s="363"/>
      <c r="L398" s="363"/>
      <c r="M398" s="363"/>
      <c r="N398" s="363"/>
      <c r="O398" s="363"/>
    </row>
    <row r="399" spans="1:18">
      <c r="A399" s="1379">
        <v>627100</v>
      </c>
      <c r="B399" s="361" t="str">
        <f>VLOOKUP(A399,'TB for financial'!A:B,2,0)</f>
        <v>SECURITY EXPENSES</v>
      </c>
      <c r="C399" s="362" t="s">
        <v>743</v>
      </c>
      <c r="D399" s="354">
        <v>627100</v>
      </c>
      <c r="E399" s="1520">
        <f>VLOOKUP(A399,'TB for financial'!A:F,6,0)</f>
        <v>68095.320000000007</v>
      </c>
      <c r="G399" s="363">
        <f>VLOOKUP(A399,'TB for financial'!A:K,11,0)</f>
        <v>103148</v>
      </c>
      <c r="H399" s="346">
        <v>627100</v>
      </c>
      <c r="I399" s="1439">
        <v>-31567</v>
      </c>
      <c r="J399" s="363">
        <v>0</v>
      </c>
      <c r="K399" s="363">
        <v>0</v>
      </c>
      <c r="L399" s="363">
        <v>0</v>
      </c>
      <c r="M399" s="363">
        <v>0</v>
      </c>
      <c r="N399" s="363">
        <f>+J399+K399</f>
        <v>0</v>
      </c>
      <c r="O399" s="363">
        <f>+E399-N399</f>
        <v>68095.320000000007</v>
      </c>
    </row>
    <row r="400" spans="1:18">
      <c r="A400" s="1379">
        <v>702310</v>
      </c>
      <c r="B400" s="361" t="str">
        <f>VLOOKUP(A400,'TB for financial'!A:B,2,0)</f>
        <v>Indirect IC Reinvoicing</v>
      </c>
      <c r="C400" s="362" t="s">
        <v>772</v>
      </c>
      <c r="D400" s="354">
        <v>702310</v>
      </c>
      <c r="E400" s="1520">
        <f>VLOOKUP(A400,'TB for financial'!A:F,6,0)</f>
        <v>11359209</v>
      </c>
      <c r="G400" s="363">
        <f>VLOOKUP(A400,'TB for financial'!A:K,11,0)</f>
        <v>13393327</v>
      </c>
      <c r="H400" s="346">
        <v>702310</v>
      </c>
      <c r="I400" s="1439">
        <v>-11457646.5</v>
      </c>
      <c r="J400" s="363">
        <v>0</v>
      </c>
      <c r="K400" s="363">
        <v>0</v>
      </c>
      <c r="L400" s="363">
        <v>0</v>
      </c>
      <c r="M400" s="363">
        <v>0</v>
      </c>
      <c r="N400" s="363">
        <f>+J400+K400</f>
        <v>0</v>
      </c>
      <c r="O400" s="363">
        <f>+E400-N400</f>
        <v>11359209</v>
      </c>
    </row>
    <row r="401" spans="1:18">
      <c r="A401" s="1379">
        <v>604111</v>
      </c>
      <c r="B401" s="361" t="s">
        <v>3024</v>
      </c>
      <c r="C401" s="362" t="s">
        <v>743</v>
      </c>
      <c r="E401" s="363">
        <f>VLOOKUP(A401,'TB for financial'!A:F,6,0)</f>
        <v>0</v>
      </c>
      <c r="G401" s="363"/>
      <c r="I401" s="1439"/>
      <c r="J401" s="363"/>
      <c r="K401" s="363"/>
      <c r="L401" s="363"/>
      <c r="M401" s="363"/>
      <c r="N401" s="363"/>
      <c r="O401" s="363"/>
    </row>
    <row r="402" spans="1:18">
      <c r="A402" s="1379">
        <v>604160</v>
      </c>
      <c r="B402" s="361" t="str">
        <f>VLOOKUP(A402,'TB for financial'!A:B,2,0)</f>
        <v>OP S/C T&amp;M. Interco</v>
      </c>
      <c r="C402" s="362" t="s">
        <v>743</v>
      </c>
      <c r="E402" s="1520">
        <f>VLOOKUP(A402,'TB for financial'!A:F,6,0)</f>
        <v>4728159.84</v>
      </c>
      <c r="G402" s="363">
        <f>VLOOKUP(A402,'TB for financial'!A:K,11,0)</f>
        <v>3351781.1099999994</v>
      </c>
      <c r="H402" s="346">
        <v>604160</v>
      </c>
      <c r="I402" s="1439"/>
      <c r="J402" s="363"/>
      <c r="K402" s="363"/>
      <c r="L402" s="363"/>
      <c r="M402" s="363"/>
      <c r="N402" s="363"/>
      <c r="O402" s="363"/>
    </row>
    <row r="403" spans="1:18">
      <c r="A403" s="1379">
        <v>602050</v>
      </c>
      <c r="B403" s="361" t="s">
        <v>2848</v>
      </c>
      <c r="C403" s="362" t="s">
        <v>743</v>
      </c>
      <c r="E403" s="363">
        <f>VLOOKUP(A403,'TB for financial'!A:F,6,0)</f>
        <v>132630.81000000006</v>
      </c>
      <c r="G403" s="363">
        <f>VLOOKUP(A403,'TB for financial'!A:K,11,0)</f>
        <v>269840.42000000004</v>
      </c>
      <c r="I403" s="1439"/>
      <c r="J403" s="363"/>
      <c r="K403" s="363"/>
      <c r="L403" s="363"/>
      <c r="M403" s="363"/>
      <c r="N403" s="363"/>
      <c r="O403" s="363"/>
    </row>
    <row r="404" spans="1:18">
      <c r="A404" s="1379">
        <v>627800</v>
      </c>
      <c r="B404" s="361" t="str">
        <f>VLOOKUP(A404,'TB for financial'!A:B,2,0)</f>
        <v>OTHER BANK EXPENSES AND COMMISSION</v>
      </c>
      <c r="C404" s="362" t="s">
        <v>743</v>
      </c>
      <c r="E404" s="363">
        <f>VLOOKUP(A404,'TB for financial'!A:F,6,0)</f>
        <v>2245.5900000000006</v>
      </c>
      <c r="G404" s="363">
        <f>VLOOKUP(A404,'TB for financial'!A:K,11,0)</f>
        <v>4528.03</v>
      </c>
      <c r="H404" s="346">
        <v>627800</v>
      </c>
      <c r="I404" s="1439"/>
      <c r="J404" s="363"/>
      <c r="K404" s="363"/>
      <c r="L404" s="363"/>
      <c r="M404" s="363"/>
      <c r="N404" s="363"/>
      <c r="O404" s="363"/>
    </row>
    <row r="405" spans="1:18">
      <c r="A405" s="1379">
        <v>656000</v>
      </c>
      <c r="B405" s="361" t="str">
        <f>VLOOKUP(A405,'TB for financial'!A:B,2,0)</f>
        <v>GROUP OVERHEADS - STRUCTURE COSTS</v>
      </c>
      <c r="C405" s="362" t="s">
        <v>743</v>
      </c>
      <c r="E405" s="363">
        <f>VLOOKUP(A405,'TB for financial'!A:F,6,0)</f>
        <v>200596.69000000006</v>
      </c>
      <c r="G405" s="363">
        <f>VLOOKUP(A405,'TB for financial'!A:K,11,0)</f>
        <v>31852.639999999956</v>
      </c>
      <c r="H405" s="346">
        <v>656000</v>
      </c>
      <c r="I405" s="1439"/>
      <c r="J405" s="363"/>
      <c r="K405" s="363"/>
      <c r="L405" s="363"/>
      <c r="M405" s="363"/>
      <c r="N405" s="363"/>
      <c r="O405" s="363"/>
    </row>
    <row r="406" spans="1:18">
      <c r="A406" s="1379">
        <v>656100</v>
      </c>
      <c r="B406" s="361" t="s">
        <v>2854</v>
      </c>
      <c r="C406" s="362" t="s">
        <v>743</v>
      </c>
      <c r="E406" s="363">
        <f>VLOOKUP(A406,'TB for financial'!A:F,6,0)</f>
        <v>0</v>
      </c>
      <c r="G406" s="363">
        <f>VLOOKUP(A406,'TB for financial'!A:K,11,0)</f>
        <v>6525.8300000000008</v>
      </c>
      <c r="I406" s="1439"/>
      <c r="J406" s="363"/>
      <c r="K406" s="363"/>
      <c r="L406" s="363"/>
      <c r="M406" s="363"/>
      <c r="N406" s="363"/>
      <c r="O406" s="363"/>
    </row>
    <row r="407" spans="1:18">
      <c r="A407" s="1379">
        <v>656103</v>
      </c>
      <c r="B407" s="361" t="s">
        <v>2855</v>
      </c>
      <c r="C407" s="362" t="s">
        <v>743</v>
      </c>
      <c r="E407" s="363">
        <f>VLOOKUP(A407,'TB for financial'!A:F,6,0)</f>
        <v>16007.510000000009</v>
      </c>
      <c r="G407" s="363">
        <f>VLOOKUP(A407,'TB for financial'!A:K,11,0)</f>
        <v>19358.95</v>
      </c>
      <c r="I407" s="1439"/>
      <c r="J407" s="363"/>
      <c r="K407" s="363"/>
      <c r="L407" s="363"/>
      <c r="M407" s="363"/>
      <c r="N407" s="363"/>
      <c r="O407" s="363"/>
    </row>
    <row r="408" spans="1:18">
      <c r="A408" s="1379">
        <v>656104</v>
      </c>
      <c r="B408" s="361" t="s">
        <v>3026</v>
      </c>
      <c r="C408" s="362" t="s">
        <v>743</v>
      </c>
      <c r="E408" s="363">
        <f>VLOOKUP(A408,'TB for financial'!A:F,6,0)</f>
        <v>2424.6399999999994</v>
      </c>
      <c r="G408" s="363"/>
      <c r="I408" s="1439"/>
      <c r="J408" s="363"/>
      <c r="K408" s="363"/>
      <c r="L408" s="363"/>
      <c r="M408" s="363"/>
      <c r="N408" s="363"/>
      <c r="O408" s="363"/>
    </row>
    <row r="409" spans="1:18">
      <c r="A409" s="1379">
        <v>658000</v>
      </c>
      <c r="B409" s="361" t="str">
        <f>VLOOKUP(A409,'TB for financial'!A:B,2,0)</f>
        <v>OTHER OPERATING EXPENSES</v>
      </c>
      <c r="C409" s="362" t="s">
        <v>743</v>
      </c>
      <c r="E409" s="363">
        <f>VLOOKUP(A409,'TB for financial'!A:F,6,0)</f>
        <v>55024</v>
      </c>
      <c r="G409" s="363">
        <f>VLOOKUP(A409,'TB for financial'!A:K,11,0)</f>
        <v>-119355.63</v>
      </c>
      <c r="H409" s="346">
        <v>658000</v>
      </c>
      <c r="I409" s="1439"/>
      <c r="J409" s="363"/>
      <c r="K409" s="363"/>
      <c r="L409" s="363"/>
      <c r="M409" s="363"/>
      <c r="N409" s="363"/>
      <c r="O409" s="363"/>
    </row>
    <row r="410" spans="1:18">
      <c r="A410" s="1379">
        <v>687660</v>
      </c>
      <c r="B410" s="361" t="s">
        <v>3028</v>
      </c>
      <c r="C410" s="362" t="s">
        <v>743</v>
      </c>
      <c r="E410" s="1520">
        <f>VLOOKUP(A410,'TB for financial'!A:F,6,0)</f>
        <v>98431</v>
      </c>
      <c r="G410" s="363"/>
      <c r="H410" s="346" t="s">
        <v>3030</v>
      </c>
      <c r="I410" s="1439"/>
      <c r="J410" s="363"/>
      <c r="K410" s="363"/>
      <c r="L410" s="363"/>
      <c r="M410" s="363"/>
      <c r="N410" s="363"/>
      <c r="O410" s="363"/>
    </row>
    <row r="411" spans="1:18" ht="5.0999999999999996" customHeight="1">
      <c r="A411" s="360"/>
      <c r="B411" s="361"/>
      <c r="C411" s="362"/>
      <c r="E411" s="363"/>
      <c r="G411" s="363"/>
      <c r="J411" s="363"/>
      <c r="K411" s="363"/>
      <c r="L411" s="363"/>
      <c r="M411" s="363"/>
      <c r="N411" s="363"/>
      <c r="O411" s="363"/>
    </row>
    <row r="412" spans="1:18" s="350" customFormat="1" ht="15" thickBot="1">
      <c r="A412" s="366"/>
      <c r="B412" s="368" t="s">
        <v>765</v>
      </c>
      <c r="C412" s="1627"/>
      <c r="D412" s="1628"/>
      <c r="E412" s="367">
        <f>SUM(E360:E411)</f>
        <v>16708224.4</v>
      </c>
      <c r="F412" s="349"/>
      <c r="G412" s="367">
        <f>SUM(G360:G411)</f>
        <v>17081868.350000001</v>
      </c>
      <c r="H412" s="349"/>
      <c r="J412" s="367">
        <f t="shared" ref="J412:O412" si="66">SUM(J360:J411)</f>
        <v>9943139.2399999984</v>
      </c>
      <c r="K412" s="367">
        <f t="shared" si="66"/>
        <v>3378047.9718286395</v>
      </c>
      <c r="L412" s="367">
        <f t="shared" si="66"/>
        <v>0</v>
      </c>
      <c r="M412" s="367">
        <f t="shared" si="66"/>
        <v>0</v>
      </c>
      <c r="N412" s="367">
        <f t="shared" si="66"/>
        <v>13321187.211828638</v>
      </c>
      <c r="O412" s="367">
        <f t="shared" si="66"/>
        <v>-1893882.8918286376</v>
      </c>
    </row>
    <row r="413" spans="1:18" ht="5.0999999999999996" customHeight="1" thickTop="1">
      <c r="A413" s="360"/>
      <c r="B413" s="361"/>
      <c r="C413" s="362"/>
      <c r="E413" s="363"/>
      <c r="G413" s="363"/>
      <c r="J413" s="363"/>
      <c r="K413" s="363"/>
      <c r="L413" s="363"/>
      <c r="M413" s="363"/>
      <c r="N413" s="363"/>
      <c r="O413" s="363"/>
    </row>
    <row r="414" spans="1:18">
      <c r="A414" s="360">
        <v>400070</v>
      </c>
      <c r="B414" s="361" t="str">
        <f>VLOOKUP(A414,'TB for financial'!A:B,2,0)</f>
        <v>Exchange Gain / Loss</v>
      </c>
      <c r="C414" s="362" t="s">
        <v>743</v>
      </c>
      <c r="D414" s="354">
        <v>400070</v>
      </c>
      <c r="E414" s="363">
        <f>-VLOOKUP(A414,'TB for financial'!A:F,6,0)</f>
        <v>0</v>
      </c>
      <c r="G414" s="363">
        <f>-VLOOKUP(A414,'TB for financial'!A:K,11,0)</f>
        <v>0</v>
      </c>
      <c r="H414" s="346">
        <v>400070</v>
      </c>
      <c r="I414" s="1439">
        <v>-214256.08288475452</v>
      </c>
      <c r="J414" s="363">
        <v>39685.639999999927</v>
      </c>
      <c r="K414" s="363">
        <v>116520.25</v>
      </c>
      <c r="L414" s="363">
        <v>0</v>
      </c>
      <c r="M414" s="363">
        <v>0</v>
      </c>
      <c r="N414" s="363">
        <f t="shared" ref="N414:N420" si="67">+J414+K414</f>
        <v>156205.88999999993</v>
      </c>
      <c r="O414" s="363">
        <f t="shared" ref="O414:O420" si="68">+E414-N414</f>
        <v>-156205.88999999993</v>
      </c>
      <c r="P414" s="347">
        <v>400070</v>
      </c>
      <c r="Q414" s="365" t="e">
        <v>#N/A</v>
      </c>
      <c r="R414" s="365" t="e">
        <f>+E414-Q414</f>
        <v>#N/A</v>
      </c>
    </row>
    <row r="415" spans="1:18">
      <c r="A415" s="360">
        <v>400071</v>
      </c>
      <c r="B415" s="361" t="str">
        <f>VLOOKUP(A415,'TB for financial'!A:B,2,0)</f>
        <v>Exch Gain / Loss (Actual)</v>
      </c>
      <c r="C415" s="362" t="s">
        <v>743</v>
      </c>
      <c r="D415" s="354">
        <v>400071</v>
      </c>
      <c r="E415" s="363">
        <f>-VLOOKUP(A415,'TB for financial'!A:F,6,0)</f>
        <v>0</v>
      </c>
      <c r="G415" s="363">
        <f>-VLOOKUP(A415,'TB for financial'!A:K,11,0)</f>
        <v>0</v>
      </c>
      <c r="H415" s="346">
        <v>400071</v>
      </c>
      <c r="I415" s="1439">
        <v>251305.74</v>
      </c>
      <c r="J415" s="363">
        <v>140466.74000000005</v>
      </c>
      <c r="K415" s="363">
        <v>-105563.41</v>
      </c>
      <c r="L415" s="363">
        <v>0</v>
      </c>
      <c r="M415" s="363">
        <v>0</v>
      </c>
      <c r="N415" s="363">
        <f t="shared" si="67"/>
        <v>34903.330000000045</v>
      </c>
      <c r="O415" s="363">
        <f t="shared" si="68"/>
        <v>-34903.330000000045</v>
      </c>
      <c r="P415" s="347">
        <v>400071</v>
      </c>
      <c r="Q415" s="365" t="e">
        <v>#N/A</v>
      </c>
      <c r="R415" s="365" t="e">
        <f>+E415-Q415</f>
        <v>#N/A</v>
      </c>
    </row>
    <row r="416" spans="1:18">
      <c r="A416" s="360">
        <v>400072</v>
      </c>
      <c r="B416" s="361" t="str">
        <f>VLOOKUP(A416,'TB for financial'!A:B,2,0)</f>
        <v>Rounding Suspense Account</v>
      </c>
      <c r="C416" s="362" t="s">
        <v>743</v>
      </c>
      <c r="E416" s="363">
        <f>-VLOOKUP(A416,'TB for financial'!A:F,6,0)</f>
        <v>0</v>
      </c>
      <c r="G416" s="363">
        <f>-VLOOKUP(A416,'TB for financial'!A:K,11,0)</f>
        <v>0</v>
      </c>
      <c r="H416" s="346" t="e">
        <v>#N/A</v>
      </c>
      <c r="I416" s="1439" t="e">
        <v>#N/A</v>
      </c>
      <c r="J416" s="363">
        <v>0</v>
      </c>
      <c r="K416" s="363">
        <v>0</v>
      </c>
      <c r="L416" s="363">
        <v>0</v>
      </c>
      <c r="M416" s="363">
        <v>0</v>
      </c>
      <c r="N416" s="363">
        <f t="shared" si="67"/>
        <v>0</v>
      </c>
      <c r="O416" s="363">
        <f t="shared" si="68"/>
        <v>0</v>
      </c>
    </row>
    <row r="417" spans="1:18">
      <c r="A417" s="360">
        <v>400073</v>
      </c>
      <c r="B417" s="361" t="str">
        <f>VLOOKUP(A417,'TB for financial'!A:B,2,0)</f>
        <v>Exchange Gain/Loss Derivatives</v>
      </c>
      <c r="C417" s="362" t="s">
        <v>743</v>
      </c>
      <c r="E417" s="363">
        <f>-VLOOKUP(A417,'TB for financial'!A:F,6,0)</f>
        <v>0</v>
      </c>
      <c r="G417" s="363">
        <f>-VLOOKUP(A417,'TB for financial'!A:K,11,0)</f>
        <v>0</v>
      </c>
      <c r="H417" s="346">
        <v>400073</v>
      </c>
      <c r="I417" s="1439">
        <v>0</v>
      </c>
      <c r="J417" s="363">
        <v>0</v>
      </c>
      <c r="K417" s="363">
        <v>0</v>
      </c>
      <c r="L417" s="363">
        <v>0</v>
      </c>
      <c r="M417" s="363">
        <v>0</v>
      </c>
      <c r="N417" s="363">
        <f t="shared" si="67"/>
        <v>0</v>
      </c>
      <c r="O417" s="363">
        <f t="shared" si="68"/>
        <v>0</v>
      </c>
    </row>
    <row r="418" spans="1:18">
      <c r="A418" s="360">
        <v>400074</v>
      </c>
      <c r="B418" s="376" t="str">
        <f>VLOOKUP(A418,'TB for financial'!A:B,2,0)</f>
        <v>Exch Gain / Loss-Inter com</v>
      </c>
      <c r="C418" s="362" t="s">
        <v>743</v>
      </c>
      <c r="D418" s="354">
        <v>400074</v>
      </c>
      <c r="E418" s="363">
        <f>-VLOOKUP(A418,'TB for financial'!A:F,6,0)</f>
        <v>0</v>
      </c>
      <c r="G418" s="363">
        <f>-VLOOKUP(A418,'TB for financial'!A:K,11,0)</f>
        <v>0</v>
      </c>
      <c r="H418" s="346">
        <v>400074</v>
      </c>
      <c r="I418" s="1439">
        <v>-1720.18</v>
      </c>
      <c r="J418" s="363">
        <v>1551.0900000000004</v>
      </c>
      <c r="K418" s="363">
        <v>849.3</v>
      </c>
      <c r="L418" s="363">
        <v>0</v>
      </c>
      <c r="M418" s="363">
        <v>0</v>
      </c>
      <c r="N418" s="363">
        <f t="shared" si="67"/>
        <v>2400.3900000000003</v>
      </c>
      <c r="O418" s="363">
        <f t="shared" si="68"/>
        <v>-2400.3900000000003</v>
      </c>
      <c r="P418" s="347">
        <v>400074</v>
      </c>
      <c r="Q418" s="365" t="e">
        <v>#N/A</v>
      </c>
      <c r="R418" s="365" t="e">
        <f>+E418-Q418</f>
        <v>#N/A</v>
      </c>
    </row>
    <row r="419" spans="1:18">
      <c r="A419" s="360">
        <v>400075</v>
      </c>
      <c r="B419" s="376" t="str">
        <f>VLOOKUP(A419,'TB for financial'!A:B,2,0)</f>
        <v>Exch Gain/Loss(Act)-Inter com</v>
      </c>
      <c r="C419" s="362" t="s">
        <v>743</v>
      </c>
      <c r="D419" s="354">
        <v>400075</v>
      </c>
      <c r="E419" s="363">
        <f>-VLOOKUP(A419,'TB for financial'!A:F,6,0)</f>
        <v>0</v>
      </c>
      <c r="G419" s="363">
        <f>-VLOOKUP(A419,'TB for financial'!A:K,11,0)</f>
        <v>0</v>
      </c>
      <c r="H419" s="346">
        <v>400075</v>
      </c>
      <c r="I419" s="1439">
        <v>514.62</v>
      </c>
      <c r="J419" s="363">
        <v>-1219.5899999999999</v>
      </c>
      <c r="K419" s="363">
        <v>-27.39</v>
      </c>
      <c r="L419" s="363">
        <v>0</v>
      </c>
      <c r="M419" s="363">
        <v>0</v>
      </c>
      <c r="N419" s="363">
        <f t="shared" si="67"/>
        <v>-1246.98</v>
      </c>
      <c r="O419" s="363">
        <f t="shared" si="68"/>
        <v>1246.98</v>
      </c>
      <c r="P419" s="347">
        <v>400075</v>
      </c>
      <c r="Q419" s="365" t="e">
        <v>#N/A</v>
      </c>
      <c r="R419" s="365" t="e">
        <f>+E419-Q419</f>
        <v>#N/A</v>
      </c>
    </row>
    <row r="420" spans="1:18">
      <c r="A420" s="1379">
        <v>666400</v>
      </c>
      <c r="B420" s="361" t="str">
        <f>VLOOKUP(A420,'TB for financial'!A:B,2,0)</f>
        <v>Exchange loss from revaluation of custo</v>
      </c>
      <c r="C420" s="362" t="s">
        <v>58</v>
      </c>
      <c r="D420" s="354">
        <v>666400</v>
      </c>
      <c r="E420" s="363">
        <f>-VLOOKUP(A420,'TB for financial'!A:F,6,0)</f>
        <v>-82210.100000000006</v>
      </c>
      <c r="G420" s="363">
        <f>-VLOOKUP(A420,'TB for financial'!A:K,11,0)</f>
        <v>-22322.07000000004</v>
      </c>
      <c r="H420" s="346">
        <v>666400</v>
      </c>
      <c r="I420" s="1439">
        <v>-130959.36000000002</v>
      </c>
      <c r="J420" s="363">
        <v>0</v>
      </c>
      <c r="K420" s="363">
        <v>0</v>
      </c>
      <c r="L420" s="363">
        <v>0</v>
      </c>
      <c r="M420" s="363">
        <v>0</v>
      </c>
      <c r="N420" s="363">
        <f t="shared" si="67"/>
        <v>0</v>
      </c>
      <c r="O420" s="363">
        <f t="shared" si="68"/>
        <v>-82210.100000000006</v>
      </c>
    </row>
    <row r="421" spans="1:18">
      <c r="A421" s="1379">
        <v>766200</v>
      </c>
      <c r="B421" s="361" t="str">
        <f>VLOOKUP(A421,'TB for financial'!A:B,2,0)</f>
        <v>Non-realized exchange gain</v>
      </c>
      <c r="C421" s="362" t="s">
        <v>58</v>
      </c>
      <c r="D421" s="354">
        <v>766200</v>
      </c>
      <c r="E421" s="363">
        <f>-VLOOKUP(A421,'TB for financial'!A:F,6,0)</f>
        <v>0</v>
      </c>
      <c r="G421" s="363">
        <f>-VLOOKUP(A421,'TB for financial'!A:K,11,0)</f>
        <v>-238025.14999999967</v>
      </c>
      <c r="H421" s="346">
        <v>766200</v>
      </c>
      <c r="I421" s="1439">
        <v>189284.01600289301</v>
      </c>
      <c r="J421" s="363">
        <v>0</v>
      </c>
      <c r="K421" s="363">
        <v>0</v>
      </c>
      <c r="L421" s="363">
        <v>0</v>
      </c>
      <c r="M421" s="363">
        <v>0</v>
      </c>
      <c r="N421" s="363">
        <f>+J421+K421</f>
        <v>0</v>
      </c>
      <c r="O421" s="363">
        <f>+E421-N421</f>
        <v>0</v>
      </c>
    </row>
    <row r="422" spans="1:18" ht="28.8">
      <c r="A422" s="1379">
        <v>766300</v>
      </c>
      <c r="B422" s="361" t="str">
        <f>VLOOKUP(A422,'TB for financial'!A:B,2,0)</f>
        <v>Exchange gain from revaluation of bank and current</v>
      </c>
      <c r="C422" s="362" t="s">
        <v>58</v>
      </c>
      <c r="E422" s="363">
        <f>-VLOOKUP(A422,'TB for financial'!A:F,6,0)</f>
        <v>-4515.51</v>
      </c>
      <c r="G422" s="363">
        <f>-VLOOKUP(A422,'TB for financial'!A:K,11,0)</f>
        <v>-13702.719999999992</v>
      </c>
      <c r="H422" s="346">
        <v>766300</v>
      </c>
      <c r="I422" s="1439"/>
      <c r="J422" s="363"/>
      <c r="K422" s="363"/>
      <c r="L422" s="363"/>
      <c r="M422" s="363"/>
      <c r="N422" s="363"/>
      <c r="O422" s="363"/>
    </row>
    <row r="423" spans="1:18">
      <c r="A423" s="1379">
        <v>766400</v>
      </c>
      <c r="B423" s="361" t="str">
        <f>VLOOKUP(A423,'TB for financial'!A:B,2,0)</f>
        <v>Exchange gain from revaluation of custo</v>
      </c>
      <c r="C423" s="362" t="s">
        <v>58</v>
      </c>
      <c r="D423" s="354">
        <v>766400</v>
      </c>
      <c r="E423" s="363">
        <f>-VLOOKUP(A423,'TB for financial'!A:F,6,0)</f>
        <v>170652.82</v>
      </c>
      <c r="G423" s="363">
        <f>-VLOOKUP(A423,'TB for financial'!A:K,11,0)</f>
        <v>-448399.38</v>
      </c>
      <c r="H423" s="346">
        <v>766400</v>
      </c>
      <c r="I423" s="1439">
        <v>-62218.580000000016</v>
      </c>
      <c r="J423" s="363">
        <v>0</v>
      </c>
      <c r="K423" s="363">
        <v>0</v>
      </c>
      <c r="L423" s="363">
        <v>0</v>
      </c>
      <c r="M423" s="363">
        <v>0</v>
      </c>
      <c r="N423" s="363">
        <f>+J423+K423</f>
        <v>0</v>
      </c>
      <c r="O423" s="363">
        <f>+E423-N423</f>
        <v>170652.82</v>
      </c>
    </row>
    <row r="424" spans="1:18">
      <c r="A424" s="1379">
        <v>604230</v>
      </c>
      <c r="B424" s="361" t="str">
        <f>VLOOKUP(A424,'TB for financial'!A:B,2,0)</f>
        <v>Other foreign exchange Losses</v>
      </c>
      <c r="C424" s="362" t="s">
        <v>58</v>
      </c>
      <c r="D424" s="354">
        <v>766400</v>
      </c>
      <c r="E424" s="363">
        <f>-VLOOKUP(A424,'TB for financial'!A:F,6,0)</f>
        <v>-4083.0600000000004</v>
      </c>
      <c r="G424" s="363">
        <f>-VLOOKUP(A424,'TB for financial'!A:K,11,0)</f>
        <v>6558.72</v>
      </c>
      <c r="H424" s="346">
        <v>604230</v>
      </c>
      <c r="I424" s="1439"/>
      <c r="J424" s="363"/>
      <c r="K424" s="363"/>
      <c r="L424" s="363"/>
      <c r="M424" s="363"/>
      <c r="N424" s="363"/>
      <c r="O424" s="363"/>
    </row>
    <row r="425" spans="1:18">
      <c r="A425" s="1379">
        <v>666000</v>
      </c>
      <c r="B425" s="361" t="str">
        <f>VLOOKUP(A425,'TB for financial'!A:B,2,0)</f>
        <v>EXCHANGE LOSSES</v>
      </c>
      <c r="C425" s="362" t="s">
        <v>58</v>
      </c>
      <c r="D425" s="354">
        <v>766400</v>
      </c>
      <c r="E425" s="363">
        <f>-VLOOKUP(A425,'TB for financial'!A:F,6,0)</f>
        <v>-872985.81</v>
      </c>
      <c r="G425" s="363">
        <f>-VLOOKUP(A425,'TB for financial'!A:K,11,0)</f>
        <v>-752503.62625008519</v>
      </c>
      <c r="H425" s="346">
        <v>666000</v>
      </c>
      <c r="I425" s="1439"/>
      <c r="J425" s="363"/>
      <c r="K425" s="363"/>
      <c r="L425" s="363"/>
      <c r="M425" s="363"/>
      <c r="N425" s="363"/>
      <c r="O425" s="363"/>
    </row>
    <row r="426" spans="1:18">
      <c r="A426" s="1379">
        <v>766000</v>
      </c>
      <c r="B426" s="361" t="str">
        <f>VLOOKUP(A426,'TB for financial'!A:B,2,0)</f>
        <v>EXCHANGE GAINS</v>
      </c>
      <c r="C426" s="362" t="s">
        <v>58</v>
      </c>
      <c r="D426" s="354">
        <v>766400</v>
      </c>
      <c r="E426" s="363">
        <f>-VLOOKUP(A426,'TB for financial'!A:F,6,0)</f>
        <v>876174.12000000011</v>
      </c>
      <c r="G426" s="363">
        <f>-VLOOKUP(A426,'TB for financial'!A:K,11,0)</f>
        <v>1235937.6674282791</v>
      </c>
      <c r="H426" s="346">
        <v>766000</v>
      </c>
      <c r="I426" s="1439"/>
      <c r="J426" s="363"/>
      <c r="K426" s="363"/>
      <c r="L426" s="363"/>
      <c r="M426" s="363"/>
      <c r="N426" s="363"/>
      <c r="O426" s="363"/>
    </row>
    <row r="427" spans="1:18" ht="5.0999999999999996" customHeight="1">
      <c r="A427" s="360"/>
      <c r="B427" s="361"/>
      <c r="C427" s="362"/>
      <c r="E427" s="363"/>
      <c r="G427" s="363"/>
      <c r="J427" s="363"/>
      <c r="K427" s="363"/>
      <c r="L427" s="363"/>
      <c r="M427" s="363"/>
      <c r="N427" s="363"/>
      <c r="O427" s="363"/>
    </row>
    <row r="428" spans="1:18" s="350" customFormat="1" ht="15" thickBot="1">
      <c r="A428" s="366"/>
      <c r="B428" s="368" t="s">
        <v>766</v>
      </c>
      <c r="C428" s="1627"/>
      <c r="D428" s="1628"/>
      <c r="E428" s="1630">
        <f>SUM(E414:E427)</f>
        <v>83032.460000000079</v>
      </c>
      <c r="F428" s="349"/>
      <c r="G428" s="367">
        <f>SUM(G414:G427)</f>
        <v>-232456.55882180599</v>
      </c>
      <c r="H428" s="349"/>
      <c r="J428" s="367">
        <f t="shared" ref="J428:O428" si="69">SUM(J414:J427)</f>
        <v>180483.87999999998</v>
      </c>
      <c r="K428" s="367">
        <f t="shared" si="69"/>
        <v>11778.749999999996</v>
      </c>
      <c r="L428" s="367">
        <f t="shared" si="69"/>
        <v>0</v>
      </c>
      <c r="M428" s="367">
        <f t="shared" si="69"/>
        <v>0</v>
      </c>
      <c r="N428" s="367">
        <f t="shared" si="69"/>
        <v>192262.62999999998</v>
      </c>
      <c r="O428" s="367">
        <f t="shared" si="69"/>
        <v>-103819.90999999997</v>
      </c>
    </row>
    <row r="429" spans="1:18" ht="5.0999999999999996" customHeight="1" thickTop="1">
      <c r="A429" s="360"/>
      <c r="B429" s="361"/>
      <c r="C429" s="362"/>
      <c r="E429" s="363"/>
      <c r="G429" s="363"/>
      <c r="J429" s="363"/>
      <c r="K429" s="363"/>
      <c r="L429" s="363"/>
      <c r="M429" s="363"/>
      <c r="N429" s="363"/>
      <c r="O429" s="363"/>
    </row>
    <row r="430" spans="1:18" ht="5.0999999999999996" customHeight="1">
      <c r="A430" s="360"/>
      <c r="B430" s="368"/>
      <c r="C430" s="1627"/>
      <c r="E430" s="363"/>
      <c r="G430" s="363"/>
      <c r="J430" s="363"/>
      <c r="K430" s="363"/>
      <c r="L430" s="363"/>
      <c r="M430" s="363"/>
      <c r="N430" s="363"/>
      <c r="O430" s="363"/>
    </row>
    <row r="431" spans="1:18">
      <c r="A431" s="360">
        <v>502130</v>
      </c>
      <c r="B431" s="361" t="str">
        <f>VLOOKUP(A431,'TB for financial'!A:B,2,0)</f>
        <v>Fixed Asset Depreciation</v>
      </c>
      <c r="C431" s="362" t="s">
        <v>767</v>
      </c>
      <c r="E431" s="363">
        <f>VLOOKUP(A431,'TB for financial'!A:F,6,0)</f>
        <v>0</v>
      </c>
      <c r="G431" s="363">
        <f>VLOOKUP(A431,'TB for financial'!A:K,11,0)</f>
        <v>0</v>
      </c>
      <c r="H431" s="346">
        <v>502130</v>
      </c>
      <c r="I431" s="1439">
        <v>0</v>
      </c>
      <c r="J431" s="363">
        <v>0</v>
      </c>
      <c r="K431" s="363">
        <v>0</v>
      </c>
      <c r="L431" s="363">
        <v>0</v>
      </c>
      <c r="M431" s="363">
        <v>0</v>
      </c>
      <c r="N431" s="363">
        <f>+J431+K431</f>
        <v>0</v>
      </c>
      <c r="O431" s="363">
        <f>+E431-N431</f>
        <v>0</v>
      </c>
      <c r="P431" s="347">
        <v>502130</v>
      </c>
      <c r="Q431" s="365" t="e">
        <v>#N/A</v>
      </c>
      <c r="R431" s="365" t="e">
        <f>+E431-Q431</f>
        <v>#N/A</v>
      </c>
    </row>
    <row r="432" spans="1:18">
      <c r="A432" s="360">
        <v>502146</v>
      </c>
      <c r="B432" s="361" t="str">
        <f>VLOOKUP(A432,'TB for financial'!A:B,2,0)</f>
        <v>Amortz Exp- Cap Dev- Proj 98</v>
      </c>
      <c r="C432" s="362" t="s">
        <v>767</v>
      </c>
      <c r="E432" s="363">
        <f>VLOOKUP(A432,'TB for financial'!A:F,6,0)</f>
        <v>0</v>
      </c>
      <c r="G432" s="363">
        <f>VLOOKUP(A432,'TB for financial'!A:K,11,0)</f>
        <v>0</v>
      </c>
      <c r="H432" s="346" t="e">
        <v>#N/A</v>
      </c>
      <c r="I432" s="1439" t="e">
        <v>#N/A</v>
      </c>
      <c r="J432" s="363">
        <v>0</v>
      </c>
      <c r="K432" s="363">
        <v>0</v>
      </c>
      <c r="L432" s="363">
        <v>0</v>
      </c>
      <c r="M432" s="363">
        <v>0</v>
      </c>
      <c r="N432" s="363">
        <f>+J432+K432</f>
        <v>0</v>
      </c>
      <c r="O432" s="363">
        <f>+E432-N432</f>
        <v>0</v>
      </c>
    </row>
    <row r="433" spans="1:18">
      <c r="A433" s="360">
        <v>502150</v>
      </c>
      <c r="B433" s="361" t="str">
        <f>VLOOKUP(A433,'TB for financial'!A:B,2,0)</f>
        <v>Software Amortization</v>
      </c>
      <c r="C433" s="362" t="s">
        <v>767</v>
      </c>
      <c r="E433" s="363">
        <f>VLOOKUP(A433,'TB for financial'!A:F,6,0)</f>
        <v>0</v>
      </c>
      <c r="G433" s="363">
        <f>VLOOKUP(A433,'TB for financial'!A:K,11,0)</f>
        <v>0</v>
      </c>
      <c r="H433" s="346" t="e">
        <v>#N/A</v>
      </c>
      <c r="I433" s="1439" t="e">
        <v>#N/A</v>
      </c>
      <c r="J433" s="363">
        <v>0</v>
      </c>
      <c r="K433" s="363">
        <v>0</v>
      </c>
      <c r="L433" s="363">
        <v>0</v>
      </c>
      <c r="M433" s="363">
        <v>0</v>
      </c>
      <c r="N433" s="363">
        <f>+J433+K433</f>
        <v>0</v>
      </c>
      <c r="O433" s="363">
        <f>+E433-N433</f>
        <v>0</v>
      </c>
    </row>
    <row r="434" spans="1:18" ht="5.0999999999999996" customHeight="1">
      <c r="A434" s="360"/>
      <c r="B434" s="361"/>
      <c r="C434" s="362"/>
      <c r="E434" s="363"/>
      <c r="G434" s="363"/>
      <c r="J434" s="363"/>
      <c r="K434" s="363"/>
      <c r="L434" s="363"/>
      <c r="M434" s="363"/>
      <c r="N434" s="363"/>
      <c r="O434" s="363"/>
    </row>
    <row r="435" spans="1:18" s="350" customFormat="1" ht="15" thickBot="1">
      <c r="A435" s="366"/>
      <c r="B435" s="368" t="s">
        <v>768</v>
      </c>
      <c r="C435" s="1627"/>
      <c r="D435" s="1628"/>
      <c r="E435" s="367">
        <f>SUM(E431:E434)</f>
        <v>0</v>
      </c>
      <c r="F435" s="349"/>
      <c r="G435" s="367">
        <f>SUM(G431:G434)</f>
        <v>0</v>
      </c>
      <c r="H435" s="349"/>
      <c r="J435" s="367">
        <f t="shared" ref="J435:O435" si="70">SUM(J431:J434)</f>
        <v>0</v>
      </c>
      <c r="K435" s="367">
        <f t="shared" si="70"/>
        <v>0</v>
      </c>
      <c r="L435" s="367">
        <f t="shared" si="70"/>
        <v>0</v>
      </c>
      <c r="M435" s="367">
        <f t="shared" si="70"/>
        <v>0</v>
      </c>
      <c r="N435" s="367">
        <f t="shared" si="70"/>
        <v>0</v>
      </c>
      <c r="O435" s="367">
        <f t="shared" si="70"/>
        <v>0</v>
      </c>
    </row>
    <row r="436" spans="1:18" ht="5.0999999999999996" customHeight="1" thickTop="1">
      <c r="A436" s="360"/>
      <c r="B436" s="368"/>
      <c r="C436" s="1627"/>
      <c r="E436" s="363"/>
      <c r="G436" s="363"/>
      <c r="J436" s="363"/>
      <c r="K436" s="363"/>
      <c r="L436" s="363"/>
      <c r="M436" s="363"/>
      <c r="N436" s="363"/>
      <c r="O436" s="363"/>
    </row>
    <row r="437" spans="1:18">
      <c r="A437" s="360">
        <v>502113</v>
      </c>
      <c r="B437" s="361" t="str">
        <f>VLOOKUP(A437,'TB for financial'!A:B,2,0)</f>
        <v>Amortisation of ROU A</v>
      </c>
      <c r="C437" s="362" t="s">
        <v>2301</v>
      </c>
      <c r="E437" s="363">
        <f>VLOOKUP(A437,'TB for financial'!A:F,6,0)</f>
        <v>0</v>
      </c>
      <c r="G437" s="363">
        <f>VLOOKUP(A437,'TB for financial'!A:K,11,0)</f>
        <v>0</v>
      </c>
      <c r="H437" s="346">
        <v>502113</v>
      </c>
      <c r="I437" s="1439">
        <v>0</v>
      </c>
      <c r="J437" s="363">
        <v>0</v>
      </c>
      <c r="K437" s="363">
        <v>0</v>
      </c>
      <c r="L437" s="363">
        <v>0</v>
      </c>
      <c r="M437" s="363">
        <v>0</v>
      </c>
      <c r="N437" s="363">
        <f>+J437+K437</f>
        <v>0</v>
      </c>
      <c r="O437" s="363">
        <f>+E437-N437</f>
        <v>0</v>
      </c>
      <c r="P437" s="347">
        <v>502130</v>
      </c>
      <c r="Q437" s="365" t="e">
        <v>#N/A</v>
      </c>
      <c r="R437" s="365" t="e">
        <f>+E437-Q437</f>
        <v>#N/A</v>
      </c>
    </row>
    <row r="438" spans="1:18">
      <c r="A438" s="1379">
        <v>681210</v>
      </c>
      <c r="B438" s="361" t="str">
        <f>VLOOKUP(A438,'TB for financial'!A:B,2,0)</f>
        <v>Depreciations and impairment right of use</v>
      </c>
      <c r="C438" s="362" t="s">
        <v>767</v>
      </c>
      <c r="D438" s="354">
        <v>681210</v>
      </c>
      <c r="E438" s="363">
        <f>VLOOKUP(A438,'TB for financial'!A:F,6,0)</f>
        <v>3206673.7313862974</v>
      </c>
      <c r="G438" s="363">
        <f>VLOOKUP(A438,'TB for financial'!A:K,11,0)</f>
        <v>3180953.0113862976</v>
      </c>
      <c r="H438" s="346">
        <v>681210</v>
      </c>
      <c r="I438" s="1439">
        <v>-3610.0113862976432</v>
      </c>
      <c r="J438" s="363"/>
      <c r="K438" s="363"/>
      <c r="L438" s="363"/>
      <c r="M438" s="363"/>
      <c r="N438" s="363"/>
      <c r="O438" s="363"/>
      <c r="Q438" s="365"/>
      <c r="R438" s="365"/>
    </row>
    <row r="439" spans="1:18" ht="5.0999999999999996" customHeight="1">
      <c r="A439" s="360"/>
      <c r="B439" s="361"/>
      <c r="C439" s="362"/>
      <c r="E439" s="363"/>
      <c r="G439" s="363"/>
      <c r="J439" s="363"/>
      <c r="K439" s="363"/>
      <c r="L439" s="363"/>
      <c r="M439" s="363"/>
      <c r="N439" s="363"/>
      <c r="O439" s="363"/>
    </row>
    <row r="440" spans="1:18" s="350" customFormat="1" ht="15" thickBot="1">
      <c r="A440" s="366"/>
      <c r="B440" s="368" t="s">
        <v>768</v>
      </c>
      <c r="C440" s="1627"/>
      <c r="D440" s="1628"/>
      <c r="E440" s="367">
        <f>SUM(E437:E439)</f>
        <v>3206673.7313862974</v>
      </c>
      <c r="F440" s="349"/>
      <c r="G440" s="367">
        <f>SUM(G437:G439)</f>
        <v>3180953.0113862976</v>
      </c>
      <c r="H440" s="349"/>
      <c r="J440" s="367">
        <f t="shared" ref="J440:O440" si="71">SUM(J437:J439)</f>
        <v>0</v>
      </c>
      <c r="K440" s="367">
        <f t="shared" si="71"/>
        <v>0</v>
      </c>
      <c r="L440" s="367">
        <f t="shared" si="71"/>
        <v>0</v>
      </c>
      <c r="M440" s="367">
        <f t="shared" si="71"/>
        <v>0</v>
      </c>
      <c r="N440" s="367">
        <f t="shared" si="71"/>
        <v>0</v>
      </c>
      <c r="O440" s="367">
        <f t="shared" si="71"/>
        <v>0</v>
      </c>
    </row>
    <row r="441" spans="1:18" ht="5.0999999999999996" customHeight="1" thickTop="1">
      <c r="A441" s="360"/>
      <c r="B441" s="368"/>
      <c r="C441" s="1627"/>
      <c r="E441" s="363"/>
      <c r="G441" s="363"/>
      <c r="J441" s="363"/>
      <c r="K441" s="363"/>
      <c r="L441" s="363"/>
      <c r="M441" s="363"/>
      <c r="N441" s="363"/>
      <c r="O441" s="363"/>
    </row>
    <row r="442" spans="1:18" ht="5.0999999999999996" customHeight="1">
      <c r="A442" s="360"/>
      <c r="B442" s="368"/>
      <c r="C442" s="1627"/>
      <c r="E442" s="363"/>
      <c r="G442" s="363"/>
      <c r="J442" s="363"/>
      <c r="K442" s="363"/>
      <c r="L442" s="363"/>
      <c r="M442" s="363"/>
      <c r="N442" s="363"/>
      <c r="O442" s="363"/>
    </row>
    <row r="443" spans="1:18">
      <c r="A443" s="360">
        <v>800010</v>
      </c>
      <c r="B443" s="361" t="str">
        <f>VLOOKUP(A443,'TB for financial'!A:B,2,0)</f>
        <v>State Income Taxes</v>
      </c>
      <c r="C443" s="362" t="s">
        <v>769</v>
      </c>
      <c r="E443" s="363">
        <f>VLOOKUP(A443,'TB for financial'!A:F,6,0)</f>
        <v>0</v>
      </c>
      <c r="F443" s="349"/>
      <c r="G443" s="363">
        <f>VLOOKUP(A443,'TB for financial'!A:K,11,0)</f>
        <v>0</v>
      </c>
      <c r="H443" s="346">
        <v>800010</v>
      </c>
      <c r="I443" s="1439">
        <v>0</v>
      </c>
      <c r="J443" s="363">
        <v>0</v>
      </c>
      <c r="K443" s="363">
        <v>0</v>
      </c>
      <c r="L443" s="363">
        <v>0</v>
      </c>
      <c r="M443" s="363">
        <v>0</v>
      </c>
      <c r="N443" s="363">
        <f t="shared" ref="N443:N453" si="72">+J443+K443</f>
        <v>0</v>
      </c>
      <c r="O443" s="363">
        <f t="shared" ref="O443:O452" si="73">+E443-N443</f>
        <v>0</v>
      </c>
    </row>
    <row r="444" spans="1:18">
      <c r="A444" s="360">
        <v>800011</v>
      </c>
      <c r="B444" s="361" t="str">
        <f>VLOOKUP(A444,'TB for financial'!A:B,2,0)</f>
        <v>Canada - State Income Tax</v>
      </c>
      <c r="C444" s="362" t="s">
        <v>769</v>
      </c>
      <c r="E444" s="363">
        <f>VLOOKUP(A444,'TB for financial'!A:F,6,0)</f>
        <v>0</v>
      </c>
      <c r="F444" s="349"/>
      <c r="G444" s="363">
        <f>VLOOKUP(A444,'TB for financial'!A:K,11,0)</f>
        <v>0</v>
      </c>
      <c r="H444" s="346" t="e">
        <v>#N/A</v>
      </c>
      <c r="I444" s="1439" t="e">
        <v>#N/A</v>
      </c>
      <c r="J444" s="363">
        <v>0</v>
      </c>
      <c r="K444" s="363">
        <v>0</v>
      </c>
      <c r="L444" s="363">
        <v>0</v>
      </c>
      <c r="M444" s="363">
        <v>0</v>
      </c>
      <c r="N444" s="363">
        <f t="shared" si="72"/>
        <v>0</v>
      </c>
      <c r="O444" s="363">
        <f t="shared" si="73"/>
        <v>0</v>
      </c>
    </row>
    <row r="445" spans="1:18">
      <c r="A445" s="360">
        <v>800015</v>
      </c>
      <c r="B445" s="361" t="str">
        <f>VLOOKUP(A445,'TB for financial'!A:B,2,0)</f>
        <v>Federal Income Taxes</v>
      </c>
      <c r="C445" s="362" t="s">
        <v>769</v>
      </c>
      <c r="E445" s="363">
        <f>VLOOKUP(A445,'TB for financial'!A:F,6,0)</f>
        <v>0</v>
      </c>
      <c r="F445" s="349"/>
      <c r="G445" s="363">
        <f>VLOOKUP(A445,'TB for financial'!A:K,11,0)</f>
        <v>0</v>
      </c>
      <c r="H445" s="346">
        <v>800015</v>
      </c>
      <c r="I445" s="1439">
        <v>0</v>
      </c>
      <c r="J445" s="363">
        <v>0</v>
      </c>
      <c r="K445" s="363">
        <v>0</v>
      </c>
      <c r="L445" s="363">
        <v>0</v>
      </c>
      <c r="M445" s="363">
        <v>0</v>
      </c>
      <c r="N445" s="363">
        <f t="shared" si="72"/>
        <v>0</v>
      </c>
      <c r="O445" s="363">
        <f t="shared" si="73"/>
        <v>0</v>
      </c>
      <c r="P445" s="347">
        <v>800015</v>
      </c>
      <c r="Q445" s="365" t="e">
        <v>#N/A</v>
      </c>
      <c r="R445" s="365" t="e">
        <f>+E445-Q445</f>
        <v>#N/A</v>
      </c>
    </row>
    <row r="446" spans="1:18">
      <c r="A446" s="360">
        <v>800016</v>
      </c>
      <c r="B446" s="361" t="str">
        <f>VLOOKUP(A446,'TB for financial'!A:B,2,0)</f>
        <v>Canada - Federal Income Tax</v>
      </c>
      <c r="C446" s="362" t="s">
        <v>769</v>
      </c>
      <c r="E446" s="363">
        <f>VLOOKUP(A446,'TB for financial'!A:F,6,0)</f>
        <v>0</v>
      </c>
      <c r="F446" s="349"/>
      <c r="G446" s="363">
        <f>VLOOKUP(A446,'TB for financial'!A:K,11,0)</f>
        <v>0</v>
      </c>
      <c r="H446" s="346" t="e">
        <v>#N/A</v>
      </c>
      <c r="I446" s="1439" t="e">
        <v>#N/A</v>
      </c>
      <c r="J446" s="363">
        <v>0</v>
      </c>
      <c r="K446" s="363">
        <v>0</v>
      </c>
      <c r="L446" s="363">
        <v>0</v>
      </c>
      <c r="M446" s="363">
        <v>0</v>
      </c>
      <c r="N446" s="363">
        <f t="shared" si="72"/>
        <v>0</v>
      </c>
      <c r="O446" s="363">
        <f t="shared" si="73"/>
        <v>0</v>
      </c>
    </row>
    <row r="447" spans="1:18">
      <c r="A447" s="360">
        <v>800020</v>
      </c>
      <c r="B447" s="361" t="str">
        <f>VLOOKUP(A447,'TB for financial'!A:B,2,0)</f>
        <v>Foreign Earned Income Tax Prov</v>
      </c>
      <c r="C447" s="362" t="s">
        <v>769</v>
      </c>
      <c r="E447" s="363">
        <f>VLOOKUP(A447,'TB for financial'!A:F,6,0)</f>
        <v>0</v>
      </c>
      <c r="G447" s="363">
        <f>VLOOKUP(A447,'TB for financial'!A:K,11,0)</f>
        <v>0</v>
      </c>
      <c r="H447" s="346">
        <v>800020</v>
      </c>
      <c r="I447" s="1439">
        <v>0</v>
      </c>
      <c r="J447" s="363">
        <v>0</v>
      </c>
      <c r="K447" s="363">
        <v>0</v>
      </c>
      <c r="L447" s="363">
        <v>0</v>
      </c>
      <c r="M447" s="363">
        <v>0</v>
      </c>
      <c r="N447" s="363">
        <f t="shared" si="72"/>
        <v>0</v>
      </c>
      <c r="O447" s="363">
        <f t="shared" si="73"/>
        <v>0</v>
      </c>
      <c r="P447" s="347">
        <v>800020</v>
      </c>
      <c r="Q447" s="365" t="e">
        <v>#N/A</v>
      </c>
      <c r="R447" s="365" t="e">
        <f>+E447-Q447</f>
        <v>#N/A</v>
      </c>
    </row>
    <row r="448" spans="1:18">
      <c r="A448" s="360">
        <v>800021</v>
      </c>
      <c r="B448" s="361" t="str">
        <f>VLOOKUP(A448,'TB for financial'!A:B,2,0)</f>
        <v>Indian Income taxes</v>
      </c>
      <c r="C448" s="362" t="s">
        <v>769</v>
      </c>
      <c r="E448" s="363">
        <f>VLOOKUP(A448,'TB for financial'!A:F,6,0)</f>
        <v>0</v>
      </c>
      <c r="F448" s="349"/>
      <c r="G448" s="363">
        <f>VLOOKUP(A448,'TB for financial'!A:K,11,0)</f>
        <v>0</v>
      </c>
      <c r="H448" s="346">
        <v>800021</v>
      </c>
      <c r="I448" s="1439">
        <v>0</v>
      </c>
      <c r="J448" s="363">
        <v>1510576</v>
      </c>
      <c r="K448" s="363">
        <v>552864</v>
      </c>
      <c r="L448" s="363">
        <v>0</v>
      </c>
      <c r="M448" s="363">
        <v>0</v>
      </c>
      <c r="N448" s="363">
        <f t="shared" si="72"/>
        <v>2063440</v>
      </c>
      <c r="O448" s="363">
        <f t="shared" si="73"/>
        <v>-2063440</v>
      </c>
      <c r="P448" s="347">
        <v>800021</v>
      </c>
      <c r="Q448" s="365" t="e">
        <v>#N/A</v>
      </c>
      <c r="R448" s="365" t="e">
        <f>+E448-Q448</f>
        <v>#N/A</v>
      </c>
    </row>
    <row r="449" spans="1:23">
      <c r="A449" s="360">
        <v>800022</v>
      </c>
      <c r="B449" s="361" t="str">
        <f>VLOOKUP(A449,'TB for financial'!A:B,2,0)</f>
        <v>Deferred Income taxes</v>
      </c>
      <c r="C449" s="362" t="s">
        <v>769</v>
      </c>
      <c r="D449" s="354">
        <v>800022</v>
      </c>
      <c r="E449" s="363">
        <f>VLOOKUP(A449,'TB for financial'!A:F,6,0)</f>
        <v>0</v>
      </c>
      <c r="G449" s="363">
        <f>VLOOKUP(A449,'TB for financial'!A:K,11,0)</f>
        <v>0</v>
      </c>
      <c r="H449" s="346">
        <v>800022</v>
      </c>
      <c r="I449" s="1439">
        <v>0</v>
      </c>
      <c r="J449" s="363">
        <v>-78736.068928980952</v>
      </c>
      <c r="K449" s="363">
        <v>-21277.282212499827</v>
      </c>
      <c r="L449" s="363">
        <v>0</v>
      </c>
      <c r="M449" s="363">
        <v>0</v>
      </c>
      <c r="N449" s="363">
        <f t="shared" si="72"/>
        <v>-100013.35114148079</v>
      </c>
      <c r="O449" s="363">
        <f t="shared" si="73"/>
        <v>100013.35114148079</v>
      </c>
      <c r="P449" s="347">
        <v>800022</v>
      </c>
      <c r="Q449" s="365"/>
      <c r="R449" s="365"/>
    </row>
    <row r="450" spans="1:23">
      <c r="A450" s="360">
        <v>800023</v>
      </c>
      <c r="B450" s="361" t="str">
        <f>VLOOKUP(A450,'TB for financial'!A:B,2,0)</f>
        <v>UK Corporation Tax</v>
      </c>
      <c r="C450" s="362" t="s">
        <v>769</v>
      </c>
      <c r="E450" s="363">
        <f>VLOOKUP(A450,'TB for financial'!A:F,6,0)</f>
        <v>0</v>
      </c>
      <c r="G450" s="363">
        <f>VLOOKUP(A450,'TB for financial'!A:K,11,0)</f>
        <v>0</v>
      </c>
      <c r="H450" s="346" t="e">
        <v>#N/A</v>
      </c>
      <c r="I450" s="1439" t="e">
        <v>#N/A</v>
      </c>
      <c r="J450" s="363">
        <v>0</v>
      </c>
      <c r="K450" s="363">
        <v>0</v>
      </c>
      <c r="L450" s="363">
        <v>0</v>
      </c>
      <c r="M450" s="363">
        <v>0</v>
      </c>
      <c r="N450" s="363">
        <f t="shared" si="72"/>
        <v>0</v>
      </c>
      <c r="O450" s="363">
        <f t="shared" si="73"/>
        <v>0</v>
      </c>
    </row>
    <row r="451" spans="1:23">
      <c r="A451" s="360">
        <v>800024</v>
      </c>
      <c r="B451" s="361" t="str">
        <f>VLOOKUP(A451,'TB for financial'!A:B,2,0)</f>
        <v>City Corporate Income Tax</v>
      </c>
      <c r="C451" s="362" t="s">
        <v>769</v>
      </c>
      <c r="E451" s="363">
        <f>VLOOKUP(A451,'TB for financial'!A:F,6,0)</f>
        <v>0</v>
      </c>
      <c r="G451" s="363">
        <f>VLOOKUP(A451,'TB for financial'!A:K,11,0)</f>
        <v>0</v>
      </c>
      <c r="H451" s="346" t="e">
        <v>#N/A</v>
      </c>
      <c r="I451" s="1439" t="e">
        <v>#N/A</v>
      </c>
      <c r="J451" s="363">
        <v>0</v>
      </c>
      <c r="K451" s="363">
        <v>0</v>
      </c>
      <c r="L451" s="363">
        <v>0</v>
      </c>
      <c r="M451" s="363">
        <v>0</v>
      </c>
      <c r="N451" s="363">
        <f t="shared" si="72"/>
        <v>0</v>
      </c>
      <c r="O451" s="363">
        <f t="shared" si="73"/>
        <v>0</v>
      </c>
    </row>
    <row r="452" spans="1:23">
      <c r="A452" s="360">
        <v>800029</v>
      </c>
      <c r="B452" s="361" t="str">
        <f>VLOOKUP(A452,'TB for financial'!A:B,2,0)</f>
        <v>Income Tax on Prop Dividend</v>
      </c>
      <c r="C452" s="362" t="s">
        <v>2041</v>
      </c>
      <c r="E452" s="363">
        <f>VLOOKUP(A452,'TB for financial'!A:F,6,0)</f>
        <v>0</v>
      </c>
      <c r="G452" s="363">
        <f>VLOOKUP(A452,'TB for financial'!A:K,11,0)</f>
        <v>0</v>
      </c>
      <c r="H452" s="346">
        <v>800029</v>
      </c>
      <c r="I452" s="1439">
        <v>0</v>
      </c>
      <c r="J452" s="363">
        <v>0</v>
      </c>
      <c r="K452" s="363">
        <v>0</v>
      </c>
      <c r="L452" s="363">
        <v>0</v>
      </c>
      <c r="M452" s="363">
        <v>0</v>
      </c>
      <c r="N452" s="363">
        <f t="shared" si="72"/>
        <v>0</v>
      </c>
      <c r="O452" s="363">
        <f t="shared" si="73"/>
        <v>0</v>
      </c>
      <c r="P452" s="347">
        <v>800029</v>
      </c>
      <c r="Q452" s="365"/>
      <c r="R452" s="365"/>
    </row>
    <row r="453" spans="1:23">
      <c r="A453" s="360">
        <v>800030</v>
      </c>
      <c r="B453" s="361" t="str">
        <f>VLOOKUP(A453,'TB for financial'!A:B,2,0)</f>
        <v>Indian Fringe Benefit Tax</v>
      </c>
      <c r="C453" s="362" t="s">
        <v>769</v>
      </c>
      <c r="E453" s="363">
        <f>VLOOKUP(A453,'TB for financial'!A:F,6,0)</f>
        <v>0</v>
      </c>
      <c r="G453" s="363">
        <f>VLOOKUP(A453,'TB for financial'!A:K,11,0)</f>
        <v>0</v>
      </c>
      <c r="H453" s="346">
        <v>800030</v>
      </c>
      <c r="I453" s="1439">
        <v>0</v>
      </c>
      <c r="J453" s="363">
        <v>0</v>
      </c>
      <c r="K453" s="363">
        <v>0</v>
      </c>
      <c r="L453" s="363">
        <v>0</v>
      </c>
      <c r="M453" s="363">
        <v>0</v>
      </c>
      <c r="N453" s="363">
        <f t="shared" si="72"/>
        <v>0</v>
      </c>
      <c r="O453" s="363">
        <f>+E453-N453</f>
        <v>0</v>
      </c>
    </row>
    <row r="454" spans="1:23">
      <c r="A454" s="360">
        <v>695000</v>
      </c>
      <c r="B454" s="361" t="str">
        <f>VLOOKUP(A454,'TB for financial'!A:B,2,0)</f>
        <v>CORPORATE INCOME TAX</v>
      </c>
      <c r="C454" s="362" t="s">
        <v>769</v>
      </c>
      <c r="E454" s="363">
        <f>VLOOKUP(A454,'TB for financial'!A:F,6,0)</f>
        <v>42613708.547614634</v>
      </c>
      <c r="G454" s="363">
        <f>VLOOKUP(A454,'TB for financial'!A:K,11,0)</f>
        <v>4035301.4153661877</v>
      </c>
      <c r="I454" s="1439"/>
      <c r="J454" s="363"/>
      <c r="K454" s="363"/>
      <c r="L454" s="363"/>
      <c r="M454" s="363"/>
      <c r="N454" s="363"/>
      <c r="O454" s="363"/>
    </row>
    <row r="455" spans="1:23">
      <c r="A455" s="360">
        <v>695900</v>
      </c>
      <c r="B455" s="361" t="str">
        <f>VLOOKUP(A455,'TB for financial'!A:B,2,0)</f>
        <v>DEFERRED TAX CHARGES</v>
      </c>
      <c r="C455" s="362" t="s">
        <v>769</v>
      </c>
      <c r="D455" s="354" t="e">
        <v>#N/A</v>
      </c>
      <c r="E455" s="1520">
        <f>VLOOKUP(A455,'TB for financial'!A:F,6,0)</f>
        <v>3452021.4153661877</v>
      </c>
      <c r="G455" s="363">
        <f>VLOOKUP(A455,'TB for financial'!A:K,11,0)</f>
        <v>-26030839.867771547</v>
      </c>
      <c r="H455" s="346" t="e">
        <v>#N/A</v>
      </c>
      <c r="I455" s="1439" t="e">
        <v>#N/A</v>
      </c>
      <c r="J455" s="363"/>
      <c r="K455" s="363"/>
      <c r="L455" s="363"/>
      <c r="M455" s="363"/>
      <c r="N455" s="363"/>
      <c r="O455" s="363"/>
      <c r="U455" s="1577"/>
      <c r="V455" s="1577"/>
      <c r="W455" s="1577"/>
    </row>
    <row r="456" spans="1:23" ht="5.0999999999999996" customHeight="1">
      <c r="A456" s="360"/>
      <c r="B456" s="361"/>
      <c r="C456" s="362"/>
      <c r="E456" s="363"/>
      <c r="G456" s="363"/>
      <c r="J456" s="363"/>
      <c r="K456" s="363"/>
      <c r="L456" s="363"/>
      <c r="M456" s="363"/>
      <c r="N456" s="363"/>
      <c r="O456" s="363"/>
    </row>
    <row r="457" spans="1:23" s="350" customFormat="1" ht="15" thickBot="1">
      <c r="A457" s="377"/>
      <c r="B457" s="378" t="s">
        <v>770</v>
      </c>
      <c r="C457" s="1629"/>
      <c r="D457" s="1628"/>
      <c r="E457" s="367">
        <f>SUM(E443:E456)</f>
        <v>46065729.962980822</v>
      </c>
      <c r="F457" s="349"/>
      <c r="G457" s="367">
        <f>SUM(G443:G456)</f>
        <v>-21995538.45240536</v>
      </c>
      <c r="H457" s="349"/>
      <c r="J457" s="367">
        <f t="shared" ref="J457:O457" si="74">SUM(J443:J456)</f>
        <v>1431839.931071019</v>
      </c>
      <c r="K457" s="367">
        <f t="shared" si="74"/>
        <v>531586.71778750012</v>
      </c>
      <c r="L457" s="367">
        <f t="shared" si="74"/>
        <v>0</v>
      </c>
      <c r="M457" s="367">
        <f t="shared" si="74"/>
        <v>0</v>
      </c>
      <c r="N457" s="367">
        <f t="shared" si="74"/>
        <v>1963426.6488585193</v>
      </c>
      <c r="O457" s="367">
        <f t="shared" si="74"/>
        <v>-1963426.6488585193</v>
      </c>
    </row>
    <row r="458" spans="1:23" ht="15" thickTop="1">
      <c r="A458" s="379"/>
      <c r="C458" s="354"/>
      <c r="E458" s="346">
        <f>+E459+E457</f>
        <v>-2152972.5673652738</v>
      </c>
      <c r="G458" s="346">
        <f>+G459+G457</f>
        <v>20472974.722975556</v>
      </c>
      <c r="J458" s="346">
        <f t="shared" ref="J458:O458" si="75">+J459+J457</f>
        <v>-4776706.9626999935</v>
      </c>
      <c r="K458" s="346">
        <f t="shared" si="75"/>
        <v>-1856995.0228286404</v>
      </c>
      <c r="L458" s="346">
        <f t="shared" si="75"/>
        <v>0</v>
      </c>
      <c r="M458" s="346">
        <f t="shared" si="75"/>
        <v>0</v>
      </c>
      <c r="N458" s="346">
        <f t="shared" si="75"/>
        <v>-6633701.9855286311</v>
      </c>
      <c r="O458" s="346">
        <f t="shared" si="75"/>
        <v>-10870431.524471369</v>
      </c>
      <c r="Q458" s="365">
        <f>+E458-PL!F26</f>
        <v>803311.43263472617</v>
      </c>
    </row>
    <row r="459" spans="1:23">
      <c r="A459" s="380"/>
      <c r="E459" s="346">
        <f>+E18+E24+E47-E104-E134-E150-E162-E176-E181-E189-E201-E214-E219-E229-E237-E248-E257-E265-E272-E276-E289-E313-E325-E335-E353+E358-E412+E428-E435-E440-E457</f>
        <v>-48218702.530346096</v>
      </c>
      <c r="G459" s="346">
        <f>+G18+G24+G47-G104-G134-G150-G162-G176-G181-G189-G201-G214-G219-G229-G237-G248-G257-G265-G272-G276-G289-G313-G325-G335-G353+G358-G412+G428-G435-G440-G457</f>
        <v>42468513.175380915</v>
      </c>
      <c r="J459" s="346">
        <f t="shared" ref="J459:O459" si="76">+J18+J24+J47-J104-J134-J150-J162-J176-J181-J189-J201-J214-J219-J229-J237-J248-J257-J265-J272-J276-J289-J313-J325-J335-J353+J358-J412+J428-J435-J457</f>
        <v>-6208546.8937710123</v>
      </c>
      <c r="K459" s="346">
        <f t="shared" si="76"/>
        <v>-2388581.7406161404</v>
      </c>
      <c r="L459" s="346">
        <f t="shared" si="76"/>
        <v>0</v>
      </c>
      <c r="M459" s="346">
        <f t="shared" si="76"/>
        <v>0</v>
      </c>
      <c r="N459" s="346">
        <f t="shared" si="76"/>
        <v>-8597128.6343871504</v>
      </c>
      <c r="O459" s="346">
        <f t="shared" si="76"/>
        <v>-8907004.8756128494</v>
      </c>
    </row>
    <row r="460" spans="1:23">
      <c r="A460" s="380"/>
      <c r="B460" s="381"/>
      <c r="C460" s="382"/>
      <c r="E460" s="1521"/>
      <c r="G460" s="383"/>
      <c r="H460" s="1479"/>
      <c r="I460" s="365"/>
    </row>
    <row r="461" spans="1:23">
      <c r="B461" s="384" t="s">
        <v>57</v>
      </c>
      <c r="C461" s="384"/>
      <c r="E461" s="1522">
        <f>ROUND(SUMIF($C:$C,$B461,E:E)/Master!$B$23,0)</f>
        <v>10984519</v>
      </c>
      <c r="G461" s="385">
        <f>ROUND(SUMIF($C:$C,$B461,G:G)/Master!$B$23,0)</f>
        <v>14480207</v>
      </c>
      <c r="H461" s="1479"/>
      <c r="I461" s="347">
        <f>+E459/'Notes 28-35'!J266</f>
        <v>-4821.87025303461</v>
      </c>
      <c r="J461" s="347">
        <f>+E459/100000</f>
        <v>-482.18702530346093</v>
      </c>
    </row>
    <row r="462" spans="1:23">
      <c r="B462" s="386" t="s">
        <v>58</v>
      </c>
      <c r="C462" s="386"/>
      <c r="E462" s="1522">
        <f>ROUND(SUMIF($C:$C,$B462,E:E)/Master!$B$23,0)</f>
        <v>-3786561</v>
      </c>
      <c r="G462" s="385">
        <f>ROUND(SUMIF($C:$C,$B462,G:G)/Master!$B$23,0)</f>
        <v>36233546</v>
      </c>
      <c r="H462" s="1479"/>
      <c r="I462" s="347">
        <f>+G459/'Notes 28-35'!K266</f>
        <v>4246.8513175380913</v>
      </c>
    </row>
    <row r="463" spans="1:23">
      <c r="B463" s="387" t="s">
        <v>771</v>
      </c>
      <c r="C463" s="387"/>
      <c r="E463" s="1523">
        <f>SUM(E461:E462)</f>
        <v>7197958</v>
      </c>
      <c r="G463" s="388">
        <f>SUM(G461:G462)</f>
        <v>50713753</v>
      </c>
      <c r="H463" s="1480"/>
    </row>
    <row r="464" spans="1:23">
      <c r="B464" s="389"/>
      <c r="C464" s="389"/>
      <c r="E464" s="1522"/>
      <c r="G464" s="385"/>
      <c r="H464" s="1479"/>
      <c r="J464" s="1383">
        <f>SUM('TB for financial'!F752:F1101)</f>
        <v>49636608.757445276</v>
      </c>
    </row>
    <row r="465" spans="1:10">
      <c r="B465" s="389" t="s">
        <v>60</v>
      </c>
      <c r="C465" s="389"/>
      <c r="E465" s="1522"/>
      <c r="G465" s="385"/>
      <c r="H465" s="1479"/>
      <c r="J465" s="1383">
        <f>+PL!F37</f>
        <v>-49022014</v>
      </c>
    </row>
    <row r="466" spans="1:10">
      <c r="A466" s="379"/>
      <c r="B466" s="389"/>
      <c r="C466" s="389"/>
      <c r="E466" s="1522"/>
      <c r="G466" s="385"/>
      <c r="H466" s="1479"/>
      <c r="J466" s="1383">
        <f>+J464+J465</f>
        <v>614594.75744527578</v>
      </c>
    </row>
    <row r="467" spans="1:10">
      <c r="A467" s="379"/>
      <c r="B467" s="384" t="s">
        <v>738</v>
      </c>
      <c r="C467" s="384"/>
      <c r="E467" s="1522">
        <f>ROUND(SUMIF($C:$C,$B467,E:E)/Master!$B$23,0)</f>
        <v>7068414</v>
      </c>
      <c r="G467" s="385">
        <f>ROUND(SUMIF($C:$C,$B467,G:G)/Master!$B$23,0)</f>
        <v>8707022</v>
      </c>
      <c r="H467" s="1479"/>
    </row>
    <row r="468" spans="1:10">
      <c r="A468" s="379"/>
      <c r="B468" s="384" t="s">
        <v>772</v>
      </c>
      <c r="C468" s="384"/>
      <c r="E468" s="1522">
        <f>ROUND(SUMIF($C:$C,$B468,E:E)/Master!$B$23,0)</f>
        <v>31450853</v>
      </c>
      <c r="G468" s="385">
        <f>ROUND(SUMIF($C:$C,$B468,G:G)/Master!$B$23,0)</f>
        <v>14031849</v>
      </c>
      <c r="H468" s="1479"/>
    </row>
    <row r="469" spans="1:10">
      <c r="A469" s="379"/>
      <c r="B469" s="384" t="s">
        <v>767</v>
      </c>
      <c r="C469" s="384"/>
      <c r="E469" s="1522">
        <f>ROUND(SUMIF($C:$C,$B469,E:E)/Master!$B$23,0)</f>
        <v>3206674</v>
      </c>
      <c r="G469" s="385">
        <f>ROUND(SUMIF($C:$C,$B469,G:G)/Master!$B$23,0)</f>
        <v>3180953</v>
      </c>
      <c r="H469" s="1479"/>
    </row>
    <row r="470" spans="1:10">
      <c r="A470" s="379"/>
      <c r="B470" s="384" t="s">
        <v>62</v>
      </c>
      <c r="C470" s="384"/>
      <c r="E470" s="1522">
        <f>ROUND(SUMIF($C:$C,$B470,E:E)/Master!$B$23,0)</f>
        <v>0</v>
      </c>
      <c r="G470" s="385">
        <f>ROUND(SUMIF($C:$C,$B470,G:G)/Master!$B$23,0)</f>
        <v>0</v>
      </c>
      <c r="H470" s="1479"/>
    </row>
    <row r="471" spans="1:10">
      <c r="A471" s="379"/>
      <c r="B471" s="384" t="s">
        <v>63</v>
      </c>
      <c r="C471" s="384"/>
      <c r="E471" s="1522">
        <f>ROUND(SUMIF($C:$C,$B471,E:E)/Master!$B$23,0)</f>
        <v>0</v>
      </c>
      <c r="G471" s="385">
        <f>ROUND(SUMIF($C:$C,$B471,G:G)/Master!$B$23,0)</f>
        <v>0</v>
      </c>
      <c r="H471" s="1479"/>
    </row>
    <row r="472" spans="1:10">
      <c r="A472" s="379"/>
      <c r="B472" s="384" t="s">
        <v>743</v>
      </c>
      <c r="C472" s="384"/>
      <c r="E472" s="1522">
        <f>ROUND(SUMIF($C:$C,$B472,E:E)/Master!$B$23,0)</f>
        <v>7808277</v>
      </c>
      <c r="G472" s="385">
        <f>ROUND(SUMIF($C:$C,$B472,G:G)/Master!$B$23,0)</f>
        <v>5597997</v>
      </c>
      <c r="H472" s="1479"/>
    </row>
    <row r="473" spans="1:10">
      <c r="A473" s="379"/>
      <c r="B473" s="389" t="s">
        <v>66</v>
      </c>
      <c r="C473" s="389"/>
      <c r="E473" s="383">
        <f>SUM(E467:E472)</f>
        <v>49534218</v>
      </c>
      <c r="G473" s="388">
        <f>SUM(G467:G472)</f>
        <v>31517821</v>
      </c>
      <c r="H473" s="1480"/>
    </row>
    <row r="474" spans="1:10">
      <c r="A474" s="379"/>
      <c r="B474" s="389"/>
      <c r="C474" s="389"/>
      <c r="E474" s="385"/>
      <c r="G474" s="385"/>
      <c r="H474" s="1479"/>
    </row>
    <row r="475" spans="1:10">
      <c r="A475" s="379"/>
      <c r="B475" s="389" t="s">
        <v>769</v>
      </c>
      <c r="C475" s="389"/>
      <c r="E475" s="385">
        <f>ROUND(SUMIF($C:$C,$B475,E:E)/Master!$B$23,0)</f>
        <v>46065730</v>
      </c>
      <c r="G475" s="385">
        <f>ROUND(SUMIF($C:$C,$B475,G:G)/Master!$B$23,0)</f>
        <v>-21995538</v>
      </c>
      <c r="H475" s="1479"/>
    </row>
    <row r="476" spans="1:10">
      <c r="A476" s="379"/>
      <c r="B476" s="389"/>
      <c r="C476" s="389"/>
      <c r="E476" s="385"/>
      <c r="G476" s="385"/>
      <c r="H476" s="1479"/>
    </row>
    <row r="477" spans="1:10">
      <c r="A477" s="379"/>
      <c r="B477" s="390" t="s">
        <v>773</v>
      </c>
      <c r="C477" s="390"/>
      <c r="E477" s="391">
        <f>+E463-E473-E475</f>
        <v>-88401990</v>
      </c>
      <c r="G477" s="391">
        <f>+G463-G473-G475</f>
        <v>41191470</v>
      </c>
      <c r="H477" s="1479"/>
    </row>
    <row r="478" spans="1:10">
      <c r="A478" s="379"/>
      <c r="E478" s="346">
        <f>+E477-'Sch - PL'!E133</f>
        <v>-54347515</v>
      </c>
      <c r="G478" s="346">
        <f>+G477-'Sch - PL'!G133</f>
        <v>-17212803</v>
      </c>
    </row>
    <row r="479" spans="1:10">
      <c r="E479" s="346">
        <f>+E477-PL!F37</f>
        <v>-39379976</v>
      </c>
    </row>
    <row r="480" spans="1:10">
      <c r="E480" s="346">
        <f>+E459/10000</f>
        <v>-4821.87025303461</v>
      </c>
      <c r="G480" s="346">
        <f>+G459/10000</f>
        <v>4246.8513175380913</v>
      </c>
    </row>
  </sheetData>
  <autoFilter ref="A4:G457" xr:uid="{00000000-0001-0000-1400-000000000000}"/>
  <conditionalFormatting sqref="E1:E458">
    <cfRule type="cellIs" dxfId="67" priority="1" operator="lessThan">
      <formula>0</formula>
    </cfRule>
  </conditionalFormatting>
  <conditionalFormatting sqref="E460:E1048576">
    <cfRule type="cellIs" dxfId="66" priority="15" operator="lessThan">
      <formula>0</formula>
    </cfRule>
  </conditionalFormatting>
  <conditionalFormatting sqref="G458:H458">
    <cfRule type="cellIs" dxfId="65" priority="14" operator="lessThan">
      <formula>0</formula>
    </cfRule>
  </conditionalFormatting>
  <conditionalFormatting sqref="G480:H480">
    <cfRule type="cellIs" dxfId="64" priority="8" operator="lessThan">
      <formula>0</formula>
    </cfRule>
  </conditionalFormatting>
  <conditionalFormatting sqref="J458:O458">
    <cfRule type="cellIs" dxfId="63" priority="9" operator="lessThan">
      <formula>0</formula>
    </cfRule>
  </conditionalFormatting>
  <pageMargins left="0.7" right="0.7" top="0.75" bottom="0.75" header="0.3" footer="0.3"/>
  <pageSetup scale="97" orientation="portrait" r:id="rId1"/>
</worksheet>
</file>

<file path=xl/worksheets/sheet10.xml><?xml version="1.0" encoding="utf-8"?>
<worksheet xmlns="http://schemas.openxmlformats.org/spreadsheetml/2006/main" xmlns:xm="http://schemas.microsoft.com/office/exce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CEAC1-CE19-4C5D-B368-026BF00CADA7}">
  <sheetPr>
    <tabColor rgb="FF006666"/>
  </sheetPr>
  <dimension ref="A1"/>
  <sheetViews>
    <sheetView workbookViewId="0"/>
  </sheetViews>
  <sheetFormatPr defaultRowHeight="14.4"/>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6666"/>
  </sheetPr>
  <dimension ref="A1:I133"/>
  <sheetViews>
    <sheetView showGridLines="0" view="pageBreakPreview" topLeftCell="A103" zoomScaleSheetLayoutView="100" workbookViewId="0">
      <selection activeCell="B12" sqref="B12"/>
    </sheetView>
  </sheetViews>
  <sheetFormatPr defaultColWidth="9.21875" defaultRowHeight="14.4"/>
  <cols>
    <col min="1" max="1" width="46.21875" style="272" customWidth="1"/>
    <col min="2" max="2" width="0.77734375" style="226" customWidth="1"/>
    <col min="3" max="3" width="5.44140625" style="226" bestFit="1" customWidth="1"/>
    <col min="4" max="4" width="0.77734375" style="226" customWidth="1"/>
    <col min="5" max="5" width="15.21875" style="226" bestFit="1" customWidth="1"/>
    <col min="6" max="6" width="0.77734375" style="226" customWidth="1"/>
    <col min="7" max="7" width="15.21875" style="226" bestFit="1" customWidth="1"/>
    <col min="8" max="8" width="10.21875" style="226" customWidth="1"/>
    <col min="9" max="16384" width="9.21875" style="226"/>
  </cols>
  <sheetData>
    <row r="1" spans="1:7" ht="42">
      <c r="A1" s="224" t="str">
        <f>+Master!$B$2</f>
        <v>Syntel Solutions (India) Private Limited</v>
      </c>
      <c r="B1" s="225"/>
    </row>
    <row r="2" spans="1:7">
      <c r="A2" s="228" t="str">
        <f>"Notes forming part of financial statements for the period ended " &amp;Master!$B$5</f>
        <v>Notes forming part of financial statements for the period ended 31st March 2025</v>
      </c>
      <c r="B2" s="228"/>
    </row>
    <row r="3" spans="1:7" ht="5.0999999999999996" customHeight="1">
      <c r="A3" s="229"/>
      <c r="B3" s="230"/>
    </row>
    <row r="4" spans="1:7">
      <c r="A4" s="227"/>
      <c r="B4" s="231"/>
      <c r="G4" s="232" t="str">
        <f>+Master!B24</f>
        <v>(Rs.)</v>
      </c>
    </row>
    <row r="5" spans="1:7" s="234" customFormat="1">
      <c r="A5" s="233"/>
      <c r="C5" s="235"/>
      <c r="D5" s="236"/>
      <c r="E5" s="235">
        <f>+Master!$B$7</f>
        <v>2025</v>
      </c>
      <c r="F5" s="236"/>
      <c r="G5" s="235">
        <f>+Master!$B$13</f>
        <v>2024</v>
      </c>
    </row>
    <row r="6" spans="1:7" s="234" customFormat="1">
      <c r="A6" s="237" t="s">
        <v>774</v>
      </c>
      <c r="C6" s="238"/>
      <c r="D6" s="236"/>
      <c r="E6" s="392"/>
      <c r="F6" s="393"/>
      <c r="G6" s="392"/>
    </row>
    <row r="7" spans="1:7">
      <c r="A7" s="256" t="s">
        <v>774</v>
      </c>
      <c r="B7" s="226" t="s">
        <v>286</v>
      </c>
      <c r="C7" s="254"/>
      <c r="E7" s="1625">
        <f>ROUND(('PL Gr'!E18)/Master!$B$23,0)+ROUND(('PL Gr'!E20)/Master!$B$23,0)</f>
        <v>10984519</v>
      </c>
      <c r="F7" s="395"/>
      <c r="G7" s="394">
        <f>ROUND(('PL Gr'!G18)/Master!$B$23,0)+ROUND(('PL Gr'!G20)/Master!$B$23,0)</f>
        <v>14480207</v>
      </c>
    </row>
    <row r="8" spans="1:7">
      <c r="A8" s="256" t="s">
        <v>735</v>
      </c>
      <c r="C8" s="254"/>
      <c r="E8" s="394">
        <f>ROUND(('PL Gr'!E24)/Master!$B$23,0)-ROUND(('PL Gr'!E20)/Master!$B$23,0)</f>
        <v>0</v>
      </c>
      <c r="F8" s="395"/>
      <c r="G8" s="394">
        <f>ROUND(('PL Gr'!G24)/Master!$B$23,0)-ROUND(('PL Gr'!G20)/Master!$B$23,0)</f>
        <v>0</v>
      </c>
    </row>
    <row r="9" spans="1:7" ht="8.1" customHeight="1">
      <c r="A9" s="259"/>
      <c r="C9" s="254"/>
      <c r="E9" s="255"/>
      <c r="F9" s="252"/>
      <c r="G9" s="255"/>
    </row>
    <row r="10" spans="1:7" ht="15" thickBot="1">
      <c r="A10" s="246"/>
      <c r="B10" s="230"/>
      <c r="C10" s="247"/>
      <c r="D10" s="234"/>
      <c r="E10" s="1633">
        <f>SUM(E6:E9)</f>
        <v>10984519</v>
      </c>
      <c r="F10" s="248"/>
      <c r="G10" s="396">
        <f>SUM(G6:G9)</f>
        <v>14480207</v>
      </c>
    </row>
    <row r="11" spans="1:7" ht="15" thickTop="1"/>
    <row r="12" spans="1:7">
      <c r="A12" s="277" t="s">
        <v>775</v>
      </c>
      <c r="C12" s="251"/>
      <c r="E12" s="253"/>
      <c r="F12" s="252"/>
      <c r="G12" s="253"/>
    </row>
    <row r="13" spans="1:7" ht="8.1" customHeight="1">
      <c r="A13" s="237"/>
      <c r="C13" s="239"/>
      <c r="D13" s="234"/>
      <c r="E13" s="241"/>
      <c r="F13" s="240"/>
      <c r="G13" s="241"/>
    </row>
    <row r="14" spans="1:7">
      <c r="A14" s="256" t="s">
        <v>776</v>
      </c>
      <c r="C14" s="239"/>
      <c r="D14" s="234"/>
      <c r="E14" s="394"/>
      <c r="F14" s="240"/>
      <c r="G14" s="1513"/>
    </row>
    <row r="15" spans="1:7">
      <c r="A15" s="256" t="s">
        <v>777</v>
      </c>
      <c r="C15" s="239"/>
      <c r="D15" s="234"/>
      <c r="E15" s="241">
        <f>-(-ROUND(('PL Gr'!E414+'PL Gr'!E418+'PL Gr'!E420+'PL Gr'!E421+'PL Gr'!E422+'PL Gr'!E423)/Master!$B$23,0)-ROUND(('PL Gr'!E415+'PL Gr'!E419+'PL Gr'!E424+'PL Gr'!E425+'PL Gr'!E426)/Master!$B$23,0))</f>
        <v>83032</v>
      </c>
      <c r="F15" s="240"/>
      <c r="G15" s="1512"/>
    </row>
    <row r="16" spans="1:7">
      <c r="A16" s="256" t="s">
        <v>778</v>
      </c>
      <c r="C16" s="239"/>
      <c r="D16" s="234"/>
      <c r="E16" s="241">
        <f>ROUND('PL Gr'!E417/Master!$B$23,0)</f>
        <v>0</v>
      </c>
      <c r="F16" s="240"/>
      <c r="G16" s="241">
        <f>ROUND('PL Gr'!G417/Master!$B$23,0)</f>
        <v>0</v>
      </c>
    </row>
    <row r="17" spans="1:7" ht="8.1" customHeight="1">
      <c r="A17" s="244"/>
      <c r="B17" s="245"/>
      <c r="C17" s="239"/>
      <c r="D17" s="234"/>
      <c r="E17" s="241"/>
      <c r="F17" s="240"/>
      <c r="G17" s="241"/>
    </row>
    <row r="18" spans="1:7" ht="15" thickBot="1">
      <c r="A18" s="246" t="s">
        <v>173</v>
      </c>
      <c r="B18" s="230"/>
      <c r="C18" s="247"/>
      <c r="D18" s="234"/>
      <c r="E18" s="249">
        <f>SUM(E13:E17)</f>
        <v>83032</v>
      </c>
      <c r="F18" s="248"/>
      <c r="G18" s="249">
        <f>SUM(G13:G17)</f>
        <v>0</v>
      </c>
    </row>
    <row r="19" spans="1:7" ht="15" thickTop="1"/>
    <row r="22" spans="1:7">
      <c r="A22" s="277" t="s">
        <v>737</v>
      </c>
      <c r="C22" s="251"/>
      <c r="E22" s="253"/>
      <c r="F22" s="252"/>
      <c r="G22" s="253"/>
    </row>
    <row r="23" spans="1:7">
      <c r="A23" s="237" t="s">
        <v>779</v>
      </c>
      <c r="C23" s="239"/>
      <c r="D23" s="234"/>
      <c r="E23" s="241"/>
      <c r="F23" s="240"/>
      <c r="G23" s="241"/>
    </row>
    <row r="24" spans="1:7">
      <c r="A24" s="242" t="s">
        <v>780</v>
      </c>
      <c r="C24" s="239"/>
      <c r="D24" s="234"/>
      <c r="E24" s="266">
        <f>ROUND(SUM('PL Gr'!E26+'PL Gr'!E27+'PL Gr'!E32+'PL Gr'!E40+'PL Gr'!E42+'PL Gr'!E45)/Master!$B$23,0)</f>
        <v>15602768</v>
      </c>
      <c r="F24" s="240"/>
      <c r="G24" s="241">
        <f>ROUND(SUM('PL Gr'!G26+'PL Gr'!G27+'PL Gr'!G32+'PL Gr'!G40+'PL Gr'!G42)/Master!$B$23,0)</f>
        <v>15883748</v>
      </c>
    </row>
    <row r="25" spans="1:7">
      <c r="A25" s="242" t="s">
        <v>105</v>
      </c>
      <c r="C25" s="239"/>
      <c r="D25" s="234"/>
      <c r="E25" s="241">
        <f>ROUND(('PL Gr'!E38+'PL Gr'!E43)/Master!$B$23,0)</f>
        <v>217627</v>
      </c>
      <c r="F25" s="240"/>
      <c r="G25" s="241">
        <f>ROUND(('PL Gr'!G38+'PL Gr'!G43)/Master!$B$23,0)</f>
        <v>188323</v>
      </c>
    </row>
    <row r="26" spans="1:7" ht="13.5" customHeight="1">
      <c r="A26" s="242" t="s">
        <v>190</v>
      </c>
      <c r="C26" s="239"/>
      <c r="D26" s="234"/>
      <c r="E26" s="241">
        <f>ROUND('PL Gr'!E35/Master!$B$23,0)</f>
        <v>0</v>
      </c>
      <c r="F26" s="240"/>
      <c r="G26" s="241">
        <f>ROUND('PL Gr'!G35/Master!$B$23,0)</f>
        <v>0</v>
      </c>
    </row>
    <row r="27" spans="1:7">
      <c r="A27" s="244"/>
      <c r="C27" s="239"/>
      <c r="D27" s="234"/>
      <c r="E27" s="264">
        <f>SUM(E24:E26)</f>
        <v>15820395</v>
      </c>
      <c r="F27" s="263"/>
      <c r="G27" s="264">
        <f>SUM(G24:G26)</f>
        <v>16072071</v>
      </c>
    </row>
    <row r="28" spans="1:7">
      <c r="A28" s="237" t="s">
        <v>781</v>
      </c>
      <c r="C28" s="239"/>
      <c r="D28" s="234"/>
      <c r="E28" s="241"/>
      <c r="F28" s="240"/>
      <c r="G28" s="241"/>
    </row>
    <row r="29" spans="1:7">
      <c r="A29" s="242" t="s">
        <v>782</v>
      </c>
      <c r="C29" s="239"/>
      <c r="D29" s="234"/>
      <c r="E29" s="241">
        <f>ROUND(SUM('PL Gr'!E28+'PL Gr'!E33)/Master!$B$23,0)</f>
        <v>0</v>
      </c>
      <c r="F29" s="240"/>
      <c r="G29" s="241">
        <f>ROUND(SUM('PL Gr'!G28+'PL Gr'!G33)/Master!$B$23,0)</f>
        <v>0</v>
      </c>
    </row>
    <row r="30" spans="1:7" ht="8.1" customHeight="1">
      <c r="A30" s="256"/>
      <c r="C30" s="239"/>
      <c r="D30" s="234"/>
      <c r="E30" s="241"/>
      <c r="F30" s="240"/>
      <c r="G30" s="241"/>
    </row>
    <row r="31" spans="1:7">
      <c r="A31" s="237" t="s">
        <v>783</v>
      </c>
      <c r="C31" s="239"/>
      <c r="D31" s="234"/>
      <c r="E31" s="241"/>
      <c r="F31" s="240"/>
      <c r="G31" s="241"/>
    </row>
    <row r="32" spans="1:7">
      <c r="A32" s="242" t="s">
        <v>297</v>
      </c>
      <c r="C32" s="239"/>
      <c r="D32" s="234"/>
      <c r="E32" s="241">
        <f>ROUND('PL Gr'!E29/Master!$B$23,0)</f>
        <v>0</v>
      </c>
      <c r="F32" s="240"/>
      <c r="G32" s="241">
        <f>ROUND('PL Gr'!G29/Master!$B$23,0)</f>
        <v>0</v>
      </c>
    </row>
    <row r="33" spans="1:9">
      <c r="A33" s="242" t="s">
        <v>298</v>
      </c>
      <c r="C33" s="239"/>
      <c r="D33" s="234"/>
      <c r="E33" s="241">
        <f>ROUND('PL Gr'!E30/Master!$B$23,0)</f>
        <v>0</v>
      </c>
      <c r="F33" s="240"/>
      <c r="G33" s="241">
        <f>ROUND('PL Gr'!G30/Master!$B$23,0)</f>
        <v>0</v>
      </c>
    </row>
    <row r="34" spans="1:9" ht="28.8">
      <c r="A34" s="242" t="s">
        <v>107</v>
      </c>
      <c r="C34" s="239"/>
      <c r="D34" s="234"/>
      <c r="E34" s="241">
        <f>ROUND('PL Gr'!E34/Master!$B$23,0)</f>
        <v>0</v>
      </c>
      <c r="F34" s="240"/>
      <c r="G34" s="241">
        <f>ROUND('PL Gr'!G34/Master!$B$23,0)</f>
        <v>0</v>
      </c>
    </row>
    <row r="35" spans="1:9" ht="8.1" customHeight="1">
      <c r="A35" s="256"/>
      <c r="C35" s="239"/>
      <c r="D35" s="234"/>
      <c r="E35" s="241"/>
      <c r="F35" s="240"/>
      <c r="G35" s="241"/>
    </row>
    <row r="36" spans="1:9">
      <c r="A36" s="237" t="s">
        <v>784</v>
      </c>
      <c r="C36" s="239"/>
      <c r="D36" s="234"/>
      <c r="E36" s="241">
        <f>IF('PL Gr'!E358&gt;0,ROUND('PL Gr'!E358/Master!$B$23,0),0)</f>
        <v>0</v>
      </c>
      <c r="F36" s="240"/>
      <c r="G36" s="241">
        <f>IF('PL Gr'!G358&gt;0,ROUND('PL Gr'!G358/Master!$B$23,0),0)</f>
        <v>0</v>
      </c>
    </row>
    <row r="37" spans="1:9">
      <c r="A37" s="237" t="s">
        <v>785</v>
      </c>
      <c r="C37" s="239"/>
      <c r="D37" s="234"/>
      <c r="E37" s="241">
        <f>ROUND((+'PL Gr'!E37)/Master!$B$23,0)</f>
        <v>0</v>
      </c>
      <c r="F37" s="240"/>
      <c r="G37" s="241">
        <f>ROUND((+'PL Gr'!G37)/Master!$B$23,0)</f>
        <v>0</v>
      </c>
    </row>
    <row r="38" spans="1:9" ht="5.25" customHeight="1">
      <c r="A38" s="256"/>
      <c r="C38" s="239"/>
      <c r="D38" s="234"/>
      <c r="E38" s="241"/>
      <c r="F38" s="240"/>
      <c r="G38" s="241"/>
    </row>
    <row r="39" spans="1:9">
      <c r="A39" s="237" t="s">
        <v>786</v>
      </c>
      <c r="C39" s="239"/>
      <c r="D39" s="234"/>
      <c r="E39" s="241">
        <f>ROUND(('PL Gr'!E31+'PL Gr'!E41)/Master!$B$23,0)</f>
        <v>0</v>
      </c>
      <c r="F39" s="240"/>
      <c r="G39" s="241">
        <f>ROUND(('PL Gr'!G31+'PL Gr'!G41)/Master!$B$23,0)</f>
        <v>20393931</v>
      </c>
    </row>
    <row r="40" spans="1:9" ht="8.1" customHeight="1">
      <c r="A40" s="256"/>
      <c r="C40" s="239"/>
      <c r="D40" s="234"/>
      <c r="E40" s="241"/>
      <c r="F40" s="240"/>
      <c r="G40" s="241"/>
    </row>
    <row r="41" spans="1:9" ht="15" thickBot="1">
      <c r="A41" s="246" t="s">
        <v>173</v>
      </c>
      <c r="B41" s="230"/>
      <c r="C41" s="247"/>
      <c r="D41" s="234"/>
      <c r="E41" s="1631">
        <f>SUM(E27:F40)</f>
        <v>15820395</v>
      </c>
      <c r="F41" s="248"/>
      <c r="G41" s="249">
        <f>SUM(G27:G40)</f>
        <v>36466002</v>
      </c>
    </row>
    <row r="42" spans="1:9" ht="15" thickTop="1"/>
    <row r="45" spans="1:9" ht="8.1" customHeight="1">
      <c r="A45" s="250"/>
      <c r="C45" s="251"/>
      <c r="E45" s="253"/>
      <c r="F45" s="252"/>
      <c r="G45" s="253"/>
    </row>
    <row r="46" spans="1:9">
      <c r="A46" s="237" t="s">
        <v>787</v>
      </c>
      <c r="B46" s="230"/>
      <c r="C46" s="239"/>
      <c r="D46" s="234"/>
      <c r="E46" s="241"/>
      <c r="F46" s="240"/>
      <c r="G46" s="241"/>
    </row>
    <row r="47" spans="1:9">
      <c r="A47" s="256" t="s">
        <v>788</v>
      </c>
      <c r="B47" s="230"/>
      <c r="C47" s="239"/>
      <c r="D47" s="234"/>
      <c r="E47" s="1625">
        <f>ROUND('PL Gr'!E104/Master!$B$23,0)-E48-E49</f>
        <v>6356865</v>
      </c>
      <c r="F47" s="240"/>
      <c r="G47" s="241">
        <f>ROUND('PL Gr'!G104/Master!$B$23,0)-G48-G49</f>
        <v>7978343</v>
      </c>
      <c r="I47" s="243">
        <f>E47-G47</f>
        <v>-1621478</v>
      </c>
    </row>
    <row r="48" spans="1:9">
      <c r="A48" s="256" t="s">
        <v>789</v>
      </c>
      <c r="B48" s="230"/>
      <c r="C48" s="239"/>
      <c r="D48" s="234"/>
      <c r="E48" s="1625">
        <f>ROUND(('PL Gr'!E64+'PL Gr'!E100)/Master!$B$23,0)</f>
        <v>248295</v>
      </c>
      <c r="F48" s="240"/>
      <c r="G48" s="241">
        <f>ROUND(('PL Gr'!G64+'PL Gr'!G100)/Master!$B$23,0)</f>
        <v>293948</v>
      </c>
      <c r="I48" s="243">
        <f>E48-G48</f>
        <v>-45653</v>
      </c>
    </row>
    <row r="49" spans="1:9">
      <c r="A49" s="256" t="s">
        <v>157</v>
      </c>
      <c r="B49" s="230"/>
      <c r="C49" s="239"/>
      <c r="D49" s="234"/>
      <c r="E49" s="1625">
        <f>ROUND(('PL Gr'!E50+'PL Gr'!E95)/Master!$B$23,0)</f>
        <v>54162</v>
      </c>
      <c r="F49" s="240"/>
      <c r="G49" s="241">
        <f>ROUND(('PL Gr'!G50+'PL Gr'!G95)/Master!$B$23,0)</f>
        <v>43143</v>
      </c>
      <c r="I49" s="243">
        <f>E49-G49</f>
        <v>11019</v>
      </c>
    </row>
    <row r="50" spans="1:9">
      <c r="A50" s="256" t="s">
        <v>790</v>
      </c>
      <c r="B50" s="230"/>
      <c r="C50" s="239"/>
      <c r="D50" s="234"/>
      <c r="E50" s="1625">
        <f>ROUND('PL Gr'!E150/Master!$B$23,0)</f>
        <v>115383</v>
      </c>
      <c r="F50" s="240"/>
      <c r="G50" s="241">
        <f>ROUND('PL Gr'!G150/Master!$B$23,0)</f>
        <v>143256</v>
      </c>
      <c r="I50" s="243">
        <f>E50-G50</f>
        <v>-27873</v>
      </c>
    </row>
    <row r="51" spans="1:9">
      <c r="A51" s="256" t="s">
        <v>791</v>
      </c>
      <c r="B51" s="230"/>
      <c r="C51" s="239"/>
      <c r="D51" s="234"/>
      <c r="E51" s="266">
        <f>ROUND('PL Gr'!E134/Master!$B$23,0)</f>
        <v>293709</v>
      </c>
      <c r="F51" s="240"/>
      <c r="G51" s="241">
        <f>ROUND('PL Gr'!G134/Master!$B$23,0)</f>
        <v>248332</v>
      </c>
      <c r="I51" s="243">
        <f>E51-G51</f>
        <v>45377</v>
      </c>
    </row>
    <row r="52" spans="1:9" ht="8.1" customHeight="1">
      <c r="A52" s="244"/>
      <c r="B52" s="245"/>
      <c r="C52" s="239"/>
      <c r="D52" s="234"/>
      <c r="E52" s="241"/>
      <c r="F52" s="240"/>
      <c r="G52" s="241"/>
    </row>
    <row r="53" spans="1:9" ht="15" thickBot="1">
      <c r="A53" s="246" t="s">
        <v>173</v>
      </c>
      <c r="B53" s="230"/>
      <c r="C53" s="247"/>
      <c r="D53" s="234"/>
      <c r="E53" s="1631">
        <f>SUM(E47:E52)</f>
        <v>7068414</v>
      </c>
      <c r="F53" s="248"/>
      <c r="G53" s="249">
        <f>SUM(G47:G52)</f>
        <v>8707022</v>
      </c>
      <c r="I53" s="243">
        <f>SUM(I47:I52)</f>
        <v>-1638608</v>
      </c>
    </row>
    <row r="54" spans="1:9" ht="15" thickTop="1"/>
    <row r="55" spans="1:9" ht="8.1" customHeight="1">
      <c r="A55" s="250"/>
      <c r="C55" s="251"/>
      <c r="E55" s="253"/>
      <c r="F55" s="252"/>
      <c r="G55" s="253"/>
    </row>
    <row r="56" spans="1:9">
      <c r="A56" s="237" t="s">
        <v>792</v>
      </c>
      <c r="B56" s="230"/>
      <c r="C56" s="239"/>
      <c r="D56" s="234"/>
      <c r="E56" s="241"/>
      <c r="F56" s="240"/>
      <c r="G56" s="241"/>
    </row>
    <row r="57" spans="1:9">
      <c r="A57" s="256" t="s">
        <v>793</v>
      </c>
      <c r="B57" s="230"/>
      <c r="C57" s="239"/>
      <c r="D57" s="234"/>
      <c r="E57" s="241"/>
      <c r="F57" s="240"/>
      <c r="G57" s="241"/>
    </row>
    <row r="58" spans="1:9">
      <c r="A58" s="256" t="s">
        <v>794</v>
      </c>
      <c r="B58" s="230"/>
      <c r="C58" s="239"/>
      <c r="D58" s="234"/>
      <c r="E58" s="241"/>
      <c r="F58" s="240"/>
      <c r="G58" s="241"/>
    </row>
    <row r="59" spans="1:9">
      <c r="A59" s="256" t="s">
        <v>795</v>
      </c>
      <c r="B59" s="230"/>
      <c r="C59" s="239"/>
      <c r="D59" s="234"/>
      <c r="E59" s="241"/>
      <c r="F59" s="240"/>
      <c r="G59" s="241"/>
    </row>
    <row r="60" spans="1:9" ht="8.1" customHeight="1">
      <c r="A60" s="244"/>
      <c r="B60" s="245"/>
      <c r="C60" s="239"/>
      <c r="D60" s="234"/>
      <c r="E60" s="241"/>
      <c r="F60" s="240"/>
      <c r="G60" s="241"/>
    </row>
    <row r="61" spans="1:9" ht="15" thickBot="1">
      <c r="A61" s="246" t="s">
        <v>173</v>
      </c>
      <c r="B61" s="230"/>
      <c r="C61" s="247"/>
      <c r="D61" s="234"/>
      <c r="E61" s="276">
        <f>SUM(E60:E60)</f>
        <v>0</v>
      </c>
      <c r="F61" s="278"/>
      <c r="G61" s="276">
        <f>SUM(G60:G60)</f>
        <v>0</v>
      </c>
    </row>
    <row r="62" spans="1:9" ht="15" thickTop="1"/>
    <row r="63" spans="1:9" ht="8.1" customHeight="1">
      <c r="A63" s="250"/>
      <c r="C63" s="251"/>
      <c r="E63" s="253"/>
      <c r="F63" s="252"/>
      <c r="G63" s="253"/>
    </row>
    <row r="64" spans="1:9">
      <c r="A64" s="237" t="s">
        <v>62</v>
      </c>
      <c r="B64" s="230"/>
      <c r="C64" s="239"/>
      <c r="D64" s="234"/>
      <c r="E64" s="241"/>
      <c r="F64" s="240"/>
      <c r="G64" s="241"/>
    </row>
    <row r="65" spans="1:8">
      <c r="A65" s="256" t="s">
        <v>301</v>
      </c>
      <c r="B65" s="230"/>
      <c r="C65" s="239"/>
      <c r="D65" s="234"/>
      <c r="E65" s="241">
        <f>ROUND('PL Gr'!E291/Master!$B$23,0)</f>
        <v>0</v>
      </c>
      <c r="F65" s="240"/>
      <c r="G65" s="241">
        <f>ROUND('PL Gr'!G291/Master!$B$23,0)</f>
        <v>0</v>
      </c>
      <c r="H65" s="243">
        <f t="shared" ref="H65:H70" si="0">E65-G65</f>
        <v>0</v>
      </c>
    </row>
    <row r="66" spans="1:8">
      <c r="A66" s="256" t="s">
        <v>796</v>
      </c>
      <c r="B66" s="230"/>
      <c r="C66" s="239"/>
      <c r="D66" s="234"/>
      <c r="E66" s="241">
        <f>ROUND('PL Gr'!E292/Master!$B$23,0)</f>
        <v>0</v>
      </c>
      <c r="F66" s="240"/>
      <c r="G66" s="241">
        <f>ROUND('PL Gr'!G292/Master!$B$23,0)</f>
        <v>0</v>
      </c>
      <c r="H66" s="243">
        <f t="shared" si="0"/>
        <v>0</v>
      </c>
    </row>
    <row r="67" spans="1:8">
      <c r="A67" s="256" t="s">
        <v>303</v>
      </c>
      <c r="B67" s="230"/>
      <c r="C67" s="239"/>
      <c r="D67" s="234"/>
      <c r="E67" s="241">
        <f>ROUND('PL Gr'!E293/Master!$B$23,0)</f>
        <v>0</v>
      </c>
      <c r="F67" s="240"/>
      <c r="G67" s="241">
        <f>ROUND('PL Gr'!G293/Master!$B$23,0)</f>
        <v>0</v>
      </c>
      <c r="H67" s="243">
        <f t="shared" si="0"/>
        <v>0</v>
      </c>
    </row>
    <row r="68" spans="1:8">
      <c r="A68" s="256" t="s">
        <v>755</v>
      </c>
      <c r="B68" s="230"/>
      <c r="C68" s="239"/>
      <c r="D68" s="234"/>
      <c r="E68" s="241">
        <f>ROUND('PL Gr'!E294/Master!$B$23,0)</f>
        <v>0</v>
      </c>
      <c r="F68" s="240"/>
      <c r="G68" s="241">
        <f>ROUND('PL Gr'!G294/Master!$B$23,0)</f>
        <v>0</v>
      </c>
      <c r="H68" s="243">
        <f t="shared" si="0"/>
        <v>0</v>
      </c>
    </row>
    <row r="69" spans="1:8">
      <c r="A69" s="256" t="s">
        <v>756</v>
      </c>
      <c r="B69" s="230"/>
      <c r="C69" s="239"/>
      <c r="D69" s="234"/>
      <c r="E69" s="241">
        <f>ROUND('PL Gr'!E295/Master!$B$23,0)</f>
        <v>0</v>
      </c>
      <c r="F69" s="240"/>
      <c r="G69" s="241">
        <f>ROUND('PL Gr'!G295/Master!$B$23,0)</f>
        <v>0</v>
      </c>
      <c r="H69" s="243">
        <f t="shared" si="0"/>
        <v>0</v>
      </c>
    </row>
    <row r="70" spans="1:8">
      <c r="A70" s="256" t="s">
        <v>757</v>
      </c>
      <c r="B70" s="230"/>
      <c r="C70" s="239"/>
      <c r="D70" s="234"/>
      <c r="E70" s="241">
        <f>ROUND('PL Gr'!E296/Master!$B$23,0)</f>
        <v>0</v>
      </c>
      <c r="F70" s="240"/>
      <c r="G70" s="241">
        <f>ROUND('PL Gr'!G296/Master!$B$23,0)</f>
        <v>0</v>
      </c>
      <c r="H70" s="243">
        <f t="shared" si="0"/>
        <v>0</v>
      </c>
    </row>
    <row r="71" spans="1:8" ht="8.1" customHeight="1">
      <c r="A71" s="244"/>
      <c r="B71" s="245"/>
      <c r="C71" s="239"/>
      <c r="D71" s="234"/>
      <c r="E71" s="241"/>
      <c r="F71" s="240"/>
      <c r="G71" s="241"/>
    </row>
    <row r="72" spans="1:8" ht="15" thickBot="1">
      <c r="A72" s="246" t="s">
        <v>173</v>
      </c>
      <c r="B72" s="230"/>
      <c r="C72" s="247"/>
      <c r="D72" s="234"/>
      <c r="E72" s="249">
        <f>SUM(E65:E71)</f>
        <v>0</v>
      </c>
      <c r="F72" s="248"/>
      <c r="G72" s="249">
        <f>SUM(G65:G71)</f>
        <v>0</v>
      </c>
    </row>
    <row r="73" spans="1:8" ht="15" thickTop="1"/>
    <row r="74" spans="1:8" ht="8.1" customHeight="1">
      <c r="A74" s="250"/>
      <c r="C74" s="251"/>
      <c r="E74" s="253"/>
      <c r="F74" s="252"/>
      <c r="G74" s="253"/>
    </row>
    <row r="75" spans="1:8">
      <c r="A75" s="237" t="s">
        <v>63</v>
      </c>
      <c r="B75" s="230"/>
      <c r="C75" s="239"/>
      <c r="D75" s="234"/>
      <c r="E75" s="241"/>
      <c r="F75" s="240"/>
      <c r="G75" s="241"/>
    </row>
    <row r="76" spans="1:8">
      <c r="A76" s="256" t="s">
        <v>797</v>
      </c>
      <c r="B76" s="230"/>
      <c r="C76" s="239"/>
      <c r="D76" s="234"/>
      <c r="E76" s="241">
        <f>ROUND(SUM('PL Gr'!E191:E192)/Master!$B$23,0)</f>
        <v>0</v>
      </c>
      <c r="F76" s="240"/>
      <c r="G76" s="241">
        <f>ROUND(SUM('PL Gr'!G191:G192)/Master!$B$23,0)</f>
        <v>0</v>
      </c>
    </row>
    <row r="77" spans="1:8">
      <c r="A77" s="256" t="s">
        <v>798</v>
      </c>
      <c r="B77" s="230"/>
      <c r="C77" s="239"/>
      <c r="D77" s="234"/>
      <c r="E77" s="241">
        <f>ROUND('PL Gr'!E193/Master!$B$23,0)</f>
        <v>0</v>
      </c>
      <c r="F77" s="240"/>
      <c r="G77" s="241">
        <f>ROUND('PL Gr'!G193/Master!$B$23,0)</f>
        <v>0</v>
      </c>
    </row>
    <row r="78" spans="1:8">
      <c r="A78" s="256" t="s">
        <v>799</v>
      </c>
      <c r="B78" s="230"/>
      <c r="C78" s="239"/>
      <c r="D78" s="234"/>
      <c r="E78" s="241">
        <f>ROUND('PL Gr'!E201/Master!$B$23,0)-E77-E76</f>
        <v>0</v>
      </c>
      <c r="F78" s="240"/>
      <c r="G78" s="241">
        <f>ROUND('PL Gr'!G201/Master!$B$23,0)-G77-G76</f>
        <v>0</v>
      </c>
    </row>
    <row r="79" spans="1:8">
      <c r="A79" s="256"/>
      <c r="B79" s="230"/>
      <c r="C79" s="239"/>
      <c r="D79" s="234"/>
      <c r="E79" s="241"/>
      <c r="F79" s="240"/>
      <c r="G79" s="241"/>
    </row>
    <row r="80" spans="1:8" ht="8.1" customHeight="1">
      <c r="A80" s="244"/>
      <c r="B80" s="245"/>
      <c r="C80" s="239"/>
      <c r="D80" s="234"/>
      <c r="E80" s="241"/>
      <c r="F80" s="240"/>
      <c r="G80" s="241"/>
    </row>
    <row r="81" spans="1:8" ht="15" thickBot="1">
      <c r="A81" s="246" t="s">
        <v>173</v>
      </c>
      <c r="B81" s="230"/>
      <c r="C81" s="247"/>
      <c r="D81" s="234"/>
      <c r="E81" s="249">
        <f>SUM(E76:E80)</f>
        <v>0</v>
      </c>
      <c r="F81" s="248"/>
      <c r="G81" s="249">
        <f>SUM(G76:G80)</f>
        <v>0</v>
      </c>
    </row>
    <row r="82" spans="1:8" ht="15" thickTop="1"/>
    <row r="83" spans="1:8" ht="8.1" customHeight="1">
      <c r="A83" s="250"/>
      <c r="C83" s="251"/>
      <c r="E83" s="253"/>
      <c r="F83" s="252"/>
      <c r="G83" s="253"/>
    </row>
    <row r="84" spans="1:8">
      <c r="A84" s="237" t="s">
        <v>743</v>
      </c>
      <c r="B84" s="230"/>
      <c r="C84" s="239"/>
      <c r="D84" s="234"/>
      <c r="E84" s="241"/>
      <c r="F84" s="240"/>
      <c r="G84" s="241"/>
    </row>
    <row r="85" spans="1:8">
      <c r="A85" s="256" t="s">
        <v>307</v>
      </c>
      <c r="B85" s="230"/>
      <c r="C85" s="239"/>
      <c r="D85" s="234"/>
      <c r="E85" s="266">
        <f>ROUND('PL Gr'!E162/Master!$B$23,0)</f>
        <v>207</v>
      </c>
      <c r="F85" s="240"/>
      <c r="G85" s="241">
        <f>ROUND('PL Gr'!G162/Master!$B$23,0)</f>
        <v>26385</v>
      </c>
      <c r="H85" s="243">
        <f>E85-G85</f>
        <v>-26178</v>
      </c>
    </row>
    <row r="86" spans="1:8">
      <c r="A86" s="256" t="s">
        <v>800</v>
      </c>
      <c r="B86" s="230"/>
      <c r="C86" s="239"/>
      <c r="D86" s="234"/>
      <c r="E86" s="275">
        <f>ROUND('PL Gr'!E176/Master!$B$23,0)*0</f>
        <v>0</v>
      </c>
      <c r="F86" s="240"/>
      <c r="G86" s="241">
        <f>ROUND('PL Gr'!G176/Master!$B$23,0)*0</f>
        <v>0</v>
      </c>
      <c r="H86" s="243">
        <f t="shared" ref="H86:H106" si="1">E86-G86</f>
        <v>0</v>
      </c>
    </row>
    <row r="87" spans="1:8">
      <c r="A87" s="256" t="s">
        <v>762</v>
      </c>
      <c r="B87" s="230"/>
      <c r="C87" s="239"/>
      <c r="D87" s="234"/>
      <c r="E87" s="275">
        <f>ROUND('PL Gr'!E335/Master!$B$23,0)*0</f>
        <v>0</v>
      </c>
      <c r="F87" s="240"/>
      <c r="G87" s="241">
        <f>ROUND('PL Gr'!G335/Master!$B$23,0)*0</f>
        <v>0</v>
      </c>
      <c r="H87" s="243">
        <f t="shared" si="1"/>
        <v>0</v>
      </c>
    </row>
    <row r="88" spans="1:8">
      <c r="A88" s="256" t="s">
        <v>310</v>
      </c>
      <c r="B88" s="230"/>
      <c r="C88" s="239"/>
      <c r="D88" s="234"/>
      <c r="E88" s="275">
        <f>ROUND('PL Gr'!E313/Master!$B$23,0)*0</f>
        <v>0</v>
      </c>
      <c r="F88" s="240"/>
      <c r="G88" s="241">
        <f>ROUND('PL Gr'!G313/Master!$B$23,0)*0</f>
        <v>0</v>
      </c>
      <c r="H88" s="243">
        <f t="shared" si="1"/>
        <v>0</v>
      </c>
    </row>
    <row r="89" spans="1:8">
      <c r="A89" s="256" t="s">
        <v>801</v>
      </c>
      <c r="B89" s="230"/>
      <c r="C89" s="239"/>
      <c r="D89" s="234"/>
      <c r="E89" s="275">
        <f>ROUND('PL Gr'!E189/Master!$B$23,0)*0</f>
        <v>0</v>
      </c>
      <c r="F89" s="240"/>
      <c r="G89" s="241">
        <f>ROUND('PL Gr'!G189/Master!$B$23,0)*0</f>
        <v>0</v>
      </c>
      <c r="H89" s="243">
        <f t="shared" si="1"/>
        <v>0</v>
      </c>
    </row>
    <row r="90" spans="1:8">
      <c r="A90" s="256" t="s">
        <v>802</v>
      </c>
      <c r="B90" s="230"/>
      <c r="C90" s="239"/>
      <c r="D90" s="234"/>
      <c r="E90" s="275">
        <f>ROUND('PL Gr'!E237/Master!$B$23,0)</f>
        <v>0</v>
      </c>
      <c r="F90" s="240"/>
      <c r="G90" s="241">
        <f>ROUND('PL Gr'!G237/Master!$B$23,0)</f>
        <v>0</v>
      </c>
      <c r="H90" s="243">
        <f t="shared" si="1"/>
        <v>0</v>
      </c>
    </row>
    <row r="91" spans="1:8">
      <c r="A91" s="256" t="s">
        <v>803</v>
      </c>
      <c r="B91" s="230"/>
      <c r="C91" s="239"/>
      <c r="D91" s="234"/>
      <c r="E91" s="266">
        <f>ROUND('PL Gr'!E181/Master!$B$23,0)</f>
        <v>404310</v>
      </c>
      <c r="F91" s="240"/>
      <c r="G91" s="241">
        <f>ROUND('PL Gr'!G181/Master!$B$23,0)</f>
        <v>414275</v>
      </c>
      <c r="H91" s="243">
        <f t="shared" si="1"/>
        <v>-9965</v>
      </c>
    </row>
    <row r="92" spans="1:8">
      <c r="A92" s="256" t="s">
        <v>804</v>
      </c>
      <c r="B92" s="230"/>
      <c r="C92" s="239"/>
      <c r="D92" s="234"/>
      <c r="E92" s="241"/>
      <c r="F92" s="240"/>
      <c r="G92" s="241"/>
      <c r="H92" s="243">
        <f t="shared" si="1"/>
        <v>0</v>
      </c>
    </row>
    <row r="93" spans="1:8">
      <c r="A93" s="242" t="s">
        <v>805</v>
      </c>
      <c r="B93" s="230"/>
      <c r="C93" s="239"/>
      <c r="D93" s="234"/>
      <c r="E93" s="275">
        <f>ROUND('PL Gr'!E219/Master!$B$23,0)</f>
        <v>0</v>
      </c>
      <c r="F93" s="240"/>
      <c r="G93" s="241">
        <f>ROUND('PL Gr'!G219/Master!$B$23,0)</f>
        <v>0</v>
      </c>
      <c r="H93" s="243">
        <f t="shared" si="1"/>
        <v>0</v>
      </c>
    </row>
    <row r="94" spans="1:8">
      <c r="A94" s="242" t="s">
        <v>806</v>
      </c>
      <c r="B94" s="230"/>
      <c r="C94" s="239"/>
      <c r="D94" s="234"/>
      <c r="E94" s="266">
        <f>ROUND('PL Gr'!E229/Master!$B$23,0)</f>
        <v>226298</v>
      </c>
      <c r="F94" s="240"/>
      <c r="G94" s="241">
        <f>ROUND('PL Gr'!G229/Master!$B$23,0)</f>
        <v>167219</v>
      </c>
      <c r="H94" s="243">
        <f t="shared" si="1"/>
        <v>59079</v>
      </c>
    </row>
    <row r="95" spans="1:8">
      <c r="A95" s="256" t="s">
        <v>807</v>
      </c>
      <c r="B95" s="230"/>
      <c r="C95" s="239"/>
      <c r="D95" s="234"/>
      <c r="E95" s="275">
        <f>ROUND('PL Gr'!E353/Master!$B$23,0)</f>
        <v>0</v>
      </c>
      <c r="F95" s="240"/>
      <c r="G95" s="241">
        <f>ROUND('PL Gr'!G353/Master!$B$23,0)</f>
        <v>0</v>
      </c>
      <c r="H95" s="243">
        <f t="shared" si="1"/>
        <v>0</v>
      </c>
    </row>
    <row r="96" spans="1:8">
      <c r="A96" s="256" t="s">
        <v>808</v>
      </c>
      <c r="B96" s="230"/>
      <c r="C96" s="239"/>
      <c r="D96" s="234"/>
      <c r="E96" s="266">
        <f>ROUND('PL Gr'!E214/Master!$B$23,0)+ROUND('PL Gr'!E325/Master!$B$23,0)</f>
        <v>1731898</v>
      </c>
      <c r="F96" s="240"/>
      <c r="G96" s="241">
        <f>ROUND('PL Gr'!G214/Master!$B$23,0)+ROUND('PL Gr'!G325/Master!$B$23,0)</f>
        <v>1184666</v>
      </c>
      <c r="H96" s="243">
        <f t="shared" si="1"/>
        <v>547232</v>
      </c>
    </row>
    <row r="97" spans="1:9">
      <c r="A97" s="256" t="s">
        <v>809</v>
      </c>
      <c r="B97" s="230"/>
      <c r="C97" s="239"/>
      <c r="D97" s="234"/>
      <c r="E97" s="241">
        <f>IF('PL Gr'!E358&lt;0,ROUND('PL Gr'!E358/Master!$B$23,0),0)</f>
        <v>0</v>
      </c>
      <c r="F97" s="240"/>
      <c r="G97" s="241">
        <f>IF('PL Gr'!G358&lt;0,ROUND('PL Gr'!G358/Master!$B$23,0),0)</f>
        <v>0</v>
      </c>
      <c r="H97" s="243">
        <f t="shared" si="1"/>
        <v>0</v>
      </c>
    </row>
    <row r="98" spans="1:9">
      <c r="A98" s="256" t="s">
        <v>315</v>
      </c>
      <c r="B98" s="230"/>
      <c r="C98" s="239"/>
      <c r="D98" s="234"/>
      <c r="E98" s="1512"/>
      <c r="F98" s="240"/>
      <c r="G98" s="241">
        <f>-ROUND(('PL Gr'!G414+'PL Gr'!G418+'PL Gr'!G420+'PL Gr'!G421+'PL Gr'!G422+'PL Gr'!G423)/Master!$B$23,0)-ROUND(('PL Gr'!G415+'PL Gr'!G419+'PL Gr'!G424+'PL Gr'!G425+'PL Gr'!G426)/Master!$B$23,0)</f>
        <v>232456</v>
      </c>
      <c r="H98" s="243">
        <f t="shared" si="1"/>
        <v>-232456</v>
      </c>
    </row>
    <row r="99" spans="1:9" ht="28.8">
      <c r="A99" s="256" t="s">
        <v>810</v>
      </c>
      <c r="B99" s="230"/>
      <c r="C99" s="239"/>
      <c r="D99" s="234"/>
      <c r="E99" s="241">
        <f>ROUND(0/Master!$B$23,0)</f>
        <v>0</v>
      </c>
      <c r="F99" s="240"/>
      <c r="G99" s="274">
        <f>ROUND(0/Master!$B$23,0)</f>
        <v>0</v>
      </c>
      <c r="H99" s="243">
        <f t="shared" si="1"/>
        <v>0</v>
      </c>
      <c r="I99" s="243"/>
    </row>
    <row r="100" spans="1:9">
      <c r="A100" s="256" t="s">
        <v>110</v>
      </c>
      <c r="B100" s="230"/>
      <c r="C100" s="239"/>
      <c r="D100" s="234"/>
      <c r="E100" s="266">
        <f>ROUND(('PL Gr'!E382+'PL Gr'!E410)/Master!$B$23,0)</f>
        <v>98431</v>
      </c>
      <c r="F100" s="240"/>
      <c r="G100" s="241">
        <f>ROUND(('PL Gr'!G382)/Master!$B$23,0)</f>
        <v>0</v>
      </c>
      <c r="H100" s="243">
        <f t="shared" si="1"/>
        <v>98431</v>
      </c>
    </row>
    <row r="101" spans="1:9">
      <c r="A101" s="256" t="s">
        <v>111</v>
      </c>
      <c r="B101" s="230"/>
      <c r="C101" s="239"/>
      <c r="D101" s="234"/>
      <c r="E101" s="241">
        <f>ROUND((+'PL Gr'!E385+'PL Gr'!E386+'PL Gr'!E383)/Master!$B$23,0)-E99</f>
        <v>0</v>
      </c>
      <c r="F101" s="240"/>
      <c r="G101" s="241">
        <f>ROUND(('PL Gr'!G385+'PL Gr'!G386+'PL Gr'!G383)/Master!$B$23,0)-G99</f>
        <v>0</v>
      </c>
      <c r="H101" s="243">
        <f t="shared" si="1"/>
        <v>0</v>
      </c>
    </row>
    <row r="102" spans="1:9">
      <c r="A102" s="256" t="s">
        <v>316</v>
      </c>
      <c r="B102" s="230"/>
      <c r="C102" s="239"/>
      <c r="D102" s="234"/>
      <c r="E102" s="241"/>
      <c r="F102" s="240"/>
      <c r="G102" s="241"/>
      <c r="H102" s="243">
        <f t="shared" si="1"/>
        <v>0</v>
      </c>
    </row>
    <row r="103" spans="1:9">
      <c r="A103" s="256" t="s">
        <v>811</v>
      </c>
      <c r="B103" s="230"/>
      <c r="C103" s="239"/>
      <c r="D103" s="234"/>
      <c r="E103" s="241">
        <f>ROUND(('PL Gr'!E388+'PL Gr'!E380)/Master!$B$23,0)</f>
        <v>0</v>
      </c>
      <c r="F103" s="240"/>
      <c r="G103" s="241">
        <f>ROUND(('PL Gr'!G388+'PL Gr'!G380)/Master!$B$23,0)</f>
        <v>0</v>
      </c>
      <c r="H103" s="243"/>
    </row>
    <row r="104" spans="1:9">
      <c r="A104" s="256" t="s">
        <v>812</v>
      </c>
      <c r="B104" s="230"/>
      <c r="C104" s="239"/>
      <c r="D104" s="234"/>
      <c r="E104" s="266">
        <f>ROUND(('PL Gr'!E391+'PL Gr'!E402)/Master!$B$23,0)</f>
        <v>4728160</v>
      </c>
      <c r="F104" s="240"/>
      <c r="G104" s="241">
        <f>ROUND(('PL Gr'!G391+'PL Gr'!G402)/Master!$B$23,0)</f>
        <v>3351781</v>
      </c>
      <c r="H104" s="243"/>
    </row>
    <row r="105" spans="1:9">
      <c r="A105" s="256" t="s">
        <v>317</v>
      </c>
      <c r="B105" s="230"/>
      <c r="C105" s="239"/>
      <c r="D105" s="234"/>
      <c r="E105" s="266">
        <f>ROUND(('PL Gr'!E378+'PL Gr'!E399)/Master!$B$23,0)</f>
        <v>68095</v>
      </c>
      <c r="F105" s="240"/>
      <c r="G105" s="241">
        <f>ROUND(('PL Gr'!G378+'PL Gr'!G399)/Master!$B$23,0)</f>
        <v>103148</v>
      </c>
      <c r="H105" s="243"/>
    </row>
    <row r="106" spans="1:9">
      <c r="A106" s="256" t="s">
        <v>813</v>
      </c>
      <c r="B106" s="230"/>
      <c r="C106" s="239"/>
      <c r="D106" s="234"/>
      <c r="E106" s="1625">
        <f>ROUND(('PL Gr'!E412-'PL Gr'!E377-'PL Gr'!E379-'PL Gr'!E400-'PL Gr'!E399*0)/Master!$B$23,0)-E101-E99-E100-E103-E104-E105+ROUND(('PL Gr'!E176+'PL Gr'!E335+'PL Gr'!E313+'PL Gr'!E189)/Master!$B$23,0)</f>
        <v>550878</v>
      </c>
      <c r="F106" s="240"/>
      <c r="G106" s="241">
        <f>ROUND(('PL Gr'!G412-'PL Gr'!G377-'PL Gr'!G379-'PL Gr'!G400)/Master!$B$23,0)-G101-G99-G100-G103-G104-G105+ROUND(('PL Gr'!G176+'PL Gr'!G335+'PL Gr'!G313+'PL Gr'!G189)/Master!$B$23,0)</f>
        <v>350523</v>
      </c>
      <c r="H106" s="243">
        <f t="shared" si="1"/>
        <v>200355</v>
      </c>
    </row>
    <row r="107" spans="1:9" ht="8.1" customHeight="1">
      <c r="A107" s="256"/>
      <c r="C107" s="239"/>
      <c r="D107" s="234"/>
      <c r="E107" s="241"/>
      <c r="F107" s="240"/>
      <c r="G107" s="241"/>
    </row>
    <row r="108" spans="1:9" ht="15" thickBot="1">
      <c r="A108" s="246" t="s">
        <v>173</v>
      </c>
      <c r="B108" s="230"/>
      <c r="C108" s="247"/>
      <c r="D108" s="234"/>
      <c r="E108" s="249">
        <f>SUM(E85:E107)</f>
        <v>7808277</v>
      </c>
      <c r="F108" s="248"/>
      <c r="G108" s="249">
        <f>SUM(G85:G107)</f>
        <v>5830453</v>
      </c>
      <c r="H108" s="243"/>
    </row>
    <row r="109" spans="1:9" ht="15" thickTop="1"/>
    <row r="110" spans="1:9" ht="8.1" customHeight="1">
      <c r="A110" s="250"/>
      <c r="C110" s="251"/>
      <c r="E110" s="253"/>
      <c r="F110" s="252"/>
      <c r="G110" s="253"/>
    </row>
    <row r="111" spans="1:9">
      <c r="A111" s="237" t="s">
        <v>814</v>
      </c>
      <c r="B111" s="230"/>
      <c r="C111" s="239"/>
      <c r="D111" s="234"/>
      <c r="E111" s="241"/>
      <c r="F111" s="240"/>
      <c r="G111" s="241"/>
    </row>
    <row r="112" spans="1:9">
      <c r="A112" s="237" t="s">
        <v>815</v>
      </c>
      <c r="B112" s="230"/>
      <c r="C112" s="239"/>
      <c r="D112" s="234"/>
      <c r="E112" s="241"/>
      <c r="F112" s="240"/>
      <c r="G112" s="241"/>
    </row>
    <row r="113" spans="1:8">
      <c r="A113" s="256" t="s">
        <v>816</v>
      </c>
      <c r="B113" s="230"/>
      <c r="C113" s="239"/>
      <c r="D113" s="234"/>
      <c r="E113" s="241">
        <f>ROUND('PL Gr'!E443/Master!$B$23,0)</f>
        <v>0</v>
      </c>
      <c r="F113" s="240"/>
      <c r="G113" s="241">
        <f>ROUND('PL Gr'!G443/Master!$B$23,0)</f>
        <v>0</v>
      </c>
    </row>
    <row r="114" spans="1:8">
      <c r="A114" s="256" t="s">
        <v>817</v>
      </c>
      <c r="B114" s="230"/>
      <c r="C114" s="239"/>
      <c r="D114" s="234"/>
      <c r="E114" s="241">
        <f>ROUND('PL Gr'!E444/Master!$B$23,0)</f>
        <v>0</v>
      </c>
      <c r="F114" s="240"/>
      <c r="G114" s="241">
        <f>ROUND('PL Gr'!G444/Master!$B$23,0)</f>
        <v>0</v>
      </c>
    </row>
    <row r="115" spans="1:8">
      <c r="A115" s="256" t="s">
        <v>818</v>
      </c>
      <c r="B115" s="230"/>
      <c r="C115" s="239"/>
      <c r="D115" s="234"/>
      <c r="E115" s="241">
        <f>ROUND('PL Gr'!E445/Master!$B$23,0)</f>
        <v>0</v>
      </c>
      <c r="F115" s="240"/>
      <c r="G115" s="241">
        <f>ROUND('PL Gr'!G445/Master!$B$23,0)</f>
        <v>0</v>
      </c>
    </row>
    <row r="116" spans="1:8">
      <c r="A116" s="256" t="s">
        <v>819</v>
      </c>
      <c r="B116" s="230"/>
      <c r="C116" s="239"/>
      <c r="D116" s="234"/>
      <c r="E116" s="241">
        <f>ROUND('PL Gr'!E446/Master!$B$23,0)</f>
        <v>0</v>
      </c>
      <c r="F116" s="240"/>
      <c r="G116" s="241">
        <f>ROUND('PL Gr'!G446/Master!$B$23,0)</f>
        <v>0</v>
      </c>
    </row>
    <row r="117" spans="1:8">
      <c r="A117" s="397" t="s">
        <v>820</v>
      </c>
      <c r="B117" s="230"/>
      <c r="C117" s="239"/>
      <c r="D117" s="234"/>
      <c r="E117" s="241">
        <f>ROUND('PL Gr'!E450/Master!$B$23,0)</f>
        <v>0</v>
      </c>
      <c r="F117" s="240"/>
      <c r="G117" s="241">
        <f>ROUND('PL Gr'!G450/Master!$B$23,0)</f>
        <v>0</v>
      </c>
    </row>
    <row r="118" spans="1:8">
      <c r="A118" s="397" t="s">
        <v>821</v>
      </c>
      <c r="B118" s="230"/>
      <c r="C118" s="239"/>
      <c r="D118" s="234"/>
      <c r="E118" s="241">
        <f>ROUND('PL Gr'!E451/Master!$B$23,0)</f>
        <v>0</v>
      </c>
      <c r="F118" s="240"/>
      <c r="G118" s="241">
        <f>ROUND('PL Gr'!G451/Master!$B$23,0)</f>
        <v>0</v>
      </c>
    </row>
    <row r="119" spans="1:8">
      <c r="A119" s="256" t="s">
        <v>822</v>
      </c>
      <c r="B119" s="230"/>
      <c r="C119" s="239"/>
      <c r="D119" s="234"/>
      <c r="E119" s="241">
        <f>ROUND('PL Gr'!E447/Master!$B$23,0)</f>
        <v>0</v>
      </c>
      <c r="F119" s="240"/>
      <c r="G119" s="241">
        <f>ROUND('PL Gr'!G447/Master!$B$23,0)</f>
        <v>0</v>
      </c>
    </row>
    <row r="120" spans="1:8">
      <c r="A120" s="256"/>
      <c r="B120" s="230"/>
      <c r="C120" s="239"/>
      <c r="D120" s="234"/>
      <c r="E120" s="264">
        <f>SUM(E113:E119)</f>
        <v>0</v>
      </c>
      <c r="F120" s="263"/>
      <c r="G120" s="264">
        <f>SUM(G113:G119)</f>
        <v>0</v>
      </c>
    </row>
    <row r="121" spans="1:8">
      <c r="A121" s="256" t="s">
        <v>733</v>
      </c>
      <c r="B121" s="230"/>
      <c r="C121" s="239"/>
      <c r="D121" s="234"/>
      <c r="E121" s="241">
        <f>ROUND(('PL Gr'!E448+'PL Gr'!E454)/Master!$B$23,0)+E122</f>
        <v>42613709</v>
      </c>
      <c r="F121" s="240"/>
      <c r="G121" s="241">
        <f>ROUND(('PL Gr'!G448+'PL Gr'!G454)/Master!$B$23,0)+E122</f>
        <v>4035301</v>
      </c>
    </row>
    <row r="122" spans="1:8">
      <c r="A122" s="256" t="s">
        <v>823</v>
      </c>
      <c r="B122" s="230"/>
      <c r="C122" s="239"/>
      <c r="D122" s="234"/>
      <c r="E122" s="241">
        <f>ROUND(('BS Gr'!D875-'BS Gr'!F875)/Master!B23,0)*0</f>
        <v>0</v>
      </c>
      <c r="F122" s="240"/>
      <c r="G122" s="274">
        <f>ROUND(0/Master!B23,0)</f>
        <v>0</v>
      </c>
      <c r="H122" s="243"/>
    </row>
    <row r="123" spans="1:8">
      <c r="A123" s="237" t="s">
        <v>824</v>
      </c>
      <c r="B123" s="230"/>
      <c r="C123" s="239"/>
      <c r="D123" s="234"/>
      <c r="E123" s="264">
        <f>+E121-E122</f>
        <v>42613709</v>
      </c>
      <c r="F123" s="263"/>
      <c r="G123" s="264">
        <f>+G121-G122</f>
        <v>4035301</v>
      </c>
    </row>
    <row r="124" spans="1:8" ht="8.1" customHeight="1">
      <c r="A124" s="237"/>
      <c r="B124" s="230"/>
      <c r="C124" s="239"/>
      <c r="D124" s="234"/>
      <c r="E124" s="275"/>
      <c r="F124" s="263"/>
      <c r="G124" s="275"/>
    </row>
    <row r="125" spans="1:8" ht="15" thickBot="1">
      <c r="A125" s="237" t="s">
        <v>825</v>
      </c>
      <c r="B125" s="230"/>
      <c r="C125" s="239"/>
      <c r="D125" s="234"/>
      <c r="E125" s="398">
        <f>+E120+E123</f>
        <v>42613709</v>
      </c>
      <c r="F125" s="263"/>
      <c r="G125" s="398">
        <f>+G120+G123</f>
        <v>4035301</v>
      </c>
    </row>
    <row r="126" spans="1:8" ht="8.1" customHeight="1" thickTop="1">
      <c r="A126" s="237"/>
      <c r="B126" s="230"/>
      <c r="C126" s="239"/>
      <c r="D126" s="234"/>
      <c r="E126" s="241"/>
      <c r="F126" s="240"/>
      <c r="G126" s="241"/>
    </row>
    <row r="127" spans="1:8">
      <c r="A127" s="256" t="s">
        <v>826</v>
      </c>
      <c r="C127" s="239"/>
      <c r="D127" s="234"/>
      <c r="E127" s="266">
        <f>ROUND(('PL Gr'!E449+'PL Gr'!E455)/Master!$B$23,0)</f>
        <v>3452021</v>
      </c>
      <c r="F127" s="240"/>
      <c r="G127" s="241">
        <f>ROUND(('PL Gr'!G449+'PL Gr'!G455)/Master!$B$23,0)</f>
        <v>-26030840</v>
      </c>
    </row>
    <row r="128" spans="1:8">
      <c r="A128" s="256"/>
      <c r="C128" s="239"/>
      <c r="D128" s="234"/>
      <c r="E128" s="241"/>
      <c r="F128" s="240"/>
      <c r="G128" s="241"/>
    </row>
    <row r="129" spans="1:9">
      <c r="A129" s="256" t="s">
        <v>827</v>
      </c>
      <c r="C129" s="239"/>
      <c r="D129" s="234"/>
      <c r="E129" s="241">
        <f>ROUND('PL Gr'!E453/Master!$B$23,0)</f>
        <v>0</v>
      </c>
      <c r="F129" s="240"/>
      <c r="G129" s="241">
        <f>ROUND('PL Gr'!G453/Master!$B$23,0)</f>
        <v>0</v>
      </c>
    </row>
    <row r="130" spans="1:9" ht="8.1" customHeight="1">
      <c r="A130" s="244"/>
      <c r="B130" s="245"/>
      <c r="C130" s="239"/>
      <c r="D130" s="234"/>
      <c r="E130" s="241"/>
      <c r="F130" s="240"/>
      <c r="G130" s="241"/>
    </row>
    <row r="131" spans="1:9" ht="15" thickBot="1">
      <c r="A131" s="246" t="s">
        <v>173</v>
      </c>
      <c r="B131" s="230"/>
      <c r="C131" s="247"/>
      <c r="D131" s="234"/>
      <c r="E131" s="249">
        <f>+E125+E127+E129</f>
        <v>46065730</v>
      </c>
      <c r="F131" s="248"/>
      <c r="G131" s="249">
        <f>+G125+G127+G129</f>
        <v>-21995539</v>
      </c>
    </row>
    <row r="132" spans="1:9" ht="15" thickTop="1"/>
    <row r="133" spans="1:9">
      <c r="A133" s="399" t="s">
        <v>828</v>
      </c>
      <c r="B133" s="400"/>
      <c r="C133" s="400"/>
      <c r="D133" s="400"/>
      <c r="E133" s="243">
        <f>+E10+E18+E41-E53-E61-E108-E131-'Sch - FA'!K31-E72-E81</f>
        <v>-34054475</v>
      </c>
      <c r="F133" s="400"/>
      <c r="G133" s="401">
        <f>+G10+G18+G41-G53-G61-G108-G131-'Sch - FA'!K25-G72-G81</f>
        <v>58404273</v>
      </c>
      <c r="I133" s="243">
        <f>-'Sch - FA'!K31-E72-E81</f>
        <v>0</v>
      </c>
    </row>
  </sheetData>
  <pageMargins left="0.7" right="0.7" top="0.75" bottom="0.75" header="0.3" footer="0.3"/>
  <pageSetup paperSize="9" scale="97" orientation="portrait" r:id="rId1"/>
  <rowBreaks count="2" manualBreakCount="2">
    <brk id="41" max="6" man="1"/>
    <brk id="108" max="6"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6666"/>
  </sheetPr>
  <dimension ref="A1:O328"/>
  <sheetViews>
    <sheetView showGridLines="0" view="pageBreakPreview" zoomScaleSheetLayoutView="100" workbookViewId="0">
      <pane ySplit="5" topLeftCell="A183" activePane="bottomLeft" state="frozen"/>
      <selection activeCell="B12" sqref="B12"/>
      <selection pane="bottomLeft" activeCell="B12" sqref="B12"/>
    </sheetView>
  </sheetViews>
  <sheetFormatPr defaultColWidth="9.21875" defaultRowHeight="14.4"/>
  <cols>
    <col min="1" max="1" width="56.77734375" style="272" customWidth="1"/>
    <col min="2" max="2" width="0.77734375" style="226" hidden="1" customWidth="1"/>
    <col min="3" max="3" width="5.44140625" style="226" bestFit="1" customWidth="1"/>
    <col min="4" max="4" width="0.77734375" style="226" customWidth="1"/>
    <col min="5" max="5" width="3" style="226" customWidth="1"/>
    <col min="6" max="6" width="0.77734375" style="226" customWidth="1"/>
    <col min="7" max="7" width="13.21875" style="226" bestFit="1" customWidth="1"/>
    <col min="8" max="8" width="0.77734375" style="226" customWidth="1"/>
    <col min="9" max="9" width="16.21875" style="226" bestFit="1" customWidth="1"/>
    <col min="10" max="10" width="15.21875" style="226" bestFit="1" customWidth="1"/>
    <col min="11" max="12" width="9.21875" style="226" customWidth="1"/>
    <col min="13" max="13" width="10" style="226" bestFit="1" customWidth="1"/>
    <col min="14" max="14" width="9.21875" style="226" customWidth="1"/>
    <col min="15" max="16380" width="9.21875" style="226"/>
    <col min="16381" max="16384" width="10" style="226" customWidth="1"/>
  </cols>
  <sheetData>
    <row r="1" spans="1:10" ht="21">
      <c r="A1" s="224" t="str">
        <f>+Master!$B$2</f>
        <v>Syntel Solutions (India) Private Limited</v>
      </c>
      <c r="B1" s="225"/>
    </row>
    <row r="2" spans="1:10">
      <c r="A2" s="227">
        <f>BS!A2</f>
        <v>0</v>
      </c>
      <c r="B2" s="228"/>
    </row>
    <row r="3" spans="1:10" ht="3" customHeight="1">
      <c r="A3" s="229"/>
      <c r="B3" s="230"/>
    </row>
    <row r="4" spans="1:10">
      <c r="A4" s="228" t="str">
        <f>"Notes forming part of  financial statements as at " &amp;Master!$B$5</f>
        <v>Notes forming part of  financial statements as at 31st March 2025</v>
      </c>
      <c r="B4" s="231"/>
      <c r="G4" s="232" t="str">
        <f>+Master!B24</f>
        <v>(Rs.)</v>
      </c>
      <c r="I4" s="232"/>
    </row>
    <row r="5" spans="1:10" s="234" customFormat="1">
      <c r="A5" s="233"/>
      <c r="C5" s="235"/>
      <c r="D5" s="236"/>
      <c r="E5"/>
      <c r="F5" s="236"/>
      <c r="G5" s="235">
        <f>+Master!$B$7</f>
        <v>2025</v>
      </c>
      <c r="H5" s="236"/>
      <c r="I5" s="235">
        <f>Master!$B$13</f>
        <v>2024</v>
      </c>
    </row>
    <row r="6" spans="1:10" s="234" customFormat="1">
      <c r="A6" s="237" t="s">
        <v>635</v>
      </c>
      <c r="C6" s="238"/>
      <c r="D6" s="236"/>
      <c r="E6"/>
      <c r="F6" s="236"/>
      <c r="G6" s="238"/>
      <c r="H6" s="236"/>
      <c r="I6" s="238"/>
    </row>
    <row r="7" spans="1:10" s="234" customFormat="1">
      <c r="A7" s="229"/>
      <c r="C7" s="238"/>
      <c r="D7" s="236"/>
      <c r="E7"/>
      <c r="F7" s="236"/>
      <c r="G7" s="238"/>
      <c r="H7" s="236"/>
      <c r="I7" s="238"/>
    </row>
    <row r="8" spans="1:10">
      <c r="A8" s="26" t="s">
        <v>585</v>
      </c>
      <c r="B8" s="230"/>
      <c r="C8" s="239"/>
      <c r="D8" s="234"/>
      <c r="E8"/>
      <c r="F8" s="240"/>
      <c r="G8" s="241"/>
      <c r="H8" s="240"/>
      <c r="I8" s="241"/>
    </row>
    <row r="9" spans="1:10">
      <c r="A9" s="242" t="s">
        <v>585</v>
      </c>
      <c r="B9" s="230"/>
      <c r="C9" s="239"/>
      <c r="D9" s="234"/>
      <c r="E9"/>
      <c r="F9" s="240"/>
      <c r="G9" s="1647">
        <f>+ROUND(SUM('BS Gr'!D543+'BS Gr'!D565)/Master!$B$23,0)</f>
        <v>-1</v>
      </c>
      <c r="H9" s="240"/>
      <c r="I9" s="241">
        <f>+ROUND(SUM('BS Gr'!F543+'BS Gr'!F565)/Master!$B$23,0)</f>
        <v>-1</v>
      </c>
      <c r="J9" s="243">
        <f>+G9-I9</f>
        <v>0</v>
      </c>
    </row>
    <row r="10" spans="1:10">
      <c r="A10" s="242" t="s">
        <v>15</v>
      </c>
      <c r="B10" s="230"/>
      <c r="C10" s="239"/>
      <c r="D10" s="234"/>
      <c r="E10"/>
      <c r="F10" s="240"/>
      <c r="G10" s="241">
        <f>+ROUND((SUM('BS Gr'!D571)+SUM('BS Gr'!D576)+1)/Master!$B$23,0)</f>
        <v>0</v>
      </c>
      <c r="H10" s="240"/>
      <c r="I10" s="241">
        <f>+ROUND((SUM('BS Gr'!F571)+SUM('BS Gr'!F576)+1)/Master!$B$23,0)</f>
        <v>0</v>
      </c>
      <c r="J10" s="243">
        <f>+G10-I10</f>
        <v>0</v>
      </c>
    </row>
    <row r="11" spans="1:10">
      <c r="A11" s="242" t="s">
        <v>636</v>
      </c>
      <c r="C11" s="239"/>
      <c r="D11" s="234"/>
      <c r="E11"/>
      <c r="F11" s="240"/>
      <c r="G11" s="241">
        <f>ROUND('BS Gr'!D591/Master!$B$23,0)</f>
        <v>0</v>
      </c>
      <c r="H11" s="240"/>
      <c r="I11" s="241">
        <f>ROUND('BS Gr'!F591/Master!$B$23,0)</f>
        <v>0</v>
      </c>
      <c r="J11" s="243">
        <f>+G11-I11</f>
        <v>0</v>
      </c>
    </row>
    <row r="12" spans="1:10">
      <c r="A12" s="244"/>
      <c r="B12" s="245"/>
      <c r="C12" s="239"/>
      <c r="D12" s="234"/>
      <c r="E12"/>
      <c r="F12" s="240"/>
      <c r="G12" s="241"/>
      <c r="H12" s="240"/>
      <c r="I12" s="241"/>
    </row>
    <row r="13" spans="1:10" ht="15" thickBot="1">
      <c r="A13" s="246" t="s">
        <v>173</v>
      </c>
      <c r="B13" s="230"/>
      <c r="C13" s="247"/>
      <c r="D13" s="234"/>
      <c r="E13"/>
      <c r="F13" s="248"/>
      <c r="G13" s="249">
        <f>SUM(G8:G12)</f>
        <v>-1</v>
      </c>
      <c r="H13" s="248"/>
      <c r="I13" s="249">
        <f>SUM(I8:I12)</f>
        <v>-1</v>
      </c>
      <c r="J13" s="243">
        <f>+G13-I13</f>
        <v>0</v>
      </c>
    </row>
    <row r="14" spans="1:10" ht="15" thickTop="1">
      <c r="A14" s="250"/>
      <c r="C14" s="251"/>
      <c r="E14"/>
      <c r="F14" s="252"/>
      <c r="G14" s="253"/>
      <c r="H14" s="252"/>
      <c r="I14" s="253"/>
    </row>
    <row r="15" spans="1:10">
      <c r="A15" s="1636" t="s">
        <v>16</v>
      </c>
      <c r="C15" s="254"/>
      <c r="E15"/>
      <c r="F15" s="252"/>
      <c r="G15" s="255"/>
      <c r="H15" s="252"/>
      <c r="I15" s="255"/>
    </row>
    <row r="16" spans="1:10">
      <c r="A16" s="237" t="s">
        <v>17</v>
      </c>
      <c r="B16" s="230"/>
      <c r="C16" s="239"/>
      <c r="D16" s="234"/>
      <c r="E16"/>
      <c r="F16" s="240"/>
      <c r="G16" s="241"/>
      <c r="H16" s="240"/>
      <c r="I16" s="241"/>
    </row>
    <row r="17" spans="1:9">
      <c r="A17" s="1637" t="s">
        <v>637</v>
      </c>
      <c r="B17" s="230"/>
      <c r="C17" s="239"/>
      <c r="D17" s="234"/>
      <c r="E17"/>
      <c r="F17" s="240"/>
      <c r="G17" s="241"/>
      <c r="H17" s="240"/>
      <c r="I17" s="241"/>
    </row>
    <row r="18" spans="1:9">
      <c r="A18" s="1638" t="s">
        <v>638</v>
      </c>
      <c r="B18" s="230"/>
      <c r="C18" s="239"/>
      <c r="D18" s="234"/>
      <c r="E18"/>
      <c r="F18" s="240"/>
      <c r="G18" s="241">
        <f>ROUND('BS Gr'!I84/Master!$B$23,0)-G28</f>
        <v>0</v>
      </c>
      <c r="H18" s="240"/>
      <c r="I18" s="241">
        <f>ROUND('BS Gr'!M84/Master!$B$23,0)-I28</f>
        <v>0</v>
      </c>
    </row>
    <row r="19" spans="1:9">
      <c r="A19" s="242" t="s">
        <v>639</v>
      </c>
      <c r="B19" s="230"/>
      <c r="C19" s="239"/>
      <c r="D19" s="234"/>
      <c r="E19"/>
      <c r="F19" s="240"/>
      <c r="G19" s="241"/>
      <c r="H19" s="240"/>
      <c r="I19" s="241"/>
    </row>
    <row r="20" spans="1:9">
      <c r="A20" s="256"/>
      <c r="B20" s="230"/>
      <c r="C20" s="239"/>
      <c r="D20" s="234"/>
      <c r="E20"/>
      <c r="F20" s="240"/>
      <c r="G20" s="241"/>
      <c r="H20" s="240"/>
      <c r="I20" s="241"/>
    </row>
    <row r="21" spans="1:9">
      <c r="A21" s="1638" t="s">
        <v>640</v>
      </c>
      <c r="B21" s="230"/>
      <c r="C21" s="239"/>
      <c r="D21" s="234"/>
      <c r="E21"/>
      <c r="F21" s="240"/>
      <c r="G21" s="241">
        <f>ROUND('BS Gr'!I88/Master!$B$23,0)</f>
        <v>0</v>
      </c>
      <c r="H21" s="240"/>
      <c r="I21" s="241">
        <f>ROUND('BS Gr'!M88/Master!$B$23,0)</f>
        <v>0</v>
      </c>
    </row>
    <row r="22" spans="1:9" ht="13.5" customHeight="1">
      <c r="A22" s="242" t="s">
        <v>641</v>
      </c>
      <c r="B22" s="230"/>
      <c r="C22" s="239"/>
      <c r="D22" s="234"/>
      <c r="E22"/>
      <c r="F22" s="240"/>
      <c r="G22" s="241"/>
      <c r="H22" s="240"/>
      <c r="I22" s="241"/>
    </row>
    <row r="23" spans="1:9">
      <c r="A23" s="242"/>
      <c r="B23" s="230"/>
      <c r="C23" s="239"/>
      <c r="D23" s="234"/>
      <c r="E23"/>
      <c r="F23" s="240"/>
      <c r="G23" s="241"/>
      <c r="H23" s="240"/>
      <c r="I23" s="241"/>
    </row>
    <row r="24" spans="1:9">
      <c r="A24" s="1638" t="s">
        <v>642</v>
      </c>
      <c r="B24" s="230"/>
      <c r="C24" s="239"/>
      <c r="D24" s="234"/>
      <c r="E24"/>
      <c r="F24" s="240"/>
      <c r="G24" s="241">
        <f>ROUND('BS Gr'!I87/Master!$B$23,0)</f>
        <v>0</v>
      </c>
      <c r="H24" s="240"/>
      <c r="I24" s="241">
        <f>ROUND('BS Gr'!M87/Master!$B$23,0)</f>
        <v>0</v>
      </c>
    </row>
    <row r="25" spans="1:9" ht="16.5" customHeight="1">
      <c r="A25" s="242" t="s">
        <v>643</v>
      </c>
      <c r="B25" s="230"/>
      <c r="C25" s="239"/>
      <c r="D25" s="234"/>
      <c r="E25"/>
      <c r="F25" s="240"/>
      <c r="G25" s="241"/>
      <c r="H25" s="240"/>
      <c r="I25" s="241"/>
    </row>
    <row r="26" spans="1:9" ht="16.5" customHeight="1">
      <c r="A26" s="242"/>
      <c r="B26" s="230"/>
      <c r="C26" s="239"/>
      <c r="D26" s="234"/>
      <c r="E26"/>
      <c r="F26" s="240"/>
      <c r="G26" s="241"/>
      <c r="H26" s="240"/>
      <c r="I26" s="241"/>
    </row>
    <row r="27" spans="1:9" ht="16.5" customHeight="1">
      <c r="A27" s="1638" t="s">
        <v>644</v>
      </c>
      <c r="B27" s="230"/>
      <c r="C27" s="239"/>
      <c r="D27" s="234"/>
      <c r="E27"/>
      <c r="F27" s="240"/>
      <c r="G27" s="241"/>
      <c r="H27" s="240"/>
      <c r="I27" s="241"/>
    </row>
    <row r="28" spans="1:9" ht="16.5" customHeight="1">
      <c r="A28" s="1638" t="s">
        <v>638</v>
      </c>
      <c r="B28" s="230"/>
      <c r="C28" s="239"/>
      <c r="D28" s="234"/>
      <c r="E28"/>
      <c r="F28" s="240"/>
      <c r="G28" s="241">
        <f>ROUND(0/Master!$B$23,0)</f>
        <v>0</v>
      </c>
      <c r="H28" s="240"/>
      <c r="I28" s="257">
        <f>ROUND(0/Master!$B$23,0)</f>
        <v>0</v>
      </c>
    </row>
    <row r="29" spans="1:9" ht="16.5" customHeight="1">
      <c r="A29" s="242" t="s">
        <v>645</v>
      </c>
      <c r="B29" s="230"/>
      <c r="C29" s="239"/>
      <c r="D29" s="234"/>
      <c r="E29"/>
      <c r="F29" s="240"/>
      <c r="G29" s="241"/>
      <c r="H29" s="240"/>
      <c r="I29" s="241"/>
    </row>
    <row r="30" spans="1:9">
      <c r="A30" s="244"/>
      <c r="B30" s="245"/>
      <c r="C30" s="239"/>
      <c r="D30" s="234"/>
      <c r="E30"/>
      <c r="F30" s="240"/>
      <c r="G30" s="241"/>
      <c r="H30" s="240"/>
      <c r="I30" s="241"/>
    </row>
    <row r="31" spans="1:9" ht="15" thickBot="1">
      <c r="A31" s="246" t="s">
        <v>173</v>
      </c>
      <c r="B31" s="230"/>
      <c r="C31" s="247"/>
      <c r="D31" s="234"/>
      <c r="E31"/>
      <c r="F31" s="248"/>
      <c r="G31" s="249">
        <f>SUM(G14:G30)</f>
        <v>0</v>
      </c>
      <c r="H31" s="248"/>
      <c r="I31" s="249">
        <f>SUM(I14:I30)</f>
        <v>0</v>
      </c>
    </row>
    <row r="32" spans="1:9" ht="15" thickTop="1">
      <c r="A32" s="237"/>
      <c r="B32" s="230"/>
      <c r="C32" s="239"/>
      <c r="D32" s="234"/>
      <c r="E32"/>
      <c r="F32" s="248"/>
      <c r="G32" s="258"/>
      <c r="H32" s="248"/>
      <c r="I32" s="258"/>
    </row>
    <row r="33" spans="1:11">
      <c r="A33" s="1636" t="s">
        <v>18</v>
      </c>
      <c r="C33" s="254"/>
      <c r="E33"/>
      <c r="F33" s="240"/>
      <c r="G33" s="241">
        <f>ROUND('BS Gr'!M257/Master!$B$23,0)</f>
        <v>0</v>
      </c>
      <c r="H33" s="240"/>
      <c r="I33" s="241">
        <f>ROUND('BS Gr'!M257/Master!$B$23,0)</f>
        <v>0</v>
      </c>
    </row>
    <row r="34" spans="1:11" ht="5.25" customHeight="1">
      <c r="A34" s="259"/>
      <c r="C34" s="254"/>
      <c r="E34"/>
      <c r="F34" s="252"/>
      <c r="G34" s="255"/>
      <c r="H34" s="252"/>
      <c r="I34" s="255"/>
    </row>
    <row r="35" spans="1:11" ht="15" thickBot="1">
      <c r="A35" s="246" t="s">
        <v>173</v>
      </c>
      <c r="B35" s="230"/>
      <c r="C35" s="247"/>
      <c r="E35"/>
      <c r="F35" s="248"/>
      <c r="G35" s="249">
        <f>SUM(G33:G34)</f>
        <v>0</v>
      </c>
      <c r="H35" s="248"/>
      <c r="I35" s="249">
        <f>SUM(I33:I34)</f>
        <v>0</v>
      </c>
    </row>
    <row r="36" spans="1:11" ht="15" thickTop="1">
      <c r="A36" s="259"/>
      <c r="C36" s="254"/>
      <c r="E36"/>
      <c r="F36" s="248"/>
      <c r="G36" s="258"/>
      <c r="H36" s="248"/>
      <c r="I36" s="258"/>
    </row>
    <row r="37" spans="1:11">
      <c r="A37" s="1636" t="s">
        <v>19</v>
      </c>
      <c r="C37" s="254"/>
      <c r="E37"/>
      <c r="F37" s="248"/>
      <c r="G37" s="258"/>
      <c r="H37" s="248"/>
      <c r="I37" s="258"/>
    </row>
    <row r="38" spans="1:11">
      <c r="A38" s="259" t="s">
        <v>181</v>
      </c>
      <c r="C38" s="254"/>
      <c r="E38"/>
      <c r="F38" s="248"/>
      <c r="G38" s="241">
        <f>ROUND('BS Gr'!I502/Master!$B$23,0)</f>
        <v>0</v>
      </c>
      <c r="H38" s="248"/>
      <c r="I38" s="241">
        <f>ROUND('BS Gr'!M502/Master!$B$23,0)</f>
        <v>0</v>
      </c>
      <c r="J38" s="243">
        <f t="shared" ref="J38:J53" si="0">+G38-I38</f>
        <v>0</v>
      </c>
    </row>
    <row r="39" spans="1:11" ht="16.5" customHeight="1">
      <c r="A39" s="259" t="s">
        <v>646</v>
      </c>
      <c r="C39" s="254"/>
      <c r="E39"/>
      <c r="F39" s="248"/>
      <c r="G39" s="241"/>
      <c r="H39" s="248"/>
      <c r="I39" s="241"/>
      <c r="J39" s="243">
        <f t="shared" si="0"/>
        <v>0</v>
      </c>
    </row>
    <row r="40" spans="1:11">
      <c r="A40" s="1639" t="s">
        <v>647</v>
      </c>
      <c r="B40" s="230"/>
      <c r="C40" s="239"/>
      <c r="D40" s="234"/>
      <c r="E40"/>
      <c r="F40" s="240"/>
      <c r="G40" s="241">
        <f>ROUND(('BS Gr'!I462)/Master!$B$23,0)-G42-G41-G69</f>
        <v>0</v>
      </c>
      <c r="H40" s="240"/>
      <c r="I40" s="241">
        <f>ROUND(('BS Gr'!M462)/Master!$B$23,0)-I42-I41-I69</f>
        <v>0</v>
      </c>
      <c r="J40" s="243">
        <f t="shared" si="0"/>
        <v>0</v>
      </c>
    </row>
    <row r="41" spans="1:11">
      <c r="A41" s="1639" t="s">
        <v>648</v>
      </c>
      <c r="B41" s="230"/>
      <c r="C41" s="239"/>
      <c r="D41" s="234"/>
      <c r="E41"/>
      <c r="F41" s="240"/>
      <c r="G41" s="1647">
        <f>ROUND('BS Gr'!I462/Master!$B$23,0)-G69</f>
        <v>0</v>
      </c>
      <c r="H41" s="240"/>
      <c r="I41" s="241">
        <f>ROUND('BS Gr'!M462/Master!$B$23,0)-I69</f>
        <v>2602786</v>
      </c>
      <c r="J41" s="243">
        <f t="shared" si="0"/>
        <v>-2602786</v>
      </c>
      <c r="K41" s="243">
        <f>+J41+CF!F17+36105</f>
        <v>-2784308</v>
      </c>
    </row>
    <row r="42" spans="1:11">
      <c r="A42" s="1639" t="s">
        <v>226</v>
      </c>
      <c r="C42" s="239"/>
      <c r="D42" s="234"/>
      <c r="E42"/>
      <c r="F42" s="260"/>
      <c r="G42" s="261">
        <f>+-ROUND('BS Gr'!I449/Master!$B$23,0)</f>
        <v>0</v>
      </c>
      <c r="H42" s="260"/>
      <c r="I42" s="261">
        <f>+-ROUND('BS Gr'!M449/Master!$B$23,0)</f>
        <v>0</v>
      </c>
      <c r="J42" s="243">
        <f t="shared" si="0"/>
        <v>0</v>
      </c>
    </row>
    <row r="43" spans="1:11">
      <c r="A43" s="1639"/>
      <c r="C43" s="239"/>
      <c r="D43" s="234"/>
      <c r="E43"/>
      <c r="F43" s="240"/>
      <c r="G43" s="241">
        <f>SUM(G40:G42)</f>
        <v>0</v>
      </c>
      <c r="H43" s="240"/>
      <c r="I43" s="241">
        <f>SUM(I40:I42)</f>
        <v>2602786</v>
      </c>
      <c r="J43" s="243">
        <f t="shared" si="0"/>
        <v>-2602786</v>
      </c>
    </row>
    <row r="44" spans="1:11">
      <c r="A44" s="242" t="s">
        <v>184</v>
      </c>
      <c r="C44" s="239"/>
      <c r="D44" s="234"/>
      <c r="E44"/>
      <c r="F44" s="260"/>
      <c r="G44" s="261">
        <f>-G42</f>
        <v>0</v>
      </c>
      <c r="H44" s="260"/>
      <c r="I44" s="261">
        <f>-I42</f>
        <v>0</v>
      </c>
      <c r="J44" s="243">
        <f t="shared" si="0"/>
        <v>0</v>
      </c>
    </row>
    <row r="45" spans="1:11">
      <c r="A45" s="1639"/>
      <c r="C45" s="239"/>
      <c r="D45" s="234"/>
      <c r="E45"/>
      <c r="F45" s="240"/>
      <c r="G45" s="241">
        <f>SUM(G43:G44)</f>
        <v>0</v>
      </c>
      <c r="H45" s="240"/>
      <c r="I45" s="241">
        <f>SUM(I43:I44)</f>
        <v>2602786</v>
      </c>
      <c r="J45" s="243">
        <f t="shared" si="0"/>
        <v>-2602786</v>
      </c>
    </row>
    <row r="46" spans="1:11" ht="6" customHeight="1">
      <c r="A46" s="259"/>
      <c r="C46" s="254"/>
      <c r="E46"/>
      <c r="F46" s="248"/>
      <c r="G46" s="258"/>
      <c r="H46" s="248"/>
      <c r="I46" s="258"/>
      <c r="J46" s="243">
        <f t="shared" si="0"/>
        <v>0</v>
      </c>
    </row>
    <row r="47" spans="1:11" ht="15" thickBot="1">
      <c r="A47" s="246" t="s">
        <v>173</v>
      </c>
      <c r="B47" s="230"/>
      <c r="C47" s="247"/>
      <c r="E47"/>
      <c r="F47" s="248"/>
      <c r="G47" s="249">
        <f>G38+G45</f>
        <v>0</v>
      </c>
      <c r="H47" s="248"/>
      <c r="I47" s="249">
        <f>I38+I45</f>
        <v>2602786</v>
      </c>
      <c r="J47" s="243">
        <f t="shared" si="0"/>
        <v>-2602786</v>
      </c>
    </row>
    <row r="48" spans="1:11" ht="15" thickTop="1">
      <c r="A48" s="259"/>
      <c r="C48" s="254"/>
      <c r="E48"/>
      <c r="F48" s="248"/>
      <c r="G48" s="258"/>
      <c r="H48" s="248"/>
      <c r="I48" s="258"/>
    </row>
    <row r="49" spans="1:10">
      <c r="A49" s="237" t="s">
        <v>20</v>
      </c>
      <c r="B49" s="230"/>
      <c r="C49" s="239"/>
      <c r="D49" s="234"/>
      <c r="E49"/>
      <c r="F49" s="240"/>
      <c r="G49" s="1647">
        <f>ROUND(('BS Gr'!I882-'BS Gr'!I871*0)/Master!$B$23,0)-G51</f>
        <v>-3328863</v>
      </c>
      <c r="H49" s="240"/>
      <c r="I49" s="241">
        <f>ROUND(('BS Gr'!M882-'BS Gr'!M871*0)/Master!$B$23,0)-I51</f>
        <v>-6767874</v>
      </c>
      <c r="J49" s="243">
        <f t="shared" si="0"/>
        <v>3439011</v>
      </c>
    </row>
    <row r="50" spans="1:10">
      <c r="A50" s="256" t="s">
        <v>649</v>
      </c>
      <c r="B50" s="230"/>
      <c r="C50" s="239"/>
      <c r="D50" s="234"/>
      <c r="E50"/>
      <c r="F50" s="240"/>
      <c r="G50" s="241">
        <f>-ROUND('BS Gr'!I376/Master!$B$23,0)</f>
        <v>0</v>
      </c>
      <c r="H50" s="240"/>
      <c r="I50" s="241">
        <f>-ROUND('BS Gr'!M376/Master!$B$23,0)</f>
        <v>0</v>
      </c>
      <c r="J50" s="243"/>
    </row>
    <row r="51" spans="1:10">
      <c r="A51" s="256" t="s">
        <v>2233</v>
      </c>
      <c r="B51" s="230"/>
      <c r="C51" s="239"/>
      <c r="D51" s="234"/>
      <c r="E51"/>
      <c r="F51" s="240"/>
      <c r="G51" s="241">
        <f>ROUND(('BS Gr'!I879+'BS Gr'!I876)/Master!$B$23,0)</f>
        <v>0</v>
      </c>
      <c r="H51" s="240"/>
      <c r="I51" s="241">
        <f>ROUND(('BS Gr'!M879+'BS Gr'!M876)/Master!$B$23,0)</f>
        <v>0</v>
      </c>
      <c r="J51" s="243"/>
    </row>
    <row r="52" spans="1:10" ht="6" customHeight="1">
      <c r="A52" s="259"/>
      <c r="C52" s="254"/>
      <c r="E52"/>
      <c r="F52" s="248"/>
      <c r="G52" s="258"/>
      <c r="H52" s="248"/>
      <c r="I52" s="258"/>
      <c r="J52" s="243">
        <f t="shared" si="0"/>
        <v>0</v>
      </c>
    </row>
    <row r="53" spans="1:10" ht="15" thickBot="1">
      <c r="A53" s="246" t="s">
        <v>173</v>
      </c>
      <c r="B53" s="230"/>
      <c r="C53" s="247"/>
      <c r="E53"/>
      <c r="F53" s="248"/>
      <c r="G53" s="249">
        <f>SUM(G49:G52)</f>
        <v>-3328863</v>
      </c>
      <c r="H53" s="248"/>
      <c r="I53" s="249">
        <f>SUM(I49:I52)</f>
        <v>-6767874</v>
      </c>
      <c r="J53" s="243">
        <f t="shared" si="0"/>
        <v>3439011</v>
      </c>
    </row>
    <row r="54" spans="1:10" ht="15" thickTop="1">
      <c r="A54" s="259"/>
      <c r="C54" s="254"/>
      <c r="E54"/>
      <c r="F54" s="248"/>
      <c r="G54" s="258"/>
      <c r="H54" s="248"/>
      <c r="I54" s="258"/>
    </row>
    <row r="55" spans="1:10">
      <c r="A55" s="26" t="s">
        <v>21</v>
      </c>
      <c r="B55" s="230"/>
      <c r="C55" s="239"/>
      <c r="D55" s="234"/>
      <c r="E55"/>
      <c r="F55" s="240"/>
      <c r="G55" s="241"/>
      <c r="H55" s="240"/>
      <c r="I55" s="241"/>
    </row>
    <row r="56" spans="1:10">
      <c r="A56" s="242" t="s">
        <v>650</v>
      </c>
      <c r="B56" s="230"/>
      <c r="C56" s="239"/>
      <c r="D56" s="234"/>
      <c r="E56"/>
      <c r="F56" s="240"/>
      <c r="G56" s="241"/>
      <c r="H56" s="240"/>
      <c r="I56" s="241"/>
    </row>
    <row r="57" spans="1:10">
      <c r="A57" s="1639" t="s">
        <v>202</v>
      </c>
      <c r="B57" s="230"/>
      <c r="C57" s="239"/>
      <c r="D57" s="234"/>
      <c r="E57"/>
      <c r="F57" s="240"/>
      <c r="G57" s="241"/>
      <c r="H57" s="240"/>
      <c r="I57" s="241"/>
    </row>
    <row r="58" spans="1:10">
      <c r="A58" s="1639" t="s">
        <v>182</v>
      </c>
      <c r="B58" s="230"/>
      <c r="C58" s="239"/>
      <c r="D58" s="234"/>
      <c r="E58"/>
      <c r="F58" s="240"/>
      <c r="G58" s="241">
        <f>ROUND('BS Gr'!I597/Master!$B$23,0)</f>
        <v>0</v>
      </c>
      <c r="H58" s="240"/>
      <c r="I58" s="241">
        <f>ROUND('BS Gr'!M597/Master!$B$23,0)</f>
        <v>0</v>
      </c>
    </row>
    <row r="59" spans="1:10">
      <c r="A59" s="1639" t="s">
        <v>226</v>
      </c>
      <c r="B59" s="230"/>
      <c r="C59" s="239"/>
      <c r="D59" s="234"/>
      <c r="E59"/>
      <c r="F59" s="240"/>
      <c r="G59" s="241"/>
      <c r="H59" s="240"/>
      <c r="I59" s="241"/>
    </row>
    <row r="60" spans="1:10">
      <c r="A60" s="256"/>
      <c r="B60" s="230"/>
      <c r="C60" s="239"/>
      <c r="D60" s="234"/>
      <c r="E60"/>
      <c r="F60" s="240"/>
      <c r="G60" s="262">
        <f>SUM(G57:G59)</f>
        <v>0</v>
      </c>
      <c r="H60" s="240"/>
      <c r="I60" s="262">
        <f>SUM(I57:I59)</f>
        <v>0</v>
      </c>
    </row>
    <row r="61" spans="1:10">
      <c r="A61" s="256" t="s">
        <v>651</v>
      </c>
      <c r="B61" s="230"/>
      <c r="C61" s="239"/>
      <c r="D61" s="234"/>
      <c r="E61"/>
      <c r="F61" s="240"/>
      <c r="G61" s="241">
        <f>-G59</f>
        <v>0</v>
      </c>
      <c r="H61" s="240"/>
      <c r="I61" s="241">
        <f>-I59</f>
        <v>0</v>
      </c>
    </row>
    <row r="62" spans="1:10" s="225" customFormat="1">
      <c r="A62" s="237"/>
      <c r="B62" s="230"/>
      <c r="C62" s="238"/>
      <c r="D62" s="236"/>
      <c r="E62"/>
      <c r="F62" s="263"/>
      <c r="G62" s="264">
        <f>SUM(G60:G61)</f>
        <v>0</v>
      </c>
      <c r="H62" s="263"/>
      <c r="I62" s="264">
        <f>SUM(I60:I61)</f>
        <v>0</v>
      </c>
    </row>
    <row r="63" spans="1:10">
      <c r="A63" s="256"/>
      <c r="B63" s="230"/>
      <c r="C63" s="239"/>
      <c r="D63" s="234"/>
      <c r="E63"/>
      <c r="F63" s="240"/>
      <c r="G63" s="241"/>
      <c r="H63" s="240"/>
      <c r="I63" s="241"/>
    </row>
    <row r="64" spans="1:10">
      <c r="A64" s="1639" t="s">
        <v>566</v>
      </c>
      <c r="B64" s="230"/>
      <c r="C64" s="239"/>
      <c r="D64" s="234"/>
      <c r="E64"/>
      <c r="F64" s="240"/>
      <c r="G64" s="241">
        <f>ROUND('BS Gr'!I281/Master!$B$23,0)</f>
        <v>0</v>
      </c>
      <c r="H64" s="240"/>
      <c r="I64" s="241">
        <f>ROUND('BS Gr'!M281/Master!$B$23,0)</f>
        <v>0</v>
      </c>
    </row>
    <row r="65" spans="1:13">
      <c r="A65" s="1639" t="s">
        <v>230</v>
      </c>
      <c r="B65" s="230"/>
      <c r="C65" s="239"/>
      <c r="D65" s="234"/>
      <c r="E65"/>
      <c r="F65" s="240"/>
      <c r="G65" s="241">
        <f>ROUND('BS Gr'!I302/Master!$B$23,0)</f>
        <v>0</v>
      </c>
      <c r="H65" s="240"/>
      <c r="I65" s="241">
        <f>ROUND('BS Gr'!M302/Master!$B$23,0)</f>
        <v>0</v>
      </c>
    </row>
    <row r="66" spans="1:13">
      <c r="A66" s="1639" t="s">
        <v>234</v>
      </c>
      <c r="B66" s="230"/>
      <c r="C66" s="239"/>
      <c r="D66" s="234"/>
      <c r="E66"/>
      <c r="F66" s="240"/>
      <c r="G66" s="1647">
        <f>ROUND(('BS Gr'!I423+'BS Gr'!I351+(5071372))/Master!$B$23,0)</f>
        <v>11703040</v>
      </c>
      <c r="H66" s="240"/>
      <c r="I66" s="241">
        <f>ROUND(('BS Gr'!M423+'BS Gr'!M351+5071372)/Master!$B$23,0)</f>
        <v>11703040</v>
      </c>
      <c r="J66" s="243">
        <f t="shared" ref="J66:J76" si="1">+G66-I66</f>
        <v>0</v>
      </c>
      <c r="K66" s="226">
        <f>-1-1+1-1-1</f>
        <v>-3</v>
      </c>
      <c r="L66" s="226">
        <f>-1-1+1-1-1-2</f>
        <v>-5</v>
      </c>
      <c r="M66" s="226">
        <f>-1-1+1-1-1-2+4</f>
        <v>-1</v>
      </c>
    </row>
    <row r="67" spans="1:13">
      <c r="A67" s="1639" t="s">
        <v>72</v>
      </c>
      <c r="B67" s="230"/>
      <c r="C67" s="239"/>
      <c r="D67" s="234"/>
      <c r="E67"/>
      <c r="F67" s="240"/>
      <c r="G67" s="241">
        <f>ROUND('BS Gr'!I376/Master!$B$23,0)*0</f>
        <v>0</v>
      </c>
      <c r="H67" s="265"/>
      <c r="I67" s="266">
        <f>ROUND('BS Gr'!M376/Master!$B$23,0)*0</f>
        <v>0</v>
      </c>
      <c r="J67" s="243">
        <f t="shared" si="1"/>
        <v>0</v>
      </c>
    </row>
    <row r="68" spans="1:13">
      <c r="A68" s="1639" t="s">
        <v>652</v>
      </c>
      <c r="B68" s="230"/>
      <c r="C68" s="239"/>
      <c r="D68" s="234"/>
      <c r="E68"/>
      <c r="F68" s="240"/>
      <c r="G68" s="241"/>
      <c r="H68" s="240"/>
      <c r="I68" s="241"/>
      <c r="J68" s="243">
        <f t="shared" si="1"/>
        <v>0</v>
      </c>
    </row>
    <row r="69" spans="1:13">
      <c r="A69" s="1639" t="s">
        <v>653</v>
      </c>
      <c r="B69" s="230"/>
      <c r="C69" s="239"/>
      <c r="D69" s="234"/>
      <c r="E69"/>
      <c r="F69" s="240"/>
      <c r="G69" s="241">
        <f>ROUND('BS Gr'!I458/Master!$B$23,0)</f>
        <v>0</v>
      </c>
      <c r="H69" s="240"/>
      <c r="I69" s="241">
        <f>ROUND('BS Gr'!M458/Master!$B$23,0)</f>
        <v>0</v>
      </c>
      <c r="J69" s="243">
        <f t="shared" si="1"/>
        <v>0</v>
      </c>
    </row>
    <row r="70" spans="1:13">
      <c r="A70" s="1639" t="s">
        <v>654</v>
      </c>
      <c r="B70" s="230"/>
      <c r="C70" s="239"/>
      <c r="D70" s="234"/>
      <c r="E70"/>
      <c r="F70" s="240"/>
      <c r="G70" s="241">
        <f>ROUND('BS Gr'!I446/Master!$B$23,0)</f>
        <v>0</v>
      </c>
      <c r="H70" s="240"/>
      <c r="I70" s="241">
        <f>ROUND('BS Gr'!M446/Master!$B$23,0)</f>
        <v>0</v>
      </c>
      <c r="J70" s="243">
        <f t="shared" si="1"/>
        <v>0</v>
      </c>
    </row>
    <row r="71" spans="1:13">
      <c r="A71" s="1639" t="s">
        <v>207</v>
      </c>
      <c r="B71" s="230"/>
      <c r="C71" s="239"/>
      <c r="D71" s="234"/>
      <c r="E71"/>
      <c r="F71" s="240"/>
      <c r="G71" s="241">
        <f>ROUND('BS Gr'!I351/Master!$B$23,0)*0</f>
        <v>0</v>
      </c>
      <c r="H71" s="240"/>
      <c r="I71" s="241">
        <f>ROUND('BS Gr'!M351/Master!$B$23,0)*0</f>
        <v>0</v>
      </c>
      <c r="J71" s="243">
        <f t="shared" si="1"/>
        <v>0</v>
      </c>
    </row>
    <row r="72" spans="1:13">
      <c r="A72" s="242"/>
      <c r="B72" s="230"/>
      <c r="C72" s="239"/>
      <c r="D72" s="234"/>
      <c r="E72"/>
      <c r="F72" s="240"/>
      <c r="G72" s="262">
        <f>SUM(G64:G71)</f>
        <v>11703040</v>
      </c>
      <c r="H72" s="240"/>
      <c r="I72" s="262">
        <f>SUM(I64:I71)</f>
        <v>11703040</v>
      </c>
      <c r="J72" s="243">
        <f t="shared" si="1"/>
        <v>0</v>
      </c>
    </row>
    <row r="73" spans="1:13">
      <c r="A73" s="1639" t="s">
        <v>655</v>
      </c>
      <c r="B73" s="230"/>
      <c r="C73" s="239"/>
      <c r="D73" s="234"/>
      <c r="E73"/>
      <c r="F73" s="240"/>
      <c r="G73" s="1647">
        <f>ROUND('BS Gr'!I430/Master!$B$23,0)</f>
        <v>-399960</v>
      </c>
      <c r="H73" s="240"/>
      <c r="I73" s="241">
        <f>ROUND('BS Gr'!M430/Master!$B$23,0)</f>
        <v>-399960</v>
      </c>
      <c r="J73" s="243">
        <f t="shared" si="1"/>
        <v>0</v>
      </c>
    </row>
    <row r="74" spans="1:13">
      <c r="A74" s="256"/>
      <c r="C74" s="239"/>
      <c r="D74" s="234"/>
      <c r="E74"/>
      <c r="F74" s="263"/>
      <c r="G74" s="264">
        <f>SUM(G72:G73)</f>
        <v>11303080</v>
      </c>
      <c r="H74" s="263"/>
      <c r="I74" s="264">
        <f>SUM(I72:I73)</f>
        <v>11303080</v>
      </c>
      <c r="J74" s="243">
        <f t="shared" si="1"/>
        <v>0</v>
      </c>
    </row>
    <row r="75" spans="1:13">
      <c r="A75" s="244"/>
      <c r="B75" s="245"/>
      <c r="C75" s="239"/>
      <c r="D75" s="234"/>
      <c r="E75"/>
      <c r="F75" s="240"/>
      <c r="G75" s="241"/>
      <c r="H75" s="240"/>
      <c r="I75" s="241"/>
      <c r="J75" s="243">
        <f t="shared" si="1"/>
        <v>0</v>
      </c>
    </row>
    <row r="76" spans="1:13" ht="15" thickBot="1">
      <c r="A76" s="246" t="s">
        <v>173</v>
      </c>
      <c r="B76" s="230"/>
      <c r="C76" s="247"/>
      <c r="D76" s="234"/>
      <c r="E76"/>
      <c r="F76" s="248"/>
      <c r="G76" s="249">
        <f>G62+G74</f>
        <v>11303080</v>
      </c>
      <c r="H76" s="248"/>
      <c r="I76" s="249">
        <f>I62+I74</f>
        <v>11303080</v>
      </c>
      <c r="J76" s="243">
        <f t="shared" si="1"/>
        <v>0</v>
      </c>
    </row>
    <row r="77" spans="1:13" ht="15" thickTop="1">
      <c r="A77" s="259"/>
      <c r="C77" s="254"/>
      <c r="E77"/>
      <c r="F77" s="248"/>
      <c r="G77" s="258"/>
      <c r="H77" s="248"/>
      <c r="I77" s="258"/>
    </row>
    <row r="78" spans="1:13">
      <c r="A78" s="259"/>
      <c r="C78" s="254"/>
      <c r="E78"/>
      <c r="F78" s="248"/>
      <c r="G78" s="258"/>
      <c r="H78" s="248"/>
      <c r="I78" s="258"/>
    </row>
    <row r="79" spans="1:13">
      <c r="A79" s="1636" t="s">
        <v>22</v>
      </c>
      <c r="C79" s="254"/>
      <c r="E79"/>
      <c r="F79" s="248"/>
      <c r="G79" s="258"/>
      <c r="H79" s="248"/>
      <c r="I79" s="258"/>
    </row>
    <row r="80" spans="1:13">
      <c r="A80" s="1639" t="s">
        <v>656</v>
      </c>
      <c r="B80" s="230"/>
      <c r="C80" s="239"/>
      <c r="D80" s="234"/>
      <c r="E80"/>
      <c r="F80" s="240"/>
      <c r="G80" s="1647">
        <f>+ROUND('BS Gr'!I522/Master!$B$23,0)</f>
        <v>-839640</v>
      </c>
      <c r="H80" s="240"/>
      <c r="I80" s="241">
        <f>+ROUND('BS Gr'!M522/Master!$B$23,0)</f>
        <v>40668266</v>
      </c>
      <c r="J80" s="243">
        <f>+G80-I80</f>
        <v>-41507906</v>
      </c>
      <c r="K80" s="226">
        <f>366585-137000</f>
        <v>229585</v>
      </c>
    </row>
    <row r="81" spans="1:10" ht="4.5" customHeight="1">
      <c r="A81" s="259"/>
      <c r="C81" s="254"/>
      <c r="E81"/>
      <c r="F81" s="248"/>
      <c r="G81" s="258"/>
      <c r="H81" s="248"/>
      <c r="I81" s="258"/>
      <c r="J81" s="243">
        <f>+G81-I81</f>
        <v>0</v>
      </c>
    </row>
    <row r="82" spans="1:10" ht="15" thickBot="1">
      <c r="A82" s="246" t="s">
        <v>173</v>
      </c>
      <c r="B82" s="230"/>
      <c r="C82" s="247"/>
      <c r="D82" s="234"/>
      <c r="E82"/>
      <c r="F82" s="248"/>
      <c r="G82" s="249">
        <f>SUM(G80:G81)</f>
        <v>-839640</v>
      </c>
      <c r="H82" s="248"/>
      <c r="I82" s="249">
        <f>SUM(I80:I81)</f>
        <v>40668266</v>
      </c>
      <c r="J82" s="243">
        <f>+G82-I82</f>
        <v>-41507906</v>
      </c>
    </row>
    <row r="83" spans="1:10" ht="15" thickTop="1">
      <c r="A83" s="259"/>
      <c r="C83" s="254"/>
      <c r="E83"/>
      <c r="F83" s="248"/>
      <c r="G83" s="258"/>
      <c r="H83" s="248"/>
      <c r="I83" s="258"/>
    </row>
    <row r="84" spans="1:10">
      <c r="A84" s="1636" t="s">
        <v>24</v>
      </c>
      <c r="C84" s="254"/>
      <c r="E84"/>
      <c r="F84" s="267"/>
      <c r="G84" s="268"/>
      <c r="H84" s="267"/>
      <c r="I84" s="268"/>
    </row>
    <row r="85" spans="1:10">
      <c r="A85" s="1636" t="s">
        <v>16</v>
      </c>
      <c r="C85" s="254"/>
      <c r="E85"/>
      <c r="F85" s="267"/>
      <c r="G85" s="268"/>
      <c r="H85" s="267"/>
      <c r="I85" s="268"/>
    </row>
    <row r="86" spans="1:10">
      <c r="A86" s="237" t="s">
        <v>17</v>
      </c>
      <c r="C86" s="254"/>
      <c r="E86"/>
      <c r="F86" s="267"/>
      <c r="G86" s="268"/>
      <c r="H86" s="267"/>
      <c r="I86" s="268"/>
    </row>
    <row r="87" spans="1:10">
      <c r="A87" s="256" t="s">
        <v>657</v>
      </c>
      <c r="B87" s="230"/>
      <c r="C87" s="239"/>
      <c r="D87" s="234"/>
      <c r="E87"/>
      <c r="F87" s="240"/>
      <c r="G87" s="1647">
        <f>ROUND('BS Gr'!H73/Master!$B$23,0)</f>
        <v>-10</v>
      </c>
      <c r="H87" s="240"/>
      <c r="I87" s="241">
        <f>ROUND('BS Gr'!L73/Master!$B$23,0)</f>
        <v>-10</v>
      </c>
      <c r="J87" s="243">
        <f>+G87-I87</f>
        <v>0</v>
      </c>
    </row>
    <row r="88" spans="1:10">
      <c r="A88" s="256"/>
      <c r="B88" s="230"/>
      <c r="C88" s="239"/>
      <c r="D88" s="234"/>
      <c r="E88"/>
      <c r="F88" s="240"/>
      <c r="G88" s="241"/>
      <c r="H88" s="240"/>
      <c r="I88" s="241"/>
    </row>
    <row r="89" spans="1:10">
      <c r="A89" s="237" t="s">
        <v>637</v>
      </c>
      <c r="B89" s="230"/>
      <c r="C89" s="239"/>
      <c r="D89" s="234"/>
      <c r="E89"/>
      <c r="F89" s="240"/>
      <c r="G89" s="241"/>
      <c r="H89" s="240"/>
      <c r="I89" s="241"/>
    </row>
    <row r="90" spans="1:10">
      <c r="A90" s="1640" t="s">
        <v>638</v>
      </c>
      <c r="B90" s="1641"/>
      <c r="C90" s="1642"/>
      <c r="D90" s="1643"/>
      <c r="E90"/>
      <c r="F90" s="240"/>
      <c r="G90" s="241">
        <f>ROUND('BS Gr'!H84/Master!$B$23,0)</f>
        <v>0</v>
      </c>
      <c r="H90" s="240"/>
      <c r="I90" s="241">
        <f>ROUND('BS Gr'!L84/Master!$B$23,0)</f>
        <v>0</v>
      </c>
    </row>
    <row r="91" spans="1:10">
      <c r="A91" s="1644" t="s">
        <v>658</v>
      </c>
      <c r="B91" s="1641"/>
      <c r="C91" s="1642"/>
      <c r="D91" s="1643"/>
      <c r="E91"/>
      <c r="F91" s="240"/>
      <c r="G91" s="241"/>
      <c r="H91" s="240"/>
      <c r="I91" s="241"/>
    </row>
    <row r="92" spans="1:10">
      <c r="A92" s="1640" t="s">
        <v>642</v>
      </c>
      <c r="B92" s="1641"/>
      <c r="C92" s="1642"/>
      <c r="D92" s="1643"/>
      <c r="E92"/>
      <c r="F92" s="240"/>
      <c r="G92" s="241">
        <f>ROUND('BS Gr'!H87/Master!$B$23,0)</f>
        <v>0</v>
      </c>
      <c r="H92" s="240"/>
      <c r="I92" s="241">
        <f>ROUND('BS Gr'!L87/Master!$B$23,0)</f>
        <v>0</v>
      </c>
    </row>
    <row r="93" spans="1:10">
      <c r="A93" s="242" t="s">
        <v>659</v>
      </c>
      <c r="B93" s="1641"/>
      <c r="C93" s="1642"/>
      <c r="D93" s="1643"/>
      <c r="E93"/>
      <c r="F93" s="240"/>
      <c r="G93" s="241"/>
      <c r="H93" s="240"/>
      <c r="I93" s="241"/>
    </row>
    <row r="94" spans="1:10">
      <c r="A94" s="1645"/>
      <c r="B94" s="1641"/>
      <c r="C94" s="1642"/>
      <c r="D94" s="1643"/>
      <c r="E94"/>
      <c r="F94" s="269"/>
      <c r="G94" s="264">
        <f>SUM(G90:G93)</f>
        <v>0</v>
      </c>
      <c r="H94" s="269"/>
      <c r="I94" s="264">
        <f>SUM(I90:I93)</f>
        <v>0</v>
      </c>
    </row>
    <row r="95" spans="1:10">
      <c r="A95" s="242"/>
      <c r="B95" s="230"/>
      <c r="C95" s="239"/>
      <c r="D95" s="234"/>
      <c r="E95"/>
      <c r="F95" s="240"/>
      <c r="G95" s="241"/>
      <c r="H95" s="240"/>
      <c r="I95" s="241"/>
    </row>
    <row r="96" spans="1:10" ht="15" thickBot="1">
      <c r="A96" s="246" t="s">
        <v>173</v>
      </c>
      <c r="B96" s="230"/>
      <c r="C96" s="247"/>
      <c r="D96" s="234"/>
      <c r="E96"/>
      <c r="F96" s="248"/>
      <c r="G96" s="249">
        <f>+G87+G94</f>
        <v>-10</v>
      </c>
      <c r="H96" s="248"/>
      <c r="I96" s="249">
        <f>+I87+I94</f>
        <v>-10</v>
      </c>
      <c r="J96" s="243">
        <f>+G96-I96</f>
        <v>0</v>
      </c>
    </row>
    <row r="97" spans="1:10" ht="15" thickTop="1">
      <c r="A97" s="1636"/>
      <c r="C97" s="254"/>
      <c r="E97"/>
      <c r="F97" s="267"/>
      <c r="G97" s="268"/>
      <c r="H97" s="267"/>
      <c r="I97" s="268"/>
    </row>
    <row r="98" spans="1:10">
      <c r="A98" s="1636" t="s">
        <v>25</v>
      </c>
      <c r="C98" s="254"/>
      <c r="E98"/>
      <c r="F98" s="267"/>
      <c r="G98" s="268"/>
      <c r="H98" s="267"/>
      <c r="I98" s="268"/>
    </row>
    <row r="99" spans="1:10" ht="28.8">
      <c r="A99" s="1638" t="s">
        <v>660</v>
      </c>
      <c r="B99" s="230"/>
      <c r="C99" s="239"/>
      <c r="D99" s="234"/>
      <c r="E99"/>
      <c r="F99" s="240"/>
      <c r="G99" s="241"/>
      <c r="H99" s="240"/>
      <c r="I99" s="241"/>
    </row>
    <row r="100" spans="1:10">
      <c r="A100" s="256" t="s">
        <v>661</v>
      </c>
      <c r="B100" s="230"/>
      <c r="C100" s="239"/>
      <c r="D100" s="234"/>
      <c r="E100"/>
      <c r="F100" s="240"/>
      <c r="G100" s="241">
        <f>ROUND('BS Gr'!H127/Master!$B$23,0)</f>
        <v>0</v>
      </c>
      <c r="H100" s="240"/>
      <c r="I100" s="241">
        <f>ROUND('BS Gr'!L127/Master!$B$23,0)</f>
        <v>0</v>
      </c>
    </row>
    <row r="101" spans="1:10">
      <c r="A101" s="242" t="s">
        <v>662</v>
      </c>
      <c r="B101" s="230"/>
      <c r="C101" s="239"/>
      <c r="D101" s="234"/>
      <c r="E101"/>
      <c r="F101" s="240"/>
      <c r="G101" s="241">
        <f>ROUND('BS Gr'!H128/Master!$B$23,0)</f>
        <v>0</v>
      </c>
      <c r="H101" s="240"/>
      <c r="I101" s="241">
        <f>ROUND('BS Gr'!L128/Master!$B$23,0)</f>
        <v>0</v>
      </c>
    </row>
    <row r="102" spans="1:10">
      <c r="A102" s="237"/>
      <c r="B102" s="230"/>
      <c r="C102" s="239"/>
      <c r="D102" s="234"/>
      <c r="E102"/>
      <c r="F102" s="240"/>
      <c r="G102" s="262">
        <f>SUM(G99:G101)</f>
        <v>0</v>
      </c>
      <c r="H102" s="240"/>
      <c r="I102" s="262">
        <f>SUM(I99:I101)</f>
        <v>0</v>
      </c>
    </row>
    <row r="103" spans="1:10">
      <c r="A103" s="242" t="s">
        <v>663</v>
      </c>
      <c r="B103" s="230"/>
      <c r="C103" s="239"/>
      <c r="D103" s="234"/>
      <c r="E103"/>
      <c r="F103" s="240"/>
      <c r="G103" s="261">
        <f>-G101</f>
        <v>0</v>
      </c>
      <c r="H103" s="240"/>
      <c r="I103" s="261">
        <f>-I101</f>
        <v>0</v>
      </c>
    </row>
    <row r="104" spans="1:10">
      <c r="A104" s="237"/>
      <c r="B104" s="230"/>
      <c r="C104" s="239"/>
      <c r="D104" s="234"/>
      <c r="E104"/>
      <c r="F104" s="240"/>
      <c r="G104" s="241">
        <f>SUM(G102:G103)</f>
        <v>0</v>
      </c>
      <c r="H104" s="240"/>
      <c r="I104" s="241">
        <f>SUM(I102:I103)</f>
        <v>0</v>
      </c>
    </row>
    <row r="105" spans="1:10">
      <c r="A105" s="237"/>
      <c r="B105" s="230"/>
      <c r="C105" s="239"/>
      <c r="D105" s="234"/>
      <c r="E105"/>
      <c r="F105" s="240"/>
      <c r="G105" s="241"/>
      <c r="H105" s="240"/>
      <c r="I105" s="241"/>
    </row>
    <row r="106" spans="1:10">
      <c r="A106" s="1638" t="s">
        <v>664</v>
      </c>
      <c r="B106" s="230"/>
      <c r="C106" s="239"/>
      <c r="D106" s="234"/>
      <c r="E106"/>
      <c r="F106" s="240"/>
      <c r="G106" s="241"/>
      <c r="H106" s="240"/>
      <c r="I106" s="241"/>
    </row>
    <row r="107" spans="1:10">
      <c r="A107" s="242" t="s">
        <v>182</v>
      </c>
      <c r="B107" s="230"/>
      <c r="C107" s="239"/>
      <c r="D107" s="234"/>
      <c r="E107"/>
      <c r="F107" s="240"/>
      <c r="G107" s="1647">
        <f>ROUND('BS Gr'!H129/Master!$B$23,0)</f>
        <v>8393535</v>
      </c>
      <c r="H107" s="240"/>
      <c r="I107" s="270">
        <f>ROUND('BS Gr'!L129+100000/Master!$B$23,0)</f>
        <v>1953218</v>
      </c>
      <c r="J107" s="243">
        <f t="shared" ref="J107:J114" si="2">+G107-I107</f>
        <v>6440317</v>
      </c>
    </row>
    <row r="108" spans="1:10">
      <c r="A108" s="242" t="s">
        <v>228</v>
      </c>
      <c r="B108" s="230"/>
      <c r="C108" s="239"/>
      <c r="D108" s="234"/>
      <c r="E108"/>
      <c r="F108" s="240"/>
      <c r="G108" s="1647">
        <f>ROUND('BS Gr'!H473/Master!$B$23,0)</f>
        <v>213964</v>
      </c>
      <c r="H108" s="240"/>
      <c r="I108" s="270">
        <f>ROUND('BS Gr'!L473/Master!$B$23,0)</f>
        <v>59269</v>
      </c>
      <c r="J108" s="243"/>
    </row>
    <row r="109" spans="1:10">
      <c r="A109" s="242" t="s">
        <v>183</v>
      </c>
      <c r="B109" s="230"/>
      <c r="C109" s="239"/>
      <c r="D109" s="234"/>
      <c r="E109"/>
      <c r="F109" s="240"/>
      <c r="G109" s="241">
        <v>0</v>
      </c>
      <c r="H109" s="240"/>
      <c r="I109" s="241">
        <v>0</v>
      </c>
      <c r="J109" s="243">
        <f t="shared" si="2"/>
        <v>0</v>
      </c>
    </row>
    <row r="110" spans="1:10">
      <c r="A110" s="256"/>
      <c r="C110" s="239"/>
      <c r="D110" s="234"/>
      <c r="E110"/>
      <c r="F110" s="240"/>
      <c r="G110" s="262">
        <f>SUM(G106:G109)</f>
        <v>8607499</v>
      </c>
      <c r="H110" s="240"/>
      <c r="I110" s="262">
        <f>SUM(I106:I109)</f>
        <v>2012487</v>
      </c>
      <c r="J110" s="243">
        <f t="shared" si="2"/>
        <v>6595012</v>
      </c>
    </row>
    <row r="111" spans="1:10">
      <c r="A111" s="242" t="s">
        <v>665</v>
      </c>
      <c r="C111" s="239"/>
      <c r="D111" s="234"/>
      <c r="E111"/>
      <c r="F111" s="240"/>
      <c r="G111" s="261">
        <f>-G109</f>
        <v>0</v>
      </c>
      <c r="H111" s="240"/>
      <c r="I111" s="261">
        <f>-I109</f>
        <v>0</v>
      </c>
      <c r="J111" s="243">
        <f t="shared" si="2"/>
        <v>0</v>
      </c>
    </row>
    <row r="112" spans="1:10">
      <c r="A112" s="244"/>
      <c r="B112" s="245"/>
      <c r="C112" s="239"/>
      <c r="D112" s="234"/>
      <c r="E112"/>
      <c r="F112" s="240"/>
      <c r="G112" s="241">
        <f>SUM(G110:G111)</f>
        <v>8607499</v>
      </c>
      <c r="H112" s="240"/>
      <c r="I112" s="241">
        <f>SUM(I110:I111)</f>
        <v>2012487</v>
      </c>
      <c r="J112" s="243">
        <f t="shared" si="2"/>
        <v>6595012</v>
      </c>
    </row>
    <row r="113" spans="1:10">
      <c r="A113" s="244"/>
      <c r="B113" s="245"/>
      <c r="C113" s="239"/>
      <c r="D113" s="234"/>
      <c r="E113"/>
      <c r="F113" s="240"/>
      <c r="G113" s="241"/>
      <c r="H113" s="240"/>
      <c r="I113" s="241"/>
      <c r="J113" s="243">
        <f t="shared" si="2"/>
        <v>0</v>
      </c>
    </row>
    <row r="114" spans="1:10" ht="15" thickBot="1">
      <c r="A114" s="246" t="s">
        <v>173</v>
      </c>
      <c r="B114" s="230"/>
      <c r="C114" s="247"/>
      <c r="D114" s="234"/>
      <c r="E114"/>
      <c r="F114" s="248"/>
      <c r="G114" s="249">
        <f>+G104+G112</f>
        <v>8607499</v>
      </c>
      <c r="H114" s="248"/>
      <c r="I114" s="249">
        <f>+I104+I112</f>
        <v>2012487</v>
      </c>
      <c r="J114" s="243">
        <f t="shared" si="2"/>
        <v>6595012</v>
      </c>
    </row>
    <row r="115" spans="1:10" ht="15" thickTop="1">
      <c r="A115" s="1636"/>
      <c r="C115" s="254"/>
      <c r="E115"/>
      <c r="F115" s="267"/>
      <c r="G115" s="268"/>
      <c r="H115" s="267"/>
      <c r="I115" s="268"/>
    </row>
    <row r="116" spans="1:10">
      <c r="A116" s="237" t="s">
        <v>26</v>
      </c>
      <c r="B116" s="230"/>
      <c r="C116" s="239"/>
      <c r="D116" s="234"/>
      <c r="E116"/>
      <c r="F116" s="240"/>
      <c r="G116" s="241"/>
      <c r="H116" s="240"/>
      <c r="I116" s="241"/>
    </row>
    <row r="117" spans="1:10">
      <c r="A117" s="242" t="s">
        <v>666</v>
      </c>
      <c r="B117" s="230"/>
      <c r="C117" s="239"/>
      <c r="D117" s="234"/>
      <c r="E117"/>
      <c r="F117" s="240"/>
      <c r="G117" s="241">
        <f>ROUND(('BS Gr'!H145)/Master!$B$23,0)</f>
        <v>0</v>
      </c>
      <c r="H117" s="240"/>
      <c r="I117" s="241">
        <f>ROUND(('BS Gr'!L145)/Master!$B$23,0)</f>
        <v>0</v>
      </c>
      <c r="J117" s="243">
        <f t="shared" ref="J117:J122" si="3">+G117-I117</f>
        <v>0</v>
      </c>
    </row>
    <row r="118" spans="1:10">
      <c r="A118" s="242" t="s">
        <v>667</v>
      </c>
      <c r="B118" s="230"/>
      <c r="C118" s="239"/>
      <c r="D118" s="234"/>
      <c r="E118"/>
      <c r="F118" s="240"/>
      <c r="G118" s="1647">
        <f>ROUND(('BS Gr'!H209)/Master!$B$23,0)-ROUND('BS Gr'!H189/Master!$B$23,0)</f>
        <v>409518</v>
      </c>
      <c r="H118" s="240"/>
      <c r="I118" s="241">
        <f>ROUND(('BS Gr'!F209)/Master!$B$23,0)-ROUND(('BS Gr'!F189)/Master!$B$23,0)</f>
        <v>605184</v>
      </c>
      <c r="J118" s="243">
        <f t="shared" si="3"/>
        <v>-195666</v>
      </c>
    </row>
    <row r="119" spans="1:10">
      <c r="A119" s="242" t="s">
        <v>668</v>
      </c>
      <c r="B119" s="230"/>
      <c r="C119" s="239"/>
      <c r="D119" s="234"/>
      <c r="E119"/>
      <c r="F119" s="240"/>
      <c r="G119" s="241">
        <f>ROUND('BS Gr'!H242/Master!$B$23,0)</f>
        <v>243250000</v>
      </c>
      <c r="H119" s="240"/>
      <c r="I119" s="241">
        <f>ROUND('BS Gr'!L242/Master!$B$23,0)</f>
        <v>243200000</v>
      </c>
      <c r="J119" s="243">
        <f t="shared" si="3"/>
        <v>50000</v>
      </c>
    </row>
    <row r="120" spans="1:10">
      <c r="A120" s="242" t="s">
        <v>219</v>
      </c>
      <c r="B120" s="230"/>
      <c r="C120" s="239"/>
      <c r="D120" s="234"/>
      <c r="E120"/>
      <c r="F120" s="240"/>
      <c r="G120" s="241">
        <v>0</v>
      </c>
      <c r="H120" s="240"/>
      <c r="I120" s="241">
        <v>0</v>
      </c>
      <c r="J120" s="243">
        <f t="shared" si="3"/>
        <v>0</v>
      </c>
    </row>
    <row r="121" spans="1:10" ht="3.75" customHeight="1">
      <c r="A121" s="242"/>
      <c r="B121" s="230"/>
      <c r="C121" s="239"/>
      <c r="D121" s="234"/>
      <c r="E121"/>
      <c r="F121" s="240"/>
      <c r="G121" s="241"/>
      <c r="H121" s="240"/>
      <c r="I121" s="241"/>
      <c r="J121" s="243">
        <f t="shared" si="3"/>
        <v>0</v>
      </c>
    </row>
    <row r="122" spans="1:10" ht="15" thickBot="1">
      <c r="A122" s="246" t="s">
        <v>173</v>
      </c>
      <c r="B122" s="230"/>
      <c r="C122" s="247"/>
      <c r="D122" s="234"/>
      <c r="E122"/>
      <c r="F122" s="248"/>
      <c r="G122" s="249">
        <f>SUM(G116:G120)</f>
        <v>243659518</v>
      </c>
      <c r="H122" s="248"/>
      <c r="I122" s="249">
        <f>SUM(I116:I120)</f>
        <v>243805184</v>
      </c>
      <c r="J122" s="243">
        <f t="shared" si="3"/>
        <v>-145666</v>
      </c>
    </row>
    <row r="123" spans="1:10" ht="15" thickTop="1">
      <c r="A123" s="237"/>
      <c r="B123" s="230"/>
      <c r="C123" s="239"/>
      <c r="D123" s="234"/>
      <c r="E123"/>
      <c r="F123" s="248"/>
      <c r="G123" s="258"/>
      <c r="H123" s="248"/>
      <c r="I123" s="258"/>
    </row>
    <row r="124" spans="1:10">
      <c r="A124" s="237" t="s">
        <v>554</v>
      </c>
      <c r="B124" s="230"/>
      <c r="C124" s="239"/>
      <c r="D124" s="234"/>
      <c r="E124"/>
      <c r="F124" s="240"/>
      <c r="G124" s="241"/>
      <c r="H124" s="240"/>
      <c r="I124" s="241"/>
    </row>
    <row r="125" spans="1:10">
      <c r="A125" s="242" t="s">
        <v>669</v>
      </c>
      <c r="B125" s="230"/>
      <c r="C125" s="239"/>
      <c r="D125" s="234"/>
      <c r="E125"/>
      <c r="F125" s="240"/>
      <c r="G125" s="1647">
        <f>ROUND('BS Gr'!H235/Master!$B$23,0)</f>
        <v>2</v>
      </c>
      <c r="H125" s="240"/>
      <c r="I125" s="241">
        <f>ROUND('BS Gr'!L235/Master!$B$23,0)</f>
        <v>2</v>
      </c>
      <c r="J125" s="243">
        <f t="shared" ref="J125:J132" si="4">+G125-I125</f>
        <v>0</v>
      </c>
    </row>
    <row r="126" spans="1:10">
      <c r="A126" s="242" t="s">
        <v>670</v>
      </c>
      <c r="B126" s="230"/>
      <c r="C126" s="239"/>
      <c r="D126" s="234"/>
      <c r="E126"/>
      <c r="F126" s="240"/>
      <c r="G126" s="241">
        <f>ROUND('BS Gr'!I235/Master!$B$23,0)</f>
        <v>0</v>
      </c>
      <c r="H126" s="240"/>
      <c r="I126" s="241">
        <f>ROUND('BS Gr'!M235/Master!$B$23,0)</f>
        <v>0</v>
      </c>
      <c r="J126" s="243">
        <f t="shared" si="4"/>
        <v>0</v>
      </c>
    </row>
    <row r="127" spans="1:10" ht="5.25" customHeight="1">
      <c r="A127" s="242"/>
      <c r="B127" s="230"/>
      <c r="C127" s="239"/>
      <c r="D127" s="234"/>
      <c r="E127"/>
      <c r="F127" s="240"/>
      <c r="G127" s="241"/>
      <c r="H127" s="240"/>
      <c r="I127" s="241"/>
      <c r="J127" s="243">
        <f t="shared" si="4"/>
        <v>0</v>
      </c>
    </row>
    <row r="128" spans="1:10" ht="15" thickBot="1">
      <c r="A128" s="246" t="s">
        <v>173</v>
      </c>
      <c r="B128" s="230"/>
      <c r="C128" s="247"/>
      <c r="D128" s="234"/>
      <c r="E128"/>
      <c r="F128" s="248"/>
      <c r="G128" s="1650">
        <f>SUM(G125:G127)</f>
        <v>2</v>
      </c>
      <c r="H128" s="248"/>
      <c r="I128" s="249">
        <f>SUM(I125:I127)</f>
        <v>2</v>
      </c>
      <c r="J128" s="243">
        <f t="shared" si="4"/>
        <v>0</v>
      </c>
    </row>
    <row r="129" spans="1:15" ht="15" thickTop="1">
      <c r="A129" s="244"/>
      <c r="B129" s="245"/>
      <c r="C129" s="239"/>
      <c r="D129" s="234"/>
      <c r="E129"/>
      <c r="F129" s="240"/>
      <c r="G129" s="241"/>
      <c r="H129" s="240"/>
      <c r="I129" s="241"/>
    </row>
    <row r="130" spans="1:15">
      <c r="A130" s="1636" t="s">
        <v>564</v>
      </c>
      <c r="C130" s="254"/>
      <c r="E130"/>
      <c r="F130" s="240"/>
      <c r="G130" s="241">
        <f>ROUND('BS Gr'!H257/Master!$B$23,0)*0</f>
        <v>0</v>
      </c>
      <c r="H130" s="240"/>
      <c r="I130" s="241">
        <f>ROUND('BS Gr'!L257/Master!$B$23,0)*0</f>
        <v>0</v>
      </c>
      <c r="J130" s="243">
        <f t="shared" si="4"/>
        <v>0</v>
      </c>
    </row>
    <row r="131" spans="1:15" ht="3.75" customHeight="1">
      <c r="A131" s="259"/>
      <c r="C131" s="254"/>
      <c r="E131"/>
      <c r="F131" s="252"/>
      <c r="G131" s="255"/>
      <c r="H131" s="252"/>
      <c r="I131" s="255"/>
      <c r="J131" s="243">
        <f t="shared" si="4"/>
        <v>0</v>
      </c>
    </row>
    <row r="132" spans="1:15" ht="15" thickBot="1">
      <c r="A132" s="246" t="s">
        <v>173</v>
      </c>
      <c r="B132" s="230"/>
      <c r="C132" s="247"/>
      <c r="E132"/>
      <c r="F132" s="248"/>
      <c r="G132" s="249">
        <f>SUM(G130:G131)</f>
        <v>0</v>
      </c>
      <c r="H132" s="248"/>
      <c r="I132" s="249">
        <f>SUM(I130:I131)</f>
        <v>0</v>
      </c>
      <c r="J132" s="243">
        <f t="shared" si="4"/>
        <v>0</v>
      </c>
    </row>
    <row r="133" spans="1:15" ht="15" thickTop="1">
      <c r="A133" s="237"/>
      <c r="B133" s="230"/>
      <c r="C133" s="239"/>
      <c r="E133"/>
      <c r="F133" s="248"/>
      <c r="G133" s="258"/>
      <c r="H133" s="248"/>
      <c r="I133" s="258"/>
    </row>
    <row r="134" spans="1:15">
      <c r="A134" s="1636" t="s">
        <v>19</v>
      </c>
      <c r="C134" s="254"/>
      <c r="E134"/>
      <c r="F134" s="252"/>
      <c r="G134" s="255"/>
      <c r="H134" s="252"/>
      <c r="I134" s="255"/>
    </row>
    <row r="135" spans="1:15">
      <c r="A135" s="242" t="s">
        <v>181</v>
      </c>
      <c r="C135" s="254"/>
      <c r="E135"/>
      <c r="F135" s="248"/>
      <c r="G135" s="1647">
        <f>ROUND('BS Gr'!H502/Master!$B$23,0)</f>
        <v>-9181</v>
      </c>
      <c r="H135" s="248"/>
      <c r="I135" s="241">
        <f>ROUND('BS Gr'!L502/Master!$B$23,0)</f>
        <v>-9181</v>
      </c>
      <c r="J135" s="243">
        <f t="shared" ref="J135:J148" si="5">+G135-I135</f>
        <v>0</v>
      </c>
      <c r="L135" s="243">
        <f>G148-G141</f>
        <v>3658132</v>
      </c>
      <c r="M135" s="243">
        <f>+I148-I141</f>
        <v>1098917</v>
      </c>
    </row>
    <row r="136" spans="1:15">
      <c r="A136" s="242" t="s">
        <v>671</v>
      </c>
      <c r="B136" s="230"/>
      <c r="C136" s="239"/>
      <c r="D136" s="234"/>
      <c r="E136"/>
      <c r="F136" s="240"/>
      <c r="G136" s="1647">
        <f>ROUND('BS Gr'!H328/Master!$B$23,0)</f>
        <v>709509</v>
      </c>
      <c r="H136" s="240"/>
      <c r="I136" s="241">
        <f>ROUND('BS Gr'!L328/Master!$B$23,0)</f>
        <v>693309</v>
      </c>
      <c r="J136" s="243">
        <f t="shared" si="5"/>
        <v>16200</v>
      </c>
      <c r="M136" s="243">
        <f>+L135-M135</f>
        <v>2559215</v>
      </c>
      <c r="N136" s="226">
        <v>591949</v>
      </c>
      <c r="O136" s="243">
        <f>+N136-I136</f>
        <v>-101360</v>
      </c>
    </row>
    <row r="137" spans="1:15">
      <c r="A137" s="242" t="s">
        <v>672</v>
      </c>
      <c r="C137" s="254"/>
      <c r="E137"/>
      <c r="F137" s="248"/>
      <c r="G137" s="241">
        <f>ROUND('BS Gr'!H462/Master!$B$23,0)-G157</f>
        <v>2944463</v>
      </c>
      <c r="H137" s="248"/>
      <c r="I137" s="241">
        <f>ROUND('BS Gr'!L462/Master!$B$23,0)-I157</f>
        <v>0</v>
      </c>
      <c r="J137" s="243">
        <f t="shared" si="5"/>
        <v>2944463</v>
      </c>
    </row>
    <row r="138" spans="1:15">
      <c r="A138" s="242" t="s">
        <v>673</v>
      </c>
      <c r="C138" s="254"/>
      <c r="E138"/>
      <c r="F138" s="248"/>
      <c r="G138" s="241">
        <f>ROUND('BS Gr'!H462/Master!$B$23,0)-G137-G157</f>
        <v>0</v>
      </c>
      <c r="H138" s="248"/>
      <c r="I138" s="241">
        <f>ROUND('BS Gr'!L462/Master!$B$23,0)-I137-I157</f>
        <v>0</v>
      </c>
      <c r="J138" s="243">
        <f t="shared" si="5"/>
        <v>0</v>
      </c>
    </row>
    <row r="139" spans="1:15">
      <c r="A139" s="242" t="s">
        <v>228</v>
      </c>
      <c r="B139" s="230"/>
      <c r="C139" s="239"/>
      <c r="D139" s="234"/>
      <c r="E139"/>
      <c r="F139" s="240"/>
      <c r="G139" s="241">
        <f>ROUND('BS Gr'!H473/Master!$B$23,0)*0</f>
        <v>0</v>
      </c>
      <c r="H139" s="240"/>
      <c r="I139" s="241">
        <f>ROUND('BS Gr'!L473/Master!$B$23,0)*0</f>
        <v>0</v>
      </c>
      <c r="J139" s="243">
        <f t="shared" si="5"/>
        <v>0</v>
      </c>
    </row>
    <row r="140" spans="1:15">
      <c r="A140" s="242" t="s">
        <v>190</v>
      </c>
      <c r="B140" s="230"/>
      <c r="C140" s="239"/>
      <c r="D140" s="234"/>
      <c r="E140"/>
      <c r="F140" s="240"/>
      <c r="G140" s="1647">
        <f>ROUND('BS Gr'!H357/Master!$B$23,0)-ROUND('BS Gr'!H351/Master!$B$23,0)+G295-G307-G247</f>
        <v>182830</v>
      </c>
      <c r="H140" s="240"/>
      <c r="I140" s="241">
        <f>ROUND('BS Gr'!L357/Master!$B$23,0)-ROUND('BS Gr'!L351/Master!$B$23,0)+I295-I307-I247</f>
        <v>182830</v>
      </c>
      <c r="J140" s="243">
        <f t="shared" si="5"/>
        <v>0</v>
      </c>
    </row>
    <row r="141" spans="1:15">
      <c r="A141" s="242" t="s">
        <v>674</v>
      </c>
      <c r="B141" s="230"/>
      <c r="C141" s="239"/>
      <c r="D141" s="234"/>
      <c r="E141"/>
      <c r="F141" s="240"/>
      <c r="G141" s="1647">
        <f>ROUND('BS Gr'!H467/Master!$B$23,0)</f>
        <v>1868359</v>
      </c>
      <c r="H141" s="240"/>
      <c r="I141" s="241">
        <f>ROUND('BS Gr'!L467/Master!$B$23,0)</f>
        <v>1580011</v>
      </c>
      <c r="J141" s="243">
        <f t="shared" si="5"/>
        <v>288348</v>
      </c>
    </row>
    <row r="142" spans="1:15">
      <c r="A142" s="242" t="s">
        <v>564</v>
      </c>
      <c r="B142" s="230"/>
      <c r="C142" s="239"/>
      <c r="D142" s="234"/>
      <c r="E142"/>
      <c r="F142" s="240"/>
      <c r="G142" s="1647">
        <f>ROUND(('BS Gr'!H257-24999*0)/Master!$B$23,0)</f>
        <v>0</v>
      </c>
      <c r="H142" s="240"/>
      <c r="I142" s="241">
        <f>ROUND(('BS Gr'!L257-24999*0)/Master!$B$23,0)</f>
        <v>216669</v>
      </c>
      <c r="J142" s="243">
        <f t="shared" si="5"/>
        <v>-216669</v>
      </c>
    </row>
    <row r="143" spans="1:15">
      <c r="A143" s="242" t="s">
        <v>229</v>
      </c>
      <c r="B143" s="230"/>
      <c r="C143" s="239"/>
      <c r="D143" s="234"/>
      <c r="E143"/>
      <c r="F143" s="240"/>
      <c r="G143" s="1647">
        <f>ROUND('BS Gr'!H446/Master!$B$23,0)</f>
        <v>15629</v>
      </c>
      <c r="H143" s="240"/>
      <c r="I143" s="241">
        <f>ROUND('BS Gr'!L446/Master!$B$23,0)</f>
        <v>15629</v>
      </c>
      <c r="J143" s="243">
        <f t="shared" si="5"/>
        <v>0</v>
      </c>
    </row>
    <row r="144" spans="1:15">
      <c r="A144" s="242" t="s">
        <v>230</v>
      </c>
      <c r="B144" s="230"/>
      <c r="C144" s="239"/>
      <c r="D144" s="234"/>
      <c r="E144"/>
      <c r="F144" s="240"/>
      <c r="G144" s="1647">
        <f>ROUND(('BS Gr'!H302-(5071372))/Master!$B$23,0)-G161-G163</f>
        <v>-185118</v>
      </c>
      <c r="H144" s="240"/>
      <c r="I144" s="241">
        <f>ROUND(('BS Gr'!L302-5071372)/Master!$B$23,0)-I161-I163</f>
        <v>-339</v>
      </c>
      <c r="J144" s="243">
        <f t="shared" si="5"/>
        <v>-184779</v>
      </c>
    </row>
    <row r="145" spans="1:14" ht="3.75" customHeight="1">
      <c r="A145" s="242"/>
      <c r="B145" s="230"/>
      <c r="C145" s="239"/>
      <c r="D145" s="234"/>
      <c r="E145"/>
      <c r="F145" s="240"/>
      <c r="G145" s="241"/>
      <c r="H145" s="240"/>
      <c r="I145" s="241"/>
      <c r="J145" s="243"/>
    </row>
    <row r="146" spans="1:14" ht="3.45" customHeight="1">
      <c r="A146" s="242"/>
      <c r="B146" s="230"/>
      <c r="C146" s="239"/>
      <c r="D146" s="234"/>
      <c r="E146"/>
      <c r="F146" s="240"/>
      <c r="G146" s="241"/>
      <c r="H146" s="240"/>
      <c r="I146" s="241"/>
      <c r="J146" s="243"/>
    </row>
    <row r="147" spans="1:14" ht="13.05" customHeight="1">
      <c r="A147" s="242"/>
      <c r="B147" s="230"/>
      <c r="C147" s="239"/>
      <c r="D147" s="234"/>
      <c r="E147"/>
      <c r="F147" s="240"/>
      <c r="G147" s="241"/>
      <c r="H147" s="240"/>
      <c r="I147" s="241"/>
      <c r="J147" s="243"/>
    </row>
    <row r="148" spans="1:14" ht="15" thickBot="1">
      <c r="A148" s="246" t="s">
        <v>173</v>
      </c>
      <c r="B148" s="230"/>
      <c r="C148" s="247"/>
      <c r="D148" s="234"/>
      <c r="E148"/>
      <c r="F148" s="248"/>
      <c r="G148" s="249">
        <f>SUM(G135:G144)</f>
        <v>5526491</v>
      </c>
      <c r="H148" s="248"/>
      <c r="I148" s="249">
        <f>SUM(I135:I144)</f>
        <v>2678928</v>
      </c>
      <c r="J148" s="243">
        <f t="shared" si="5"/>
        <v>2847563</v>
      </c>
      <c r="L148" s="226">
        <v>1117271</v>
      </c>
      <c r="M148" s="243">
        <f>+G148-L148</f>
        <v>4409220</v>
      </c>
      <c r="N148" s="243">
        <f>+M148-G141</f>
        <v>2540861</v>
      </c>
    </row>
    <row r="149" spans="1:14" ht="15" thickTop="1">
      <c r="A149" s="242"/>
      <c r="B149" s="230"/>
      <c r="C149" s="239"/>
      <c r="D149" s="234"/>
      <c r="E149"/>
      <c r="F149" s="240"/>
      <c r="G149" s="241"/>
      <c r="H149" s="240"/>
      <c r="I149" s="241"/>
      <c r="J149" s="243"/>
    </row>
    <row r="150" spans="1:14">
      <c r="A150" s="237" t="s">
        <v>28</v>
      </c>
      <c r="B150" s="230"/>
      <c r="C150" s="239"/>
      <c r="D150" s="234"/>
      <c r="E150"/>
      <c r="F150" s="240"/>
      <c r="G150" s="241"/>
      <c r="H150" s="240"/>
      <c r="I150" s="241"/>
    </row>
    <row r="151" spans="1:14">
      <c r="A151" s="242" t="s">
        <v>233</v>
      </c>
      <c r="B151" s="230"/>
      <c r="C151" s="239"/>
      <c r="D151" s="234"/>
      <c r="E151"/>
      <c r="F151" s="240"/>
      <c r="G151" s="241">
        <f>ROUND('BS Gr'!H368/Master!$B$23,0)*0</f>
        <v>0</v>
      </c>
      <c r="H151" s="240"/>
      <c r="I151" s="241">
        <f>ROUND('BS Gr'!L368/Master!$B$23,0)*0</f>
        <v>0</v>
      </c>
      <c r="J151" s="243">
        <f t="shared" ref="J151:J169" si="6">+G151-I151</f>
        <v>0</v>
      </c>
    </row>
    <row r="152" spans="1:14">
      <c r="A152" s="242" t="s">
        <v>566</v>
      </c>
      <c r="B152" s="230"/>
      <c r="C152" s="239"/>
      <c r="D152" s="234"/>
      <c r="E152"/>
      <c r="F152" s="240"/>
      <c r="G152" s="1647">
        <f>ROUND('BS Gr'!H281/Master!$B$23,0)</f>
        <v>416592</v>
      </c>
      <c r="H152" s="240"/>
      <c r="I152" s="241">
        <f>ROUND('BS Gr'!L281/Master!$B$23,0)</f>
        <v>265115</v>
      </c>
      <c r="J152" s="243">
        <f t="shared" si="6"/>
        <v>151477</v>
      </c>
    </row>
    <row r="153" spans="1:14">
      <c r="A153" s="242" t="s">
        <v>234</v>
      </c>
      <c r="B153" s="230"/>
      <c r="C153" s="239"/>
      <c r="D153" s="234"/>
      <c r="E153"/>
      <c r="F153" s="240"/>
      <c r="G153" s="1647">
        <f>ROUND('BS Gr'!H423/Master!$B$23,0)-G162-G160</f>
        <v>90314</v>
      </c>
      <c r="H153" s="240"/>
      <c r="I153" s="241">
        <f>ROUND('BS Gr'!L423/Master!$B$23,0)-I162-I160</f>
        <v>80294</v>
      </c>
      <c r="J153" s="243">
        <f t="shared" si="6"/>
        <v>10020</v>
      </c>
    </row>
    <row r="154" spans="1:14">
      <c r="A154" s="242" t="s">
        <v>236</v>
      </c>
      <c r="C154" s="239"/>
      <c r="D154" s="234"/>
      <c r="E154"/>
      <c r="F154" s="240"/>
      <c r="G154" s="241">
        <f>ROUND('BS Gr'!H478/Master!$B$23,0)</f>
        <v>0</v>
      </c>
      <c r="H154" s="240"/>
      <c r="I154" s="241">
        <f>ROUND('BS Gr'!L478/Master!$B$23,0)</f>
        <v>0</v>
      </c>
      <c r="J154" s="243">
        <f t="shared" si="6"/>
        <v>0</v>
      </c>
    </row>
    <row r="155" spans="1:14">
      <c r="A155" s="242" t="s">
        <v>229</v>
      </c>
      <c r="B155" s="230"/>
      <c r="C155" s="239"/>
      <c r="D155" s="234"/>
      <c r="E155"/>
      <c r="F155" s="240"/>
      <c r="G155" s="241">
        <f>ROUND('BS Gr'!H446/Master!$B$23,0)*0</f>
        <v>0</v>
      </c>
      <c r="H155" s="240"/>
      <c r="I155" s="241">
        <f>ROUND('BS Gr'!L446/Master!$B$23,0)*0</f>
        <v>0</v>
      </c>
      <c r="J155" s="243">
        <f t="shared" si="6"/>
        <v>0</v>
      </c>
    </row>
    <row r="156" spans="1:14">
      <c r="A156" s="242" t="s">
        <v>230</v>
      </c>
      <c r="B156" s="230"/>
      <c r="C156" s="239"/>
      <c r="D156" s="234"/>
      <c r="E156"/>
      <c r="F156" s="240"/>
      <c r="G156" s="241">
        <f>ROUND('BS Gr'!H302/Master!$B$23,0)*0-G161</f>
        <v>0</v>
      </c>
      <c r="H156" s="240"/>
      <c r="I156" s="241">
        <f>ROUND('BS Gr'!L302/Master!$B$23,0)*0-I161</f>
        <v>0</v>
      </c>
      <c r="J156" s="243">
        <f t="shared" si="6"/>
        <v>0</v>
      </c>
    </row>
    <row r="157" spans="1:14">
      <c r="A157" s="242" t="s">
        <v>675</v>
      </c>
      <c r="B157" s="230"/>
      <c r="C157" s="239"/>
      <c r="D157" s="234"/>
      <c r="E157"/>
      <c r="F157" s="240"/>
      <c r="G157" s="241">
        <f>ROUND('BS Gr'!H458/Master!$B$23,0)</f>
        <v>1</v>
      </c>
      <c r="H157" s="240"/>
      <c r="I157" s="241">
        <f>ROUND('BS Gr'!L458/Master!$B$23,0)</f>
        <v>1</v>
      </c>
      <c r="J157" s="243"/>
    </row>
    <row r="158" spans="1:14">
      <c r="A158" s="242" t="s">
        <v>237</v>
      </c>
      <c r="B158" s="230"/>
      <c r="C158" s="239"/>
      <c r="D158" s="234"/>
      <c r="E158"/>
      <c r="F158" s="240"/>
      <c r="G158" s="241">
        <f>ROUND('BS Gr'!H372/Master!$B$23,0)*0-G151</f>
        <v>0</v>
      </c>
      <c r="H158" s="240"/>
      <c r="I158" s="241">
        <f>ROUND('BS Gr'!L372/Master!$B$23,0)*0-I151</f>
        <v>0</v>
      </c>
      <c r="J158" s="243">
        <f t="shared" si="6"/>
        <v>0</v>
      </c>
    </row>
    <row r="159" spans="1:14">
      <c r="A159" s="242" t="s">
        <v>676</v>
      </c>
      <c r="C159" s="239"/>
      <c r="D159" s="234"/>
      <c r="E159"/>
      <c r="F159" s="240"/>
      <c r="G159" s="241">
        <f>ROUND(('BS Gr'!H476+'BS Gr'!H477)/Master!$B$23,0)</f>
        <v>0</v>
      </c>
      <c r="H159" s="240"/>
      <c r="I159" s="241">
        <f>ROUND(('BS Gr'!L476+'BS Gr'!L477)/Master!$B$23,0)</f>
        <v>0</v>
      </c>
      <c r="J159" s="243">
        <f t="shared" si="6"/>
        <v>0</v>
      </c>
    </row>
    <row r="160" spans="1:14">
      <c r="A160" s="242" t="s">
        <v>677</v>
      </c>
      <c r="B160" s="230"/>
      <c r="C160" s="239"/>
      <c r="D160" s="234"/>
      <c r="E160"/>
      <c r="F160" s="240"/>
      <c r="G160" s="241">
        <f>-ROUND('BS Gr'!H425/Master!$B$23,0)</f>
        <v>0</v>
      </c>
      <c r="H160" s="240"/>
      <c r="I160" s="241">
        <f>-ROUND('BS Gr'!L425/Master!$B$23,0)</f>
        <v>0</v>
      </c>
      <c r="J160" s="243">
        <f t="shared" si="6"/>
        <v>0</v>
      </c>
    </row>
    <row r="161" spans="1:10">
      <c r="A161" s="242" t="s">
        <v>678</v>
      </c>
      <c r="B161" s="230"/>
      <c r="C161" s="239"/>
      <c r="D161" s="234"/>
      <c r="E161"/>
      <c r="F161" s="240"/>
      <c r="G161" s="241">
        <f>-ROUND('BS Gr'!H304/Master!$B$23,0)*0</f>
        <v>0</v>
      </c>
      <c r="H161" s="240"/>
      <c r="I161" s="241">
        <f>-ROUND('BS Gr'!L304/Master!$B$23,0)*0</f>
        <v>0</v>
      </c>
      <c r="J161" s="243">
        <f t="shared" si="6"/>
        <v>0</v>
      </c>
    </row>
    <row r="162" spans="1:10">
      <c r="A162" s="242" t="s">
        <v>679</v>
      </c>
      <c r="B162" s="230"/>
      <c r="C162" s="239"/>
      <c r="D162" s="234"/>
      <c r="E162"/>
      <c r="F162" s="240"/>
      <c r="G162" s="241">
        <f>-ROUND('BS Gr'!H426/Master!$B$23,0)</f>
        <v>0</v>
      </c>
      <c r="H162" s="240"/>
      <c r="I162" s="241">
        <f>-ROUND('BS Gr'!L426/Master!$B$23,0)</f>
        <v>0</v>
      </c>
      <c r="J162" s="243">
        <f t="shared" si="6"/>
        <v>0</v>
      </c>
    </row>
    <row r="163" spans="1:10">
      <c r="A163" s="242" t="s">
        <v>679</v>
      </c>
      <c r="B163" s="230"/>
      <c r="C163" s="239"/>
      <c r="D163" s="234"/>
      <c r="E163"/>
      <c r="F163" s="260"/>
      <c r="G163" s="1651">
        <f>ROUND(('BS Gr'!H351+(1539511))/Master!$B$23,0)</f>
        <v>1539511</v>
      </c>
      <c r="H163" s="260"/>
      <c r="I163" s="261">
        <f>ROUND(('BS Gr'!L351+1539511)/Master!$B$23,0)</f>
        <v>1539511</v>
      </c>
      <c r="J163" s="243">
        <f t="shared" si="6"/>
        <v>0</v>
      </c>
    </row>
    <row r="164" spans="1:10">
      <c r="A164" s="242"/>
      <c r="B164" s="230"/>
      <c r="C164" s="239"/>
      <c r="D164" s="234"/>
      <c r="E164"/>
      <c r="F164" s="240"/>
      <c r="G164" s="241">
        <f>SUM(G150:G163)</f>
        <v>2046418</v>
      </c>
      <c r="H164" s="240"/>
      <c r="I164" s="241">
        <f>SUM(I150:I163)</f>
        <v>1884921</v>
      </c>
      <c r="J164" s="243">
        <f t="shared" si="6"/>
        <v>161497</v>
      </c>
    </row>
    <row r="165" spans="1:10">
      <c r="A165" s="242" t="s">
        <v>680</v>
      </c>
      <c r="B165" s="230"/>
      <c r="C165" s="239"/>
      <c r="D165" s="234"/>
      <c r="E165"/>
      <c r="F165" s="240"/>
      <c r="G165" s="241">
        <f>-G160</f>
        <v>0</v>
      </c>
      <c r="H165" s="240"/>
      <c r="I165" s="241">
        <f>-I160</f>
        <v>0</v>
      </c>
      <c r="J165" s="243">
        <f t="shared" si="6"/>
        <v>0</v>
      </c>
    </row>
    <row r="166" spans="1:10">
      <c r="A166" s="242" t="s">
        <v>655</v>
      </c>
      <c r="B166" s="230"/>
      <c r="C166" s="239"/>
      <c r="D166" s="234"/>
      <c r="E166"/>
      <c r="F166" s="240"/>
      <c r="G166" s="241">
        <f>-G161</f>
        <v>0</v>
      </c>
      <c r="H166" s="240"/>
      <c r="I166" s="241">
        <f>-I161</f>
        <v>0</v>
      </c>
      <c r="J166" s="243">
        <f t="shared" si="6"/>
        <v>0</v>
      </c>
    </row>
    <row r="167" spans="1:10">
      <c r="A167" s="242" t="s">
        <v>681</v>
      </c>
      <c r="B167" s="230"/>
      <c r="C167" s="239"/>
      <c r="D167" s="234"/>
      <c r="E167"/>
      <c r="F167" s="240"/>
      <c r="G167" s="1647">
        <f>ROUND('BS Gr'!H307/Master!$B$23,0)</f>
        <v>-1539511</v>
      </c>
      <c r="H167" s="240"/>
      <c r="I167" s="241">
        <f>ROUND('BS Gr'!L307/Master!$B$23,0)</f>
        <v>-1539511</v>
      </c>
      <c r="J167" s="243">
        <f t="shared" si="6"/>
        <v>0</v>
      </c>
    </row>
    <row r="168" spans="1:10">
      <c r="A168" s="242"/>
      <c r="B168" s="230"/>
      <c r="C168" s="239"/>
      <c r="D168" s="234"/>
      <c r="E168"/>
      <c r="F168" s="240"/>
      <c r="G168" s="241"/>
      <c r="H168" s="240"/>
      <c r="I168" s="241"/>
      <c r="J168" s="243">
        <f t="shared" si="6"/>
        <v>0</v>
      </c>
    </row>
    <row r="169" spans="1:10" ht="15" thickBot="1">
      <c r="A169" s="246" t="s">
        <v>173</v>
      </c>
      <c r="B169" s="230"/>
      <c r="C169" s="247"/>
      <c r="D169" s="234"/>
      <c r="E169"/>
      <c r="F169" s="248"/>
      <c r="G169" s="249">
        <f>SUM(G164:G167)</f>
        <v>506907</v>
      </c>
      <c r="H169" s="248"/>
      <c r="I169" s="249">
        <f>SUM(I164:I167)</f>
        <v>345410</v>
      </c>
      <c r="J169" s="243">
        <f t="shared" si="6"/>
        <v>161497</v>
      </c>
    </row>
    <row r="170" spans="1:10" ht="15" thickTop="1">
      <c r="A170" s="237"/>
      <c r="B170" s="230"/>
      <c r="C170" s="239"/>
      <c r="D170" s="234"/>
      <c r="E170"/>
      <c r="F170" s="248"/>
      <c r="G170" s="258"/>
      <c r="H170" s="248"/>
      <c r="I170" s="258"/>
    </row>
    <row r="171" spans="1:10">
      <c r="A171" s="237"/>
      <c r="B171" s="230"/>
      <c r="C171" s="239"/>
      <c r="D171" s="234"/>
      <c r="E171"/>
      <c r="F171" s="248"/>
      <c r="G171" s="258"/>
      <c r="H171" s="248"/>
      <c r="I171" s="258"/>
    </row>
    <row r="172" spans="1:10">
      <c r="A172" s="237" t="s">
        <v>626</v>
      </c>
      <c r="B172" s="230"/>
      <c r="C172" s="239"/>
      <c r="D172" s="234"/>
      <c r="E172"/>
      <c r="F172" s="240"/>
      <c r="G172" s="241"/>
      <c r="H172" s="240"/>
      <c r="I172" s="241"/>
    </row>
    <row r="173" spans="1:10">
      <c r="A173" s="1636" t="s">
        <v>255</v>
      </c>
      <c r="C173" s="239"/>
      <c r="D173" s="234"/>
      <c r="E173"/>
      <c r="F173" s="240"/>
      <c r="G173" s="241"/>
      <c r="H173" s="240"/>
      <c r="I173" s="241"/>
    </row>
    <row r="174" spans="1:10" ht="15" thickBot="1">
      <c r="A174" s="256" t="s">
        <v>1987</v>
      </c>
      <c r="C174" s="239"/>
      <c r="D174" s="234"/>
      <c r="E174"/>
      <c r="F174" s="263"/>
      <c r="G174" s="271">
        <f>ROUND((10000*10)/Master!$B$23,0)</f>
        <v>100000</v>
      </c>
      <c r="H174" s="263"/>
      <c r="I174" s="271">
        <f>ROUND((10000*10)/Master!$B$23,0)</f>
        <v>100000</v>
      </c>
    </row>
    <row r="175" spans="1:10" ht="15" thickTop="1">
      <c r="A175" s="259"/>
      <c r="C175" s="239"/>
      <c r="D175" s="234"/>
      <c r="E175"/>
      <c r="F175" s="240"/>
      <c r="G175" s="241"/>
      <c r="H175" s="240"/>
      <c r="I175" s="241"/>
    </row>
    <row r="176" spans="1:10">
      <c r="A176" s="1636" t="s">
        <v>256</v>
      </c>
      <c r="C176" s="239"/>
      <c r="D176" s="234"/>
      <c r="E176"/>
      <c r="F176" s="240"/>
      <c r="G176" s="241"/>
      <c r="H176" s="240"/>
      <c r="I176" s="241"/>
    </row>
    <row r="177" spans="1:9">
      <c r="A177" s="256" t="s">
        <v>1988</v>
      </c>
      <c r="C177" s="239"/>
      <c r="D177" s="234"/>
      <c r="E177"/>
      <c r="F177" s="240"/>
      <c r="G177" s="241">
        <f>ROUND('BS Gr'!I910/Master!$B$23,0)</f>
        <v>100000</v>
      </c>
      <c r="H177" s="240"/>
      <c r="I177" s="241">
        <f>ROUND('BS Gr'!M910/Master!$B$23,0)</f>
        <v>100000</v>
      </c>
    </row>
    <row r="178" spans="1:9" ht="28.8">
      <c r="A178" s="256" t="s">
        <v>682</v>
      </c>
      <c r="C178" s="239"/>
      <c r="D178" s="234"/>
      <c r="E178"/>
      <c r="F178" s="240"/>
      <c r="G178" s="241"/>
      <c r="H178" s="240"/>
      <c r="I178" s="241"/>
    </row>
    <row r="179" spans="1:9">
      <c r="A179" s="256"/>
      <c r="C179" s="239"/>
      <c r="D179" s="234"/>
      <c r="E179"/>
      <c r="F179" s="240"/>
      <c r="G179" s="241"/>
      <c r="H179" s="240"/>
      <c r="I179" s="241"/>
    </row>
    <row r="180" spans="1:9" ht="3" customHeight="1">
      <c r="A180" s="244"/>
      <c r="B180" s="245"/>
      <c r="C180" s="239"/>
      <c r="D180" s="234"/>
      <c r="E180"/>
      <c r="F180" s="240"/>
      <c r="G180" s="241"/>
      <c r="H180" s="240"/>
      <c r="I180" s="241"/>
    </row>
    <row r="181" spans="1:9" ht="15" thickBot="1">
      <c r="A181" s="246" t="s">
        <v>683</v>
      </c>
      <c r="B181" s="230"/>
      <c r="C181" s="247"/>
      <c r="D181" s="234"/>
      <c r="E181"/>
      <c r="F181" s="248"/>
      <c r="G181" s="249">
        <f>SUM(G177:G180)</f>
        <v>100000</v>
      </c>
      <c r="H181" s="248"/>
      <c r="I181" s="249">
        <f>SUM(I177:I180)</f>
        <v>100000</v>
      </c>
    </row>
    <row r="182" spans="1:9" ht="15" thickTop="1"/>
    <row r="183" spans="1:9" ht="35.25" customHeight="1">
      <c r="A183" s="1773" t="s">
        <v>684</v>
      </c>
      <c r="B183" s="1773"/>
      <c r="C183" s="1773"/>
      <c r="D183" s="1773"/>
      <c r="E183" s="1773"/>
      <c r="F183" s="1773"/>
      <c r="G183" s="1773"/>
      <c r="H183" s="273"/>
      <c r="I183" s="273"/>
    </row>
    <row r="185" spans="1:9" ht="3" customHeight="1">
      <c r="A185" s="250"/>
      <c r="C185" s="251"/>
      <c r="E185"/>
      <c r="F185" s="252"/>
      <c r="G185" s="253"/>
      <c r="H185" s="252"/>
      <c r="I185" s="253"/>
    </row>
    <row r="186" spans="1:9">
      <c r="A186" s="237" t="s">
        <v>81</v>
      </c>
      <c r="B186" s="230"/>
      <c r="C186" s="239"/>
      <c r="D186" s="234"/>
      <c r="E186"/>
      <c r="F186" s="240"/>
      <c r="G186" s="241"/>
      <c r="H186" s="240"/>
      <c r="I186" s="241"/>
    </row>
    <row r="187" spans="1:9">
      <c r="A187" s="237"/>
      <c r="B187" s="230"/>
      <c r="C187" s="239"/>
      <c r="D187" s="234"/>
      <c r="E187"/>
      <c r="F187" s="240"/>
      <c r="G187" s="241"/>
      <c r="H187" s="240"/>
      <c r="I187" s="241"/>
    </row>
    <row r="188" spans="1:9">
      <c r="A188" s="237" t="s">
        <v>685</v>
      </c>
      <c r="B188" s="230"/>
      <c r="C188" s="239"/>
      <c r="D188" s="234"/>
      <c r="E188"/>
      <c r="F188" s="240"/>
      <c r="G188" s="241"/>
      <c r="H188" s="240"/>
      <c r="I188" s="241"/>
    </row>
    <row r="189" spans="1:9">
      <c r="A189" s="256" t="s">
        <v>686</v>
      </c>
      <c r="B189" s="230"/>
      <c r="C189" s="239"/>
      <c r="D189" s="234"/>
      <c r="E189"/>
      <c r="F189" s="240"/>
      <c r="G189" s="241">
        <f>I201-ROUND(0/Master!$B$23,0)*0</f>
        <v>65061839</v>
      </c>
      <c r="H189" s="240"/>
      <c r="I189" s="274">
        <f>ROUND((23666300)/Master!$B$23,0)</f>
        <v>23666300</v>
      </c>
    </row>
    <row r="190" spans="1:9">
      <c r="A190" s="256" t="s">
        <v>687</v>
      </c>
      <c r="B190" s="230"/>
      <c r="C190" s="239"/>
      <c r="D190" s="234"/>
      <c r="E190"/>
      <c r="F190" s="240"/>
      <c r="G190" s="241">
        <f>PL!F37</f>
        <v>-49022014</v>
      </c>
      <c r="H190" s="240"/>
      <c r="I190" s="241">
        <f>PL!H37</f>
        <v>41395539</v>
      </c>
    </row>
    <row r="191" spans="1:9">
      <c r="A191" s="256" t="s">
        <v>688</v>
      </c>
      <c r="B191" s="230"/>
      <c r="C191" s="239"/>
      <c r="D191" s="234"/>
      <c r="E191"/>
      <c r="F191" s="240"/>
      <c r="G191" s="241">
        <f>ROUND((-7831916*0+7298713*0+3360+688)/Master!$B$23,0)*0</f>
        <v>0</v>
      </c>
      <c r="H191" s="240"/>
      <c r="I191" s="274">
        <f>ROUND((0)/Master!$B$23,0)</f>
        <v>0</v>
      </c>
    </row>
    <row r="192" spans="1:9">
      <c r="A192" s="256" t="s">
        <v>689</v>
      </c>
      <c r="B192" s="230"/>
      <c r="C192" s="239"/>
      <c r="D192" s="234"/>
      <c r="E192"/>
      <c r="F192" s="240"/>
      <c r="G192" s="241">
        <f>-G209</f>
        <v>0</v>
      </c>
      <c r="H192" s="240"/>
      <c r="I192" s="274"/>
    </row>
    <row r="193" spans="1:11">
      <c r="A193" s="256" t="s">
        <v>690</v>
      </c>
      <c r="B193" s="230"/>
      <c r="C193" s="239"/>
      <c r="D193" s="234"/>
      <c r="E193"/>
      <c r="F193" s="240"/>
      <c r="G193" s="241">
        <f>-ROUND((-5660909+5298105+396300)/Master!$B$23,0)*0</f>
        <v>0</v>
      </c>
      <c r="H193" s="240"/>
      <c r="I193" s="241">
        <f>-I219</f>
        <v>0</v>
      </c>
    </row>
    <row r="194" spans="1:11">
      <c r="A194" s="237" t="s">
        <v>691</v>
      </c>
      <c r="B194" s="230"/>
      <c r="C194" s="239"/>
      <c r="D194" s="234"/>
      <c r="E194"/>
      <c r="F194" s="263"/>
      <c r="G194" s="264">
        <f>SUM(G189:G193)</f>
        <v>16039825</v>
      </c>
      <c r="H194" s="263"/>
      <c r="I194" s="264">
        <f>SUM(I189:I193)</f>
        <v>65061839</v>
      </c>
      <c r="J194" s="226">
        <f>+'BS Gr'!H926+'BS Gr'!H924+'BS Gr'!D931</f>
        <v>31858315.639142439</v>
      </c>
      <c r="K194" s="243">
        <f>+G194-J194</f>
        <v>-15818490.639142439</v>
      </c>
    </row>
    <row r="195" spans="1:11">
      <c r="A195" s="237"/>
      <c r="B195" s="230"/>
      <c r="C195" s="239"/>
      <c r="D195" s="234"/>
      <c r="E195"/>
      <c r="F195" s="240"/>
      <c r="G195" s="241"/>
      <c r="H195" s="240"/>
      <c r="I195" s="241"/>
    </row>
    <row r="196" spans="1:11">
      <c r="A196" s="237" t="s">
        <v>692</v>
      </c>
      <c r="B196" s="230"/>
      <c r="C196" s="239"/>
      <c r="D196" s="234"/>
      <c r="E196"/>
      <c r="F196" s="240"/>
      <c r="G196" s="241"/>
      <c r="H196" s="240"/>
      <c r="I196" s="241"/>
    </row>
    <row r="197" spans="1:11">
      <c r="A197" s="242" t="s">
        <v>693</v>
      </c>
      <c r="B197" s="230"/>
      <c r="C197" s="239"/>
      <c r="D197" s="234"/>
      <c r="E197"/>
      <c r="F197" s="240"/>
      <c r="G197" s="241">
        <f>ROUND(('BS Gr'!M917+'BS Gr'!M915*0)/Master!$B$23,0)*0-ROUND(('TB for financial'!D578+'TB for financial'!E578)/Master!$B$23,0)*0</f>
        <v>0</v>
      </c>
      <c r="H197" s="240"/>
      <c r="I197" s="241">
        <f>ROUND(('BS Gr'!M917*0+'BS Gr'!D915*0)/Master!$B$23,0)</f>
        <v>0</v>
      </c>
    </row>
    <row r="198" spans="1:11">
      <c r="A198" s="242" t="s">
        <v>694</v>
      </c>
      <c r="B198" s="230"/>
      <c r="C198" s="239"/>
      <c r="D198" s="234"/>
      <c r="E198"/>
      <c r="F198" s="240"/>
      <c r="G198" s="241">
        <f>ROUND(('BS Gr'!M918)/Master!$B$23,0)*0</f>
        <v>0</v>
      </c>
      <c r="H198" s="240"/>
      <c r="I198" s="241">
        <f>ROUND('BS Gr'!M918*0/Master!$B$23,0)</f>
        <v>0</v>
      </c>
    </row>
    <row r="199" spans="1:11">
      <c r="A199" s="242" t="s">
        <v>695</v>
      </c>
      <c r="B199" s="230"/>
      <c r="C199" s="239"/>
      <c r="D199" s="234"/>
      <c r="E199"/>
      <c r="F199" s="240"/>
      <c r="G199" s="241">
        <f>'BS Gr'!M923</f>
        <v>0</v>
      </c>
      <c r="H199" s="240"/>
      <c r="I199" s="241">
        <f>-ROUNDDOWN(I190*0.1,0)*0</f>
        <v>0</v>
      </c>
    </row>
    <row r="200" spans="1:11" ht="28.8">
      <c r="A200" s="242" t="s">
        <v>696</v>
      </c>
      <c r="B200" s="230"/>
      <c r="C200" s="239"/>
      <c r="D200" s="234"/>
      <c r="E200"/>
      <c r="F200" s="240"/>
      <c r="G200" s="241"/>
      <c r="H200" s="240"/>
      <c r="I200" s="274"/>
    </row>
    <row r="201" spans="1:11">
      <c r="A201" s="242" t="s">
        <v>697</v>
      </c>
      <c r="B201" s="230"/>
      <c r="C201" s="239"/>
      <c r="D201" s="234"/>
      <c r="E201"/>
      <c r="F201" s="263"/>
      <c r="G201" s="275">
        <f>+G194+SUM(G197:G200)</f>
        <v>16039825</v>
      </c>
      <c r="H201" s="263"/>
      <c r="I201" s="275">
        <f>+I194+SUM(I197:I200)</f>
        <v>65061839</v>
      </c>
    </row>
    <row r="202" spans="1:11">
      <c r="A202" s="237"/>
      <c r="B202" s="230"/>
      <c r="C202" s="239"/>
      <c r="D202" s="234"/>
      <c r="E202"/>
      <c r="F202" s="263"/>
      <c r="G202" s="264"/>
      <c r="H202" s="263"/>
      <c r="I202" s="264"/>
    </row>
    <row r="203" spans="1:11">
      <c r="A203" s="237"/>
      <c r="B203" s="230"/>
      <c r="C203" s="239"/>
      <c r="D203" s="234"/>
      <c r="E203"/>
      <c r="F203" s="240"/>
      <c r="G203" s="241"/>
      <c r="H203" s="240"/>
      <c r="I203" s="241"/>
    </row>
    <row r="204" spans="1:11">
      <c r="A204" s="237" t="s">
        <v>698</v>
      </c>
      <c r="B204" s="230"/>
      <c r="C204" s="239"/>
      <c r="D204" s="234"/>
      <c r="E204"/>
      <c r="F204" s="263"/>
      <c r="G204" s="275">
        <f>+G201</f>
        <v>16039825</v>
      </c>
      <c r="H204" s="263"/>
      <c r="I204" s="275">
        <f>+I201</f>
        <v>65061839</v>
      </c>
    </row>
    <row r="205" spans="1:11">
      <c r="A205" s="237"/>
      <c r="B205" s="230"/>
      <c r="C205" s="239"/>
      <c r="D205" s="234"/>
      <c r="E205"/>
      <c r="F205" s="240"/>
      <c r="G205" s="241"/>
      <c r="H205" s="240"/>
      <c r="I205" s="241"/>
    </row>
    <row r="206" spans="1:11">
      <c r="A206" s="237" t="s">
        <v>699</v>
      </c>
      <c r="B206" s="230"/>
      <c r="C206" s="239"/>
      <c r="D206" s="234"/>
      <c r="E206"/>
      <c r="F206" s="240"/>
      <c r="G206" s="241"/>
      <c r="H206" s="240"/>
      <c r="I206" s="241"/>
    </row>
    <row r="207" spans="1:11">
      <c r="A207" s="256" t="s">
        <v>700</v>
      </c>
      <c r="B207" s="230"/>
      <c r="C207" s="239"/>
      <c r="D207" s="234"/>
      <c r="E207"/>
      <c r="F207" s="240"/>
      <c r="G207" s="241">
        <f>I210</f>
        <v>0</v>
      </c>
      <c r="H207" s="240"/>
      <c r="I207" s="274">
        <f>ROUND(0/Master!$B$23,0)</f>
        <v>0</v>
      </c>
    </row>
    <row r="208" spans="1:11">
      <c r="A208" s="256" t="s">
        <v>701</v>
      </c>
      <c r="B208" s="230"/>
      <c r="C208" s="239"/>
      <c r="D208" s="234"/>
      <c r="E208"/>
      <c r="F208" s="240"/>
      <c r="G208" s="241"/>
      <c r="H208" s="240"/>
      <c r="I208" s="241">
        <f>-I199</f>
        <v>0</v>
      </c>
    </row>
    <row r="209" spans="1:11">
      <c r="A209" s="256" t="s">
        <v>702</v>
      </c>
      <c r="B209" s="230"/>
      <c r="C209" s="239"/>
      <c r="D209" s="234"/>
      <c r="E209"/>
      <c r="F209" s="240"/>
      <c r="G209" s="241">
        <v>0</v>
      </c>
      <c r="H209" s="240"/>
      <c r="I209" s="241"/>
    </row>
    <row r="210" spans="1:11">
      <c r="A210" s="256" t="s">
        <v>703</v>
      </c>
      <c r="B210" s="230"/>
      <c r="C210" s="239"/>
      <c r="D210" s="234"/>
      <c r="E210"/>
      <c r="F210" s="263"/>
      <c r="G210" s="264">
        <f>SUM(G207:G209)</f>
        <v>0</v>
      </c>
      <c r="H210" s="263"/>
      <c r="I210" s="264">
        <f>SUM(I207:I209)</f>
        <v>0</v>
      </c>
    </row>
    <row r="211" spans="1:11">
      <c r="A211" s="256"/>
      <c r="B211" s="230"/>
      <c r="C211" s="239"/>
      <c r="D211" s="234"/>
      <c r="E211"/>
      <c r="F211" s="263"/>
      <c r="G211" s="275"/>
      <c r="H211" s="263"/>
      <c r="I211" s="275"/>
    </row>
    <row r="212" spans="1:11">
      <c r="A212" s="256" t="s">
        <v>704</v>
      </c>
      <c r="B212" s="230"/>
      <c r="C212" s="239"/>
      <c r="D212" s="234"/>
      <c r="E212"/>
      <c r="F212" s="263"/>
      <c r="G212" s="275"/>
      <c r="H212" s="263"/>
      <c r="I212" s="275"/>
    </row>
    <row r="213" spans="1:11">
      <c r="A213" s="256" t="s">
        <v>700</v>
      </c>
      <c r="B213" s="230"/>
      <c r="C213" s="239"/>
      <c r="D213" s="234"/>
      <c r="E213"/>
      <c r="F213" s="263"/>
      <c r="G213" s="275">
        <f>I215</f>
        <v>0</v>
      </c>
      <c r="H213" s="263"/>
      <c r="I213" s="274">
        <f>ROUND(0/Master!$B$23,0)</f>
        <v>0</v>
      </c>
    </row>
    <row r="214" spans="1:11">
      <c r="A214" s="237" t="s">
        <v>704</v>
      </c>
      <c r="B214" s="230"/>
      <c r="C214" s="239"/>
      <c r="D214" s="234"/>
      <c r="E214"/>
      <c r="F214" s="263"/>
      <c r="G214" s="275">
        <v>0</v>
      </c>
      <c r="H214" s="263"/>
      <c r="I214" s="275">
        <f>ROUND('BS Gr'!R917/Master!$B$23,0)</f>
        <v>0</v>
      </c>
    </row>
    <row r="215" spans="1:11">
      <c r="A215" s="256"/>
      <c r="B215" s="230"/>
      <c r="C215" s="239"/>
      <c r="D215" s="234"/>
      <c r="E215"/>
      <c r="F215" s="263"/>
      <c r="G215" s="264">
        <f>SUM(G213:G214)</f>
        <v>0</v>
      </c>
      <c r="H215" s="263"/>
      <c r="I215" s="264">
        <f>SUM(I213:I214)</f>
        <v>0</v>
      </c>
    </row>
    <row r="216" spans="1:11">
      <c r="A216" s="237" t="s">
        <v>705</v>
      </c>
      <c r="B216" s="230"/>
      <c r="C216" s="239"/>
      <c r="D216" s="234"/>
      <c r="E216"/>
      <c r="F216" s="240"/>
      <c r="G216" s="241"/>
      <c r="H216" s="240"/>
      <c r="I216" s="241"/>
    </row>
    <row r="217" spans="1:11">
      <c r="A217" s="256" t="s">
        <v>700</v>
      </c>
      <c r="B217" s="230"/>
      <c r="C217" s="239"/>
      <c r="D217" s="234"/>
      <c r="E217"/>
      <c r="F217" s="240"/>
      <c r="G217" s="241">
        <f>I220</f>
        <v>0</v>
      </c>
      <c r="H217" s="240"/>
      <c r="I217" s="274">
        <f>ROUND((0)/Master!$B$23,0)</f>
        <v>0</v>
      </c>
    </row>
    <row r="218" spans="1:11">
      <c r="A218" s="256" t="s">
        <v>688</v>
      </c>
      <c r="B218" s="230"/>
      <c r="C218" s="239"/>
      <c r="D218" s="234"/>
      <c r="E218"/>
      <c r="F218" s="240"/>
      <c r="G218" s="241">
        <f>-G200</f>
        <v>0</v>
      </c>
      <c r="H218" s="240"/>
      <c r="I218" s="274">
        <f>-ROUND((0)/Master!$B$23,0)</f>
        <v>0</v>
      </c>
    </row>
    <row r="219" spans="1:11">
      <c r="A219" s="256" t="s">
        <v>706</v>
      </c>
      <c r="B219" s="230"/>
      <c r="C219" s="239"/>
      <c r="D219" s="234"/>
      <c r="E219"/>
      <c r="F219" s="240"/>
      <c r="G219" s="241">
        <f>-ROUND(0/Master!$B$23,0)</f>
        <v>0</v>
      </c>
      <c r="H219" s="240"/>
      <c r="I219" s="274">
        <f>-ROUND(0/Master!$B$23,0)</f>
        <v>0</v>
      </c>
    </row>
    <row r="220" spans="1:11">
      <c r="A220" s="237"/>
      <c r="B220" s="230"/>
      <c r="C220" s="239"/>
      <c r="D220" s="234"/>
      <c r="E220"/>
      <c r="F220" s="263"/>
      <c r="G220" s="264">
        <f>SUM(G217:G219)</f>
        <v>0</v>
      </c>
      <c r="H220" s="263"/>
      <c r="I220" s="264">
        <f>SUM(I217:I219)</f>
        <v>0</v>
      </c>
    </row>
    <row r="221" spans="1:11">
      <c r="A221" s="237" t="s">
        <v>707</v>
      </c>
      <c r="C221" s="239"/>
      <c r="D221" s="234"/>
      <c r="E221"/>
      <c r="F221" s="240"/>
      <c r="G221" s="241"/>
      <c r="H221" s="240"/>
      <c r="I221" s="241"/>
    </row>
    <row r="222" spans="1:11">
      <c r="A222" s="256" t="s">
        <v>700</v>
      </c>
      <c r="C222" s="239"/>
      <c r="D222" s="234"/>
      <c r="E222"/>
      <c r="F222" s="240"/>
      <c r="G222" s="241">
        <f>I224</f>
        <v>1092319</v>
      </c>
      <c r="H222" s="240"/>
      <c r="I222" s="274">
        <f>ROUND(1101038/Master!$B$23,0)</f>
        <v>1101038</v>
      </c>
      <c r="J222" s="226">
        <f>+'BS Gr'!F919</f>
        <v>0</v>
      </c>
      <c r="K222" s="243">
        <f>+G222-J222</f>
        <v>1092319</v>
      </c>
    </row>
    <row r="223" spans="1:11">
      <c r="A223" s="1636" t="s">
        <v>708</v>
      </c>
      <c r="C223" s="239"/>
      <c r="D223" s="234"/>
      <c r="E223"/>
      <c r="F223" s="240"/>
      <c r="G223" s="261">
        <f>-ROUND(('TB for financial'!D607+'TB for financial'!E607+'TB for financial'!D606+'TB for financial'!E606+'TB for financial'!D626+'TB for financial'!E626+'TB for financial'!D627+'TB for financial'!E627+'TB for financial'!D625+'TB for financial'!E625+'TB for financial'!D628+'TB for financial'!D629)/Master!$B$23,0)+ROUND(-62614*0-75624/Master!$B$23,0)</f>
        <v>-109379</v>
      </c>
      <c r="H223" s="240"/>
      <c r="I223" s="261">
        <f>-ROUND(('TB for financial'!I607+'TB for financial'!J607+'TB for financial'!I606+'TB for financial'!J606+'TB for financial'!I626+'TB for financial'!J626+'TB for financial'!I627+'TB for financial'!J627+'TB for financial'!I625+'TB for financial'!J625)/Master!$B$23,0)+ROUND(13062/Master!$B$23,0)</f>
        <v>-8719</v>
      </c>
      <c r="K223" s="243">
        <f>G223-PL!F43</f>
        <v>-75624</v>
      </c>
    </row>
    <row r="224" spans="1:11">
      <c r="A224" s="1636"/>
      <c r="C224" s="239"/>
      <c r="D224" s="234"/>
      <c r="E224"/>
      <c r="F224" s="240"/>
      <c r="G224" s="275">
        <f>SUM(G222:G223)</f>
        <v>982940</v>
      </c>
      <c r="H224" s="240"/>
      <c r="I224" s="275">
        <f>SUM(I222:I223)</f>
        <v>1092319</v>
      </c>
    </row>
    <row r="225" spans="1:10">
      <c r="A225" s="244"/>
      <c r="B225" s="245"/>
      <c r="C225" s="239"/>
      <c r="D225" s="234"/>
      <c r="E225"/>
      <c r="F225" s="240"/>
      <c r="G225" s="241"/>
      <c r="H225" s="240"/>
      <c r="I225" s="241"/>
    </row>
    <row r="226" spans="1:10" ht="15" thickBot="1">
      <c r="A226" s="246" t="s">
        <v>173</v>
      </c>
      <c r="B226" s="230"/>
      <c r="C226" s="247"/>
      <c r="D226" s="234"/>
      <c r="E226"/>
      <c r="F226" s="248"/>
      <c r="G226" s="276">
        <f>+G204+G210+G220+G215+G224</f>
        <v>17022765</v>
      </c>
      <c r="H226" s="248"/>
      <c r="I226" s="276">
        <f>+I204+I210+I220+I215+I224</f>
        <v>66154158</v>
      </c>
    </row>
    <row r="227" spans="1:10" ht="15" thickTop="1">
      <c r="E227"/>
    </row>
    <row r="228" spans="1:10">
      <c r="A228" s="277" t="s">
        <v>36</v>
      </c>
      <c r="C228" s="251"/>
      <c r="E228"/>
      <c r="F228" s="252"/>
      <c r="G228" s="253"/>
      <c r="H228" s="252"/>
      <c r="I228" s="253"/>
    </row>
    <row r="229" spans="1:10">
      <c r="A229" s="1636" t="s">
        <v>37</v>
      </c>
      <c r="C229" s="254"/>
      <c r="E229"/>
      <c r="F229" s="252"/>
      <c r="G229" s="255"/>
      <c r="H229" s="252"/>
      <c r="I229" s="255"/>
    </row>
    <row r="230" spans="1:10">
      <c r="A230" s="237" t="s">
        <v>38</v>
      </c>
      <c r="B230" s="230"/>
      <c r="C230" s="239"/>
      <c r="D230" s="234"/>
      <c r="E230"/>
      <c r="F230" s="240"/>
      <c r="G230" s="241"/>
      <c r="H230" s="240"/>
      <c r="I230" s="241"/>
    </row>
    <row r="231" spans="1:10">
      <c r="A231" s="242" t="s">
        <v>272</v>
      </c>
      <c r="B231" s="230"/>
      <c r="C231" s="239"/>
      <c r="D231" s="234"/>
      <c r="E231"/>
      <c r="F231" s="240"/>
      <c r="G231" s="241">
        <f>ROUND('BS Gr'!I891/Master!$B$23,0)*0</f>
        <v>0</v>
      </c>
      <c r="H231" s="240"/>
      <c r="I231" s="241">
        <f>(ROUND('BS Gr'!M891/Master!$B$23,0)-3)*0</f>
        <v>0</v>
      </c>
      <c r="J231" s="243">
        <f>+G231-I231</f>
        <v>0</v>
      </c>
    </row>
    <row r="232" spans="1:10">
      <c r="A232" s="237" t="s">
        <v>40</v>
      </c>
      <c r="B232" s="230"/>
      <c r="C232" s="239"/>
      <c r="D232" s="234"/>
      <c r="E232"/>
      <c r="F232" s="240"/>
      <c r="G232" s="241"/>
      <c r="H232" s="240"/>
      <c r="I232" s="241"/>
    </row>
    <row r="233" spans="1:10">
      <c r="A233" s="242" t="s">
        <v>291</v>
      </c>
      <c r="B233" s="230"/>
      <c r="C233" s="239"/>
      <c r="D233" s="234"/>
      <c r="E233"/>
      <c r="F233" s="240"/>
      <c r="G233" s="241">
        <f>ROUND('BS Gr'!I867/Master!$B$23,0)</f>
        <v>0</v>
      </c>
      <c r="H233" s="240"/>
      <c r="I233" s="241">
        <f>ROUND('BS Gr'!RE30/Master!$B$23,0)</f>
        <v>0</v>
      </c>
    </row>
    <row r="234" spans="1:10">
      <c r="A234" s="242" t="s">
        <v>289</v>
      </c>
      <c r="B234" s="230"/>
      <c r="C234" s="239"/>
      <c r="D234" s="234"/>
      <c r="E234"/>
      <c r="F234" s="240"/>
      <c r="G234" s="241">
        <f>ROUND('BS Gr'!I772/Master!$B$23,0)</f>
        <v>0</v>
      </c>
      <c r="H234" s="240"/>
      <c r="I234" s="241">
        <f>ROUND('BS Gr'!M772/Master!$B$23,0)</f>
        <v>0</v>
      </c>
    </row>
    <row r="235" spans="1:10">
      <c r="A235" s="242" t="s">
        <v>709</v>
      </c>
      <c r="B235" s="230"/>
      <c r="C235" s="239"/>
      <c r="D235" s="234"/>
      <c r="E235"/>
      <c r="F235" s="240"/>
      <c r="G235" s="241">
        <f>ROUND('BS Gr'!I641/Master!$B$23,0)</f>
        <v>0</v>
      </c>
      <c r="H235" s="240"/>
      <c r="I235" s="241">
        <f>ROUND('BS Gr'!M641/Master!$B$23,0)</f>
        <v>0</v>
      </c>
    </row>
    <row r="236" spans="1:10">
      <c r="A236" s="242" t="s">
        <v>710</v>
      </c>
      <c r="B236" s="230"/>
      <c r="C236" s="239"/>
      <c r="D236" s="234"/>
      <c r="E236"/>
      <c r="F236" s="240"/>
      <c r="G236" s="241">
        <f>ROUND('BS Gr'!I652/Master!$B$23,0)</f>
        <v>0</v>
      </c>
      <c r="H236" s="240"/>
      <c r="I236" s="241">
        <f>ROUND('BS Gr'!M652/Master!$B$23,0)</f>
        <v>0</v>
      </c>
    </row>
    <row r="237" spans="1:10">
      <c r="A237" s="242" t="s">
        <v>292</v>
      </c>
      <c r="C237" s="239"/>
      <c r="D237" s="234"/>
      <c r="E237"/>
      <c r="F237" s="240"/>
      <c r="G237" s="241">
        <f>ROUND('BS Gr'!I653/Master!$B$23,0)</f>
        <v>0</v>
      </c>
      <c r="H237" s="240"/>
      <c r="I237" s="241">
        <f>ROUND('BS Gr'!M653/Master!$B$23,0)</f>
        <v>0</v>
      </c>
    </row>
    <row r="238" spans="1:10">
      <c r="A238" s="242" t="s">
        <v>293</v>
      </c>
      <c r="C238" s="239"/>
      <c r="D238" s="234"/>
      <c r="E238"/>
      <c r="F238" s="240"/>
      <c r="G238" s="241">
        <f>ROUND('BS Gr'!I808/Master!$B$23,0)</f>
        <v>0</v>
      </c>
      <c r="H238" s="240"/>
      <c r="I238" s="241">
        <f>ROUND('BS Gr'!M808/Master!$B$23,0)</f>
        <v>0</v>
      </c>
      <c r="J238" s="243">
        <f>+G238-I238</f>
        <v>0</v>
      </c>
    </row>
    <row r="239" spans="1:10">
      <c r="A239" s="242" t="s">
        <v>2302</v>
      </c>
      <c r="C239" s="239"/>
      <c r="D239" s="234"/>
      <c r="E239"/>
      <c r="F239" s="240"/>
      <c r="G239" s="1647">
        <f>ROUND('BS Gr'!I897/Master!$B$23,0)</f>
        <v>0</v>
      </c>
      <c r="H239" s="240"/>
      <c r="I239" s="241">
        <f>ROUND('BS Gr'!M897/Master!$B$23,0)</f>
        <v>3875173</v>
      </c>
      <c r="J239" s="243"/>
    </row>
    <row r="240" spans="1:10" ht="5.25" customHeight="1">
      <c r="A240" s="244"/>
      <c r="B240" s="245"/>
      <c r="C240" s="239"/>
      <c r="D240" s="234"/>
      <c r="E240"/>
      <c r="F240" s="240"/>
      <c r="G240" s="241"/>
      <c r="H240" s="240"/>
      <c r="I240" s="241"/>
    </row>
    <row r="241" spans="1:10" ht="15" thickBot="1">
      <c r="A241" s="246" t="s">
        <v>173</v>
      </c>
      <c r="B241" s="230"/>
      <c r="C241" s="247"/>
      <c r="D241" s="234"/>
      <c r="E241"/>
      <c r="F241" s="278"/>
      <c r="G241" s="1653">
        <f>SUM(G231:G240)</f>
        <v>0</v>
      </c>
      <c r="H241" s="278"/>
      <c r="I241" s="276">
        <f>SUM(I231:I240)</f>
        <v>3875173</v>
      </c>
      <c r="J241" s="243">
        <f>+G241-I241</f>
        <v>-3875173</v>
      </c>
    </row>
    <row r="242" spans="1:10" ht="15" thickTop="1">
      <c r="A242" s="237"/>
      <c r="B242" s="230"/>
      <c r="C242" s="239"/>
      <c r="D242" s="234"/>
      <c r="E242"/>
      <c r="F242" s="278"/>
      <c r="G242" s="279"/>
      <c r="H242" s="278"/>
      <c r="I242" s="279"/>
    </row>
    <row r="243" spans="1:10">
      <c r="A243" s="277"/>
      <c r="C243" s="251"/>
      <c r="E243"/>
      <c r="F243" s="252"/>
      <c r="G243" s="253"/>
      <c r="H243" s="252"/>
      <c r="I243" s="253"/>
    </row>
    <row r="244" spans="1:10">
      <c r="A244" s="237" t="s">
        <v>41</v>
      </c>
      <c r="C244" s="254"/>
      <c r="E244"/>
      <c r="F244" s="252"/>
      <c r="G244" s="255"/>
      <c r="H244" s="252"/>
      <c r="I244" s="255"/>
    </row>
    <row r="245" spans="1:10">
      <c r="A245" s="242" t="s">
        <v>711</v>
      </c>
      <c r="B245" s="230"/>
      <c r="C245" s="239"/>
      <c r="D245" s="234"/>
      <c r="E245"/>
      <c r="F245" s="240"/>
      <c r="G245" s="1647">
        <f>ROUND(('BS Gr'!I643+'BS Gr'!I645)/Master!$B$23,0)</f>
        <v>1222499</v>
      </c>
      <c r="H245" s="240"/>
      <c r="I245" s="241">
        <f>ROUND(('BS Gr'!M643+'BS Gr'!M645)/Master!$B$23,0)</f>
        <v>1484197</v>
      </c>
      <c r="J245" s="243">
        <f>+G245-I245</f>
        <v>-261698</v>
      </c>
    </row>
    <row r="246" spans="1:10">
      <c r="A246" s="242" t="s">
        <v>712</v>
      </c>
      <c r="B246" s="230"/>
      <c r="C246" s="239"/>
      <c r="D246" s="234"/>
      <c r="E246"/>
      <c r="F246" s="240"/>
      <c r="G246" s="241">
        <f>ROUND('BS Gr'!I644/Master!$B$23,0)</f>
        <v>0</v>
      </c>
      <c r="H246" s="240"/>
      <c r="I246" s="241">
        <f>ROUND('BS Gr'!M644/Master!$B$23,0)</f>
        <v>0</v>
      </c>
      <c r="J246" s="243">
        <f>+G246-I246</f>
        <v>0</v>
      </c>
    </row>
    <row r="247" spans="1:10">
      <c r="A247" s="242" t="s">
        <v>2078</v>
      </c>
      <c r="B247" s="230"/>
      <c r="C247" s="239"/>
      <c r="D247" s="234"/>
      <c r="E247"/>
      <c r="F247" s="240"/>
      <c r="G247" s="241">
        <f>ROUND('BS Gr'!H337/Master!$B$23,0)*0</f>
        <v>0</v>
      </c>
      <c r="H247" s="240"/>
      <c r="I247" s="241">
        <f>ROUND('BS Gr'!L337/Master!$B$23,0)*0</f>
        <v>0</v>
      </c>
      <c r="J247" s="243"/>
    </row>
    <row r="248" spans="1:10" ht="5.25" customHeight="1">
      <c r="A248" s="244"/>
      <c r="B248" s="245"/>
      <c r="C248" s="239"/>
      <c r="D248" s="234"/>
      <c r="E248"/>
      <c r="F248" s="240"/>
      <c r="G248" s="241"/>
      <c r="H248" s="240"/>
      <c r="I248" s="241"/>
      <c r="J248" s="243">
        <f>+G248-I248</f>
        <v>0</v>
      </c>
    </row>
    <row r="249" spans="1:10" ht="15" thickBot="1">
      <c r="A249" s="246" t="s">
        <v>173</v>
      </c>
      <c r="B249" s="230"/>
      <c r="C249" s="247"/>
      <c r="D249" s="234"/>
      <c r="E249"/>
      <c r="F249" s="278"/>
      <c r="G249" s="1653">
        <f>SUM(G245:G248)</f>
        <v>1222499</v>
      </c>
      <c r="H249" s="278"/>
      <c r="I249" s="276">
        <f>SUM(I245:I248)</f>
        <v>1484197</v>
      </c>
      <c r="J249" s="243">
        <f>+G249-I249</f>
        <v>-261698</v>
      </c>
    </row>
    <row r="250" spans="1:10" ht="15" thickTop="1">
      <c r="A250" s="237"/>
      <c r="B250" s="230"/>
      <c r="C250" s="239"/>
      <c r="D250" s="234"/>
      <c r="E250"/>
      <c r="F250" s="278"/>
      <c r="G250" s="279"/>
      <c r="H250" s="278"/>
      <c r="I250" s="279"/>
    </row>
    <row r="251" spans="1:10">
      <c r="A251" s="237" t="s">
        <v>43</v>
      </c>
      <c r="B251" s="230"/>
      <c r="C251" s="239"/>
      <c r="D251" s="234"/>
      <c r="E251"/>
      <c r="F251" s="278"/>
      <c r="G251" s="279"/>
      <c r="H251" s="278"/>
      <c r="I251" s="279"/>
    </row>
    <row r="252" spans="1:10">
      <c r="A252" s="242" t="s">
        <v>275</v>
      </c>
      <c r="C252" s="239"/>
      <c r="D252" s="234"/>
      <c r="E252"/>
      <c r="F252" s="240"/>
      <c r="G252" s="241">
        <f>ROUND('BS Gr'!I667/Master!$B$23,0)</f>
        <v>0</v>
      </c>
      <c r="H252" s="240"/>
      <c r="I252" s="241">
        <f>ROUND('BS Gr'!M667/Master!$B$23,0)</f>
        <v>0</v>
      </c>
      <c r="J252" s="243">
        <f t="shared" ref="J252:J262" si="7">+G252-I252</f>
        <v>0</v>
      </c>
    </row>
    <row r="253" spans="1:10">
      <c r="A253" s="242" t="s">
        <v>612</v>
      </c>
      <c r="B253" s="230"/>
      <c r="C253" s="239"/>
      <c r="D253" s="234"/>
      <c r="E253"/>
      <c r="F253" s="240"/>
      <c r="G253" s="241">
        <f>ROUND('BS Gr'!I813/Master!$B$23,0)</f>
        <v>0</v>
      </c>
      <c r="H253" s="240"/>
      <c r="I253" s="241">
        <f>ROUND('BS Gr'!M813/Master!$B$23,0)</f>
        <v>0</v>
      </c>
      <c r="J253" s="243">
        <f t="shared" si="7"/>
        <v>0</v>
      </c>
    </row>
    <row r="254" spans="1:10">
      <c r="A254" s="242" t="s">
        <v>605</v>
      </c>
      <c r="B254" s="230"/>
      <c r="C254" s="239"/>
      <c r="D254" s="234"/>
      <c r="E254"/>
      <c r="F254" s="240"/>
      <c r="G254" s="241">
        <f>ROUND('BS Gr'!I693/Master!$B$23,0)</f>
        <v>0</v>
      </c>
      <c r="H254" s="240"/>
      <c r="I254" s="241">
        <f>ROUND('BS Gr'!M693/Master!$B$23,0)</f>
        <v>0</v>
      </c>
      <c r="J254" s="243">
        <f t="shared" si="7"/>
        <v>0</v>
      </c>
    </row>
    <row r="255" spans="1:10">
      <c r="A255" s="242" t="s">
        <v>606</v>
      </c>
      <c r="C255" s="239"/>
      <c r="D255" s="234"/>
      <c r="E255"/>
      <c r="F255" s="240"/>
      <c r="G255" s="241">
        <f>ROUND('BS Gr'!I710/Master!$B$23,0)</f>
        <v>0</v>
      </c>
      <c r="H255" s="240"/>
      <c r="I255" s="241">
        <f>ROUND('BS Gr'!M710/Master!$B$23,0)</f>
        <v>0</v>
      </c>
      <c r="J255" s="243">
        <f t="shared" si="7"/>
        <v>0</v>
      </c>
    </row>
    <row r="256" spans="1:10">
      <c r="A256" s="242" t="s">
        <v>607</v>
      </c>
      <c r="C256" s="239"/>
      <c r="D256" s="234"/>
      <c r="E256"/>
      <c r="F256" s="240"/>
      <c r="G256" s="241">
        <f>ROUND('BS Gr'!I714/Master!$B$23,0)</f>
        <v>0</v>
      </c>
      <c r="H256" s="240"/>
      <c r="I256" s="241">
        <f>ROUND('BS Gr'!M714/Master!$B$23,0)</f>
        <v>0</v>
      </c>
      <c r="J256" s="243">
        <f t="shared" si="7"/>
        <v>0</v>
      </c>
    </row>
    <row r="257" spans="1:13">
      <c r="A257" s="242" t="s">
        <v>608</v>
      </c>
      <c r="C257" s="239"/>
      <c r="D257" s="234"/>
      <c r="E257"/>
      <c r="F257" s="240"/>
      <c r="G257" s="241">
        <f>ROUND('BS Gr'!I730/Master!$B$23,0)*0</f>
        <v>0</v>
      </c>
      <c r="H257" s="240"/>
      <c r="I257" s="241">
        <f>ROUND('BS Gr'!M730/Master!$B$23,0)*0</f>
        <v>0</v>
      </c>
      <c r="J257" s="243">
        <f t="shared" si="7"/>
        <v>0</v>
      </c>
    </row>
    <row r="258" spans="1:13">
      <c r="A258" s="242" t="s">
        <v>713</v>
      </c>
      <c r="C258" s="239"/>
      <c r="D258" s="234"/>
      <c r="E258"/>
      <c r="F258" s="240"/>
      <c r="G258" s="241">
        <f>ROUND(SUM('BS Gr'!I658:I662)/Master!$B$23,0)</f>
        <v>0</v>
      </c>
      <c r="H258" s="240"/>
      <c r="I258" s="241">
        <f>ROUND(SUM('BS Gr'!M658:M662)/Master!$B$23,0)</f>
        <v>0</v>
      </c>
      <c r="J258" s="243">
        <f t="shared" si="7"/>
        <v>0</v>
      </c>
    </row>
    <row r="259" spans="1:13">
      <c r="A259" s="242"/>
      <c r="C259" s="239"/>
      <c r="D259" s="234"/>
      <c r="E259"/>
      <c r="F259" s="240"/>
      <c r="G259" s="241"/>
      <c r="H259" s="240"/>
      <c r="I259" s="241"/>
      <c r="J259" s="243"/>
    </row>
    <row r="260" spans="1:13">
      <c r="A260" s="242"/>
      <c r="C260" s="239"/>
      <c r="D260" s="234"/>
      <c r="E260"/>
      <c r="F260" s="240"/>
      <c r="G260" s="241"/>
      <c r="H260" s="240"/>
      <c r="I260" s="241"/>
      <c r="J260" s="243"/>
    </row>
    <row r="261" spans="1:13" ht="3.75" customHeight="1">
      <c r="A261" s="237"/>
      <c r="B261" s="230"/>
      <c r="C261" s="239"/>
      <c r="D261" s="234"/>
      <c r="E261"/>
      <c r="F261" s="278"/>
      <c r="G261" s="279"/>
      <c r="H261" s="278"/>
      <c r="I261" s="279"/>
      <c r="J261" s="243">
        <f t="shared" si="7"/>
        <v>0</v>
      </c>
    </row>
    <row r="262" spans="1:13" ht="15" thickBot="1">
      <c r="A262" s="246" t="s">
        <v>173</v>
      </c>
      <c r="B262" s="230"/>
      <c r="C262" s="247"/>
      <c r="D262" s="234"/>
      <c r="E262"/>
      <c r="F262" s="248"/>
      <c r="G262" s="249">
        <f>SUM(G252:G261)</f>
        <v>0</v>
      </c>
      <c r="H262" s="248"/>
      <c r="I262" s="249">
        <f>SUM(I252:I261)</f>
        <v>0</v>
      </c>
      <c r="J262" s="243">
        <f t="shared" si="7"/>
        <v>0</v>
      </c>
    </row>
    <row r="263" spans="1:13" ht="15" thickTop="1">
      <c r="A263" s="237"/>
      <c r="B263" s="230"/>
      <c r="C263" s="239"/>
      <c r="D263" s="234"/>
      <c r="E263"/>
      <c r="F263" s="278"/>
      <c r="G263" s="279"/>
      <c r="H263" s="278"/>
      <c r="I263" s="279"/>
    </row>
    <row r="264" spans="1:13">
      <c r="A264" s="237" t="s">
        <v>45</v>
      </c>
      <c r="B264" s="230"/>
      <c r="C264" s="239"/>
      <c r="D264" s="234"/>
      <c r="E264"/>
      <c r="F264" s="278"/>
      <c r="G264" s="279"/>
      <c r="H264" s="278"/>
      <c r="I264" s="279"/>
    </row>
    <row r="265" spans="1:13">
      <c r="A265" s="237" t="s">
        <v>38</v>
      </c>
      <c r="B265" s="230"/>
      <c r="C265" s="239"/>
      <c r="D265" s="234"/>
      <c r="E265"/>
      <c r="F265" s="278"/>
      <c r="G265" s="279"/>
      <c r="H265" s="278"/>
      <c r="I265" s="279"/>
    </row>
    <row r="266" spans="1:13">
      <c r="A266" s="237" t="s">
        <v>714</v>
      </c>
      <c r="B266" s="230"/>
      <c r="C266" s="239"/>
      <c r="D266" s="234"/>
      <c r="E266"/>
      <c r="F266" s="240"/>
      <c r="G266" s="241"/>
      <c r="H266" s="240"/>
      <c r="I266" s="241"/>
    </row>
    <row r="267" spans="1:13">
      <c r="A267" s="242" t="s">
        <v>715</v>
      </c>
      <c r="C267" s="239"/>
      <c r="D267" s="234"/>
      <c r="E267"/>
      <c r="F267" s="240"/>
      <c r="G267" s="241"/>
      <c r="H267" s="240"/>
      <c r="I267" s="241"/>
    </row>
    <row r="268" spans="1:13">
      <c r="A268" s="242" t="s">
        <v>716</v>
      </c>
      <c r="C268" s="239"/>
      <c r="D268" s="234"/>
      <c r="E268"/>
      <c r="F268" s="240"/>
      <c r="G268" s="1647">
        <f>ROUND(('BS Gr'!H635-'BS Gr'!H626-267020.88)/Master!$B$23,0)+ROUND('BS Gr'!H368/Master!$B$23,0)-ROUND('BS Gr'!H189/Master!$B$23,0)+ROUND((-204069+62615)*0-948+112533+26993/Master!$B$23,0)</f>
        <v>4084430</v>
      </c>
      <c r="H268" s="240"/>
      <c r="I268" s="241">
        <f>ROUND(('BS Gr'!L635-133*0+4535*0-1124*0+75824-'BS Gr'!L623*0-'BS Gr'!L622*0-'BS Gr'!L624*0-'BS Gr'!L626+10716*0+2345*0)/Master!$B$23,0)+ROUND('BS Gr'!L368/Master!$B$23,0)-ROUND('BS Gr'!L189/Master!$B$23,0)-240233*0</f>
        <v>3086080</v>
      </c>
      <c r="J268" s="243">
        <f>+G268-I268</f>
        <v>998350</v>
      </c>
      <c r="K268" s="226">
        <f>-245909.61-(1115127-431085)-24999</f>
        <v>-954950.61</v>
      </c>
      <c r="L268" s="226">
        <f>1115127-431085</f>
        <v>684042</v>
      </c>
      <c r="M268" s="243">
        <f>+I268-K268</f>
        <v>4041030.61</v>
      </c>
    </row>
    <row r="269" spans="1:13">
      <c r="A269" s="242" t="s">
        <v>717</v>
      </c>
      <c r="C269" s="239"/>
      <c r="D269" s="234"/>
      <c r="E269"/>
      <c r="F269" s="240"/>
      <c r="G269" s="241">
        <f>ROUND('BS Gr'!H641/Master!$B$23,0)*0</f>
        <v>0</v>
      </c>
      <c r="H269" s="240"/>
      <c r="I269" s="241">
        <f>ROUND('BS Gr'!L641/Master!$B$23,0)*0</f>
        <v>0</v>
      </c>
      <c r="J269" s="243">
        <f>+G269-I269</f>
        <v>0</v>
      </c>
    </row>
    <row r="270" spans="1:13" ht="5.25" customHeight="1">
      <c r="A270" s="244"/>
      <c r="B270" s="245"/>
      <c r="C270" s="239"/>
      <c r="D270" s="234"/>
      <c r="E270"/>
      <c r="F270" s="240"/>
      <c r="G270" s="241"/>
      <c r="H270" s="240"/>
      <c r="I270" s="241"/>
      <c r="J270" s="243">
        <f>+G270-I270</f>
        <v>0</v>
      </c>
    </row>
    <row r="271" spans="1:13" ht="15" thickBot="1">
      <c r="A271" s="246" t="s">
        <v>173</v>
      </c>
      <c r="B271" s="230"/>
      <c r="C271" s="247"/>
      <c r="D271" s="234"/>
      <c r="E271"/>
      <c r="F271" s="248"/>
      <c r="G271" s="249">
        <f>SUM(G266:G270)</f>
        <v>4084430</v>
      </c>
      <c r="H271" s="248"/>
      <c r="I271" s="249">
        <f>SUM(I266:I270)</f>
        <v>3086080</v>
      </c>
      <c r="J271" s="243">
        <f>+G271-I271</f>
        <v>998350</v>
      </c>
    </row>
    <row r="272" spans="1:13" ht="15" thickTop="1">
      <c r="A272" s="237"/>
      <c r="B272" s="230"/>
      <c r="C272" s="239"/>
      <c r="D272" s="234"/>
      <c r="E272"/>
      <c r="F272" s="248"/>
      <c r="G272" s="258"/>
      <c r="H272" s="248"/>
      <c r="I272" s="258"/>
    </row>
    <row r="273" spans="1:12">
      <c r="A273" s="237" t="s">
        <v>40</v>
      </c>
      <c r="B273" s="230"/>
      <c r="C273" s="239"/>
      <c r="D273" s="234"/>
      <c r="E273"/>
      <c r="F273" s="248"/>
      <c r="G273" s="258"/>
      <c r="H273" s="248"/>
      <c r="I273" s="258"/>
    </row>
    <row r="274" spans="1:12">
      <c r="A274" s="242" t="s">
        <v>289</v>
      </c>
      <c r="B274" s="230"/>
      <c r="C274" s="239"/>
      <c r="D274" s="234"/>
      <c r="E274"/>
      <c r="F274" s="248"/>
      <c r="G274" s="1647">
        <f>ROUND(('BS Gr'!H772+'BS Gr'!H626)/Master!$B$23,0)</f>
        <v>574710</v>
      </c>
      <c r="H274" s="248"/>
      <c r="I274" s="241">
        <f>ROUND(('BS Gr'!L772+'BS Gr'!L626)/Master!$B$23,0)-100000</f>
        <v>829849</v>
      </c>
      <c r="J274" s="243">
        <f t="shared" ref="J274:J284" si="8">+G274-I274</f>
        <v>-255139</v>
      </c>
      <c r="L274" s="226">
        <f>1115127-431085</f>
        <v>684042</v>
      </c>
    </row>
    <row r="275" spans="1:12">
      <c r="A275" s="242" t="s">
        <v>710</v>
      </c>
      <c r="B275" s="230"/>
      <c r="C275" s="239"/>
      <c r="D275" s="234"/>
      <c r="E275"/>
      <c r="F275" s="248"/>
      <c r="G275" s="241">
        <f>ROUND('BS Gr'!H652/Master!$B$23,0)</f>
        <v>-2</v>
      </c>
      <c r="H275" s="248"/>
      <c r="I275" s="241">
        <f>ROUND('BS Gr'!L652/Master!$B$23,0)</f>
        <v>-2</v>
      </c>
      <c r="J275" s="243">
        <f t="shared" si="8"/>
        <v>0</v>
      </c>
    </row>
    <row r="276" spans="1:12">
      <c r="A276" s="242" t="s">
        <v>290</v>
      </c>
      <c r="B276" s="230"/>
      <c r="C276" s="239"/>
      <c r="D276" s="234"/>
      <c r="E276"/>
      <c r="F276" s="248"/>
      <c r="G276" s="241">
        <f>ROUND('BS Gr'!H641/Master!$B$23,0)</f>
        <v>0</v>
      </c>
      <c r="H276" s="248"/>
      <c r="I276" s="241">
        <f>ROUND('BS Gr'!L641/Master!$B$23,0)</f>
        <v>0</v>
      </c>
      <c r="J276" s="243">
        <f t="shared" si="8"/>
        <v>0</v>
      </c>
    </row>
    <row r="277" spans="1:12">
      <c r="A277" s="242" t="s">
        <v>293</v>
      </c>
      <c r="B277" s="230"/>
      <c r="C277" s="239"/>
      <c r="D277" s="234"/>
      <c r="E277"/>
      <c r="G277" s="1647">
        <f>ROUND(('BS Gr'!H808+'BS Gr'!H623*0+'BS Gr'!H622*0+'BS Gr'!H624*0)/Master!$B$23,0)</f>
        <v>201</v>
      </c>
      <c r="I277" s="241">
        <f>ROUND(('BS Gr'!L808+'BS Gr'!L623*0+'BS Gr'!L622*0+'BS Gr'!L624*0)/Master!$B$23,0)</f>
        <v>301</v>
      </c>
      <c r="J277" s="243">
        <f t="shared" si="8"/>
        <v>-100</v>
      </c>
    </row>
    <row r="278" spans="1:12">
      <c r="A278" s="242" t="s">
        <v>291</v>
      </c>
      <c r="B278" s="230"/>
      <c r="C278" s="239"/>
      <c r="D278" s="234"/>
      <c r="E278"/>
      <c r="F278" s="248"/>
      <c r="G278" s="241">
        <f>ROUND('BS Gr'!H867/Master!$B$23,0)</f>
        <v>-1</v>
      </c>
      <c r="H278" s="248"/>
      <c r="I278" s="241">
        <f>ROUND('BS Gr'!L867/Master!$B$23,0)</f>
        <v>-1</v>
      </c>
      <c r="J278" s="243">
        <f t="shared" si="8"/>
        <v>0</v>
      </c>
    </row>
    <row r="279" spans="1:12">
      <c r="A279" s="242" t="s">
        <v>292</v>
      </c>
      <c r="B279" s="230"/>
      <c r="C279" s="239"/>
      <c r="D279" s="234"/>
      <c r="E279"/>
      <c r="F279" s="248"/>
      <c r="G279" s="241">
        <f>ROUND('BS Gr'!H653/Master!$B$23,0)</f>
        <v>0</v>
      </c>
      <c r="H279" s="248"/>
      <c r="I279" s="241">
        <f>ROUND('BS Gr'!L653/Master!$B$23,0)</f>
        <v>0</v>
      </c>
      <c r="J279" s="243">
        <f t="shared" si="8"/>
        <v>0</v>
      </c>
    </row>
    <row r="280" spans="1:12">
      <c r="A280" s="242" t="s">
        <v>718</v>
      </c>
      <c r="B280" s="230"/>
      <c r="C280" s="239"/>
      <c r="D280" s="234"/>
      <c r="E280"/>
      <c r="F280" s="248"/>
      <c r="G280" s="1647">
        <f>ROUND('BS Gr'!H842/Master!$B$23,0)</f>
        <v>0</v>
      </c>
      <c r="H280" s="248"/>
      <c r="I280" s="241">
        <f>ROUND('BS Gr'!L842/Master!$B$23,0)</f>
        <v>0</v>
      </c>
      <c r="J280" s="243">
        <f t="shared" si="8"/>
        <v>0</v>
      </c>
    </row>
    <row r="281" spans="1:12">
      <c r="A281" s="242" t="s">
        <v>294</v>
      </c>
      <c r="B281" s="230"/>
      <c r="C281" s="239"/>
      <c r="D281" s="234"/>
      <c r="E281"/>
      <c r="F281" s="248"/>
      <c r="G281" s="241">
        <f>ROUND('BS Gr'!H891/Master!$B$23,0)</f>
        <v>246681006</v>
      </c>
      <c r="H281" s="248"/>
      <c r="I281" s="241">
        <f>ROUND('BS Gr'!L891/Master!$B$23,0)</f>
        <v>0</v>
      </c>
      <c r="J281" s="243">
        <f t="shared" si="8"/>
        <v>246681006</v>
      </c>
    </row>
    <row r="282" spans="1:12">
      <c r="A282" s="242" t="s">
        <v>2302</v>
      </c>
      <c r="B282" s="230"/>
      <c r="C282" s="239"/>
      <c r="D282" s="234"/>
      <c r="E282"/>
      <c r="F282" s="248"/>
      <c r="G282" s="1647">
        <f>ROUND(('BS Gr'!H901+'BS Gr'!H897)/Master!$B$23,0)</f>
        <v>3875013</v>
      </c>
      <c r="H282" s="248"/>
      <c r="I282" s="241">
        <f>ROUND(('BS Gr'!L901+'BS Gr'!L897)/Master!$B$23,0)</f>
        <v>3414889</v>
      </c>
      <c r="J282" s="243">
        <f t="shared" si="8"/>
        <v>460124</v>
      </c>
    </row>
    <row r="283" spans="1:12" ht="4.5" customHeight="1">
      <c r="A283" s="237"/>
      <c r="B283" s="230"/>
      <c r="C283" s="239"/>
      <c r="D283" s="234"/>
      <c r="E283"/>
      <c r="F283" s="248"/>
      <c r="G283" s="258"/>
      <c r="H283" s="248"/>
      <c r="I283" s="258"/>
      <c r="J283" s="243">
        <f t="shared" si="8"/>
        <v>0</v>
      </c>
    </row>
    <row r="284" spans="1:12" ht="15" thickBot="1">
      <c r="A284" s="246" t="s">
        <v>173</v>
      </c>
      <c r="B284" s="230"/>
      <c r="C284" s="247"/>
      <c r="D284" s="234"/>
      <c r="E284"/>
      <c r="F284" s="248"/>
      <c r="G284" s="249">
        <f>SUM(G274:G283)</f>
        <v>251130927</v>
      </c>
      <c r="H284" s="248"/>
      <c r="I284" s="249">
        <f>SUM(I274:I283)</f>
        <v>4245036</v>
      </c>
      <c r="J284" s="243">
        <f t="shared" si="8"/>
        <v>246885891</v>
      </c>
    </row>
    <row r="285" spans="1:12" ht="15" thickTop="1">
      <c r="A285" s="237"/>
      <c r="B285" s="230"/>
      <c r="C285" s="239"/>
      <c r="D285" s="234"/>
      <c r="E285"/>
      <c r="F285" s="248"/>
      <c r="G285" s="258"/>
      <c r="H285" s="248"/>
      <c r="I285" s="258"/>
    </row>
    <row r="286" spans="1:12">
      <c r="A286" s="237" t="s">
        <v>47</v>
      </c>
      <c r="B286" s="230"/>
      <c r="C286" s="239"/>
      <c r="D286" s="234"/>
      <c r="E286"/>
      <c r="F286" s="248"/>
      <c r="G286" s="258"/>
      <c r="H286" s="248"/>
      <c r="I286" s="258"/>
    </row>
    <row r="287" spans="1:12">
      <c r="A287" s="242" t="s">
        <v>612</v>
      </c>
      <c r="B287" s="230"/>
      <c r="C287" s="239"/>
      <c r="D287" s="234"/>
      <c r="E287"/>
      <c r="F287" s="240"/>
      <c r="G287" s="241">
        <f>ROUND('BS Gr'!H813/Master!$B$23,0)</f>
        <v>0</v>
      </c>
      <c r="H287" s="240"/>
      <c r="I287" s="241">
        <f>ROUND('BS Gr'!L813/Master!$B$23,0)</f>
        <v>0</v>
      </c>
      <c r="J287" s="243">
        <f t="shared" ref="J287:J297" si="9">+G287-I287</f>
        <v>0</v>
      </c>
    </row>
    <row r="288" spans="1:12">
      <c r="A288" s="242" t="s">
        <v>275</v>
      </c>
      <c r="C288" s="239"/>
      <c r="D288" s="234"/>
      <c r="E288"/>
      <c r="F288" s="240"/>
      <c r="G288" s="241">
        <f>ROUND('BS Gr'!H667/Master!$B$23,0)</f>
        <v>0</v>
      </c>
      <c r="H288" s="240"/>
      <c r="I288" s="241">
        <f>ROUND('BS Gr'!L667/Master!$B$23,0)</f>
        <v>0</v>
      </c>
      <c r="J288" s="243">
        <f t="shared" si="9"/>
        <v>0</v>
      </c>
    </row>
    <row r="289" spans="1:11">
      <c r="A289" s="242" t="s">
        <v>713</v>
      </c>
      <c r="C289" s="239"/>
      <c r="D289" s="234"/>
      <c r="E289"/>
      <c r="F289" s="240"/>
      <c r="G289" s="241">
        <f>ROUND(SUM('BS Gr'!H658:H662)/Master!$B$23,0)</f>
        <v>0</v>
      </c>
      <c r="H289" s="240"/>
      <c r="I289" s="241">
        <f>ROUND(SUM('BS Gr'!L658:L662)/Master!$B$23,0)</f>
        <v>0</v>
      </c>
      <c r="J289" s="243">
        <f t="shared" si="9"/>
        <v>0</v>
      </c>
    </row>
    <row r="290" spans="1:11">
      <c r="A290" s="242" t="s">
        <v>605</v>
      </c>
      <c r="B290" s="230"/>
      <c r="C290" s="239"/>
      <c r="D290" s="234"/>
      <c r="E290"/>
      <c r="F290" s="240"/>
      <c r="G290" s="1647">
        <f>ROUND('BS Gr'!H693/Master!$B$23,0)</f>
        <v>248238</v>
      </c>
      <c r="H290" s="240"/>
      <c r="I290" s="241">
        <f>ROUND('BS Gr'!L693/Master!$B$23,0)</f>
        <v>278257</v>
      </c>
      <c r="J290" s="243">
        <f t="shared" si="9"/>
        <v>-30019</v>
      </c>
    </row>
    <row r="291" spans="1:11">
      <c r="A291" s="242" t="s">
        <v>606</v>
      </c>
      <c r="C291" s="239"/>
      <c r="D291" s="234"/>
      <c r="E291"/>
      <c r="F291" s="240"/>
      <c r="G291" s="1647">
        <f>ROUND('BS Gr'!H710/Master!$B$23,0)</f>
        <v>15127</v>
      </c>
      <c r="H291" s="240"/>
      <c r="I291" s="241">
        <f>ROUND('BS Gr'!L710/Master!$B$23,0)</f>
        <v>20839</v>
      </c>
      <c r="J291" s="243">
        <f t="shared" si="9"/>
        <v>-5712</v>
      </c>
    </row>
    <row r="292" spans="1:11">
      <c r="A292" s="242" t="s">
        <v>607</v>
      </c>
      <c r="C292" s="239"/>
      <c r="D292" s="234"/>
      <c r="E292"/>
      <c r="F292" s="240"/>
      <c r="G292" s="241">
        <f>ROUND('BS Gr'!H714/Master!$B$23,0)</f>
        <v>0</v>
      </c>
      <c r="H292" s="240"/>
      <c r="I292" s="241">
        <f>ROUND('BS Gr'!L714/Master!$B$23,0)</f>
        <v>0</v>
      </c>
      <c r="J292" s="243">
        <f t="shared" si="9"/>
        <v>0</v>
      </c>
    </row>
    <row r="293" spans="1:11">
      <c r="A293" s="242" t="s">
        <v>608</v>
      </c>
      <c r="C293" s="239"/>
      <c r="D293" s="234"/>
      <c r="E293"/>
      <c r="F293" s="240"/>
      <c r="G293" s="241">
        <f>ROUND(('BS Gr'!H730)/Master!$B$23,0)</f>
        <v>0</v>
      </c>
      <c r="H293" s="240"/>
      <c r="I293" s="241">
        <f>ROUND(('BS Gr'!L730)/Master!$B$23,0)</f>
        <v>0</v>
      </c>
      <c r="J293" s="243">
        <f t="shared" si="9"/>
        <v>0</v>
      </c>
    </row>
    <row r="294" spans="1:11">
      <c r="A294" s="242" t="s">
        <v>719</v>
      </c>
      <c r="C294" s="239"/>
      <c r="D294" s="234"/>
      <c r="E294"/>
      <c r="F294" s="240"/>
      <c r="G294" s="241">
        <f>ROUND('BS Gr'!H837/Master!$B$23,0)</f>
        <v>0</v>
      </c>
      <c r="H294" s="240"/>
      <c r="I294" s="241">
        <f>ROUND('BS Gr'!L837/Master!$B$23,0)</f>
        <v>0</v>
      </c>
      <c r="J294" s="243">
        <f t="shared" si="9"/>
        <v>0</v>
      </c>
    </row>
    <row r="295" spans="1:11">
      <c r="A295" s="242" t="s">
        <v>190</v>
      </c>
      <c r="C295" s="239"/>
      <c r="D295" s="234"/>
      <c r="E295"/>
      <c r="F295" s="240"/>
      <c r="G295" s="1647">
        <f>ROUND(('BS Gr'!H337-'BS Gr'!H355)/Master!$B$23,0)</f>
        <v>1017231</v>
      </c>
      <c r="H295" s="240"/>
      <c r="I295" s="241">
        <f>ROUND(('BS Gr'!L337-'BS Gr'!L355)/Master!$B$23,0)</f>
        <v>1017231</v>
      </c>
      <c r="J295" s="243">
        <f t="shared" si="9"/>
        <v>0</v>
      </c>
      <c r="K295" s="243"/>
    </row>
    <row r="296" spans="1:11" ht="3.75" customHeight="1">
      <c r="A296" s="242"/>
      <c r="C296" s="239"/>
      <c r="D296" s="234"/>
      <c r="E296"/>
      <c r="F296" s="240"/>
      <c r="G296" s="241"/>
      <c r="H296" s="240"/>
      <c r="I296" s="241"/>
      <c r="J296" s="243">
        <f t="shared" si="9"/>
        <v>0</v>
      </c>
    </row>
    <row r="297" spans="1:11" ht="15" thickBot="1">
      <c r="A297" s="246" t="s">
        <v>173</v>
      </c>
      <c r="B297" s="230"/>
      <c r="C297" s="247"/>
      <c r="D297" s="234"/>
      <c r="E297"/>
      <c r="F297" s="248"/>
      <c r="G297" s="249">
        <f>SUM(G287:G296)</f>
        <v>1280596</v>
      </c>
      <c r="H297" s="248"/>
      <c r="I297" s="249">
        <f>SUM(I287:I296)</f>
        <v>1316327</v>
      </c>
      <c r="J297" s="243">
        <f t="shared" si="9"/>
        <v>-35731</v>
      </c>
    </row>
    <row r="298" spans="1:11" ht="15" thickTop="1">
      <c r="A298" s="237"/>
      <c r="B298" s="230"/>
      <c r="C298" s="239"/>
      <c r="D298" s="234"/>
      <c r="E298"/>
      <c r="F298" s="248"/>
      <c r="G298" s="258"/>
      <c r="H298" s="248"/>
      <c r="I298" s="258"/>
    </row>
    <row r="299" spans="1:11">
      <c r="A299" s="237" t="s">
        <v>48</v>
      </c>
      <c r="B299" s="230"/>
      <c r="C299" s="239"/>
      <c r="D299" s="234"/>
      <c r="E299"/>
      <c r="F299" s="248"/>
      <c r="G299" s="258"/>
      <c r="H299" s="248"/>
      <c r="I299" s="258"/>
    </row>
    <row r="300" spans="1:11">
      <c r="A300" s="256" t="s">
        <v>720</v>
      </c>
      <c r="B300" s="230"/>
      <c r="C300" s="239"/>
      <c r="D300" s="234"/>
      <c r="E300"/>
      <c r="F300" s="248"/>
      <c r="G300" s="241">
        <f>ROUND('BS Gr'!H833/Master!$B$23,0)</f>
        <v>0</v>
      </c>
      <c r="H300" s="248"/>
      <c r="I300" s="241">
        <f>ROUND('BS Gr'!L833/Master!$B$23,0)</f>
        <v>0</v>
      </c>
      <c r="J300" s="243">
        <f>+G300-I300</f>
        <v>0</v>
      </c>
    </row>
    <row r="301" spans="1:11">
      <c r="A301" s="237"/>
      <c r="B301" s="230"/>
      <c r="C301" s="239"/>
      <c r="D301" s="234"/>
      <c r="E301"/>
      <c r="F301" s="248"/>
      <c r="G301" s="258"/>
      <c r="H301" s="248"/>
      <c r="I301" s="258"/>
      <c r="J301" s="243">
        <f>+G301-I301</f>
        <v>0</v>
      </c>
    </row>
    <row r="302" spans="1:11" ht="15" thickBot="1">
      <c r="A302" s="246" t="s">
        <v>173</v>
      </c>
      <c r="B302" s="230"/>
      <c r="C302" s="247"/>
      <c r="D302" s="234"/>
      <c r="E302"/>
      <c r="F302" s="248"/>
      <c r="G302" s="249">
        <f>SUM(G300:G301)</f>
        <v>0</v>
      </c>
      <c r="H302" s="248"/>
      <c r="I302" s="249">
        <f>SUM(I300:I301)</f>
        <v>0</v>
      </c>
      <c r="J302" s="243">
        <f>+G302-I302</f>
        <v>0</v>
      </c>
    </row>
    <row r="303" spans="1:11" ht="15" thickTop="1">
      <c r="A303" s="277"/>
      <c r="C303" s="251"/>
      <c r="E303"/>
      <c r="F303" s="252"/>
      <c r="G303" s="253"/>
      <c r="H303" s="252"/>
      <c r="I303" s="253"/>
    </row>
    <row r="304" spans="1:11">
      <c r="A304" s="237" t="s">
        <v>41</v>
      </c>
      <c r="C304" s="254"/>
      <c r="E304"/>
      <c r="F304" s="252"/>
      <c r="G304" s="255"/>
      <c r="H304" s="252"/>
      <c r="I304" s="255"/>
    </row>
    <row r="305" spans="1:10">
      <c r="A305" s="242" t="s">
        <v>711</v>
      </c>
      <c r="B305" s="230"/>
      <c r="C305" s="239"/>
      <c r="D305" s="234"/>
      <c r="E305"/>
      <c r="F305" s="240"/>
      <c r="G305" s="1647">
        <f>ROUND(('BS Gr'!H643+'BS Gr'!H645)/Master!$B$23,0)</f>
        <v>285026</v>
      </c>
      <c r="H305" s="240"/>
      <c r="I305" s="241">
        <f>ROUND(('BS Gr'!L643+'BS Gr'!L645)/Master!$B$23,0)</f>
        <v>683656</v>
      </c>
      <c r="J305" s="243">
        <f>+G305-I305</f>
        <v>-398630</v>
      </c>
    </row>
    <row r="306" spans="1:10">
      <c r="A306" s="242" t="s">
        <v>712</v>
      </c>
      <c r="B306" s="230"/>
      <c r="C306" s="239"/>
      <c r="D306" s="234"/>
      <c r="E306"/>
      <c r="F306" s="240"/>
      <c r="G306" s="1647">
        <f>ROUND(('BS Gr'!H644+'BS Gr'!H646+'BS Gr'!H647)/Master!$B$23,0)</f>
        <v>185065</v>
      </c>
      <c r="H306" s="240"/>
      <c r="I306" s="241">
        <f>ROUND(('BS Gr'!L644+'BS Gr'!L646+'BS Gr'!L647)/Master!$B$23,0)</f>
        <v>248339</v>
      </c>
      <c r="J306" s="243">
        <f>+G306-I306</f>
        <v>-63274</v>
      </c>
    </row>
    <row r="307" spans="1:10">
      <c r="A307" s="242" t="s">
        <v>2078</v>
      </c>
      <c r="B307" s="230"/>
      <c r="C307" s="239"/>
      <c r="D307" s="234"/>
      <c r="E307"/>
      <c r="F307" s="240"/>
      <c r="G307" s="241">
        <f>ROUND(('BS Gr'!H337)/Master!$B$23,0)*0</f>
        <v>0</v>
      </c>
      <c r="H307" s="240"/>
      <c r="I307" s="241">
        <f>ROUND('BS Gr'!L337/Master!$B$23,0)*0</f>
        <v>0</v>
      </c>
      <c r="J307" s="243"/>
    </row>
    <row r="308" spans="1:10">
      <c r="A308" s="244"/>
      <c r="B308" s="245"/>
      <c r="C308" s="239"/>
      <c r="D308" s="234"/>
      <c r="E308"/>
      <c r="F308" s="240"/>
      <c r="G308" s="241"/>
      <c r="H308" s="240"/>
      <c r="I308" s="241"/>
      <c r="J308" s="243">
        <f>+G308-I308</f>
        <v>0</v>
      </c>
    </row>
    <row r="309" spans="1:10" ht="15" thickBot="1">
      <c r="A309" s="246" t="s">
        <v>173</v>
      </c>
      <c r="B309" s="230"/>
      <c r="C309" s="247"/>
      <c r="D309" s="234"/>
      <c r="E309"/>
      <c r="F309" s="278"/>
      <c r="G309" s="276">
        <f>SUM(G305:G308)</f>
        <v>470091</v>
      </c>
      <c r="H309" s="278"/>
      <c r="I309" s="276">
        <f>SUM(I305:I308)</f>
        <v>931995</v>
      </c>
      <c r="J309" s="243">
        <f>+G309-I309</f>
        <v>-461904</v>
      </c>
    </row>
    <row r="310" spans="1:10" ht="15" thickTop="1">
      <c r="A310" s="237"/>
      <c r="B310" s="230"/>
      <c r="C310" s="239"/>
      <c r="D310" s="234"/>
      <c r="E310"/>
      <c r="F310" s="248"/>
      <c r="G310" s="258"/>
      <c r="H310" s="248"/>
      <c r="I310" s="258"/>
    </row>
    <row r="311" spans="1:10">
      <c r="A311" s="237"/>
      <c r="B311" s="230"/>
      <c r="C311" s="239"/>
      <c r="D311" s="234"/>
      <c r="E311"/>
      <c r="F311" s="248"/>
      <c r="G311" s="258"/>
      <c r="H311" s="248"/>
      <c r="I311" s="258"/>
    </row>
    <row r="312" spans="1:10">
      <c r="A312" s="237" t="s">
        <v>49</v>
      </c>
      <c r="B312" s="230"/>
      <c r="C312" s="239"/>
      <c r="D312" s="234"/>
      <c r="E312"/>
      <c r="F312" s="248"/>
      <c r="G312" s="258"/>
      <c r="H312" s="248"/>
      <c r="I312" s="258"/>
    </row>
    <row r="313" spans="1:10">
      <c r="A313" s="242" t="s">
        <v>721</v>
      </c>
      <c r="C313" s="239"/>
      <c r="D313" s="234"/>
      <c r="E313"/>
      <c r="F313" s="240"/>
      <c r="G313" s="241">
        <f>ROUND('BS Gr'!H829/Master!$B$23,0)</f>
        <v>0</v>
      </c>
      <c r="H313" s="240"/>
      <c r="I313" s="241">
        <f>ROUND('BS Gr'!L829/Master!$B$23,0)</f>
        <v>0</v>
      </c>
      <c r="J313" s="243">
        <f>+G313-I313</f>
        <v>0</v>
      </c>
    </row>
    <row r="314" spans="1:10">
      <c r="A314" s="242" t="s">
        <v>719</v>
      </c>
      <c r="C314" s="239"/>
      <c r="D314" s="234"/>
      <c r="E314"/>
      <c r="F314" s="240"/>
      <c r="G314" s="241">
        <f>ROUND('BS Gr'!H837/Master!$B$23,0)*0</f>
        <v>0</v>
      </c>
      <c r="H314" s="240"/>
      <c r="I314" s="241">
        <f>ROUND('BS Gr'!L837/Master!$B$23,0)*0</f>
        <v>0</v>
      </c>
      <c r="J314" s="243">
        <f>+G314-I314</f>
        <v>0</v>
      </c>
    </row>
    <row r="315" spans="1:10" ht="4.5" customHeight="1">
      <c r="A315" s="237"/>
      <c r="B315" s="230"/>
      <c r="C315" s="239"/>
      <c r="D315" s="234"/>
      <c r="E315"/>
      <c r="F315" s="248"/>
      <c r="G315" s="258"/>
      <c r="H315" s="248"/>
      <c r="I315" s="258"/>
      <c r="J315" s="243">
        <f>+G315-I315</f>
        <v>0</v>
      </c>
    </row>
    <row r="316" spans="1:10" ht="15" thickBot="1">
      <c r="A316" s="246" t="s">
        <v>173</v>
      </c>
      <c r="B316" s="230"/>
      <c r="C316" s="247"/>
      <c r="D316" s="234"/>
      <c r="E316"/>
      <c r="F316" s="248"/>
      <c r="G316" s="249">
        <f>SUM(G313:G315)</f>
        <v>0</v>
      </c>
      <c r="H316" s="248"/>
      <c r="I316" s="249">
        <f>SUM(I313:I315)</f>
        <v>0</v>
      </c>
      <c r="J316" s="243">
        <f>+G316-I316</f>
        <v>0</v>
      </c>
    </row>
    <row r="317" spans="1:10" ht="15" thickTop="1">
      <c r="A317" s="237"/>
      <c r="B317" s="230"/>
      <c r="C317" s="239"/>
      <c r="D317" s="234"/>
      <c r="E317"/>
      <c r="F317" s="248"/>
      <c r="G317" s="258"/>
      <c r="H317" s="248"/>
      <c r="I317" s="258"/>
    </row>
    <row r="318" spans="1:10">
      <c r="E318"/>
    </row>
    <row r="319" spans="1:10">
      <c r="A319" s="280" t="s">
        <v>145</v>
      </c>
      <c r="E319"/>
      <c r="G319" s="243">
        <f>+'Sch - BS'!G13+'Sch - BS'!G31+'Sch - BS'!G35+'Sch - BS'!G47+'Sch - BS'!G53+'Sch - BS'!G76+'Sch - BS'!G82+'Sch - BS'!G96+'Sch - BS'!G114+'Sch - BS'!G122+'Sch - BS'!G128+'Sch - BS'!G148+'Sch - BS'!G169</f>
        <v>265434983</v>
      </c>
      <c r="I319" s="243">
        <f>+'Sch - BS'!I13+'Sch - BS'!I31+'Sch - BS'!I35+'Sch - BS'!I47+'Sch - BS'!I53+'Sch - BS'!I76+'Sch - BS'!I82+'Sch - BS'!I96+'Sch - BS'!I114+'Sch - BS'!I122+'Sch - BS'!I128+'Sch - BS'!I148+'Sch - BS'!I169</f>
        <v>296648258</v>
      </c>
    </row>
    <row r="320" spans="1:10">
      <c r="A320" s="280" t="s">
        <v>36</v>
      </c>
      <c r="E320"/>
      <c r="G320" s="243">
        <f>+G181+G226+G241+G249+G262+G271+G284+G297+G302+G309+G316</f>
        <v>275311308</v>
      </c>
      <c r="I320" s="243">
        <f>+I181+I226+I241+I249+I262+I271+I284+I297+I302+I309+I316</f>
        <v>81192966</v>
      </c>
    </row>
    <row r="321" spans="5:9">
      <c r="E321"/>
      <c r="G321" s="243">
        <f>+G319-G320</f>
        <v>-9876325</v>
      </c>
      <c r="I321" s="243">
        <f>+I319-I320</f>
        <v>215455292</v>
      </c>
    </row>
    <row r="322" spans="5:9">
      <c r="E322"/>
      <c r="G322" s="1680"/>
    </row>
    <row r="323" spans="5:9">
      <c r="E323"/>
    </row>
    <row r="324" spans="5:9">
      <c r="E324"/>
    </row>
    <row r="325" spans="5:9">
      <c r="E325"/>
    </row>
    <row r="326" spans="5:9">
      <c r="E326"/>
    </row>
    <row r="327" spans="5:9">
      <c r="E327"/>
    </row>
    <row r="328" spans="5:9">
      <c r="E328"/>
    </row>
  </sheetData>
  <mergeCells count="1">
    <mergeCell ref="A183:G183"/>
  </mergeCells>
  <printOptions horizontalCentered="1"/>
  <pageMargins left="0.7" right="0.7" top="0.26" bottom="0.56000000000000005" header="0.26" footer="0.3"/>
  <pageSetup paperSize="9" scale="59" orientation="portrait" r:id="rId1"/>
  <headerFooter>
    <oddFooter>&amp;C&amp;P</oddFooter>
  </headerFooter>
  <rowBreaks count="4" manualBreakCount="4">
    <brk id="78" max="8" man="1"/>
    <brk id="86" max="8" man="1"/>
    <brk id="170" max="8" man="1"/>
    <brk id="226" max="8"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3300"/>
  </sheetPr>
  <dimension ref="A1:T1119"/>
  <sheetViews>
    <sheetView showGridLines="0" zoomScale="96" zoomScaleNormal="96" workbookViewId="0">
      <pane xSplit="2" ySplit="4" topLeftCell="C629" activePane="bottomRight" state="frozen"/>
      <selection activeCell="B12" sqref="B12"/>
      <selection pane="topRight" activeCell="B12" sqref="B12"/>
      <selection pane="bottomLeft" activeCell="B12" sqref="B12"/>
      <selection pane="bottomRight" activeCell="B12" sqref="B12"/>
    </sheetView>
  </sheetViews>
  <sheetFormatPr defaultColWidth="9.77734375" defaultRowHeight="12"/>
  <cols>
    <col min="1" max="1" width="9.21875" style="600" customWidth="1"/>
    <col min="2" max="2" width="40.5546875" style="600" customWidth="1"/>
    <col min="3" max="3" width="14.44140625" style="597" customWidth="1"/>
    <col min="4" max="4" width="14.21875" style="597" customWidth="1"/>
    <col min="5" max="5" width="16" style="597" customWidth="1"/>
    <col min="6" max="6" width="15.77734375" style="598" customWidth="1"/>
    <col min="7" max="7" width="0.5546875" style="598" customWidth="1"/>
    <col min="8" max="8" width="18" style="598" customWidth="1"/>
    <col min="9" max="9" width="14.21875" style="598" customWidth="1"/>
    <col min="10" max="10" width="15.77734375" style="598" customWidth="1"/>
    <col min="11" max="11" width="17" style="600" customWidth="1"/>
    <col min="12" max="12" width="11" style="600" customWidth="1"/>
    <col min="13" max="14" width="11.21875" style="600" customWidth="1"/>
    <col min="15" max="15" width="15.5546875" style="600" customWidth="1"/>
    <col min="16" max="16" width="11.21875" style="600" customWidth="1"/>
    <col min="17" max="17" width="10.44140625" style="600" customWidth="1"/>
    <col min="18" max="18" width="12.77734375" style="600" customWidth="1"/>
    <col min="19" max="19" width="13.21875" style="600" bestFit="1" customWidth="1"/>
    <col min="20" max="20" width="10.33203125" style="600" bestFit="1" customWidth="1"/>
    <col min="21" max="16384" width="9.77734375" style="600"/>
  </cols>
  <sheetData>
    <row r="1" spans="1:20">
      <c r="A1" s="595" t="str">
        <f>+Master!B2</f>
        <v>Syntel Solutions (India) Private Limited</v>
      </c>
      <c r="B1" s="595"/>
      <c r="C1" s="596"/>
      <c r="D1" s="597" t="s">
        <v>518</v>
      </c>
      <c r="J1" s="599"/>
    </row>
    <row r="2" spans="1:20">
      <c r="A2" s="601" t="str">
        <f>"Annexure to Grouping " &amp;Master!$B$5</f>
        <v>Annexure to Grouping 31st March 2025</v>
      </c>
      <c r="B2" s="595"/>
      <c r="C2" s="602"/>
    </row>
    <row r="3" spans="1:20" ht="5.0999999999999996" customHeight="1">
      <c r="A3" s="601"/>
      <c r="B3" s="595"/>
    </row>
    <row r="4" spans="1:20" s="607" customFormat="1" ht="32.25" customHeight="1" thickBot="1">
      <c r="A4" s="603" t="s">
        <v>519</v>
      </c>
      <c r="B4" s="604" t="s">
        <v>82</v>
      </c>
      <c r="C4" s="603" t="s">
        <v>2993</v>
      </c>
      <c r="D4" s="605" t="s">
        <v>969</v>
      </c>
      <c r="E4" s="603" t="s">
        <v>970</v>
      </c>
      <c r="F4" s="605" t="s">
        <v>2994</v>
      </c>
      <c r="G4" s="603"/>
      <c r="H4" s="603" t="s">
        <v>3066</v>
      </c>
      <c r="I4" s="605" t="s">
        <v>969</v>
      </c>
      <c r="J4" s="603" t="s">
        <v>970</v>
      </c>
      <c r="K4" s="605" t="s">
        <v>3067</v>
      </c>
      <c r="L4" s="603" t="s">
        <v>836</v>
      </c>
      <c r="M4" s="603" t="s">
        <v>971</v>
      </c>
      <c r="N4" s="1517" t="s">
        <v>2842</v>
      </c>
      <c r="O4" s="606">
        <v>1</v>
      </c>
      <c r="P4" s="607">
        <v>2</v>
      </c>
      <c r="Q4" s="607">
        <v>3</v>
      </c>
      <c r="S4" s="607" t="s">
        <v>2992</v>
      </c>
    </row>
    <row r="5" spans="1:20" ht="12.6" thickTop="1">
      <c r="A5" s="608">
        <v>100000</v>
      </c>
      <c r="B5" s="609" t="s">
        <v>972</v>
      </c>
      <c r="C5" s="610">
        <f>K5</f>
        <v>0</v>
      </c>
      <c r="D5" s="611">
        <v>0</v>
      </c>
      <c r="E5" s="610">
        <f>SUMIF('Entries 24-25'!$B:$B,A:A,'Entries 24-25'!$D:$D)-SUMIF('Entries 24-25'!$B:$B,A:A,'Entries 24-25'!$E:$E)+SUMIF('IND AS entries 24-25'!$B:$B,A:A,'IND AS entries 24-25'!$D:$D)-SUMIF('IND AS entries 24-25'!$B:$B,A:A,'IND AS entries 24-25'!$E:$E)</f>
        <v>0</v>
      </c>
      <c r="F5" s="611">
        <f t="shared" ref="F5:F71" si="0">SUM(C5:E5)</f>
        <v>0</v>
      </c>
      <c r="G5" s="610"/>
      <c r="H5" s="610">
        <v>0</v>
      </c>
      <c r="I5" s="611">
        <v>0</v>
      </c>
      <c r="J5" s="610">
        <v>0</v>
      </c>
      <c r="K5" s="611">
        <f t="shared" ref="K5:K71" si="1">SUM(H5:J5)</f>
        <v>0</v>
      </c>
      <c r="L5" s="612">
        <f>VLOOKUP(A5,'BS Gr'!A:A,1,FALSE)</f>
        <v>100000</v>
      </c>
      <c r="M5" s="612">
        <f t="shared" ref="M5:M68" si="2">COUNTIF(A:A,A5)</f>
        <v>1</v>
      </c>
      <c r="N5" s="613">
        <f>C5-K5</f>
        <v>0</v>
      </c>
      <c r="O5" s="613">
        <f t="shared" ref="O5:O71" si="3">C5-K5</f>
        <v>0</v>
      </c>
      <c r="P5" s="613">
        <v>0</v>
      </c>
      <c r="Q5" s="613">
        <f>+K5-P5</f>
        <v>0</v>
      </c>
      <c r="R5" s="1514"/>
      <c r="S5" s="1617" t="e">
        <f>SUMIF('[105]TB for financial'!$A:$A,A5,'[105]TB for financial'!$E:$E)</f>
        <v>#VALUE!</v>
      </c>
      <c r="T5" s="613"/>
    </row>
    <row r="6" spans="1:20">
      <c r="A6" s="608">
        <v>100001</v>
      </c>
      <c r="B6" s="609" t="s">
        <v>973</v>
      </c>
      <c r="C6" s="610">
        <f t="shared" ref="C6:C69" si="4">K6</f>
        <v>0</v>
      </c>
      <c r="D6" s="611">
        <v>0</v>
      </c>
      <c r="E6" s="610">
        <f>SUMIF('Entries 24-25'!$B:$B,A:A,'Entries 24-25'!$D:$D)-SUMIF('Entries 24-25'!$B:$B,A:A,'Entries 24-25'!$E:$E)+SUMIF('IND AS entries 24-25'!$B:$B,A:A,'IND AS entries 24-25'!$D:$D)-SUMIF('IND AS entries 24-25'!$B:$B,A:A,'IND AS entries 24-25'!$E:$E)</f>
        <v>0</v>
      </c>
      <c r="F6" s="611">
        <f t="shared" si="0"/>
        <v>0</v>
      </c>
      <c r="G6" s="610"/>
      <c r="H6" s="610">
        <v>0</v>
      </c>
      <c r="I6" s="611">
        <v>0</v>
      </c>
      <c r="J6" s="610">
        <v>0</v>
      </c>
      <c r="K6" s="611">
        <f t="shared" si="1"/>
        <v>0</v>
      </c>
      <c r="L6" s="612" t="e">
        <f>VLOOKUP(A6,'BS Gr'!A:A,1,FALSE)</f>
        <v>#N/A</v>
      </c>
      <c r="M6" s="612">
        <f t="shared" si="2"/>
        <v>1</v>
      </c>
      <c r="N6" s="613">
        <f t="shared" ref="N6:N69" si="5">C6-K6</f>
        <v>0</v>
      </c>
      <c r="O6" s="613">
        <f t="shared" si="3"/>
        <v>0</v>
      </c>
      <c r="P6" s="613">
        <v>0</v>
      </c>
      <c r="Q6" s="613">
        <f t="shared" ref="Q6:Q72" si="6">+K6-P6</f>
        <v>0</v>
      </c>
      <c r="R6" s="1514"/>
      <c r="S6" s="1617" t="e">
        <f>SUMIF('[105]TB for financial'!$A:$A,A6,'[105]TB for financial'!$E:$E)</f>
        <v>#VALUE!</v>
      </c>
      <c r="T6" s="613"/>
    </row>
    <row r="7" spans="1:20">
      <c r="A7" s="608">
        <v>100300</v>
      </c>
      <c r="B7" s="609" t="s">
        <v>974</v>
      </c>
      <c r="C7" s="610">
        <f t="shared" si="4"/>
        <v>0</v>
      </c>
      <c r="D7" s="611">
        <v>0</v>
      </c>
      <c r="E7" s="610">
        <f>SUMIF('Entries 24-25'!$B:$B,A:A,'Entries 24-25'!$D:$D)-SUMIF('Entries 24-25'!$B:$B,A:A,'Entries 24-25'!$E:$E)+SUMIF('IND AS entries 24-25'!$B:$B,A:A,'IND AS entries 24-25'!$D:$D)-SUMIF('IND AS entries 24-25'!$B:$B,A:A,'IND AS entries 24-25'!$E:$E)</f>
        <v>0</v>
      </c>
      <c r="F7" s="611">
        <f t="shared" si="0"/>
        <v>0</v>
      </c>
      <c r="G7" s="610"/>
      <c r="H7" s="610">
        <v>0</v>
      </c>
      <c r="I7" s="611">
        <v>0</v>
      </c>
      <c r="J7" s="610">
        <v>0</v>
      </c>
      <c r="K7" s="611">
        <f t="shared" si="1"/>
        <v>0</v>
      </c>
      <c r="L7" s="612">
        <f>VLOOKUP(A7,'BS Gr'!A:A,1,FALSE)</f>
        <v>100300</v>
      </c>
      <c r="M7" s="612">
        <f t="shared" si="2"/>
        <v>1</v>
      </c>
      <c r="N7" s="613">
        <f t="shared" si="5"/>
        <v>0</v>
      </c>
      <c r="O7" s="613">
        <f t="shared" si="3"/>
        <v>0</v>
      </c>
      <c r="P7" s="613">
        <v>0</v>
      </c>
      <c r="Q7" s="613">
        <f t="shared" si="6"/>
        <v>0</v>
      </c>
      <c r="R7" s="1514"/>
      <c r="S7" s="1617" t="e">
        <f>SUMIF('[105]TB for financial'!$A:$A,A7,'[105]TB for financial'!$E:$E)</f>
        <v>#VALUE!</v>
      </c>
      <c r="T7" s="613"/>
    </row>
    <row r="8" spans="1:20">
      <c r="A8" s="608">
        <v>100301</v>
      </c>
      <c r="B8" s="609" t="s">
        <v>975</v>
      </c>
      <c r="C8" s="610">
        <f t="shared" si="4"/>
        <v>0</v>
      </c>
      <c r="D8" s="611">
        <v>0</v>
      </c>
      <c r="E8" s="610">
        <f>SUMIF('Entries 24-25'!$B:$B,A:A,'Entries 24-25'!$D:$D)-SUMIF('Entries 24-25'!$B:$B,A:A,'Entries 24-25'!$E:$E)+SUMIF('IND AS entries 24-25'!$B:$B,A:A,'IND AS entries 24-25'!$D:$D)-SUMIF('IND AS entries 24-25'!$B:$B,A:A,'IND AS entries 24-25'!$E:$E)</f>
        <v>0</v>
      </c>
      <c r="F8" s="611">
        <f t="shared" si="0"/>
        <v>0</v>
      </c>
      <c r="G8" s="610"/>
      <c r="H8" s="610">
        <v>0</v>
      </c>
      <c r="I8" s="611">
        <v>0</v>
      </c>
      <c r="J8" s="610">
        <v>0</v>
      </c>
      <c r="K8" s="611">
        <f t="shared" si="1"/>
        <v>0</v>
      </c>
      <c r="L8" s="612">
        <f>VLOOKUP(A8,'BS Gr'!A:A,1,FALSE)</f>
        <v>100301</v>
      </c>
      <c r="M8" s="612">
        <f t="shared" si="2"/>
        <v>1</v>
      </c>
      <c r="N8" s="613">
        <f t="shared" si="5"/>
        <v>0</v>
      </c>
      <c r="O8" s="613">
        <f t="shared" si="3"/>
        <v>0</v>
      </c>
      <c r="P8" s="613">
        <v>0</v>
      </c>
      <c r="Q8" s="613">
        <f t="shared" si="6"/>
        <v>0</v>
      </c>
      <c r="R8" s="1514"/>
      <c r="S8" s="1617" t="e">
        <f>SUMIF('[105]TB for financial'!$A:$A,A8,'[105]TB for financial'!$E:$E)</f>
        <v>#VALUE!</v>
      </c>
      <c r="T8" s="613"/>
    </row>
    <row r="9" spans="1:20">
      <c r="A9" s="608">
        <v>100302</v>
      </c>
      <c r="B9" s="615" t="s">
        <v>976</v>
      </c>
      <c r="C9" s="610">
        <f t="shared" si="4"/>
        <v>0</v>
      </c>
      <c r="D9" s="611">
        <v>0</v>
      </c>
      <c r="E9" s="610">
        <f>SUMIF('Entries 24-25'!$B:$B,A:A,'Entries 24-25'!$D:$D)-SUMIF('Entries 24-25'!$B:$B,A:A,'Entries 24-25'!$E:$E)+SUMIF('IND AS entries 24-25'!$B:$B,A:A,'IND AS entries 24-25'!$D:$D)-SUMIF('IND AS entries 24-25'!$B:$B,A:A,'IND AS entries 24-25'!$E:$E)</f>
        <v>0</v>
      </c>
      <c r="F9" s="611">
        <f t="shared" si="0"/>
        <v>0</v>
      </c>
      <c r="G9" s="610"/>
      <c r="H9" s="610">
        <v>0</v>
      </c>
      <c r="I9" s="611">
        <v>0</v>
      </c>
      <c r="J9" s="610">
        <v>0</v>
      </c>
      <c r="K9" s="611">
        <f t="shared" si="1"/>
        <v>0</v>
      </c>
      <c r="L9" s="612">
        <f>VLOOKUP(A9,'BS Gr'!A:A,1,FALSE)</f>
        <v>100302</v>
      </c>
      <c r="M9" s="612">
        <f t="shared" si="2"/>
        <v>1</v>
      </c>
      <c r="N9" s="613">
        <f t="shared" si="5"/>
        <v>0</v>
      </c>
      <c r="O9" s="613">
        <f t="shared" si="3"/>
        <v>0</v>
      </c>
      <c r="P9" s="613">
        <v>0</v>
      </c>
      <c r="Q9" s="613">
        <f t="shared" si="6"/>
        <v>0</v>
      </c>
      <c r="R9" s="1514"/>
      <c r="S9" s="1617" t="e">
        <f>SUMIF('[105]TB for financial'!$A:$A,A9,'[105]TB for financial'!$E:$E)</f>
        <v>#VALUE!</v>
      </c>
      <c r="T9" s="613"/>
    </row>
    <row r="10" spans="1:20">
      <c r="A10" s="608">
        <v>100303</v>
      </c>
      <c r="B10" s="615" t="s">
        <v>977</v>
      </c>
      <c r="C10" s="610">
        <f t="shared" si="4"/>
        <v>0</v>
      </c>
      <c r="D10" s="611">
        <v>0</v>
      </c>
      <c r="E10" s="610">
        <f>SUMIF('Entries 24-25'!$B:$B,A:A,'Entries 24-25'!$D:$D)-SUMIF('Entries 24-25'!$B:$B,A:A,'Entries 24-25'!$E:$E)+SUMIF('IND AS entries 24-25'!$B:$B,A:A,'IND AS entries 24-25'!$D:$D)-SUMIF('IND AS entries 24-25'!$B:$B,A:A,'IND AS entries 24-25'!$E:$E)</f>
        <v>0</v>
      </c>
      <c r="F10" s="611">
        <f t="shared" si="0"/>
        <v>0</v>
      </c>
      <c r="G10" s="610"/>
      <c r="H10" s="610">
        <v>0</v>
      </c>
      <c r="I10" s="611">
        <v>0</v>
      </c>
      <c r="J10" s="610">
        <v>0</v>
      </c>
      <c r="K10" s="611">
        <f t="shared" si="1"/>
        <v>0</v>
      </c>
      <c r="L10" s="612">
        <f>VLOOKUP(A10,'BS Gr'!A:A,1,FALSE)</f>
        <v>100303</v>
      </c>
      <c r="M10" s="612">
        <f t="shared" si="2"/>
        <v>1</v>
      </c>
      <c r="N10" s="613">
        <f t="shared" si="5"/>
        <v>0</v>
      </c>
      <c r="O10" s="613">
        <f t="shared" si="3"/>
        <v>0</v>
      </c>
      <c r="P10" s="613">
        <v>0</v>
      </c>
      <c r="Q10" s="613">
        <f t="shared" si="6"/>
        <v>0</v>
      </c>
      <c r="R10" s="1514"/>
      <c r="S10" s="1617" t="e">
        <f>SUMIF('[105]TB for financial'!$A:$A,A10,'[105]TB for financial'!$E:$E)</f>
        <v>#VALUE!</v>
      </c>
      <c r="T10" s="613"/>
    </row>
    <row r="11" spans="1:20">
      <c r="A11" s="608">
        <v>100304</v>
      </c>
      <c r="B11" s="615" t="s">
        <v>978</v>
      </c>
      <c r="C11" s="610">
        <f t="shared" si="4"/>
        <v>0</v>
      </c>
      <c r="D11" s="611">
        <v>0</v>
      </c>
      <c r="E11" s="610">
        <f>SUMIF('Entries 24-25'!$B:$B,A:A,'Entries 24-25'!$D:$D)-SUMIF('Entries 24-25'!$B:$B,A:A,'Entries 24-25'!$E:$E)+SUMIF('IND AS entries 24-25'!$B:$B,A:A,'IND AS entries 24-25'!$D:$D)-SUMIF('IND AS entries 24-25'!$B:$B,A:A,'IND AS entries 24-25'!$E:$E)</f>
        <v>0</v>
      </c>
      <c r="F11" s="611">
        <f t="shared" si="0"/>
        <v>0</v>
      </c>
      <c r="G11" s="610"/>
      <c r="H11" s="610">
        <v>0</v>
      </c>
      <c r="I11" s="611">
        <v>0</v>
      </c>
      <c r="J11" s="610">
        <v>0</v>
      </c>
      <c r="K11" s="611">
        <f t="shared" si="1"/>
        <v>0</v>
      </c>
      <c r="L11" s="612">
        <f>VLOOKUP(A11,'BS Gr'!A:A,1,FALSE)</f>
        <v>100304</v>
      </c>
      <c r="M11" s="612">
        <f t="shared" si="2"/>
        <v>1</v>
      </c>
      <c r="N11" s="613">
        <f t="shared" si="5"/>
        <v>0</v>
      </c>
      <c r="O11" s="613">
        <f t="shared" si="3"/>
        <v>0</v>
      </c>
      <c r="P11" s="613">
        <v>0</v>
      </c>
      <c r="Q11" s="613">
        <f t="shared" si="6"/>
        <v>0</v>
      </c>
      <c r="R11" s="1514"/>
      <c r="S11" s="1617" t="e">
        <f>SUMIF('[105]TB for financial'!$A:$A,A11,'[105]TB for financial'!$E:$E)</f>
        <v>#VALUE!</v>
      </c>
      <c r="T11" s="613"/>
    </row>
    <row r="12" spans="1:20">
      <c r="A12" s="608">
        <v>100305</v>
      </c>
      <c r="B12" s="609" t="s">
        <v>979</v>
      </c>
      <c r="C12" s="610">
        <f t="shared" si="4"/>
        <v>0</v>
      </c>
      <c r="D12" s="611">
        <v>0</v>
      </c>
      <c r="E12" s="610">
        <f>SUMIF('Entries 24-25'!$B:$B,A:A,'Entries 24-25'!$D:$D)-SUMIF('Entries 24-25'!$B:$B,A:A,'Entries 24-25'!$E:$E)+SUMIF('IND AS entries 24-25'!$B:$B,A:A,'IND AS entries 24-25'!$D:$D)-SUMIF('IND AS entries 24-25'!$B:$B,A:A,'IND AS entries 24-25'!$E:$E)</f>
        <v>0</v>
      </c>
      <c r="F12" s="611">
        <f t="shared" si="0"/>
        <v>0</v>
      </c>
      <c r="G12" s="610"/>
      <c r="H12" s="610">
        <v>0</v>
      </c>
      <c r="I12" s="611">
        <v>0</v>
      </c>
      <c r="J12" s="610">
        <v>0</v>
      </c>
      <c r="K12" s="611">
        <f t="shared" si="1"/>
        <v>0</v>
      </c>
      <c r="L12" s="612">
        <f>VLOOKUP(A12,'BS Gr'!A:A,1,FALSE)</f>
        <v>100305</v>
      </c>
      <c r="M12" s="612">
        <f t="shared" si="2"/>
        <v>1</v>
      </c>
      <c r="N12" s="613">
        <f t="shared" si="5"/>
        <v>0</v>
      </c>
      <c r="O12" s="613">
        <f t="shared" si="3"/>
        <v>0</v>
      </c>
      <c r="P12" s="613">
        <v>0</v>
      </c>
      <c r="Q12" s="613">
        <f t="shared" si="6"/>
        <v>0</v>
      </c>
      <c r="R12" s="1514"/>
      <c r="S12" s="1617" t="e">
        <f>SUMIF('[105]TB for financial'!$A:$A,A12,'[105]TB for financial'!$E:$E)</f>
        <v>#VALUE!</v>
      </c>
      <c r="T12" s="613"/>
    </row>
    <row r="13" spans="1:20">
      <c r="A13" s="608">
        <v>100314</v>
      </c>
      <c r="B13" s="615" t="s">
        <v>980</v>
      </c>
      <c r="C13" s="610">
        <f t="shared" si="4"/>
        <v>0</v>
      </c>
      <c r="D13" s="611">
        <v>0</v>
      </c>
      <c r="E13" s="610">
        <f>SUMIF('Entries 24-25'!$B:$B,A:A,'Entries 24-25'!$D:$D)-SUMIF('Entries 24-25'!$B:$B,A:A,'Entries 24-25'!$E:$E)+SUMIF('IND AS entries 24-25'!$B:$B,A:A,'IND AS entries 24-25'!$D:$D)-SUMIF('IND AS entries 24-25'!$B:$B,A:A,'IND AS entries 24-25'!$E:$E)</f>
        <v>0</v>
      </c>
      <c r="F13" s="611">
        <f t="shared" si="0"/>
        <v>0</v>
      </c>
      <c r="G13" s="610"/>
      <c r="H13" s="610">
        <v>0</v>
      </c>
      <c r="I13" s="611">
        <v>0</v>
      </c>
      <c r="J13" s="610">
        <v>0</v>
      </c>
      <c r="K13" s="611">
        <f t="shared" si="1"/>
        <v>0</v>
      </c>
      <c r="L13" s="612">
        <f>VLOOKUP(A13,'BS Gr'!A:A,1,FALSE)</f>
        <v>100314</v>
      </c>
      <c r="M13" s="612">
        <f t="shared" si="2"/>
        <v>1</v>
      </c>
      <c r="N13" s="613">
        <f t="shared" si="5"/>
        <v>0</v>
      </c>
      <c r="O13" s="613">
        <f t="shared" si="3"/>
        <v>0</v>
      </c>
      <c r="P13" s="613">
        <v>0</v>
      </c>
      <c r="Q13" s="613">
        <f t="shared" si="6"/>
        <v>0</v>
      </c>
      <c r="R13" s="1514"/>
      <c r="S13" s="1617" t="e">
        <f>SUMIF('[105]TB for financial'!$A:$A,A13,'[105]TB for financial'!$E:$E)</f>
        <v>#VALUE!</v>
      </c>
      <c r="T13" s="613"/>
    </row>
    <row r="14" spans="1:20">
      <c r="A14" s="608">
        <v>100320</v>
      </c>
      <c r="B14" s="609" t="s">
        <v>981</v>
      </c>
      <c r="C14" s="610">
        <f t="shared" si="4"/>
        <v>0</v>
      </c>
      <c r="D14" s="611">
        <v>0</v>
      </c>
      <c r="E14" s="610">
        <f>SUMIF('Entries 24-25'!$B:$B,A:A,'Entries 24-25'!$D:$D)-SUMIF('Entries 24-25'!$B:$B,A:A,'Entries 24-25'!$E:$E)+SUMIF('IND AS entries 24-25'!$B:$B,A:A,'IND AS entries 24-25'!$D:$D)-SUMIF('IND AS entries 24-25'!$B:$B,A:A,'IND AS entries 24-25'!$E:$E)</f>
        <v>0</v>
      </c>
      <c r="F14" s="611">
        <f t="shared" si="0"/>
        <v>0</v>
      </c>
      <c r="G14" s="610"/>
      <c r="H14" s="610">
        <v>0</v>
      </c>
      <c r="I14" s="611">
        <v>0</v>
      </c>
      <c r="J14" s="610">
        <v>0</v>
      </c>
      <c r="K14" s="611">
        <f t="shared" si="1"/>
        <v>0</v>
      </c>
      <c r="L14" s="612">
        <f>VLOOKUP(A14,'BS Gr'!A:A,1,FALSE)</f>
        <v>100320</v>
      </c>
      <c r="M14" s="612">
        <f t="shared" si="2"/>
        <v>1</v>
      </c>
      <c r="N14" s="613">
        <f t="shared" si="5"/>
        <v>0</v>
      </c>
      <c r="O14" s="613">
        <f t="shared" si="3"/>
        <v>0</v>
      </c>
      <c r="P14" s="613">
        <v>0</v>
      </c>
      <c r="Q14" s="613">
        <f t="shared" si="6"/>
        <v>0</v>
      </c>
      <c r="R14" s="1514"/>
      <c r="S14" s="1617" t="e">
        <f>SUMIF('[105]TB for financial'!$A:$A,A14,'[105]TB for financial'!$E:$E)</f>
        <v>#VALUE!</v>
      </c>
      <c r="T14" s="613"/>
    </row>
    <row r="15" spans="1:20">
      <c r="A15" s="608">
        <v>100325</v>
      </c>
      <c r="B15" s="609" t="s">
        <v>982</v>
      </c>
      <c r="C15" s="610">
        <f t="shared" si="4"/>
        <v>0</v>
      </c>
      <c r="D15" s="611">
        <v>0</v>
      </c>
      <c r="E15" s="610">
        <f>SUMIF('Entries 24-25'!$B:$B,A:A,'Entries 24-25'!$D:$D)-SUMIF('Entries 24-25'!$B:$B,A:A,'Entries 24-25'!$E:$E)+SUMIF('IND AS entries 24-25'!$B:$B,A:A,'IND AS entries 24-25'!$D:$D)-SUMIF('IND AS entries 24-25'!$B:$B,A:A,'IND AS entries 24-25'!$E:$E)</f>
        <v>0</v>
      </c>
      <c r="F15" s="611">
        <f t="shared" si="0"/>
        <v>0</v>
      </c>
      <c r="G15" s="610"/>
      <c r="H15" s="610">
        <v>0</v>
      </c>
      <c r="I15" s="611">
        <v>0</v>
      </c>
      <c r="J15" s="610">
        <v>0</v>
      </c>
      <c r="K15" s="611">
        <f t="shared" si="1"/>
        <v>0</v>
      </c>
      <c r="L15" s="612">
        <f>VLOOKUP(A15,'BS Gr'!A:A,1,FALSE)</f>
        <v>100325</v>
      </c>
      <c r="M15" s="612">
        <f t="shared" si="2"/>
        <v>1</v>
      </c>
      <c r="N15" s="613">
        <f t="shared" si="5"/>
        <v>0</v>
      </c>
      <c r="O15" s="613">
        <f t="shared" si="3"/>
        <v>0</v>
      </c>
      <c r="P15" s="613">
        <v>0</v>
      </c>
      <c r="Q15" s="613">
        <f t="shared" si="6"/>
        <v>0</v>
      </c>
      <c r="R15" s="1514"/>
      <c r="S15" s="1617" t="e">
        <f>SUMIF('[105]TB for financial'!$A:$A,A15,'[105]TB for financial'!$E:$E)</f>
        <v>#VALUE!</v>
      </c>
      <c r="T15" s="613"/>
    </row>
    <row r="16" spans="1:20">
      <c r="A16" s="608">
        <v>100327</v>
      </c>
      <c r="B16" s="615" t="s">
        <v>983</v>
      </c>
      <c r="C16" s="610">
        <f t="shared" si="4"/>
        <v>0</v>
      </c>
      <c r="D16" s="611">
        <v>0</v>
      </c>
      <c r="E16" s="610">
        <f>SUMIF('Entries 24-25'!$B:$B,A:A,'Entries 24-25'!$D:$D)-SUMIF('Entries 24-25'!$B:$B,A:A,'Entries 24-25'!$E:$E)+SUMIF('IND AS entries 24-25'!$B:$B,A:A,'IND AS entries 24-25'!$D:$D)-SUMIF('IND AS entries 24-25'!$B:$B,A:A,'IND AS entries 24-25'!$E:$E)</f>
        <v>0</v>
      </c>
      <c r="F16" s="611">
        <f t="shared" si="0"/>
        <v>0</v>
      </c>
      <c r="G16" s="610"/>
      <c r="H16" s="610">
        <v>0</v>
      </c>
      <c r="I16" s="611">
        <v>0</v>
      </c>
      <c r="J16" s="610">
        <v>0</v>
      </c>
      <c r="K16" s="611">
        <f t="shared" si="1"/>
        <v>0</v>
      </c>
      <c r="L16" s="612">
        <f>VLOOKUP(A16,'BS Gr'!A:A,1,FALSE)</f>
        <v>100327</v>
      </c>
      <c r="M16" s="612">
        <f t="shared" si="2"/>
        <v>1</v>
      </c>
      <c r="N16" s="613">
        <f t="shared" si="5"/>
        <v>0</v>
      </c>
      <c r="O16" s="613">
        <f t="shared" si="3"/>
        <v>0</v>
      </c>
      <c r="P16" s="613">
        <v>0</v>
      </c>
      <c r="Q16" s="613">
        <f t="shared" si="6"/>
        <v>0</v>
      </c>
      <c r="R16" s="1514"/>
      <c r="S16" s="1617" t="e">
        <f>SUMIF('[105]TB for financial'!$A:$A,A16,'[105]TB for financial'!$E:$E)</f>
        <v>#VALUE!</v>
      </c>
      <c r="T16" s="613"/>
    </row>
    <row r="17" spans="1:20">
      <c r="A17" s="608">
        <v>100400</v>
      </c>
      <c r="B17" s="609" t="s">
        <v>984</v>
      </c>
      <c r="C17" s="610">
        <f t="shared" si="4"/>
        <v>0</v>
      </c>
      <c r="D17" s="611">
        <v>0</v>
      </c>
      <c r="E17" s="610">
        <f>SUMIF('Entries 24-25'!$B:$B,A:A,'Entries 24-25'!$D:$D)-SUMIF('Entries 24-25'!$B:$B,A:A,'Entries 24-25'!$E:$E)+SUMIF('IND AS entries 24-25'!$B:$B,A:A,'IND AS entries 24-25'!$D:$D)-SUMIF('IND AS entries 24-25'!$B:$B,A:A,'IND AS entries 24-25'!$E:$E)</f>
        <v>0</v>
      </c>
      <c r="F17" s="611">
        <f t="shared" si="0"/>
        <v>0</v>
      </c>
      <c r="G17" s="610"/>
      <c r="H17" s="610">
        <v>0</v>
      </c>
      <c r="I17" s="611">
        <v>0</v>
      </c>
      <c r="J17" s="610">
        <v>0</v>
      </c>
      <c r="K17" s="611">
        <f t="shared" si="1"/>
        <v>0</v>
      </c>
      <c r="L17" s="612">
        <f>VLOOKUP(A17,'BS Gr'!A:A,1,FALSE)</f>
        <v>100400</v>
      </c>
      <c r="M17" s="612">
        <f t="shared" si="2"/>
        <v>1</v>
      </c>
      <c r="N17" s="613">
        <f t="shared" si="5"/>
        <v>0</v>
      </c>
      <c r="O17" s="613">
        <f t="shared" si="3"/>
        <v>0</v>
      </c>
      <c r="P17" s="613">
        <v>0</v>
      </c>
      <c r="Q17" s="613">
        <f t="shared" si="6"/>
        <v>0</v>
      </c>
      <c r="R17" s="1514"/>
      <c r="S17" s="1617" t="e">
        <f>SUMIF('[105]TB for financial'!$A:$A,A17,'[105]TB for financial'!$E:$E)</f>
        <v>#VALUE!</v>
      </c>
      <c r="T17" s="613"/>
    </row>
    <row r="18" spans="1:20">
      <c r="A18" s="608">
        <v>100440</v>
      </c>
      <c r="B18" s="609" t="s">
        <v>985</v>
      </c>
      <c r="C18" s="610">
        <f t="shared" si="4"/>
        <v>0</v>
      </c>
      <c r="D18" s="611">
        <v>0</v>
      </c>
      <c r="E18" s="610">
        <f>SUMIF('Entries 24-25'!$B:$B,A:A,'Entries 24-25'!$D:$D)-SUMIF('Entries 24-25'!$B:$B,A:A,'Entries 24-25'!$E:$E)+SUMIF('IND AS entries 24-25'!$B:$B,A:A,'IND AS entries 24-25'!$D:$D)-SUMIF('IND AS entries 24-25'!$B:$B,A:A,'IND AS entries 24-25'!$E:$E)</f>
        <v>0</v>
      </c>
      <c r="F18" s="611">
        <f t="shared" si="0"/>
        <v>0</v>
      </c>
      <c r="G18" s="610"/>
      <c r="H18" s="610">
        <v>0</v>
      </c>
      <c r="I18" s="611">
        <v>0</v>
      </c>
      <c r="J18" s="610">
        <v>0</v>
      </c>
      <c r="K18" s="611">
        <f t="shared" si="1"/>
        <v>0</v>
      </c>
      <c r="L18" s="612">
        <f>VLOOKUP(A18,'BS Gr'!A:A,1,FALSE)</f>
        <v>100440</v>
      </c>
      <c r="M18" s="612">
        <f t="shared" si="2"/>
        <v>1</v>
      </c>
      <c r="N18" s="613">
        <f t="shared" si="5"/>
        <v>0</v>
      </c>
      <c r="O18" s="613">
        <f t="shared" si="3"/>
        <v>0</v>
      </c>
      <c r="P18" s="613">
        <v>0</v>
      </c>
      <c r="Q18" s="613">
        <f t="shared" si="6"/>
        <v>0</v>
      </c>
      <c r="R18" s="1514"/>
      <c r="S18" s="1617" t="e">
        <f>SUMIF('[105]TB for financial'!$A:$A,A18,'[105]TB for financial'!$E:$E)</f>
        <v>#VALUE!</v>
      </c>
      <c r="T18" s="613"/>
    </row>
    <row r="19" spans="1:20">
      <c r="A19" s="608">
        <v>100441</v>
      </c>
      <c r="B19" s="609" t="s">
        <v>986</v>
      </c>
      <c r="C19" s="610">
        <f t="shared" si="4"/>
        <v>0</v>
      </c>
      <c r="D19" s="611">
        <v>0</v>
      </c>
      <c r="E19" s="610">
        <f>SUMIF('Entries 24-25'!$B:$B,A:A,'Entries 24-25'!$D:$D)-SUMIF('Entries 24-25'!$B:$B,A:A,'Entries 24-25'!$E:$E)+SUMIF('IND AS entries 24-25'!$B:$B,A:A,'IND AS entries 24-25'!$D:$D)-SUMIF('IND AS entries 24-25'!$B:$B,A:A,'IND AS entries 24-25'!$E:$E)</f>
        <v>0</v>
      </c>
      <c r="F19" s="611">
        <f t="shared" si="0"/>
        <v>0</v>
      </c>
      <c r="G19" s="610"/>
      <c r="H19" s="610">
        <v>0</v>
      </c>
      <c r="I19" s="611">
        <v>0</v>
      </c>
      <c r="J19" s="610">
        <v>0</v>
      </c>
      <c r="K19" s="611">
        <f t="shared" si="1"/>
        <v>0</v>
      </c>
      <c r="L19" s="612">
        <f>VLOOKUP(A19,'BS Gr'!A:A,1,FALSE)</f>
        <v>100441</v>
      </c>
      <c r="M19" s="612">
        <f t="shared" si="2"/>
        <v>1</v>
      </c>
      <c r="N19" s="613">
        <f t="shared" si="5"/>
        <v>0</v>
      </c>
      <c r="O19" s="613">
        <f t="shared" si="3"/>
        <v>0</v>
      </c>
      <c r="P19" s="613">
        <v>0</v>
      </c>
      <c r="Q19" s="613">
        <f t="shared" si="6"/>
        <v>0</v>
      </c>
      <c r="R19" s="1514"/>
      <c r="S19" s="1617" t="e">
        <f>SUMIF('[105]TB for financial'!$A:$A,A19,'[105]TB for financial'!$E:$E)</f>
        <v>#VALUE!</v>
      </c>
      <c r="T19" s="613"/>
    </row>
    <row r="20" spans="1:20">
      <c r="A20" s="608">
        <v>100450</v>
      </c>
      <c r="B20" s="609" t="s">
        <v>987</v>
      </c>
      <c r="C20" s="610">
        <f t="shared" si="4"/>
        <v>0</v>
      </c>
      <c r="D20" s="611">
        <v>0</v>
      </c>
      <c r="E20" s="610">
        <f>SUMIF('Entries 24-25'!$B:$B,A:A,'Entries 24-25'!$D:$D)-SUMIF('Entries 24-25'!$B:$B,A:A,'Entries 24-25'!$E:$E)+SUMIF('IND AS entries 24-25'!$B:$B,A:A,'IND AS entries 24-25'!$D:$D)-SUMIF('IND AS entries 24-25'!$B:$B,A:A,'IND AS entries 24-25'!$E:$E)</f>
        <v>0</v>
      </c>
      <c r="F20" s="611">
        <f t="shared" si="0"/>
        <v>0</v>
      </c>
      <c r="G20" s="610"/>
      <c r="H20" s="610">
        <v>0</v>
      </c>
      <c r="I20" s="611">
        <v>0</v>
      </c>
      <c r="J20" s="610">
        <v>0</v>
      </c>
      <c r="K20" s="611">
        <f t="shared" si="1"/>
        <v>0</v>
      </c>
      <c r="L20" s="612">
        <f>VLOOKUP(A20,'BS Gr'!A:A,1,FALSE)</f>
        <v>100450</v>
      </c>
      <c r="M20" s="612">
        <f t="shared" si="2"/>
        <v>1</v>
      </c>
      <c r="N20" s="613">
        <f t="shared" si="5"/>
        <v>0</v>
      </c>
      <c r="O20" s="613">
        <f t="shared" si="3"/>
        <v>0</v>
      </c>
      <c r="P20" s="613">
        <v>0</v>
      </c>
      <c r="Q20" s="613">
        <f t="shared" si="6"/>
        <v>0</v>
      </c>
      <c r="R20" s="1514"/>
      <c r="S20" s="1617" t="e">
        <f>SUMIF('[105]TB for financial'!$A:$A,A20,'[105]TB for financial'!$E:$E)</f>
        <v>#VALUE!</v>
      </c>
      <c r="T20" s="613"/>
    </row>
    <row r="21" spans="1:20">
      <c r="A21" s="608">
        <v>100451</v>
      </c>
      <c r="B21" s="609" t="s">
        <v>2198</v>
      </c>
      <c r="C21" s="610">
        <f t="shared" si="4"/>
        <v>0</v>
      </c>
      <c r="D21" s="611">
        <v>0</v>
      </c>
      <c r="E21" s="610">
        <f>SUMIF('Entries 24-25'!$B:$B,A:A,'Entries 24-25'!$D:$D)-SUMIF('Entries 24-25'!$B:$B,A:A,'Entries 24-25'!$E:$E)+SUMIF('IND AS entries 24-25'!$B:$B,A:A,'IND AS entries 24-25'!$D:$D)-SUMIF('IND AS entries 24-25'!$B:$B,A:A,'IND AS entries 24-25'!$E:$E)</f>
        <v>0</v>
      </c>
      <c r="F21" s="611">
        <f t="shared" si="0"/>
        <v>0</v>
      </c>
      <c r="G21" s="610"/>
      <c r="H21" s="610">
        <v>0</v>
      </c>
      <c r="I21" s="611">
        <v>0</v>
      </c>
      <c r="J21" s="610">
        <v>0</v>
      </c>
      <c r="K21" s="611">
        <f t="shared" si="1"/>
        <v>0</v>
      </c>
      <c r="L21" s="612">
        <f>VLOOKUP(A21,'BS Gr'!A:A,1,FALSE)</f>
        <v>100451</v>
      </c>
      <c r="M21" s="612">
        <f t="shared" si="2"/>
        <v>1</v>
      </c>
      <c r="N21" s="613">
        <f t="shared" si="5"/>
        <v>0</v>
      </c>
      <c r="O21" s="613">
        <f t="shared" si="3"/>
        <v>0</v>
      </c>
      <c r="P21" s="613"/>
      <c r="Q21" s="613"/>
      <c r="R21" s="1514"/>
      <c r="S21" s="1617" t="e">
        <f>SUMIF('[105]TB for financial'!$A:$A,A21,'[105]TB for financial'!$E:$E)</f>
        <v>#VALUE!</v>
      </c>
      <c r="T21" s="613"/>
    </row>
    <row r="22" spans="1:20">
      <c r="A22" s="608">
        <v>100452</v>
      </c>
      <c r="B22" s="609" t="s">
        <v>2199</v>
      </c>
      <c r="C22" s="610">
        <f t="shared" si="4"/>
        <v>0</v>
      </c>
      <c r="D22" s="611">
        <v>0</v>
      </c>
      <c r="E22" s="610">
        <f>SUMIF('Entries 24-25'!$B:$B,A:A,'Entries 24-25'!$D:$D)-SUMIF('Entries 24-25'!$B:$B,A:A,'Entries 24-25'!$E:$E)+SUMIF('IND AS entries 24-25'!$B:$B,A:A,'IND AS entries 24-25'!$D:$D)-SUMIF('IND AS entries 24-25'!$B:$B,A:A,'IND AS entries 24-25'!$E:$E)</f>
        <v>0</v>
      </c>
      <c r="F22" s="611">
        <f t="shared" si="0"/>
        <v>0</v>
      </c>
      <c r="G22" s="610"/>
      <c r="H22" s="610">
        <v>0</v>
      </c>
      <c r="I22" s="611">
        <v>0</v>
      </c>
      <c r="J22" s="610">
        <v>0</v>
      </c>
      <c r="K22" s="611">
        <f t="shared" si="1"/>
        <v>0</v>
      </c>
      <c r="L22" s="612">
        <f>VLOOKUP(A22,'BS Gr'!A:A,1,FALSE)</f>
        <v>100452</v>
      </c>
      <c r="M22" s="612">
        <f t="shared" si="2"/>
        <v>1</v>
      </c>
      <c r="N22" s="613">
        <f t="shared" si="5"/>
        <v>0</v>
      </c>
      <c r="O22" s="613">
        <f t="shared" si="3"/>
        <v>0</v>
      </c>
      <c r="P22" s="613"/>
      <c r="Q22" s="613"/>
      <c r="R22" s="1514"/>
      <c r="S22" s="1617" t="e">
        <f>SUMIF('[105]TB for financial'!$A:$A,A22,'[105]TB for financial'!$E:$E)</f>
        <v>#VALUE!</v>
      </c>
      <c r="T22" s="613"/>
    </row>
    <row r="23" spans="1:20">
      <c r="A23" s="608">
        <v>100454</v>
      </c>
      <c r="B23" s="609" t="s">
        <v>2284</v>
      </c>
      <c r="C23" s="610">
        <f t="shared" si="4"/>
        <v>0</v>
      </c>
      <c r="D23" s="611">
        <v>0</v>
      </c>
      <c r="E23" s="610">
        <f>SUMIF('Entries 24-25'!$B:$B,A:A,'Entries 24-25'!$D:$D)-SUMIF('Entries 24-25'!$B:$B,A:A,'Entries 24-25'!$E:$E)+SUMIF('IND AS entries 24-25'!$B:$B,A:A,'IND AS entries 24-25'!$D:$D)-SUMIF('IND AS entries 24-25'!$B:$B,A:A,'IND AS entries 24-25'!$E:$E)</f>
        <v>0</v>
      </c>
      <c r="F23" s="611">
        <f t="shared" si="0"/>
        <v>0</v>
      </c>
      <c r="G23" s="610"/>
      <c r="H23" s="610">
        <v>0</v>
      </c>
      <c r="I23" s="611">
        <v>0</v>
      </c>
      <c r="J23" s="610">
        <v>0</v>
      </c>
      <c r="K23" s="611">
        <f t="shared" si="1"/>
        <v>0</v>
      </c>
      <c r="L23" s="612">
        <f>VLOOKUP(A23,'BS Gr'!A:A,1,FALSE)</f>
        <v>100454</v>
      </c>
      <c r="M23" s="612">
        <f t="shared" si="2"/>
        <v>1</v>
      </c>
      <c r="N23" s="613">
        <f t="shared" si="5"/>
        <v>0</v>
      </c>
      <c r="O23" s="613">
        <f>C23-K23</f>
        <v>0</v>
      </c>
      <c r="P23" s="613"/>
      <c r="Q23" s="613"/>
      <c r="R23" s="1514"/>
      <c r="S23" s="1617" t="e">
        <f>SUMIF('[105]TB for financial'!$A:$A,A23,'[105]TB for financial'!$E:$E)</f>
        <v>#VALUE!</v>
      </c>
      <c r="T23" s="613"/>
    </row>
    <row r="24" spans="1:20">
      <c r="A24" s="608">
        <v>100460</v>
      </c>
      <c r="B24" s="609" t="s">
        <v>988</v>
      </c>
      <c r="C24" s="610">
        <f t="shared" si="4"/>
        <v>0</v>
      </c>
      <c r="D24" s="611">
        <v>0</v>
      </c>
      <c r="E24" s="610">
        <f>SUMIF('Entries 24-25'!$B:$B,A:A,'Entries 24-25'!$D:$D)-SUMIF('Entries 24-25'!$B:$B,A:A,'Entries 24-25'!$E:$E)+SUMIF('IND AS entries 24-25'!$B:$B,A:A,'IND AS entries 24-25'!$D:$D)-SUMIF('IND AS entries 24-25'!$B:$B,A:A,'IND AS entries 24-25'!$E:$E)</f>
        <v>0</v>
      </c>
      <c r="F24" s="611">
        <f t="shared" si="0"/>
        <v>0</v>
      </c>
      <c r="G24" s="610"/>
      <c r="H24" s="610">
        <v>0</v>
      </c>
      <c r="I24" s="611">
        <v>0</v>
      </c>
      <c r="J24" s="610">
        <v>0</v>
      </c>
      <c r="K24" s="611">
        <f t="shared" si="1"/>
        <v>0</v>
      </c>
      <c r="L24" s="612">
        <f>VLOOKUP(A24,'BS Gr'!A:A,1,FALSE)</f>
        <v>100460</v>
      </c>
      <c r="M24" s="612">
        <f t="shared" si="2"/>
        <v>1</v>
      </c>
      <c r="N24" s="613">
        <f t="shared" si="5"/>
        <v>0</v>
      </c>
      <c r="O24" s="613">
        <f t="shared" si="3"/>
        <v>0</v>
      </c>
      <c r="P24" s="613">
        <v>0</v>
      </c>
      <c r="Q24" s="613">
        <f t="shared" si="6"/>
        <v>0</v>
      </c>
      <c r="R24" s="1514"/>
      <c r="S24" s="1617" t="e">
        <f>SUMIF('[105]TB for financial'!$A:$A,A24,'[105]TB for financial'!$E:$E)</f>
        <v>#VALUE!</v>
      </c>
      <c r="T24" s="613"/>
    </row>
    <row r="25" spans="1:20">
      <c r="A25" s="608">
        <v>100470</v>
      </c>
      <c r="B25" s="609" t="s">
        <v>989</v>
      </c>
      <c r="C25" s="610">
        <f t="shared" si="4"/>
        <v>0</v>
      </c>
      <c r="D25" s="611">
        <v>0</v>
      </c>
      <c r="E25" s="610">
        <f>SUMIF('Entries 24-25'!$B:$B,A:A,'Entries 24-25'!$D:$D)-SUMIF('Entries 24-25'!$B:$B,A:A,'Entries 24-25'!$E:$E)+SUMIF('IND AS entries 24-25'!$B:$B,A:A,'IND AS entries 24-25'!$D:$D)-SUMIF('IND AS entries 24-25'!$B:$B,A:A,'IND AS entries 24-25'!$E:$E)</f>
        <v>0</v>
      </c>
      <c r="F25" s="611">
        <f t="shared" si="0"/>
        <v>0</v>
      </c>
      <c r="G25" s="610"/>
      <c r="H25" s="610">
        <v>0</v>
      </c>
      <c r="I25" s="611">
        <v>0</v>
      </c>
      <c r="J25" s="610">
        <v>0</v>
      </c>
      <c r="K25" s="611">
        <f t="shared" si="1"/>
        <v>0</v>
      </c>
      <c r="L25" s="612">
        <f>VLOOKUP(A25,'BS Gr'!A:A,1,FALSE)</f>
        <v>100470</v>
      </c>
      <c r="M25" s="612">
        <f t="shared" si="2"/>
        <v>1</v>
      </c>
      <c r="N25" s="613">
        <f t="shared" si="5"/>
        <v>0</v>
      </c>
      <c r="O25" s="613">
        <f t="shared" si="3"/>
        <v>0</v>
      </c>
      <c r="P25" s="613">
        <v>0</v>
      </c>
      <c r="Q25" s="613">
        <f t="shared" si="6"/>
        <v>0</v>
      </c>
      <c r="R25" s="1514"/>
      <c r="S25" s="1617" t="e">
        <f>SUMIF('[105]TB for financial'!$A:$A,A25,'[105]TB for financial'!$E:$E)</f>
        <v>#VALUE!</v>
      </c>
      <c r="T25" s="613"/>
    </row>
    <row r="26" spans="1:20">
      <c r="A26" s="608">
        <v>100480</v>
      </c>
      <c r="B26" s="609" t="s">
        <v>990</v>
      </c>
      <c r="C26" s="610">
        <f t="shared" si="4"/>
        <v>0</v>
      </c>
      <c r="D26" s="611">
        <v>0</v>
      </c>
      <c r="E26" s="610">
        <f>SUMIF('Entries 24-25'!$B:$B,A:A,'Entries 24-25'!$D:$D)-SUMIF('Entries 24-25'!$B:$B,A:A,'Entries 24-25'!$E:$E)+SUMIF('IND AS entries 24-25'!$B:$B,A:A,'IND AS entries 24-25'!$D:$D)-SUMIF('IND AS entries 24-25'!$B:$B,A:A,'IND AS entries 24-25'!$E:$E)</f>
        <v>0</v>
      </c>
      <c r="F26" s="611">
        <f t="shared" si="0"/>
        <v>0</v>
      </c>
      <c r="G26" s="610"/>
      <c r="H26" s="610">
        <v>0</v>
      </c>
      <c r="I26" s="611">
        <v>0</v>
      </c>
      <c r="J26" s="610">
        <v>0</v>
      </c>
      <c r="K26" s="611">
        <f t="shared" si="1"/>
        <v>0</v>
      </c>
      <c r="L26" s="612">
        <f>VLOOKUP(A26,'BS Gr'!A:A,1,FALSE)</f>
        <v>100480</v>
      </c>
      <c r="M26" s="612">
        <f t="shared" si="2"/>
        <v>1</v>
      </c>
      <c r="N26" s="613">
        <f t="shared" si="5"/>
        <v>0</v>
      </c>
      <c r="O26" s="613">
        <f t="shared" si="3"/>
        <v>0</v>
      </c>
      <c r="P26" s="613">
        <v>0</v>
      </c>
      <c r="Q26" s="613">
        <f t="shared" si="6"/>
        <v>0</v>
      </c>
      <c r="R26" s="1514"/>
      <c r="S26" s="1617" t="e">
        <f>SUMIF('[105]TB for financial'!$A:$A,A26,'[105]TB for financial'!$E:$E)</f>
        <v>#VALUE!</v>
      </c>
      <c r="T26" s="613"/>
    </row>
    <row r="27" spans="1:20">
      <c r="A27" s="608">
        <v>100490</v>
      </c>
      <c r="B27" s="609" t="s">
        <v>991</v>
      </c>
      <c r="C27" s="610">
        <f t="shared" si="4"/>
        <v>0</v>
      </c>
      <c r="D27" s="611">
        <v>0</v>
      </c>
      <c r="E27" s="610">
        <f>SUMIF('Entries 24-25'!$B:$B,A:A,'Entries 24-25'!$D:$D)-SUMIF('Entries 24-25'!$B:$B,A:A,'Entries 24-25'!$E:$E)+SUMIF('IND AS entries 24-25'!$B:$B,A:A,'IND AS entries 24-25'!$D:$D)-SUMIF('IND AS entries 24-25'!$B:$B,A:A,'IND AS entries 24-25'!$E:$E)</f>
        <v>0</v>
      </c>
      <c r="F27" s="611">
        <f t="shared" si="0"/>
        <v>0</v>
      </c>
      <c r="G27" s="610"/>
      <c r="H27" s="610">
        <v>0</v>
      </c>
      <c r="I27" s="611">
        <v>0</v>
      </c>
      <c r="J27" s="610">
        <v>0</v>
      </c>
      <c r="K27" s="611">
        <f t="shared" si="1"/>
        <v>0</v>
      </c>
      <c r="L27" s="612">
        <f>VLOOKUP(A27,'BS Gr'!A:A,1,FALSE)</f>
        <v>100490</v>
      </c>
      <c r="M27" s="612">
        <f t="shared" si="2"/>
        <v>1</v>
      </c>
      <c r="N27" s="613">
        <f t="shared" si="5"/>
        <v>0</v>
      </c>
      <c r="O27" s="613">
        <f t="shared" si="3"/>
        <v>0</v>
      </c>
      <c r="P27" s="613">
        <v>0</v>
      </c>
      <c r="Q27" s="613">
        <f t="shared" si="6"/>
        <v>0</v>
      </c>
      <c r="R27" s="1514"/>
      <c r="S27" s="1617" t="e">
        <f>SUMIF('[105]TB for financial'!$A:$A,A27,'[105]TB for financial'!$E:$E)</f>
        <v>#VALUE!</v>
      </c>
      <c r="T27" s="613"/>
    </row>
    <row r="28" spans="1:20">
      <c r="A28" s="608">
        <v>100491</v>
      </c>
      <c r="B28" s="609" t="s">
        <v>992</v>
      </c>
      <c r="C28" s="610">
        <f t="shared" si="4"/>
        <v>5.8207660913467407E-10</v>
      </c>
      <c r="D28" s="611">
        <v>0</v>
      </c>
      <c r="E28" s="610">
        <f>SUMIF('Entries 24-25'!$B:$B,A:A,'Entries 24-25'!$D:$D)-SUMIF('Entries 24-25'!$B:$B,A:A,'Entries 24-25'!$E:$E)+SUMIF('IND AS entries 24-25'!$B:$B,A:A,'IND AS entries 24-25'!$D:$D)-SUMIF('IND AS entries 24-25'!$B:$B,A:A,'IND AS entries 24-25'!$E:$E)</f>
        <v>0</v>
      </c>
      <c r="F28" s="611">
        <f t="shared" si="0"/>
        <v>5.8207660913467407E-10</v>
      </c>
      <c r="G28" s="610"/>
      <c r="H28" s="610">
        <v>5.8207660913467407E-10</v>
      </c>
      <c r="I28" s="611">
        <v>0</v>
      </c>
      <c r="J28" s="610">
        <v>0</v>
      </c>
      <c r="K28" s="611">
        <f t="shared" si="1"/>
        <v>5.8207660913467407E-10</v>
      </c>
      <c r="L28" s="612">
        <f>VLOOKUP(A28,'BS Gr'!A:A,1,FALSE)</f>
        <v>100491</v>
      </c>
      <c r="M28" s="612">
        <f t="shared" si="2"/>
        <v>1</v>
      </c>
      <c r="N28" s="613">
        <f t="shared" si="5"/>
        <v>0</v>
      </c>
      <c r="O28" s="613">
        <f t="shared" si="3"/>
        <v>0</v>
      </c>
      <c r="P28" s="613">
        <v>458319.35000000068</v>
      </c>
      <c r="Q28" s="613">
        <f t="shared" si="6"/>
        <v>-458319.35000000009</v>
      </c>
      <c r="R28" s="1514"/>
      <c r="S28" s="1617" t="e">
        <f>SUMIF('[105]TB for financial'!$A:$A,A28,'[105]TB for financial'!$E:$E)</f>
        <v>#VALUE!</v>
      </c>
      <c r="T28" s="613"/>
    </row>
    <row r="29" spans="1:20">
      <c r="A29" s="608">
        <v>100492</v>
      </c>
      <c r="B29" s="609" t="s">
        <v>555</v>
      </c>
      <c r="C29" s="610">
        <f t="shared" si="4"/>
        <v>0</v>
      </c>
      <c r="D29" s="611">
        <v>0</v>
      </c>
      <c r="E29" s="610">
        <f>SUMIF('Entries 24-25'!$B:$B,A:A,'Entries 24-25'!$D:$D)-SUMIF('Entries 24-25'!$B:$B,A:A,'Entries 24-25'!$E:$E)+SUMIF('IND AS entries 24-25'!$B:$B,A:A,'IND AS entries 24-25'!$D:$D)-SUMIF('IND AS entries 24-25'!$B:$B,A:A,'IND AS entries 24-25'!$E:$E)</f>
        <v>0</v>
      </c>
      <c r="F29" s="611">
        <f t="shared" si="0"/>
        <v>0</v>
      </c>
      <c r="G29" s="610"/>
      <c r="H29" s="610">
        <v>0</v>
      </c>
      <c r="I29" s="611">
        <v>0</v>
      </c>
      <c r="J29" s="610">
        <v>0</v>
      </c>
      <c r="K29" s="611">
        <f t="shared" si="1"/>
        <v>0</v>
      </c>
      <c r="L29" s="612">
        <f>VLOOKUP(A29,'BS Gr'!A:A,1,FALSE)</f>
        <v>100492</v>
      </c>
      <c r="M29" s="612">
        <f t="shared" si="2"/>
        <v>1</v>
      </c>
      <c r="N29" s="613">
        <f t="shared" si="5"/>
        <v>0</v>
      </c>
      <c r="O29" s="613">
        <f t="shared" si="3"/>
        <v>0</v>
      </c>
      <c r="P29" s="613">
        <v>0</v>
      </c>
      <c r="Q29" s="613">
        <f t="shared" si="6"/>
        <v>0</v>
      </c>
      <c r="R29" s="1514"/>
      <c r="S29" s="1617" t="e">
        <f>SUMIF('[105]TB for financial'!$A:$A,A29,'[105]TB for financial'!$E:$E)</f>
        <v>#VALUE!</v>
      </c>
      <c r="T29" s="613"/>
    </row>
    <row r="30" spans="1:20">
      <c r="A30" s="608">
        <v>100493</v>
      </c>
      <c r="B30" s="609" t="s">
        <v>556</v>
      </c>
      <c r="C30" s="610">
        <f t="shared" si="4"/>
        <v>0</v>
      </c>
      <c r="D30" s="611">
        <v>0</v>
      </c>
      <c r="E30" s="610">
        <f>SUMIF('Entries 24-25'!$B:$B,A:A,'Entries 24-25'!$D:$D)-SUMIF('Entries 24-25'!$B:$B,A:A,'Entries 24-25'!$E:$E)+SUMIF('IND AS entries 24-25'!$B:$B,A:A,'IND AS entries 24-25'!$D:$D)-SUMIF('IND AS entries 24-25'!$B:$B,A:A,'IND AS entries 24-25'!$E:$E)</f>
        <v>0</v>
      </c>
      <c r="F30" s="611">
        <f t="shared" si="0"/>
        <v>0</v>
      </c>
      <c r="G30" s="610"/>
      <c r="H30" s="610">
        <v>0</v>
      </c>
      <c r="I30" s="611">
        <v>0</v>
      </c>
      <c r="J30" s="610">
        <v>0</v>
      </c>
      <c r="K30" s="611">
        <f t="shared" si="1"/>
        <v>0</v>
      </c>
      <c r="L30" s="612">
        <f>VLOOKUP(A30,'BS Gr'!A:A,1,FALSE)</f>
        <v>100493</v>
      </c>
      <c r="M30" s="612">
        <f t="shared" si="2"/>
        <v>1</v>
      </c>
      <c r="N30" s="613">
        <f t="shared" si="5"/>
        <v>0</v>
      </c>
      <c r="O30" s="613">
        <f t="shared" si="3"/>
        <v>0</v>
      </c>
      <c r="P30" s="613">
        <v>0</v>
      </c>
      <c r="Q30" s="613">
        <f t="shared" si="6"/>
        <v>0</v>
      </c>
      <c r="R30" s="1514"/>
      <c r="S30" s="1617" t="e">
        <f>SUMIF('[105]TB for financial'!$A:$A,A30,'[105]TB for financial'!$E:$E)</f>
        <v>#VALUE!</v>
      </c>
      <c r="T30" s="613"/>
    </row>
    <row r="31" spans="1:20">
      <c r="A31" s="608">
        <v>100500</v>
      </c>
      <c r="B31" s="609" t="s">
        <v>993</v>
      </c>
      <c r="C31" s="610">
        <f t="shared" si="4"/>
        <v>0</v>
      </c>
      <c r="D31" s="611">
        <v>0</v>
      </c>
      <c r="E31" s="610">
        <f>SUMIF('Entries 24-25'!$B:$B,A:A,'Entries 24-25'!$D:$D)-SUMIF('Entries 24-25'!$B:$B,A:A,'Entries 24-25'!$E:$E)+SUMIF('IND AS entries 24-25'!$B:$B,A:A,'IND AS entries 24-25'!$D:$D)-SUMIF('IND AS entries 24-25'!$B:$B,A:A,'IND AS entries 24-25'!$E:$E)</f>
        <v>0</v>
      </c>
      <c r="F31" s="611">
        <f t="shared" si="0"/>
        <v>0</v>
      </c>
      <c r="G31" s="610"/>
      <c r="H31" s="610">
        <v>0</v>
      </c>
      <c r="I31" s="611">
        <v>0</v>
      </c>
      <c r="J31" s="610">
        <v>0</v>
      </c>
      <c r="K31" s="611">
        <f t="shared" si="1"/>
        <v>0</v>
      </c>
      <c r="L31" s="612">
        <f>VLOOKUP(A31,'BS Gr'!A:A,1,FALSE)</f>
        <v>100500</v>
      </c>
      <c r="M31" s="612">
        <f t="shared" si="2"/>
        <v>1</v>
      </c>
      <c r="N31" s="613">
        <f t="shared" si="5"/>
        <v>0</v>
      </c>
      <c r="O31" s="613">
        <f t="shared" si="3"/>
        <v>0</v>
      </c>
      <c r="P31" s="613">
        <v>0</v>
      </c>
      <c r="Q31" s="613">
        <f t="shared" si="6"/>
        <v>0</v>
      </c>
      <c r="R31" s="1514"/>
      <c r="S31" s="1617" t="e">
        <f>SUMIF('[105]TB for financial'!$A:$A,A31,'[105]TB for financial'!$E:$E)</f>
        <v>#VALUE!</v>
      </c>
      <c r="T31" s="613"/>
    </row>
    <row r="32" spans="1:20">
      <c r="A32" s="608">
        <v>100501</v>
      </c>
      <c r="B32" s="609" t="s">
        <v>994</v>
      </c>
      <c r="C32" s="610">
        <f t="shared" si="4"/>
        <v>0</v>
      </c>
      <c r="D32" s="611">
        <v>0</v>
      </c>
      <c r="E32" s="610">
        <f>SUMIF('Entries 24-25'!$B:$B,A:A,'Entries 24-25'!$D:$D)-SUMIF('Entries 24-25'!$B:$B,A:A,'Entries 24-25'!$E:$E)+SUMIF('IND AS entries 24-25'!$B:$B,A:A,'IND AS entries 24-25'!$D:$D)-SUMIF('IND AS entries 24-25'!$B:$B,A:A,'IND AS entries 24-25'!$E:$E)</f>
        <v>0</v>
      </c>
      <c r="F32" s="611">
        <f t="shared" si="0"/>
        <v>0</v>
      </c>
      <c r="G32" s="610"/>
      <c r="H32" s="610">
        <v>0</v>
      </c>
      <c r="I32" s="611">
        <v>0</v>
      </c>
      <c r="J32" s="610">
        <v>0</v>
      </c>
      <c r="K32" s="611">
        <f t="shared" si="1"/>
        <v>0</v>
      </c>
      <c r="L32" s="612">
        <f>VLOOKUP(A32,'BS Gr'!A:A,1,FALSE)</f>
        <v>100501</v>
      </c>
      <c r="M32" s="612">
        <f t="shared" si="2"/>
        <v>1</v>
      </c>
      <c r="N32" s="613">
        <f t="shared" si="5"/>
        <v>0</v>
      </c>
      <c r="O32" s="613">
        <f t="shared" si="3"/>
        <v>0</v>
      </c>
      <c r="P32" s="613">
        <v>0</v>
      </c>
      <c r="Q32" s="613">
        <f t="shared" si="6"/>
        <v>0</v>
      </c>
      <c r="R32" s="1514"/>
      <c r="S32" s="1617" t="e">
        <f>SUMIF('[105]TB for financial'!$A:$A,A32,'[105]TB for financial'!$E:$E)</f>
        <v>#VALUE!</v>
      </c>
      <c r="T32" s="613"/>
    </row>
    <row r="33" spans="1:20">
      <c r="A33" s="608">
        <v>100502</v>
      </c>
      <c r="B33" s="609" t="s">
        <v>995</v>
      </c>
      <c r="C33" s="610">
        <f t="shared" si="4"/>
        <v>0</v>
      </c>
      <c r="D33" s="611">
        <v>0</v>
      </c>
      <c r="E33" s="610">
        <f>SUMIF('Entries 24-25'!$B:$B,A:A,'Entries 24-25'!$D:$D)-SUMIF('Entries 24-25'!$B:$B,A:A,'Entries 24-25'!$E:$E)+SUMIF('IND AS entries 24-25'!$B:$B,A:A,'IND AS entries 24-25'!$D:$D)-SUMIF('IND AS entries 24-25'!$B:$B,A:A,'IND AS entries 24-25'!$E:$E)</f>
        <v>0</v>
      </c>
      <c r="F33" s="611">
        <f t="shared" si="0"/>
        <v>0</v>
      </c>
      <c r="G33" s="610"/>
      <c r="H33" s="610">
        <v>0</v>
      </c>
      <c r="I33" s="611">
        <v>0</v>
      </c>
      <c r="J33" s="610">
        <v>0</v>
      </c>
      <c r="K33" s="611">
        <f t="shared" si="1"/>
        <v>0</v>
      </c>
      <c r="L33" s="612">
        <f>VLOOKUP(A33,'BS Gr'!A:A,1,FALSE)</f>
        <v>100502</v>
      </c>
      <c r="M33" s="612">
        <f t="shared" si="2"/>
        <v>1</v>
      </c>
      <c r="N33" s="613">
        <f t="shared" si="5"/>
        <v>0</v>
      </c>
      <c r="O33" s="613">
        <f t="shared" si="3"/>
        <v>0</v>
      </c>
      <c r="P33" s="613">
        <v>5371685.5300000012</v>
      </c>
      <c r="Q33" s="613">
        <f t="shared" si="6"/>
        <v>-5371685.5300000012</v>
      </c>
      <c r="R33" s="1514"/>
      <c r="S33" s="1617" t="e">
        <f>SUMIF('[105]TB for financial'!$A:$A,A33,'[105]TB for financial'!$E:$E)</f>
        <v>#VALUE!</v>
      </c>
      <c r="T33" s="613"/>
    </row>
    <row r="34" spans="1:20">
      <c r="A34" s="608">
        <v>100503</v>
      </c>
      <c r="B34" s="609" t="s">
        <v>996</v>
      </c>
      <c r="C34" s="610">
        <f t="shared" si="4"/>
        <v>0</v>
      </c>
      <c r="D34" s="611">
        <v>0</v>
      </c>
      <c r="E34" s="610">
        <f>SUMIF('Entries 24-25'!$B:$B,A:A,'Entries 24-25'!$D:$D)-SUMIF('Entries 24-25'!$B:$B,A:A,'Entries 24-25'!$E:$E)+SUMIF('IND AS entries 24-25'!$B:$B,A:A,'IND AS entries 24-25'!$D:$D)-SUMIF('IND AS entries 24-25'!$B:$B,A:A,'IND AS entries 24-25'!$E:$E)</f>
        <v>0</v>
      </c>
      <c r="F34" s="611">
        <f t="shared" si="0"/>
        <v>0</v>
      </c>
      <c r="G34" s="610"/>
      <c r="H34" s="610">
        <v>0</v>
      </c>
      <c r="I34" s="611">
        <v>0</v>
      </c>
      <c r="J34" s="610">
        <v>0</v>
      </c>
      <c r="K34" s="611">
        <f t="shared" si="1"/>
        <v>0</v>
      </c>
      <c r="L34" s="612">
        <f>VLOOKUP(A34,'BS Gr'!A:A,1,FALSE)</f>
        <v>100503</v>
      </c>
      <c r="M34" s="612">
        <f t="shared" si="2"/>
        <v>1</v>
      </c>
      <c r="N34" s="613">
        <f t="shared" si="5"/>
        <v>0</v>
      </c>
      <c r="O34" s="613">
        <f t="shared" si="3"/>
        <v>0</v>
      </c>
      <c r="P34" s="613">
        <v>0</v>
      </c>
      <c r="Q34" s="613">
        <f t="shared" si="6"/>
        <v>0</v>
      </c>
      <c r="R34" s="1514"/>
      <c r="S34" s="1617" t="e">
        <f>SUMIF('[105]TB for financial'!$A:$A,A34,'[105]TB for financial'!$E:$E)</f>
        <v>#VALUE!</v>
      </c>
      <c r="T34" s="613"/>
    </row>
    <row r="35" spans="1:20">
      <c r="A35" s="608">
        <v>100504</v>
      </c>
      <c r="B35" s="609" t="s">
        <v>997</v>
      </c>
      <c r="C35" s="610">
        <f t="shared" si="4"/>
        <v>0</v>
      </c>
      <c r="D35" s="611">
        <v>0</v>
      </c>
      <c r="E35" s="610">
        <f>SUMIF('Entries 24-25'!$B:$B,A:A,'Entries 24-25'!$D:$D)-SUMIF('Entries 24-25'!$B:$B,A:A,'Entries 24-25'!$E:$E)+SUMIF('IND AS entries 24-25'!$B:$B,A:A,'IND AS entries 24-25'!$D:$D)-SUMIF('IND AS entries 24-25'!$B:$B,A:A,'IND AS entries 24-25'!$E:$E)</f>
        <v>0</v>
      </c>
      <c r="F35" s="611">
        <f t="shared" si="0"/>
        <v>0</v>
      </c>
      <c r="G35" s="610"/>
      <c r="H35" s="610">
        <v>0</v>
      </c>
      <c r="I35" s="611">
        <v>0</v>
      </c>
      <c r="J35" s="610">
        <v>0</v>
      </c>
      <c r="K35" s="611">
        <f t="shared" si="1"/>
        <v>0</v>
      </c>
      <c r="L35" s="612">
        <f>VLOOKUP(A35,'BS Gr'!A:A,1,FALSE)</f>
        <v>100504</v>
      </c>
      <c r="M35" s="612">
        <f t="shared" si="2"/>
        <v>1</v>
      </c>
      <c r="N35" s="613">
        <f t="shared" si="5"/>
        <v>0</v>
      </c>
      <c r="O35" s="613">
        <f t="shared" si="3"/>
        <v>0</v>
      </c>
      <c r="P35" s="613">
        <v>0</v>
      </c>
      <c r="Q35" s="613">
        <f t="shared" si="6"/>
        <v>0</v>
      </c>
      <c r="R35" s="1514"/>
      <c r="S35" s="1617" t="e">
        <f>SUMIF('[105]TB for financial'!$A:$A,A35,'[105]TB for financial'!$E:$E)</f>
        <v>#VALUE!</v>
      </c>
      <c r="T35" s="613"/>
    </row>
    <row r="36" spans="1:20">
      <c r="A36" s="608">
        <v>100505</v>
      </c>
      <c r="B36" s="609" t="s">
        <v>998</v>
      </c>
      <c r="C36" s="610">
        <f t="shared" si="4"/>
        <v>0</v>
      </c>
      <c r="D36" s="611">
        <v>0</v>
      </c>
      <c r="E36" s="610">
        <f>SUMIF('Entries 24-25'!$B:$B,A:A,'Entries 24-25'!$D:$D)-SUMIF('Entries 24-25'!$B:$B,A:A,'Entries 24-25'!$E:$E)+SUMIF('IND AS entries 24-25'!$B:$B,A:A,'IND AS entries 24-25'!$D:$D)-SUMIF('IND AS entries 24-25'!$B:$B,A:A,'IND AS entries 24-25'!$E:$E)</f>
        <v>0</v>
      </c>
      <c r="F36" s="611">
        <f t="shared" si="0"/>
        <v>0</v>
      </c>
      <c r="G36" s="610"/>
      <c r="H36" s="610">
        <v>0</v>
      </c>
      <c r="I36" s="611">
        <v>0</v>
      </c>
      <c r="J36" s="610">
        <v>0</v>
      </c>
      <c r="K36" s="611">
        <f t="shared" si="1"/>
        <v>0</v>
      </c>
      <c r="L36" s="612">
        <f>VLOOKUP(A36,'BS Gr'!A:A,1,FALSE)</f>
        <v>100505</v>
      </c>
      <c r="M36" s="612">
        <f t="shared" si="2"/>
        <v>1</v>
      </c>
      <c r="N36" s="613">
        <f t="shared" si="5"/>
        <v>0</v>
      </c>
      <c r="O36" s="613">
        <f t="shared" si="3"/>
        <v>0</v>
      </c>
      <c r="P36" s="613">
        <v>0</v>
      </c>
      <c r="Q36" s="613">
        <f t="shared" si="6"/>
        <v>0</v>
      </c>
      <c r="R36" s="1514"/>
      <c r="S36" s="1617" t="e">
        <f>SUMIF('[105]TB for financial'!$A:$A,A36,'[105]TB for financial'!$E:$E)</f>
        <v>#VALUE!</v>
      </c>
      <c r="T36" s="613"/>
    </row>
    <row r="37" spans="1:20">
      <c r="A37" s="608">
        <v>100506</v>
      </c>
      <c r="B37" s="609" t="s">
        <v>999</v>
      </c>
      <c r="C37" s="610">
        <f t="shared" si="4"/>
        <v>-0.4299999992690573</v>
      </c>
      <c r="D37" s="611">
        <v>0</v>
      </c>
      <c r="E37" s="610">
        <f>SUMIF('Entries 24-25'!$B:$B,A:A,'Entries 24-25'!$D:$D)-SUMIF('Entries 24-25'!$B:$B,A:A,'Entries 24-25'!$E:$E)+SUMIF('IND AS entries 24-25'!$B:$B,A:A,'IND AS entries 24-25'!$D:$D)-SUMIF('IND AS entries 24-25'!$B:$B,A:A,'IND AS entries 24-25'!$E:$E)</f>
        <v>0</v>
      </c>
      <c r="F37" s="611">
        <f t="shared" si="0"/>
        <v>-0.4299999992690573</v>
      </c>
      <c r="G37" s="610"/>
      <c r="H37" s="610">
        <v>-0.4299999992690573</v>
      </c>
      <c r="I37" s="611">
        <v>0</v>
      </c>
      <c r="J37" s="610">
        <v>0</v>
      </c>
      <c r="K37" s="611">
        <f t="shared" si="1"/>
        <v>-0.4299999992690573</v>
      </c>
      <c r="L37" s="612">
        <f>VLOOKUP(A37,'BS Gr'!A:A,1,FALSE)</f>
        <v>100506</v>
      </c>
      <c r="M37" s="612">
        <f t="shared" si="2"/>
        <v>1</v>
      </c>
      <c r="N37" s="613">
        <f t="shared" si="5"/>
        <v>0</v>
      </c>
      <c r="O37" s="613">
        <f t="shared" si="3"/>
        <v>0</v>
      </c>
      <c r="P37" s="613">
        <v>1593387.2000000007</v>
      </c>
      <c r="Q37" s="613">
        <f t="shared" si="6"/>
        <v>-1593387.63</v>
      </c>
      <c r="R37" s="1514"/>
      <c r="S37" s="1617" t="e">
        <f>SUMIF('[105]TB for financial'!$A:$A,A37,'[105]TB for financial'!$E:$E)</f>
        <v>#VALUE!</v>
      </c>
      <c r="T37" s="613"/>
    </row>
    <row r="38" spans="1:20">
      <c r="A38" s="608">
        <v>100507</v>
      </c>
      <c r="B38" s="609" t="s">
        <v>1000</v>
      </c>
      <c r="C38" s="610">
        <f t="shared" si="4"/>
        <v>0</v>
      </c>
      <c r="D38" s="611">
        <v>0</v>
      </c>
      <c r="E38" s="610">
        <f>SUMIF('Entries 24-25'!$B:$B,A:A,'Entries 24-25'!$D:$D)-SUMIF('Entries 24-25'!$B:$B,A:A,'Entries 24-25'!$E:$E)+SUMIF('IND AS entries 24-25'!$B:$B,A:A,'IND AS entries 24-25'!$D:$D)-SUMIF('IND AS entries 24-25'!$B:$B,A:A,'IND AS entries 24-25'!$E:$E)</f>
        <v>0</v>
      </c>
      <c r="F38" s="611">
        <f t="shared" si="0"/>
        <v>0</v>
      </c>
      <c r="G38" s="610"/>
      <c r="H38" s="610">
        <v>0</v>
      </c>
      <c r="I38" s="611">
        <v>0</v>
      </c>
      <c r="J38" s="610">
        <v>0</v>
      </c>
      <c r="K38" s="611">
        <f t="shared" si="1"/>
        <v>0</v>
      </c>
      <c r="L38" s="612">
        <f>VLOOKUP(A38,'BS Gr'!A:A,1,FALSE)</f>
        <v>100507</v>
      </c>
      <c r="M38" s="612">
        <f t="shared" si="2"/>
        <v>1</v>
      </c>
      <c r="N38" s="613">
        <f t="shared" si="5"/>
        <v>0</v>
      </c>
      <c r="O38" s="613">
        <f t="shared" si="3"/>
        <v>0</v>
      </c>
      <c r="P38" s="613">
        <v>0</v>
      </c>
      <c r="Q38" s="613">
        <f t="shared" si="6"/>
        <v>0</v>
      </c>
      <c r="R38" s="1514"/>
      <c r="S38" s="1617" t="e">
        <f>SUMIF('[105]TB for financial'!$A:$A,A38,'[105]TB for financial'!$E:$E)</f>
        <v>#VALUE!</v>
      </c>
      <c r="T38" s="613"/>
    </row>
    <row r="39" spans="1:20">
      <c r="A39" s="608">
        <v>100508</v>
      </c>
      <c r="B39" s="609" t="s">
        <v>1001</v>
      </c>
      <c r="C39" s="610">
        <f t="shared" si="4"/>
        <v>0</v>
      </c>
      <c r="D39" s="611">
        <v>0</v>
      </c>
      <c r="E39" s="610">
        <f>SUMIF('Entries 24-25'!$B:$B,A:A,'Entries 24-25'!$D:$D)-SUMIF('Entries 24-25'!$B:$B,A:A,'Entries 24-25'!$E:$E)+SUMIF('IND AS entries 24-25'!$B:$B,A:A,'IND AS entries 24-25'!$D:$D)-SUMIF('IND AS entries 24-25'!$B:$B,A:A,'IND AS entries 24-25'!$E:$E)</f>
        <v>0</v>
      </c>
      <c r="F39" s="611">
        <f t="shared" si="0"/>
        <v>0</v>
      </c>
      <c r="G39" s="610"/>
      <c r="H39" s="610">
        <v>0</v>
      </c>
      <c r="I39" s="611">
        <v>0</v>
      </c>
      <c r="J39" s="610">
        <v>0</v>
      </c>
      <c r="K39" s="611">
        <f t="shared" si="1"/>
        <v>0</v>
      </c>
      <c r="L39" s="612">
        <f>VLOOKUP(A39,'BS Gr'!A:A,1,FALSE)</f>
        <v>100508</v>
      </c>
      <c r="M39" s="612">
        <f t="shared" si="2"/>
        <v>1</v>
      </c>
      <c r="N39" s="613">
        <f t="shared" si="5"/>
        <v>0</v>
      </c>
      <c r="O39" s="613">
        <f t="shared" si="3"/>
        <v>0</v>
      </c>
      <c r="P39" s="613">
        <v>0</v>
      </c>
      <c r="Q39" s="613">
        <f t="shared" si="6"/>
        <v>0</v>
      </c>
      <c r="R39" s="1514"/>
      <c r="S39" s="1617" t="e">
        <f>SUMIF('[105]TB for financial'!$A:$A,A39,'[105]TB for financial'!$E:$E)</f>
        <v>#VALUE!</v>
      </c>
      <c r="T39" s="613"/>
    </row>
    <row r="40" spans="1:20">
      <c r="A40" s="608">
        <v>100509</v>
      </c>
      <c r="B40" s="609" t="s">
        <v>1002</v>
      </c>
      <c r="C40" s="610">
        <f t="shared" si="4"/>
        <v>0</v>
      </c>
      <c r="D40" s="611">
        <v>0</v>
      </c>
      <c r="E40" s="610">
        <f>SUMIF('Entries 24-25'!$B:$B,A:A,'Entries 24-25'!$D:$D)-SUMIF('Entries 24-25'!$B:$B,A:A,'Entries 24-25'!$E:$E)+SUMIF('IND AS entries 24-25'!$B:$B,A:A,'IND AS entries 24-25'!$D:$D)-SUMIF('IND AS entries 24-25'!$B:$B,A:A,'IND AS entries 24-25'!$E:$E)</f>
        <v>0</v>
      </c>
      <c r="F40" s="611">
        <f t="shared" si="0"/>
        <v>0</v>
      </c>
      <c r="G40" s="610"/>
      <c r="H40" s="610">
        <v>0</v>
      </c>
      <c r="I40" s="611">
        <v>0</v>
      </c>
      <c r="J40" s="610">
        <v>0</v>
      </c>
      <c r="K40" s="611">
        <f t="shared" si="1"/>
        <v>0</v>
      </c>
      <c r="L40" s="612">
        <f>VLOOKUP(A40,'BS Gr'!A:A,1,FALSE)</f>
        <v>100509</v>
      </c>
      <c r="M40" s="612">
        <f t="shared" si="2"/>
        <v>1</v>
      </c>
      <c r="N40" s="613">
        <f t="shared" si="5"/>
        <v>0</v>
      </c>
      <c r="O40" s="613">
        <f t="shared" si="3"/>
        <v>0</v>
      </c>
      <c r="P40" s="613">
        <v>0</v>
      </c>
      <c r="Q40" s="613">
        <f t="shared" si="6"/>
        <v>0</v>
      </c>
      <c r="R40" s="1514"/>
      <c r="S40" s="1617" t="e">
        <f>SUMIF('[105]TB for financial'!$A:$A,A40,'[105]TB for financial'!$E:$E)</f>
        <v>#VALUE!</v>
      </c>
      <c r="T40" s="613"/>
    </row>
    <row r="41" spans="1:20">
      <c r="A41" s="608">
        <v>100510</v>
      </c>
      <c r="B41" s="609" t="s">
        <v>1003</v>
      </c>
      <c r="C41" s="610">
        <f t="shared" si="4"/>
        <v>0</v>
      </c>
      <c r="D41" s="611">
        <v>0</v>
      </c>
      <c r="E41" s="610">
        <f>SUMIF('Entries 24-25'!$B:$B,A:A,'Entries 24-25'!$D:$D)-SUMIF('Entries 24-25'!$B:$B,A:A,'Entries 24-25'!$E:$E)+SUMIF('IND AS entries 24-25'!$B:$B,A:A,'IND AS entries 24-25'!$D:$D)-SUMIF('IND AS entries 24-25'!$B:$B,A:A,'IND AS entries 24-25'!$E:$E)</f>
        <v>0</v>
      </c>
      <c r="F41" s="611">
        <f t="shared" si="0"/>
        <v>0</v>
      </c>
      <c r="G41" s="610"/>
      <c r="H41" s="610">
        <v>0</v>
      </c>
      <c r="I41" s="611">
        <v>0</v>
      </c>
      <c r="J41" s="610">
        <v>0</v>
      </c>
      <c r="K41" s="611">
        <f t="shared" si="1"/>
        <v>0</v>
      </c>
      <c r="L41" s="612">
        <f>VLOOKUP(A41,'BS Gr'!A:A,1,FALSE)</f>
        <v>100510</v>
      </c>
      <c r="M41" s="612">
        <f t="shared" si="2"/>
        <v>1</v>
      </c>
      <c r="N41" s="613">
        <f t="shared" si="5"/>
        <v>0</v>
      </c>
      <c r="O41" s="613">
        <f t="shared" si="3"/>
        <v>0</v>
      </c>
      <c r="P41" s="613">
        <v>0</v>
      </c>
      <c r="Q41" s="613">
        <f t="shared" si="6"/>
        <v>0</v>
      </c>
      <c r="R41" s="1514"/>
      <c r="S41" s="1617" t="e">
        <f>SUMIF('[105]TB for financial'!$A:$A,A41,'[105]TB for financial'!$E:$E)</f>
        <v>#VALUE!</v>
      </c>
      <c r="T41" s="613"/>
    </row>
    <row r="42" spans="1:20">
      <c r="A42" s="608">
        <v>100511</v>
      </c>
      <c r="B42" s="609" t="s">
        <v>1004</v>
      </c>
      <c r="C42" s="610">
        <f t="shared" si="4"/>
        <v>-3.7252902984619141E-9</v>
      </c>
      <c r="D42" s="611">
        <v>0</v>
      </c>
      <c r="E42" s="610">
        <f>SUMIF('Entries 24-25'!$B:$B,A:A,'Entries 24-25'!$D:$D)-SUMIF('Entries 24-25'!$B:$B,A:A,'Entries 24-25'!$E:$E)+SUMIF('IND AS entries 24-25'!$B:$B,A:A,'IND AS entries 24-25'!$D:$D)-SUMIF('IND AS entries 24-25'!$B:$B,A:A,'IND AS entries 24-25'!$E:$E)</f>
        <v>0</v>
      </c>
      <c r="F42" s="611">
        <f t="shared" si="0"/>
        <v>-3.7252902984619141E-9</v>
      </c>
      <c r="G42" s="610"/>
      <c r="H42" s="610">
        <v>-3.7252902984619141E-9</v>
      </c>
      <c r="I42" s="611">
        <v>0</v>
      </c>
      <c r="J42" s="610">
        <v>0</v>
      </c>
      <c r="K42" s="611">
        <f t="shared" si="1"/>
        <v>-3.7252902984619141E-9</v>
      </c>
      <c r="L42" s="612">
        <f>VLOOKUP(A42,'BS Gr'!A:A,1,FALSE)</f>
        <v>100511</v>
      </c>
      <c r="M42" s="612">
        <f t="shared" si="2"/>
        <v>1</v>
      </c>
      <c r="N42" s="613">
        <f t="shared" si="5"/>
        <v>0</v>
      </c>
      <c r="O42" s="613">
        <f t="shared" si="3"/>
        <v>0</v>
      </c>
      <c r="P42" s="613">
        <v>32359567.019999996</v>
      </c>
      <c r="Q42" s="613">
        <f t="shared" si="6"/>
        <v>-32359567.02</v>
      </c>
      <c r="R42" s="1514"/>
      <c r="S42" s="1617" t="e">
        <f>SUMIF('[105]TB for financial'!$A:$A,A42,'[105]TB for financial'!$E:$E)</f>
        <v>#VALUE!</v>
      </c>
      <c r="T42" s="613"/>
    </row>
    <row r="43" spans="1:20">
      <c r="A43" s="608">
        <v>100513</v>
      </c>
      <c r="B43" s="609" t="s">
        <v>1005</v>
      </c>
      <c r="C43" s="610">
        <f t="shared" si="4"/>
        <v>1.0000000001855369</v>
      </c>
      <c r="D43" s="611">
        <v>0</v>
      </c>
      <c r="E43" s="610">
        <f>SUMIF('Entries 24-25'!$B:$B,A:A,'Entries 24-25'!$D:$D)-SUMIF('Entries 24-25'!$B:$B,A:A,'Entries 24-25'!$E:$E)+SUMIF('IND AS entries 24-25'!$B:$B,A:A,'IND AS entries 24-25'!$D:$D)-SUMIF('IND AS entries 24-25'!$B:$B,A:A,'IND AS entries 24-25'!$E:$E)</f>
        <v>0</v>
      </c>
      <c r="F43" s="611">
        <f t="shared" si="0"/>
        <v>1.0000000001855369</v>
      </c>
      <c r="G43" s="610"/>
      <c r="H43" s="610">
        <v>1.0000000001855369</v>
      </c>
      <c r="I43" s="611">
        <v>0</v>
      </c>
      <c r="J43" s="610">
        <v>0</v>
      </c>
      <c r="K43" s="611">
        <f t="shared" si="1"/>
        <v>1.0000000001855369</v>
      </c>
      <c r="L43" s="612">
        <f>VLOOKUP(A43,'BS Gr'!A:A,1,FALSE)</f>
        <v>100513</v>
      </c>
      <c r="M43" s="612">
        <f t="shared" si="2"/>
        <v>1</v>
      </c>
      <c r="N43" s="613">
        <f t="shared" si="5"/>
        <v>0</v>
      </c>
      <c r="O43" s="613">
        <f t="shared" si="3"/>
        <v>0</v>
      </c>
      <c r="P43" s="613">
        <v>523426.5</v>
      </c>
      <c r="Q43" s="613">
        <f t="shared" si="6"/>
        <v>-523425.49999999983</v>
      </c>
      <c r="R43" s="1514"/>
      <c r="S43" s="1617" t="e">
        <f>SUMIF('[105]TB for financial'!$A:$A,A43,'[105]TB for financial'!$E:$E)</f>
        <v>#VALUE!</v>
      </c>
      <c r="T43" s="613"/>
    </row>
    <row r="44" spans="1:20">
      <c r="A44" s="608">
        <v>100514</v>
      </c>
      <c r="B44" s="609" t="s">
        <v>1006</v>
      </c>
      <c r="C44" s="610">
        <f t="shared" si="4"/>
        <v>-0.30000000016298145</v>
      </c>
      <c r="D44" s="611">
        <v>0</v>
      </c>
      <c r="E44" s="610">
        <f>SUMIF('Entries 24-25'!$B:$B,A:A,'Entries 24-25'!$D:$D)-SUMIF('Entries 24-25'!$B:$B,A:A,'Entries 24-25'!$E:$E)+SUMIF('IND AS entries 24-25'!$B:$B,A:A,'IND AS entries 24-25'!$D:$D)-SUMIF('IND AS entries 24-25'!$B:$B,A:A,'IND AS entries 24-25'!$E:$E)</f>
        <v>0</v>
      </c>
      <c r="F44" s="611">
        <f t="shared" si="0"/>
        <v>-0.30000000016298145</v>
      </c>
      <c r="G44" s="610"/>
      <c r="H44" s="610">
        <v>-0.30000000016298145</v>
      </c>
      <c r="I44" s="611">
        <v>0</v>
      </c>
      <c r="J44" s="610">
        <v>0</v>
      </c>
      <c r="K44" s="611">
        <f t="shared" si="1"/>
        <v>-0.30000000016298145</v>
      </c>
      <c r="L44" s="612">
        <f>VLOOKUP(A44,'BS Gr'!A:A,1,FALSE)</f>
        <v>100514</v>
      </c>
      <c r="M44" s="612">
        <f t="shared" si="2"/>
        <v>1</v>
      </c>
      <c r="N44" s="613">
        <f t="shared" si="5"/>
        <v>0</v>
      </c>
      <c r="O44" s="613">
        <f t="shared" si="3"/>
        <v>0</v>
      </c>
      <c r="P44" s="613">
        <v>66522.069999999832</v>
      </c>
      <c r="Q44" s="613">
        <f t="shared" si="6"/>
        <v>-66522.37</v>
      </c>
      <c r="R44" s="1514"/>
      <c r="S44" s="1617" t="e">
        <f>SUMIF('[105]TB for financial'!$A:$A,A44,'[105]TB for financial'!$E:$E)</f>
        <v>#VALUE!</v>
      </c>
      <c r="T44" s="613"/>
    </row>
    <row r="45" spans="1:20">
      <c r="A45" s="608">
        <v>100515</v>
      </c>
      <c r="B45" s="609" t="s">
        <v>1007</v>
      </c>
      <c r="C45" s="610">
        <f t="shared" si="4"/>
        <v>0</v>
      </c>
      <c r="D45" s="611">
        <v>0</v>
      </c>
      <c r="E45" s="610">
        <f>SUMIF('Entries 24-25'!$B:$B,A:A,'Entries 24-25'!$D:$D)-SUMIF('Entries 24-25'!$B:$B,A:A,'Entries 24-25'!$E:$E)+SUMIF('IND AS entries 24-25'!$B:$B,A:A,'IND AS entries 24-25'!$D:$D)-SUMIF('IND AS entries 24-25'!$B:$B,A:A,'IND AS entries 24-25'!$E:$E)</f>
        <v>0</v>
      </c>
      <c r="F45" s="611">
        <f t="shared" si="0"/>
        <v>0</v>
      </c>
      <c r="G45" s="610"/>
      <c r="H45" s="610">
        <v>0</v>
      </c>
      <c r="I45" s="611">
        <v>0</v>
      </c>
      <c r="J45" s="610">
        <v>0</v>
      </c>
      <c r="K45" s="611">
        <f t="shared" si="1"/>
        <v>0</v>
      </c>
      <c r="L45" s="612">
        <f>VLOOKUP(A45,'BS Gr'!A:A,1,FALSE)</f>
        <v>100515</v>
      </c>
      <c r="M45" s="612">
        <f t="shared" si="2"/>
        <v>1</v>
      </c>
      <c r="N45" s="613">
        <f t="shared" si="5"/>
        <v>0</v>
      </c>
      <c r="O45" s="613">
        <f t="shared" si="3"/>
        <v>0</v>
      </c>
      <c r="P45" s="613">
        <v>0</v>
      </c>
      <c r="Q45" s="613">
        <f t="shared" si="6"/>
        <v>0</v>
      </c>
      <c r="R45" s="1514"/>
      <c r="S45" s="1617" t="e">
        <f>SUMIF('[105]TB for financial'!$A:$A,A45,'[105]TB for financial'!$E:$E)</f>
        <v>#VALUE!</v>
      </c>
      <c r="T45" s="613"/>
    </row>
    <row r="46" spans="1:20">
      <c r="A46" s="608">
        <v>100516</v>
      </c>
      <c r="B46" s="609" t="s">
        <v>1008</v>
      </c>
      <c r="C46" s="610">
        <f t="shared" si="4"/>
        <v>0</v>
      </c>
      <c r="D46" s="611">
        <v>0</v>
      </c>
      <c r="E46" s="610">
        <f>SUMIF('Entries 24-25'!$B:$B,A:A,'Entries 24-25'!$D:$D)-SUMIF('Entries 24-25'!$B:$B,A:A,'Entries 24-25'!$E:$E)+SUMIF('IND AS entries 24-25'!$B:$B,A:A,'IND AS entries 24-25'!$D:$D)-SUMIF('IND AS entries 24-25'!$B:$B,A:A,'IND AS entries 24-25'!$E:$E)</f>
        <v>0</v>
      </c>
      <c r="F46" s="611">
        <f t="shared" si="0"/>
        <v>0</v>
      </c>
      <c r="G46" s="610"/>
      <c r="H46" s="610">
        <v>0</v>
      </c>
      <c r="I46" s="611">
        <v>0</v>
      </c>
      <c r="J46" s="610">
        <v>0</v>
      </c>
      <c r="K46" s="611">
        <f t="shared" si="1"/>
        <v>0</v>
      </c>
      <c r="L46" s="612">
        <f>VLOOKUP(A46,'BS Gr'!A:A,1,FALSE)</f>
        <v>100516</v>
      </c>
      <c r="M46" s="612">
        <f t="shared" si="2"/>
        <v>1</v>
      </c>
      <c r="N46" s="613">
        <f t="shared" si="5"/>
        <v>0</v>
      </c>
      <c r="O46" s="613">
        <f t="shared" si="3"/>
        <v>0</v>
      </c>
      <c r="P46" s="613">
        <v>0</v>
      </c>
      <c r="Q46" s="613">
        <f t="shared" si="6"/>
        <v>0</v>
      </c>
      <c r="R46" s="1514"/>
      <c r="S46" s="1617" t="e">
        <f>SUMIF('[105]TB for financial'!$A:$A,A46,'[105]TB for financial'!$E:$E)</f>
        <v>#VALUE!</v>
      </c>
      <c r="T46" s="613"/>
    </row>
    <row r="47" spans="1:20">
      <c r="A47" s="608">
        <v>100519</v>
      </c>
      <c r="B47" s="609" t="s">
        <v>1009</v>
      </c>
      <c r="C47" s="610">
        <f t="shared" si="4"/>
        <v>0</v>
      </c>
      <c r="D47" s="611">
        <v>0</v>
      </c>
      <c r="E47" s="610">
        <f>SUMIF('Entries 24-25'!$B:$B,A:A,'Entries 24-25'!$D:$D)-SUMIF('Entries 24-25'!$B:$B,A:A,'Entries 24-25'!$E:$E)+SUMIF('IND AS entries 24-25'!$B:$B,A:A,'IND AS entries 24-25'!$D:$D)-SUMIF('IND AS entries 24-25'!$B:$B,A:A,'IND AS entries 24-25'!$E:$E)</f>
        <v>0</v>
      </c>
      <c r="F47" s="611">
        <f t="shared" si="0"/>
        <v>0</v>
      </c>
      <c r="G47" s="610"/>
      <c r="H47" s="610">
        <v>0</v>
      </c>
      <c r="I47" s="611">
        <v>0</v>
      </c>
      <c r="J47" s="610">
        <v>0</v>
      </c>
      <c r="K47" s="611">
        <f t="shared" si="1"/>
        <v>0</v>
      </c>
      <c r="L47" s="612">
        <f>VLOOKUP(A47,'BS Gr'!A:A,1,FALSE)</f>
        <v>100519</v>
      </c>
      <c r="M47" s="612">
        <f t="shared" si="2"/>
        <v>1</v>
      </c>
      <c r="N47" s="613">
        <f t="shared" si="5"/>
        <v>0</v>
      </c>
      <c r="O47" s="613">
        <f t="shared" si="3"/>
        <v>0</v>
      </c>
      <c r="P47" s="613">
        <v>0</v>
      </c>
      <c r="Q47" s="613">
        <f t="shared" si="6"/>
        <v>0</v>
      </c>
      <c r="R47" s="1514"/>
      <c r="S47" s="1617" t="e">
        <f>SUMIF('[105]TB for financial'!$A:$A,A47,'[105]TB for financial'!$E:$E)</f>
        <v>#VALUE!</v>
      </c>
      <c r="T47" s="613"/>
    </row>
    <row r="48" spans="1:20">
      <c r="A48" s="608">
        <v>100520</v>
      </c>
      <c r="B48" s="609" t="s">
        <v>1010</v>
      </c>
      <c r="C48" s="610">
        <f t="shared" si="4"/>
        <v>0</v>
      </c>
      <c r="D48" s="611">
        <v>0</v>
      </c>
      <c r="E48" s="610">
        <f>SUMIF('Entries 24-25'!$B:$B,A:A,'Entries 24-25'!$D:$D)-SUMIF('Entries 24-25'!$B:$B,A:A,'Entries 24-25'!$E:$E)+SUMIF('IND AS entries 24-25'!$B:$B,A:A,'IND AS entries 24-25'!$D:$D)-SUMIF('IND AS entries 24-25'!$B:$B,A:A,'IND AS entries 24-25'!$E:$E)</f>
        <v>0</v>
      </c>
      <c r="F48" s="611">
        <f t="shared" si="0"/>
        <v>0</v>
      </c>
      <c r="G48" s="610"/>
      <c r="H48" s="610">
        <v>0</v>
      </c>
      <c r="I48" s="611">
        <v>0</v>
      </c>
      <c r="J48" s="610">
        <v>0</v>
      </c>
      <c r="K48" s="611">
        <f t="shared" si="1"/>
        <v>0</v>
      </c>
      <c r="L48" s="612">
        <f>VLOOKUP(A48,'BS Gr'!A:A,1,FALSE)</f>
        <v>100520</v>
      </c>
      <c r="M48" s="612">
        <f t="shared" si="2"/>
        <v>1</v>
      </c>
      <c r="N48" s="613">
        <f t="shared" si="5"/>
        <v>0</v>
      </c>
      <c r="O48" s="613">
        <f t="shared" si="3"/>
        <v>0</v>
      </c>
      <c r="P48" s="613">
        <v>0</v>
      </c>
      <c r="Q48" s="613">
        <f t="shared" si="6"/>
        <v>0</v>
      </c>
      <c r="R48" s="1514"/>
      <c r="S48" s="1617" t="e">
        <f>SUMIF('[105]TB for financial'!$A:$A,A48,'[105]TB for financial'!$E:$E)</f>
        <v>#VALUE!</v>
      </c>
      <c r="T48" s="613"/>
    </row>
    <row r="49" spans="1:20">
      <c r="A49" s="608">
        <v>100517</v>
      </c>
      <c r="B49" s="609" t="s">
        <v>1011</v>
      </c>
      <c r="C49" s="610">
        <f t="shared" si="4"/>
        <v>0</v>
      </c>
      <c r="D49" s="611">
        <v>0</v>
      </c>
      <c r="E49" s="610">
        <f>SUMIF('Entries 24-25'!$B:$B,A:A,'Entries 24-25'!$D:$D)-SUMIF('Entries 24-25'!$B:$B,A:A,'Entries 24-25'!$E:$E)+SUMIF('IND AS entries 24-25'!$B:$B,A:A,'IND AS entries 24-25'!$D:$D)-SUMIF('IND AS entries 24-25'!$B:$B,A:A,'IND AS entries 24-25'!$E:$E)</f>
        <v>0</v>
      </c>
      <c r="F49" s="611">
        <f t="shared" si="0"/>
        <v>0</v>
      </c>
      <c r="G49" s="610"/>
      <c r="H49" s="610">
        <v>0</v>
      </c>
      <c r="I49" s="611">
        <v>0</v>
      </c>
      <c r="J49" s="610">
        <v>0</v>
      </c>
      <c r="K49" s="611">
        <f t="shared" si="1"/>
        <v>0</v>
      </c>
      <c r="L49" s="612">
        <f>VLOOKUP(A49,'BS Gr'!A:A,1,FALSE)</f>
        <v>100517</v>
      </c>
      <c r="M49" s="612">
        <f t="shared" si="2"/>
        <v>1</v>
      </c>
      <c r="N49" s="613">
        <f t="shared" si="5"/>
        <v>0</v>
      </c>
      <c r="O49" s="613">
        <f t="shared" si="3"/>
        <v>0</v>
      </c>
      <c r="P49" s="613">
        <v>166696591</v>
      </c>
      <c r="Q49" s="613">
        <f t="shared" si="6"/>
        <v>-166696591</v>
      </c>
      <c r="R49" s="1514"/>
      <c r="S49" s="1617" t="e">
        <f>SUMIF('[105]TB for financial'!$A:$A,A49,'[105]TB for financial'!$E:$E)</f>
        <v>#VALUE!</v>
      </c>
      <c r="T49" s="613"/>
    </row>
    <row r="50" spans="1:20">
      <c r="A50" s="608">
        <v>100521</v>
      </c>
      <c r="B50" s="609" t="s">
        <v>1012</v>
      </c>
      <c r="C50" s="610">
        <f t="shared" si="4"/>
        <v>0</v>
      </c>
      <c r="D50" s="611">
        <v>0</v>
      </c>
      <c r="E50" s="610">
        <f>SUMIF('Entries 24-25'!$B:$B,A:A,'Entries 24-25'!$D:$D)-SUMIF('Entries 24-25'!$B:$B,A:A,'Entries 24-25'!$E:$E)+SUMIF('IND AS entries 24-25'!$B:$B,A:A,'IND AS entries 24-25'!$D:$D)-SUMIF('IND AS entries 24-25'!$B:$B,A:A,'IND AS entries 24-25'!$E:$E)</f>
        <v>0</v>
      </c>
      <c r="F50" s="611">
        <f t="shared" si="0"/>
        <v>0</v>
      </c>
      <c r="G50" s="610"/>
      <c r="H50" s="610">
        <v>0</v>
      </c>
      <c r="I50" s="611">
        <v>0</v>
      </c>
      <c r="J50" s="610">
        <v>0</v>
      </c>
      <c r="K50" s="611">
        <f t="shared" si="1"/>
        <v>0</v>
      </c>
      <c r="L50" s="612">
        <f>VLOOKUP(A50,'BS Gr'!A:A,1,FALSE)</f>
        <v>100521</v>
      </c>
      <c r="M50" s="612">
        <f t="shared" si="2"/>
        <v>1</v>
      </c>
      <c r="N50" s="613">
        <f t="shared" si="5"/>
        <v>0</v>
      </c>
      <c r="O50" s="613">
        <f t="shared" si="3"/>
        <v>0</v>
      </c>
      <c r="P50" s="613">
        <v>0</v>
      </c>
      <c r="Q50" s="613">
        <f t="shared" si="6"/>
        <v>0</v>
      </c>
      <c r="R50" s="1514"/>
      <c r="S50" s="1617" t="e">
        <f>SUMIF('[105]TB for financial'!$A:$A,A50,'[105]TB for financial'!$E:$E)</f>
        <v>#VALUE!</v>
      </c>
      <c r="T50" s="613"/>
    </row>
    <row r="51" spans="1:20">
      <c r="A51" s="608">
        <v>100522</v>
      </c>
      <c r="B51" s="609" t="s">
        <v>1013</v>
      </c>
      <c r="C51" s="610">
        <f t="shared" si="4"/>
        <v>0</v>
      </c>
      <c r="D51" s="611">
        <v>0</v>
      </c>
      <c r="E51" s="610">
        <f>SUMIF('Entries 24-25'!$B:$B,A:A,'Entries 24-25'!$D:$D)-SUMIF('Entries 24-25'!$B:$B,A:A,'Entries 24-25'!$E:$E)+SUMIF('IND AS entries 24-25'!$B:$B,A:A,'IND AS entries 24-25'!$D:$D)-SUMIF('IND AS entries 24-25'!$B:$B,A:A,'IND AS entries 24-25'!$E:$E)</f>
        <v>0</v>
      </c>
      <c r="F51" s="611">
        <f t="shared" si="0"/>
        <v>0</v>
      </c>
      <c r="G51" s="610"/>
      <c r="H51" s="610">
        <v>0</v>
      </c>
      <c r="I51" s="611">
        <v>0</v>
      </c>
      <c r="J51" s="610">
        <v>0</v>
      </c>
      <c r="K51" s="611">
        <f t="shared" si="1"/>
        <v>0</v>
      </c>
      <c r="L51" s="612">
        <f>VLOOKUP(A51,'BS Gr'!A:A,1,FALSE)</f>
        <v>100522</v>
      </c>
      <c r="M51" s="612">
        <f t="shared" si="2"/>
        <v>1</v>
      </c>
      <c r="N51" s="613">
        <f t="shared" si="5"/>
        <v>0</v>
      </c>
      <c r="O51" s="613">
        <f t="shared" si="3"/>
        <v>0</v>
      </c>
      <c r="P51" s="613">
        <v>0</v>
      </c>
      <c r="Q51" s="613">
        <f t="shared" si="6"/>
        <v>0</v>
      </c>
      <c r="R51" s="1514"/>
      <c r="S51" s="1617" t="e">
        <f>SUMIF('[105]TB for financial'!$A:$A,A51,'[105]TB for financial'!$E:$E)</f>
        <v>#VALUE!</v>
      </c>
      <c r="T51" s="613"/>
    </row>
    <row r="52" spans="1:20">
      <c r="A52" s="608">
        <v>100523</v>
      </c>
      <c r="B52" s="609" t="s">
        <v>1014</v>
      </c>
      <c r="C52" s="610">
        <f t="shared" si="4"/>
        <v>0</v>
      </c>
      <c r="D52" s="611">
        <v>0</v>
      </c>
      <c r="E52" s="610">
        <f>SUMIF('Entries 24-25'!$B:$B,A:A,'Entries 24-25'!$D:$D)-SUMIF('Entries 24-25'!$B:$B,A:A,'Entries 24-25'!$E:$E)+SUMIF('IND AS entries 24-25'!$B:$B,A:A,'IND AS entries 24-25'!$D:$D)-SUMIF('IND AS entries 24-25'!$B:$B,A:A,'IND AS entries 24-25'!$E:$E)</f>
        <v>0</v>
      </c>
      <c r="F52" s="611">
        <f t="shared" si="0"/>
        <v>0</v>
      </c>
      <c r="G52" s="610"/>
      <c r="H52" s="610">
        <v>0</v>
      </c>
      <c r="I52" s="611">
        <v>0</v>
      </c>
      <c r="J52" s="610">
        <v>0</v>
      </c>
      <c r="K52" s="611">
        <f t="shared" si="1"/>
        <v>0</v>
      </c>
      <c r="L52" s="612">
        <f>VLOOKUP(A52,'BS Gr'!A:A,1,FALSE)</f>
        <v>100523</v>
      </c>
      <c r="M52" s="612">
        <f t="shared" si="2"/>
        <v>1</v>
      </c>
      <c r="N52" s="613">
        <f t="shared" si="5"/>
        <v>0</v>
      </c>
      <c r="O52" s="613">
        <f t="shared" si="3"/>
        <v>0</v>
      </c>
      <c r="P52" s="613">
        <v>0</v>
      </c>
      <c r="Q52" s="613">
        <f t="shared" si="6"/>
        <v>0</v>
      </c>
      <c r="R52" s="1514"/>
      <c r="S52" s="1617" t="e">
        <f>SUMIF('[105]TB for financial'!$A:$A,A52,'[105]TB for financial'!$E:$E)</f>
        <v>#VALUE!</v>
      </c>
      <c r="T52" s="613"/>
    </row>
    <row r="53" spans="1:20">
      <c r="A53" s="608">
        <v>100524</v>
      </c>
      <c r="B53" s="609" t="s">
        <v>1015</v>
      </c>
      <c r="C53" s="610">
        <f t="shared" si="4"/>
        <v>0</v>
      </c>
      <c r="D53" s="611">
        <v>0</v>
      </c>
      <c r="E53" s="610">
        <f>SUMIF('Entries 24-25'!$B:$B,A:A,'Entries 24-25'!$D:$D)-SUMIF('Entries 24-25'!$B:$B,A:A,'Entries 24-25'!$E:$E)+SUMIF('IND AS entries 24-25'!$B:$B,A:A,'IND AS entries 24-25'!$D:$D)-SUMIF('IND AS entries 24-25'!$B:$B,A:A,'IND AS entries 24-25'!$E:$E)</f>
        <v>0</v>
      </c>
      <c r="F53" s="611">
        <f t="shared" si="0"/>
        <v>0</v>
      </c>
      <c r="G53" s="610"/>
      <c r="H53" s="610">
        <v>0</v>
      </c>
      <c r="I53" s="611">
        <v>0</v>
      </c>
      <c r="J53" s="610">
        <v>0</v>
      </c>
      <c r="K53" s="611">
        <f t="shared" si="1"/>
        <v>0</v>
      </c>
      <c r="L53" s="612">
        <f>VLOOKUP(A53,'BS Gr'!A:A,1,FALSE)</f>
        <v>100524</v>
      </c>
      <c r="M53" s="612">
        <f t="shared" si="2"/>
        <v>1</v>
      </c>
      <c r="N53" s="613">
        <f t="shared" si="5"/>
        <v>0</v>
      </c>
      <c r="O53" s="613">
        <f t="shared" si="3"/>
        <v>0</v>
      </c>
      <c r="P53" s="613">
        <v>0</v>
      </c>
      <c r="Q53" s="613">
        <f t="shared" si="6"/>
        <v>0</v>
      </c>
      <c r="R53" s="1514"/>
      <c r="S53" s="1617" t="e">
        <f>SUMIF('[105]TB for financial'!$A:$A,A53,'[105]TB for financial'!$E:$E)</f>
        <v>#VALUE!</v>
      </c>
      <c r="T53" s="613"/>
    </row>
    <row r="54" spans="1:20">
      <c r="A54" s="608">
        <v>100525</v>
      </c>
      <c r="B54" s="609" t="s">
        <v>1016</v>
      </c>
      <c r="C54" s="610">
        <f t="shared" si="4"/>
        <v>0</v>
      </c>
      <c r="D54" s="611">
        <v>0</v>
      </c>
      <c r="E54" s="610">
        <f>SUMIF('Entries 24-25'!$B:$B,A:A,'Entries 24-25'!$D:$D)-SUMIF('Entries 24-25'!$B:$B,A:A,'Entries 24-25'!$E:$E)+SUMIF('IND AS entries 24-25'!$B:$B,A:A,'IND AS entries 24-25'!$D:$D)-SUMIF('IND AS entries 24-25'!$B:$B,A:A,'IND AS entries 24-25'!$E:$E)</f>
        <v>0</v>
      </c>
      <c r="F54" s="611">
        <f t="shared" si="0"/>
        <v>0</v>
      </c>
      <c r="G54" s="610"/>
      <c r="H54" s="610">
        <v>0</v>
      </c>
      <c r="I54" s="611">
        <v>0</v>
      </c>
      <c r="J54" s="610">
        <v>0</v>
      </c>
      <c r="K54" s="611">
        <f t="shared" si="1"/>
        <v>0</v>
      </c>
      <c r="L54" s="612">
        <f>VLOOKUP(A54,'BS Gr'!A:A,1,FALSE)</f>
        <v>100525</v>
      </c>
      <c r="M54" s="612">
        <f t="shared" si="2"/>
        <v>1</v>
      </c>
      <c r="N54" s="613">
        <f t="shared" si="5"/>
        <v>0</v>
      </c>
      <c r="O54" s="613">
        <f t="shared" si="3"/>
        <v>0</v>
      </c>
      <c r="P54" s="613">
        <v>0</v>
      </c>
      <c r="Q54" s="613">
        <f t="shared" si="6"/>
        <v>0</v>
      </c>
      <c r="R54" s="1514"/>
      <c r="S54" s="1617" t="e">
        <f>SUMIF('[105]TB for financial'!$A:$A,A54,'[105]TB for financial'!$E:$E)</f>
        <v>#VALUE!</v>
      </c>
      <c r="T54" s="613"/>
    </row>
    <row r="55" spans="1:20">
      <c r="A55" s="608">
        <v>100526</v>
      </c>
      <c r="B55" s="609" t="s">
        <v>1017</v>
      </c>
      <c r="C55" s="610">
        <f t="shared" si="4"/>
        <v>0</v>
      </c>
      <c r="D55" s="611">
        <v>0</v>
      </c>
      <c r="E55" s="610">
        <f>SUMIF('Entries 24-25'!$B:$B,A:A,'Entries 24-25'!$D:$D)-SUMIF('Entries 24-25'!$B:$B,A:A,'Entries 24-25'!$E:$E)+SUMIF('IND AS entries 24-25'!$B:$B,A:A,'IND AS entries 24-25'!$D:$D)-SUMIF('IND AS entries 24-25'!$B:$B,A:A,'IND AS entries 24-25'!$E:$E)</f>
        <v>0</v>
      </c>
      <c r="F55" s="611">
        <f t="shared" si="0"/>
        <v>0</v>
      </c>
      <c r="G55" s="610"/>
      <c r="H55" s="610">
        <v>0</v>
      </c>
      <c r="I55" s="611">
        <v>0</v>
      </c>
      <c r="J55" s="610">
        <v>0</v>
      </c>
      <c r="K55" s="611">
        <f t="shared" si="1"/>
        <v>0</v>
      </c>
      <c r="L55" s="612">
        <f>VLOOKUP(A55,'BS Gr'!A:A,1,FALSE)</f>
        <v>100526</v>
      </c>
      <c r="M55" s="612">
        <f t="shared" si="2"/>
        <v>1</v>
      </c>
      <c r="N55" s="613">
        <f t="shared" si="5"/>
        <v>0</v>
      </c>
      <c r="O55" s="613">
        <f t="shared" si="3"/>
        <v>0</v>
      </c>
      <c r="P55" s="613">
        <v>0</v>
      </c>
      <c r="Q55" s="613">
        <f t="shared" si="6"/>
        <v>0</v>
      </c>
      <c r="R55" s="1514"/>
      <c r="S55" s="1617" t="e">
        <f>SUMIF('[105]TB for financial'!$A:$A,A55,'[105]TB for financial'!$E:$E)</f>
        <v>#VALUE!</v>
      </c>
      <c r="T55" s="613"/>
    </row>
    <row r="56" spans="1:20">
      <c r="A56" s="608">
        <v>100527</v>
      </c>
      <c r="B56" s="609" t="s">
        <v>558</v>
      </c>
      <c r="C56" s="610">
        <f t="shared" si="4"/>
        <v>0.33800005912780762</v>
      </c>
      <c r="D56" s="611">
        <v>0</v>
      </c>
      <c r="E56" s="610">
        <f>SUMIF('Entries 24-25'!$B:$B,A:A,'Entries 24-25'!$D:$D)-SUMIF('Entries 24-25'!$B:$B,A:A,'Entries 24-25'!$E:$E)+SUMIF('IND AS entries 24-25'!$B:$B,A:A,'IND AS entries 24-25'!$D:$D)-SUMIF('IND AS entries 24-25'!$B:$B,A:A,'IND AS entries 24-25'!$E:$E)</f>
        <v>0</v>
      </c>
      <c r="F56" s="611">
        <f t="shared" si="0"/>
        <v>0.33800005912780762</v>
      </c>
      <c r="G56" s="610"/>
      <c r="H56" s="610">
        <v>0.33800005912780762</v>
      </c>
      <c r="I56" s="611">
        <v>0</v>
      </c>
      <c r="J56" s="610">
        <v>0</v>
      </c>
      <c r="K56" s="611">
        <f t="shared" si="1"/>
        <v>0.33800005912780762</v>
      </c>
      <c r="L56" s="612">
        <f>VLOOKUP(A56,'BS Gr'!A:A,1,FALSE)</f>
        <v>100527</v>
      </c>
      <c r="M56" s="612">
        <f t="shared" si="2"/>
        <v>1</v>
      </c>
      <c r="N56" s="613">
        <f t="shared" si="5"/>
        <v>0</v>
      </c>
      <c r="O56" s="613">
        <f t="shared" si="3"/>
        <v>0</v>
      </c>
      <c r="P56" s="613">
        <v>611513942.33800006</v>
      </c>
      <c r="Q56" s="613">
        <f t="shared" si="6"/>
        <v>-611513942</v>
      </c>
      <c r="R56" s="1514"/>
      <c r="S56" s="1617" t="e">
        <f>SUMIF('[105]TB for financial'!$A:$A,A56,'[105]TB for financial'!$E:$E)</f>
        <v>#VALUE!</v>
      </c>
      <c r="T56" s="613"/>
    </row>
    <row r="57" spans="1:20">
      <c r="A57" s="608">
        <v>100528</v>
      </c>
      <c r="B57" s="609" t="s">
        <v>1018</v>
      </c>
      <c r="C57" s="610">
        <f t="shared" si="4"/>
        <v>0</v>
      </c>
      <c r="D57" s="611">
        <v>0</v>
      </c>
      <c r="E57" s="610">
        <f>SUMIF('Entries 24-25'!$B:$B,A:A,'Entries 24-25'!$D:$D)-SUMIF('Entries 24-25'!$B:$B,A:A,'Entries 24-25'!$E:$E)+SUMIF('IND AS entries 24-25'!$B:$B,A:A,'IND AS entries 24-25'!$D:$D)-SUMIF('IND AS entries 24-25'!$B:$B,A:A,'IND AS entries 24-25'!$E:$E)</f>
        <v>0</v>
      </c>
      <c r="F57" s="611">
        <f t="shared" si="0"/>
        <v>0</v>
      </c>
      <c r="G57" s="610"/>
      <c r="H57" s="610">
        <v>0</v>
      </c>
      <c r="I57" s="611">
        <v>0</v>
      </c>
      <c r="J57" s="610">
        <v>0</v>
      </c>
      <c r="K57" s="611">
        <f t="shared" si="1"/>
        <v>0</v>
      </c>
      <c r="L57" s="612">
        <f>VLOOKUP(A57,'BS Gr'!A:A,1,FALSE)</f>
        <v>100528</v>
      </c>
      <c r="M57" s="612">
        <f t="shared" si="2"/>
        <v>1</v>
      </c>
      <c r="N57" s="613">
        <f t="shared" si="5"/>
        <v>0</v>
      </c>
      <c r="O57" s="613">
        <f t="shared" si="3"/>
        <v>0</v>
      </c>
      <c r="P57" s="613">
        <v>0</v>
      </c>
      <c r="Q57" s="613">
        <f t="shared" si="6"/>
        <v>0</v>
      </c>
      <c r="R57" s="1514"/>
      <c r="S57" s="1617" t="e">
        <f>SUMIF('[105]TB for financial'!$A:$A,A57,'[105]TB for financial'!$E:$E)</f>
        <v>#VALUE!</v>
      </c>
      <c r="T57" s="613"/>
    </row>
    <row r="58" spans="1:20">
      <c r="A58" s="608">
        <v>100529</v>
      </c>
      <c r="B58" s="609" t="s">
        <v>1019</v>
      </c>
      <c r="C58" s="610">
        <f t="shared" si="4"/>
        <v>0</v>
      </c>
      <c r="D58" s="611">
        <v>0</v>
      </c>
      <c r="E58" s="610">
        <f>SUMIF('Entries 24-25'!$B:$B,A:A,'Entries 24-25'!$D:$D)-SUMIF('Entries 24-25'!$B:$B,A:A,'Entries 24-25'!$E:$E)+SUMIF('IND AS entries 24-25'!$B:$B,A:A,'IND AS entries 24-25'!$D:$D)-SUMIF('IND AS entries 24-25'!$B:$B,A:A,'IND AS entries 24-25'!$E:$E)</f>
        <v>0</v>
      </c>
      <c r="F58" s="611">
        <f t="shared" si="0"/>
        <v>0</v>
      </c>
      <c r="G58" s="610"/>
      <c r="H58" s="610">
        <v>0</v>
      </c>
      <c r="I58" s="611">
        <v>0</v>
      </c>
      <c r="J58" s="610">
        <v>0</v>
      </c>
      <c r="K58" s="611">
        <f t="shared" si="1"/>
        <v>0</v>
      </c>
      <c r="L58" s="612">
        <f>VLOOKUP(A58,'BS Gr'!A:A,1,FALSE)</f>
        <v>100529</v>
      </c>
      <c r="M58" s="612">
        <f t="shared" si="2"/>
        <v>1</v>
      </c>
      <c r="N58" s="613">
        <f t="shared" si="5"/>
        <v>0</v>
      </c>
      <c r="O58" s="613">
        <f t="shared" si="3"/>
        <v>0</v>
      </c>
      <c r="P58" s="613">
        <v>0</v>
      </c>
      <c r="Q58" s="613">
        <f t="shared" si="6"/>
        <v>0</v>
      </c>
      <c r="R58" s="1514"/>
      <c r="S58" s="1617" t="e">
        <f>SUMIF('[105]TB for financial'!$A:$A,A58,'[105]TB for financial'!$E:$E)</f>
        <v>#VALUE!</v>
      </c>
      <c r="T58" s="613"/>
    </row>
    <row r="59" spans="1:20">
      <c r="A59" s="608">
        <v>100530</v>
      </c>
      <c r="B59" s="609" t="s">
        <v>560</v>
      </c>
      <c r="C59" s="610">
        <f t="shared" si="4"/>
        <v>1.4449999928474426</v>
      </c>
      <c r="D59" s="611">
        <v>0</v>
      </c>
      <c r="E59" s="610">
        <f>SUMIF('Entries 24-25'!$B:$B,A:A,'Entries 24-25'!$D:$D)-SUMIF('Entries 24-25'!$B:$B,A:A,'Entries 24-25'!$E:$E)+SUMIF('IND AS entries 24-25'!$B:$B,A:A,'IND AS entries 24-25'!$D:$D)-SUMIF('IND AS entries 24-25'!$B:$B,A:A,'IND AS entries 24-25'!$E:$E)</f>
        <v>0</v>
      </c>
      <c r="F59" s="611">
        <f t="shared" si="0"/>
        <v>1.4449999928474426</v>
      </c>
      <c r="G59" s="610"/>
      <c r="H59" s="610">
        <v>1.4449999928474426</v>
      </c>
      <c r="I59" s="611">
        <v>0</v>
      </c>
      <c r="J59" s="610">
        <v>0</v>
      </c>
      <c r="K59" s="611">
        <f t="shared" si="1"/>
        <v>1.4449999928474426</v>
      </c>
      <c r="L59" s="612">
        <f>VLOOKUP(A59,'BS Gr'!A:A,1,FALSE)</f>
        <v>100530</v>
      </c>
      <c r="M59" s="612">
        <f t="shared" si="2"/>
        <v>1</v>
      </c>
      <c r="N59" s="613">
        <f t="shared" si="5"/>
        <v>0</v>
      </c>
      <c r="O59" s="613">
        <f t="shared" si="3"/>
        <v>0</v>
      </c>
      <c r="P59" s="613">
        <v>1.4449999928474426</v>
      </c>
      <c r="Q59" s="613">
        <f t="shared" si="6"/>
        <v>0</v>
      </c>
      <c r="R59" s="1514"/>
      <c r="S59" s="1617" t="e">
        <f>SUMIF('[105]TB for financial'!$A:$A,A59,'[105]TB for financial'!$E:$E)</f>
        <v>#VALUE!</v>
      </c>
      <c r="T59" s="613"/>
    </row>
    <row r="60" spans="1:20">
      <c r="A60" s="608">
        <v>100531</v>
      </c>
      <c r="B60" s="609" t="s">
        <v>1020</v>
      </c>
      <c r="C60" s="610">
        <f t="shared" si="4"/>
        <v>1.1641532182693481E-10</v>
      </c>
      <c r="D60" s="611">
        <v>0</v>
      </c>
      <c r="E60" s="610">
        <f>SUMIF('Entries 24-25'!$B:$B,A:A,'Entries 24-25'!$D:$D)-SUMIF('Entries 24-25'!$B:$B,A:A,'Entries 24-25'!$E:$E)+SUMIF('IND AS entries 24-25'!$B:$B,A:A,'IND AS entries 24-25'!$D:$D)-SUMIF('IND AS entries 24-25'!$B:$B,A:A,'IND AS entries 24-25'!$E:$E)</f>
        <v>0</v>
      </c>
      <c r="F60" s="611">
        <f t="shared" si="0"/>
        <v>1.1641532182693481E-10</v>
      </c>
      <c r="G60" s="610"/>
      <c r="H60" s="610">
        <v>1.1641532182693481E-10</v>
      </c>
      <c r="I60" s="611">
        <v>0</v>
      </c>
      <c r="J60" s="610">
        <v>0</v>
      </c>
      <c r="K60" s="611">
        <f t="shared" si="1"/>
        <v>1.1641532182693481E-10</v>
      </c>
      <c r="L60" s="612">
        <f>VLOOKUP(A60,'BS Gr'!A:A,1,FALSE)</f>
        <v>100531</v>
      </c>
      <c r="M60" s="612">
        <f t="shared" si="2"/>
        <v>1</v>
      </c>
      <c r="N60" s="613">
        <f t="shared" si="5"/>
        <v>0</v>
      </c>
      <c r="O60" s="613">
        <f t="shared" si="3"/>
        <v>0</v>
      </c>
      <c r="P60" s="613">
        <v>678686.61</v>
      </c>
      <c r="Q60" s="613">
        <f t="shared" si="6"/>
        <v>-678686.60999999987</v>
      </c>
      <c r="R60" s="1514"/>
      <c r="S60" s="1617" t="e">
        <f>SUMIF('[105]TB for financial'!$A:$A,A60,'[105]TB for financial'!$E:$E)</f>
        <v>#VALUE!</v>
      </c>
      <c r="T60" s="613"/>
    </row>
    <row r="61" spans="1:20">
      <c r="A61" s="608">
        <v>100533</v>
      </c>
      <c r="B61" s="609" t="s">
        <v>1021</v>
      </c>
      <c r="C61" s="610">
        <f t="shared" si="4"/>
        <v>0</v>
      </c>
      <c r="D61" s="611">
        <v>0</v>
      </c>
      <c r="E61" s="610">
        <f>SUMIF('Entries 24-25'!$B:$B,A:A,'Entries 24-25'!$D:$D)-SUMIF('Entries 24-25'!$B:$B,A:A,'Entries 24-25'!$E:$E)+SUMIF('IND AS entries 24-25'!$B:$B,A:A,'IND AS entries 24-25'!$D:$D)-SUMIF('IND AS entries 24-25'!$B:$B,A:A,'IND AS entries 24-25'!$E:$E)</f>
        <v>0</v>
      </c>
      <c r="F61" s="611">
        <f t="shared" si="0"/>
        <v>0</v>
      </c>
      <c r="G61" s="610"/>
      <c r="H61" s="610">
        <v>0</v>
      </c>
      <c r="I61" s="611">
        <v>0</v>
      </c>
      <c r="J61" s="610">
        <v>0</v>
      </c>
      <c r="K61" s="611">
        <f t="shared" si="1"/>
        <v>0</v>
      </c>
      <c r="L61" s="612">
        <f>VLOOKUP(A61,'BS Gr'!A:A,1,FALSE)</f>
        <v>100533</v>
      </c>
      <c r="M61" s="612">
        <f t="shared" si="2"/>
        <v>1</v>
      </c>
      <c r="N61" s="613">
        <f t="shared" si="5"/>
        <v>0</v>
      </c>
      <c r="O61" s="613">
        <f t="shared" si="3"/>
        <v>0</v>
      </c>
      <c r="P61" s="613">
        <v>0</v>
      </c>
      <c r="Q61" s="613">
        <f t="shared" si="6"/>
        <v>0</v>
      </c>
      <c r="R61" s="1514"/>
      <c r="S61" s="1617" t="e">
        <f>SUMIF('[105]TB for financial'!$A:$A,A61,'[105]TB for financial'!$E:$E)</f>
        <v>#VALUE!</v>
      </c>
      <c r="T61" s="613"/>
    </row>
    <row r="62" spans="1:20">
      <c r="A62" s="608">
        <v>100534</v>
      </c>
      <c r="B62" s="609" t="s">
        <v>1022</v>
      </c>
      <c r="C62" s="610">
        <f t="shared" si="4"/>
        <v>0</v>
      </c>
      <c r="D62" s="611">
        <v>0</v>
      </c>
      <c r="E62" s="610">
        <f>SUMIF('Entries 24-25'!$B:$B,A:A,'Entries 24-25'!$D:$D)-SUMIF('Entries 24-25'!$B:$B,A:A,'Entries 24-25'!$E:$E)+SUMIF('IND AS entries 24-25'!$B:$B,A:A,'IND AS entries 24-25'!$D:$D)-SUMIF('IND AS entries 24-25'!$B:$B,A:A,'IND AS entries 24-25'!$E:$E)</f>
        <v>0</v>
      </c>
      <c r="F62" s="611">
        <f t="shared" si="0"/>
        <v>0</v>
      </c>
      <c r="G62" s="610"/>
      <c r="H62" s="610">
        <v>0</v>
      </c>
      <c r="I62" s="611">
        <v>0</v>
      </c>
      <c r="J62" s="610">
        <v>0</v>
      </c>
      <c r="K62" s="611">
        <f t="shared" si="1"/>
        <v>0</v>
      </c>
      <c r="L62" s="612">
        <f>VLOOKUP(A62,'BS Gr'!A:A,1,FALSE)</f>
        <v>100534</v>
      </c>
      <c r="M62" s="612">
        <f t="shared" si="2"/>
        <v>1</v>
      </c>
      <c r="N62" s="613">
        <f t="shared" si="5"/>
        <v>0</v>
      </c>
      <c r="O62" s="613">
        <f t="shared" si="3"/>
        <v>0</v>
      </c>
      <c r="P62" s="613">
        <v>0</v>
      </c>
      <c r="Q62" s="613">
        <f t="shared" si="6"/>
        <v>0</v>
      </c>
      <c r="R62" s="1514"/>
      <c r="S62" s="1617" t="e">
        <f>SUMIF('[105]TB for financial'!$A:$A,A62,'[105]TB for financial'!$E:$E)</f>
        <v>#VALUE!</v>
      </c>
      <c r="T62" s="613"/>
    </row>
    <row r="63" spans="1:20">
      <c r="A63" s="608">
        <v>100535</v>
      </c>
      <c r="B63" s="609" t="s">
        <v>1023</v>
      </c>
      <c r="C63" s="610">
        <f t="shared" si="4"/>
        <v>0</v>
      </c>
      <c r="D63" s="611">
        <v>0</v>
      </c>
      <c r="E63" s="610">
        <f>SUMIF('Entries 24-25'!$B:$B,A:A,'Entries 24-25'!$D:$D)-SUMIF('Entries 24-25'!$B:$B,A:A,'Entries 24-25'!$E:$E)+SUMIF('IND AS entries 24-25'!$B:$B,A:A,'IND AS entries 24-25'!$D:$D)-SUMIF('IND AS entries 24-25'!$B:$B,A:A,'IND AS entries 24-25'!$E:$E)</f>
        <v>0</v>
      </c>
      <c r="F63" s="611">
        <f t="shared" si="0"/>
        <v>0</v>
      </c>
      <c r="G63" s="610"/>
      <c r="H63" s="610">
        <v>0</v>
      </c>
      <c r="I63" s="611">
        <v>0</v>
      </c>
      <c r="J63" s="610">
        <v>0</v>
      </c>
      <c r="K63" s="611">
        <f t="shared" si="1"/>
        <v>0</v>
      </c>
      <c r="L63" s="612">
        <f>VLOOKUP(A63,'BS Gr'!A:A,1,FALSE)</f>
        <v>100535</v>
      </c>
      <c r="M63" s="612">
        <f t="shared" si="2"/>
        <v>1</v>
      </c>
      <c r="N63" s="613">
        <f t="shared" si="5"/>
        <v>0</v>
      </c>
      <c r="O63" s="613">
        <f t="shared" si="3"/>
        <v>0</v>
      </c>
      <c r="P63" s="613">
        <v>0</v>
      </c>
      <c r="Q63" s="613">
        <f t="shared" si="6"/>
        <v>0</v>
      </c>
      <c r="R63" s="1514"/>
      <c r="S63" s="1617" t="e">
        <f>SUMIF('[105]TB for financial'!$A:$A,A63,'[105]TB for financial'!$E:$E)</f>
        <v>#VALUE!</v>
      </c>
      <c r="T63" s="613"/>
    </row>
    <row r="64" spans="1:20">
      <c r="A64" s="608">
        <v>100536</v>
      </c>
      <c r="B64" s="609" t="s">
        <v>559</v>
      </c>
      <c r="C64" s="610">
        <f t="shared" si="4"/>
        <v>0</v>
      </c>
      <c r="D64" s="611">
        <v>0</v>
      </c>
      <c r="E64" s="610">
        <f>SUMIF('Entries 24-25'!$B:$B,A:A,'Entries 24-25'!$D:$D)-SUMIF('Entries 24-25'!$B:$B,A:A,'Entries 24-25'!$E:$E)+SUMIF('IND AS entries 24-25'!$B:$B,A:A,'IND AS entries 24-25'!$D:$D)-SUMIF('IND AS entries 24-25'!$B:$B,A:A,'IND AS entries 24-25'!$E:$E)</f>
        <v>0</v>
      </c>
      <c r="F64" s="611">
        <f t="shared" si="0"/>
        <v>0</v>
      </c>
      <c r="G64" s="610"/>
      <c r="H64" s="610">
        <v>0</v>
      </c>
      <c r="I64" s="611">
        <v>0</v>
      </c>
      <c r="J64" s="610">
        <v>0</v>
      </c>
      <c r="K64" s="611">
        <f t="shared" si="1"/>
        <v>0</v>
      </c>
      <c r="L64" s="612">
        <f>VLOOKUP(A64,'BS Gr'!A:A,1,FALSE)</f>
        <v>100536</v>
      </c>
      <c r="M64" s="612">
        <f t="shared" si="2"/>
        <v>1</v>
      </c>
      <c r="N64" s="613">
        <f t="shared" si="5"/>
        <v>0</v>
      </c>
      <c r="O64" s="613">
        <f t="shared" si="3"/>
        <v>0</v>
      </c>
      <c r="P64" s="613">
        <v>137857593</v>
      </c>
      <c r="Q64" s="613">
        <f t="shared" si="6"/>
        <v>-137857593</v>
      </c>
      <c r="R64" s="1514"/>
      <c r="S64" s="1617" t="e">
        <f>SUMIF('[105]TB for financial'!$A:$A,A64,'[105]TB for financial'!$E:$E)</f>
        <v>#VALUE!</v>
      </c>
      <c r="T64" s="613"/>
    </row>
    <row r="65" spans="1:20">
      <c r="A65" s="608">
        <v>100539</v>
      </c>
      <c r="B65" s="609" t="s">
        <v>1024</v>
      </c>
      <c r="C65" s="610">
        <f t="shared" si="4"/>
        <v>0</v>
      </c>
      <c r="D65" s="611">
        <v>0</v>
      </c>
      <c r="E65" s="610">
        <f>SUMIF('Entries 24-25'!$B:$B,A:A,'Entries 24-25'!$D:$D)-SUMIF('Entries 24-25'!$B:$B,A:A,'Entries 24-25'!$E:$E)+SUMIF('IND AS entries 24-25'!$B:$B,A:A,'IND AS entries 24-25'!$D:$D)-SUMIF('IND AS entries 24-25'!$B:$B,A:A,'IND AS entries 24-25'!$E:$E)</f>
        <v>0</v>
      </c>
      <c r="F65" s="611">
        <f t="shared" si="0"/>
        <v>0</v>
      </c>
      <c r="G65" s="610"/>
      <c r="H65" s="610">
        <v>0</v>
      </c>
      <c r="I65" s="611">
        <v>0</v>
      </c>
      <c r="J65" s="610">
        <v>0</v>
      </c>
      <c r="K65" s="611">
        <f t="shared" si="1"/>
        <v>0</v>
      </c>
      <c r="L65" s="612">
        <f>VLOOKUP(A65,'BS Gr'!A:A,1,FALSE)</f>
        <v>100539</v>
      </c>
      <c r="M65" s="612">
        <f t="shared" si="2"/>
        <v>1</v>
      </c>
      <c r="N65" s="613">
        <f t="shared" si="5"/>
        <v>0</v>
      </c>
      <c r="O65" s="613">
        <f t="shared" si="3"/>
        <v>0</v>
      </c>
      <c r="P65" s="613">
        <v>0</v>
      </c>
      <c r="Q65" s="613">
        <f t="shared" si="6"/>
        <v>0</v>
      </c>
      <c r="R65" s="1514"/>
      <c r="S65" s="1617" t="e">
        <f>SUMIF('[105]TB for financial'!$A:$A,A65,'[105]TB for financial'!$E:$E)</f>
        <v>#VALUE!</v>
      </c>
      <c r="T65" s="613"/>
    </row>
    <row r="66" spans="1:20">
      <c r="A66" s="608">
        <v>100545</v>
      </c>
      <c r="B66" s="609" t="s">
        <v>1025</v>
      </c>
      <c r="C66" s="610">
        <f t="shared" si="4"/>
        <v>0</v>
      </c>
      <c r="D66" s="611">
        <v>0</v>
      </c>
      <c r="E66" s="610">
        <f>SUMIF('Entries 24-25'!$B:$B,A:A,'Entries 24-25'!$D:$D)-SUMIF('Entries 24-25'!$B:$B,A:A,'Entries 24-25'!$E:$E)+SUMIF('IND AS entries 24-25'!$B:$B,A:A,'IND AS entries 24-25'!$D:$D)-SUMIF('IND AS entries 24-25'!$B:$B,A:A,'IND AS entries 24-25'!$E:$E)</f>
        <v>0</v>
      </c>
      <c r="F66" s="611">
        <f t="shared" si="0"/>
        <v>0</v>
      </c>
      <c r="G66" s="610"/>
      <c r="H66" s="610">
        <v>0</v>
      </c>
      <c r="I66" s="611">
        <v>0</v>
      </c>
      <c r="J66" s="610">
        <v>0</v>
      </c>
      <c r="K66" s="611">
        <f t="shared" si="1"/>
        <v>0</v>
      </c>
      <c r="L66" s="612">
        <f>VLOOKUP(A66,'BS Gr'!A:A,1,FALSE)</f>
        <v>100545</v>
      </c>
      <c r="M66" s="612">
        <f t="shared" si="2"/>
        <v>1</v>
      </c>
      <c r="N66" s="613">
        <f t="shared" si="5"/>
        <v>0</v>
      </c>
      <c r="O66" s="613">
        <f t="shared" si="3"/>
        <v>0</v>
      </c>
      <c r="P66" s="613">
        <v>0</v>
      </c>
      <c r="Q66" s="613">
        <f t="shared" si="6"/>
        <v>0</v>
      </c>
      <c r="R66" s="1514"/>
      <c r="S66" s="1617" t="e">
        <f>SUMIF('[105]TB for financial'!$A:$A,A66,'[105]TB for financial'!$E:$E)</f>
        <v>#VALUE!</v>
      </c>
      <c r="T66" s="613"/>
    </row>
    <row r="67" spans="1:20">
      <c r="A67" s="608">
        <v>100546</v>
      </c>
      <c r="B67" s="609" t="s">
        <v>552</v>
      </c>
      <c r="C67" s="610">
        <f t="shared" si="4"/>
        <v>0.44000000227242708</v>
      </c>
      <c r="D67" s="611">
        <v>0</v>
      </c>
      <c r="E67" s="610">
        <f>SUMIF('Entries 24-25'!$B:$B,A:A,'Entries 24-25'!$D:$D)-SUMIF('Entries 24-25'!$B:$B,A:A,'Entries 24-25'!$E:$E)+SUMIF('IND AS entries 24-25'!$B:$B,A:A,'IND AS entries 24-25'!$D:$D)-SUMIF('IND AS entries 24-25'!$B:$B,A:A,'IND AS entries 24-25'!$E:$E)</f>
        <v>0</v>
      </c>
      <c r="F67" s="611">
        <f t="shared" si="0"/>
        <v>0.44000000227242708</v>
      </c>
      <c r="G67" s="610"/>
      <c r="H67" s="610">
        <v>0.44000000227242708</v>
      </c>
      <c r="I67" s="611">
        <v>0</v>
      </c>
      <c r="J67" s="610">
        <v>0</v>
      </c>
      <c r="K67" s="611">
        <f t="shared" si="1"/>
        <v>0.44000000227242708</v>
      </c>
      <c r="L67" s="612">
        <f>VLOOKUP(A67,'BS Gr'!A:A,1,FALSE)</f>
        <v>100546</v>
      </c>
      <c r="M67" s="612">
        <f t="shared" si="2"/>
        <v>1</v>
      </c>
      <c r="N67" s="613">
        <f t="shared" si="5"/>
        <v>0</v>
      </c>
      <c r="O67" s="613">
        <f t="shared" si="3"/>
        <v>0</v>
      </c>
      <c r="P67" s="613">
        <v>66865526.840000004</v>
      </c>
      <c r="Q67" s="613">
        <f t="shared" si="6"/>
        <v>-66865526.399999999</v>
      </c>
      <c r="R67" s="1514"/>
      <c r="S67" s="1617" t="e">
        <f>SUMIF('[105]TB for financial'!$A:$A,A67,'[105]TB for financial'!$E:$E)</f>
        <v>#VALUE!</v>
      </c>
      <c r="T67" s="613"/>
    </row>
    <row r="68" spans="1:20">
      <c r="A68" s="608">
        <v>100540</v>
      </c>
      <c r="B68" s="609" t="s">
        <v>1026</v>
      </c>
      <c r="C68" s="610">
        <f t="shared" si="4"/>
        <v>0</v>
      </c>
      <c r="D68" s="611">
        <v>0</v>
      </c>
      <c r="E68" s="610">
        <f>SUMIF('Entries 24-25'!$B:$B,A:A,'Entries 24-25'!$D:$D)-SUMIF('Entries 24-25'!$B:$B,A:A,'Entries 24-25'!$E:$E)+SUMIF('IND AS entries 24-25'!$B:$B,A:A,'IND AS entries 24-25'!$D:$D)-SUMIF('IND AS entries 24-25'!$B:$B,A:A,'IND AS entries 24-25'!$E:$E)</f>
        <v>0</v>
      </c>
      <c r="F68" s="611">
        <f t="shared" si="0"/>
        <v>0</v>
      </c>
      <c r="G68" s="610"/>
      <c r="H68" s="610">
        <v>0</v>
      </c>
      <c r="I68" s="611">
        <v>0</v>
      </c>
      <c r="J68" s="610">
        <v>0</v>
      </c>
      <c r="K68" s="611">
        <f t="shared" si="1"/>
        <v>0</v>
      </c>
      <c r="L68" s="612">
        <f>VLOOKUP(A68,'BS Gr'!A:A,1,FALSE)</f>
        <v>100540</v>
      </c>
      <c r="M68" s="612">
        <f t="shared" si="2"/>
        <v>1</v>
      </c>
      <c r="N68" s="613">
        <f t="shared" si="5"/>
        <v>0</v>
      </c>
      <c r="O68" s="613">
        <f t="shared" si="3"/>
        <v>0</v>
      </c>
      <c r="P68" s="613">
        <v>0</v>
      </c>
      <c r="Q68" s="613">
        <f t="shared" si="6"/>
        <v>0</v>
      </c>
      <c r="R68" s="1514"/>
      <c r="S68" s="1617" t="e">
        <f>SUMIF('[105]TB for financial'!$A:$A,A68,'[105]TB for financial'!$E:$E)</f>
        <v>#VALUE!</v>
      </c>
      <c r="T68" s="613"/>
    </row>
    <row r="69" spans="1:20">
      <c r="A69" s="608">
        <v>100541</v>
      </c>
      <c r="B69" s="609" t="s">
        <v>1027</v>
      </c>
      <c r="C69" s="610">
        <f t="shared" si="4"/>
        <v>0</v>
      </c>
      <c r="D69" s="611">
        <v>0</v>
      </c>
      <c r="E69" s="610">
        <f>SUMIF('Entries 24-25'!$B:$B,A:A,'Entries 24-25'!$D:$D)-SUMIF('Entries 24-25'!$B:$B,A:A,'Entries 24-25'!$E:$E)+SUMIF('IND AS entries 24-25'!$B:$B,A:A,'IND AS entries 24-25'!$D:$D)-SUMIF('IND AS entries 24-25'!$B:$B,A:A,'IND AS entries 24-25'!$E:$E)</f>
        <v>0</v>
      </c>
      <c r="F69" s="611">
        <f t="shared" si="0"/>
        <v>0</v>
      </c>
      <c r="G69" s="610"/>
      <c r="H69" s="610">
        <v>0</v>
      </c>
      <c r="I69" s="611">
        <v>0</v>
      </c>
      <c r="J69" s="610">
        <v>0</v>
      </c>
      <c r="K69" s="611">
        <f t="shared" si="1"/>
        <v>0</v>
      </c>
      <c r="L69" s="612">
        <f>VLOOKUP(A69,'BS Gr'!A:A,1,FALSE)</f>
        <v>100541</v>
      </c>
      <c r="M69" s="612">
        <f t="shared" ref="M69:M132" si="7">COUNTIF(A:A,A69)</f>
        <v>1</v>
      </c>
      <c r="N69" s="613">
        <f t="shared" si="5"/>
        <v>0</v>
      </c>
      <c r="O69" s="613">
        <f t="shared" si="3"/>
        <v>0</v>
      </c>
      <c r="P69" s="613">
        <v>0</v>
      </c>
      <c r="Q69" s="613">
        <f t="shared" si="6"/>
        <v>0</v>
      </c>
      <c r="R69" s="1514"/>
      <c r="S69" s="1617" t="e">
        <f>SUMIF('[105]TB for financial'!$A:$A,A69,'[105]TB for financial'!$E:$E)</f>
        <v>#VALUE!</v>
      </c>
      <c r="T69" s="613"/>
    </row>
    <row r="70" spans="1:20">
      <c r="A70" s="608">
        <v>100542</v>
      </c>
      <c r="B70" s="609" t="s">
        <v>1028</v>
      </c>
      <c r="C70" s="610">
        <f t="shared" ref="C70:C133" si="8">K70</f>
        <v>0</v>
      </c>
      <c r="D70" s="611">
        <v>0</v>
      </c>
      <c r="E70" s="610">
        <f>SUMIF('Entries 24-25'!$B:$B,A:A,'Entries 24-25'!$D:$D)-SUMIF('Entries 24-25'!$B:$B,A:A,'Entries 24-25'!$E:$E)+SUMIF('IND AS entries 24-25'!$B:$B,A:A,'IND AS entries 24-25'!$D:$D)-SUMIF('IND AS entries 24-25'!$B:$B,A:A,'IND AS entries 24-25'!$E:$E)</f>
        <v>0</v>
      </c>
      <c r="F70" s="611">
        <f t="shared" si="0"/>
        <v>0</v>
      </c>
      <c r="G70" s="610"/>
      <c r="H70" s="610">
        <v>0</v>
      </c>
      <c r="I70" s="611">
        <v>0</v>
      </c>
      <c r="J70" s="610">
        <v>0</v>
      </c>
      <c r="K70" s="611">
        <f t="shared" si="1"/>
        <v>0</v>
      </c>
      <c r="L70" s="612">
        <f>VLOOKUP(A70,'BS Gr'!A:A,1,FALSE)</f>
        <v>100542</v>
      </c>
      <c r="M70" s="612">
        <f t="shared" si="7"/>
        <v>1</v>
      </c>
      <c r="N70" s="613">
        <f t="shared" ref="N70:N133" si="9">C70-K70</f>
        <v>0</v>
      </c>
      <c r="O70" s="613">
        <f t="shared" si="3"/>
        <v>0</v>
      </c>
      <c r="P70" s="613">
        <v>0</v>
      </c>
      <c r="Q70" s="613">
        <f t="shared" si="6"/>
        <v>0</v>
      </c>
      <c r="R70" s="1514"/>
      <c r="S70" s="1617" t="e">
        <f>SUMIF('[105]TB for financial'!$A:$A,A70,'[105]TB for financial'!$E:$E)</f>
        <v>#VALUE!</v>
      </c>
      <c r="T70" s="613"/>
    </row>
    <row r="71" spans="1:20">
      <c r="A71" s="608">
        <v>100543</v>
      </c>
      <c r="B71" s="609" t="s">
        <v>1029</v>
      </c>
      <c r="C71" s="610">
        <f t="shared" si="8"/>
        <v>0</v>
      </c>
      <c r="D71" s="611">
        <v>0</v>
      </c>
      <c r="E71" s="610">
        <f>SUMIF('Entries 24-25'!$B:$B,A:A,'Entries 24-25'!$D:$D)-SUMIF('Entries 24-25'!$B:$B,A:A,'Entries 24-25'!$E:$E)+SUMIF('IND AS entries 24-25'!$B:$B,A:A,'IND AS entries 24-25'!$D:$D)-SUMIF('IND AS entries 24-25'!$B:$B,A:A,'IND AS entries 24-25'!$E:$E)</f>
        <v>0</v>
      </c>
      <c r="F71" s="611">
        <f t="shared" si="0"/>
        <v>0</v>
      </c>
      <c r="G71" s="610"/>
      <c r="H71" s="610">
        <v>0</v>
      </c>
      <c r="I71" s="611">
        <v>0</v>
      </c>
      <c r="J71" s="610">
        <v>0</v>
      </c>
      <c r="K71" s="611">
        <f t="shared" si="1"/>
        <v>0</v>
      </c>
      <c r="L71" s="612">
        <f>VLOOKUP(A71,'BS Gr'!A:A,1,FALSE)</f>
        <v>100543</v>
      </c>
      <c r="M71" s="612">
        <f t="shared" si="7"/>
        <v>1</v>
      </c>
      <c r="N71" s="613">
        <f t="shared" si="9"/>
        <v>0</v>
      </c>
      <c r="O71" s="613">
        <f t="shared" si="3"/>
        <v>0</v>
      </c>
      <c r="P71" s="613">
        <v>0</v>
      </c>
      <c r="Q71" s="613">
        <f t="shared" si="6"/>
        <v>0</v>
      </c>
      <c r="R71" s="1514"/>
      <c r="S71" s="1617" t="e">
        <f>SUMIF('[105]TB for financial'!$A:$A,A71,'[105]TB for financial'!$E:$E)</f>
        <v>#VALUE!</v>
      </c>
      <c r="T71" s="613"/>
    </row>
    <row r="72" spans="1:20">
      <c r="A72" s="608">
        <v>100547</v>
      </c>
      <c r="B72" s="609" t="s">
        <v>1030</v>
      </c>
      <c r="C72" s="610">
        <f t="shared" si="8"/>
        <v>9.9999997764825821E-3</v>
      </c>
      <c r="D72" s="611">
        <v>0</v>
      </c>
      <c r="E72" s="610">
        <f>SUMIF('Entries 24-25'!$B:$B,A:A,'Entries 24-25'!$D:$D)-SUMIF('Entries 24-25'!$B:$B,A:A,'Entries 24-25'!$E:$E)+SUMIF('IND AS entries 24-25'!$B:$B,A:A,'IND AS entries 24-25'!$D:$D)-SUMIF('IND AS entries 24-25'!$B:$B,A:A,'IND AS entries 24-25'!$E:$E)</f>
        <v>0</v>
      </c>
      <c r="F72" s="611">
        <f t="shared" ref="F72:F135" si="10">SUM(C72:E72)</f>
        <v>9.9999997764825821E-3</v>
      </c>
      <c r="G72" s="610"/>
      <c r="H72" s="610">
        <v>9.9999997764825821E-3</v>
      </c>
      <c r="I72" s="611">
        <v>0</v>
      </c>
      <c r="J72" s="610">
        <v>0</v>
      </c>
      <c r="K72" s="611">
        <f t="shared" ref="K72:K135" si="11">SUM(H72:J72)</f>
        <v>9.9999997764825821E-3</v>
      </c>
      <c r="L72" s="612">
        <f>VLOOKUP(A72,'BS Gr'!A:A,1,FALSE)</f>
        <v>100547</v>
      </c>
      <c r="M72" s="612">
        <f t="shared" si="7"/>
        <v>1</v>
      </c>
      <c r="N72" s="613">
        <f t="shared" si="9"/>
        <v>0</v>
      </c>
      <c r="O72" s="613">
        <f t="shared" ref="O72:O135" si="12">C72-K72</f>
        <v>0</v>
      </c>
      <c r="P72" s="613">
        <v>9.9999997764825821E-3</v>
      </c>
      <c r="Q72" s="613">
        <f t="shared" si="6"/>
        <v>0</v>
      </c>
      <c r="R72" s="1514"/>
      <c r="S72" s="1617" t="e">
        <f>SUMIF('[105]TB for financial'!$A:$A,A72,'[105]TB for financial'!$E:$E)</f>
        <v>#VALUE!</v>
      </c>
      <c r="T72" s="613"/>
    </row>
    <row r="73" spans="1:20">
      <c r="A73" s="608">
        <v>100548</v>
      </c>
      <c r="B73" s="609" t="s">
        <v>1031</v>
      </c>
      <c r="C73" s="610">
        <f t="shared" si="8"/>
        <v>0</v>
      </c>
      <c r="D73" s="611">
        <v>0</v>
      </c>
      <c r="E73" s="610">
        <f>SUMIF('Entries 24-25'!$B:$B,A:A,'Entries 24-25'!$D:$D)-SUMIF('Entries 24-25'!$B:$B,A:A,'Entries 24-25'!$E:$E)+SUMIF('IND AS entries 24-25'!$B:$B,A:A,'IND AS entries 24-25'!$D:$D)-SUMIF('IND AS entries 24-25'!$B:$B,A:A,'IND AS entries 24-25'!$E:$E)</f>
        <v>0</v>
      </c>
      <c r="F73" s="611">
        <f t="shared" si="10"/>
        <v>0</v>
      </c>
      <c r="G73" s="610"/>
      <c r="H73" s="610">
        <v>0</v>
      </c>
      <c r="I73" s="611">
        <v>0</v>
      </c>
      <c r="J73" s="610">
        <v>0</v>
      </c>
      <c r="K73" s="611">
        <f t="shared" si="11"/>
        <v>0</v>
      </c>
      <c r="L73" s="612">
        <f>VLOOKUP(A73,'BS Gr'!A:A,1,FALSE)</f>
        <v>100548</v>
      </c>
      <c r="M73" s="612">
        <f t="shared" si="7"/>
        <v>1</v>
      </c>
      <c r="N73" s="613">
        <f t="shared" si="9"/>
        <v>0</v>
      </c>
      <c r="O73" s="613">
        <f t="shared" si="12"/>
        <v>0</v>
      </c>
      <c r="P73" s="613">
        <v>0</v>
      </c>
      <c r="Q73" s="613">
        <f t="shared" ref="Q73:Q136" si="13">+K73-P73</f>
        <v>0</v>
      </c>
      <c r="R73" s="1514"/>
      <c r="S73" s="1617" t="e">
        <f>SUMIF('[105]TB for financial'!$A:$A,A73,'[105]TB for financial'!$E:$E)</f>
        <v>#VALUE!</v>
      </c>
      <c r="T73" s="613"/>
    </row>
    <row r="74" spans="1:20">
      <c r="A74" s="608">
        <v>100549</v>
      </c>
      <c r="B74" s="609" t="s">
        <v>1032</v>
      </c>
      <c r="C74" s="610">
        <f t="shared" si="8"/>
        <v>0</v>
      </c>
      <c r="D74" s="611">
        <v>0</v>
      </c>
      <c r="E74" s="610">
        <f>SUMIF('Entries 24-25'!$B:$B,A:A,'Entries 24-25'!$D:$D)-SUMIF('Entries 24-25'!$B:$B,A:A,'Entries 24-25'!$E:$E)+SUMIF('IND AS entries 24-25'!$B:$B,A:A,'IND AS entries 24-25'!$D:$D)-SUMIF('IND AS entries 24-25'!$B:$B,A:A,'IND AS entries 24-25'!$E:$E)</f>
        <v>0</v>
      </c>
      <c r="F74" s="611">
        <f t="shared" si="10"/>
        <v>0</v>
      </c>
      <c r="G74" s="610"/>
      <c r="H74" s="610">
        <v>0</v>
      </c>
      <c r="I74" s="611">
        <v>0</v>
      </c>
      <c r="J74" s="610">
        <v>0</v>
      </c>
      <c r="K74" s="611">
        <f t="shared" si="11"/>
        <v>0</v>
      </c>
      <c r="L74" s="612">
        <f>VLOOKUP(A74,'BS Gr'!A:A,1,FALSE)</f>
        <v>100549</v>
      </c>
      <c r="M74" s="612">
        <f t="shared" si="7"/>
        <v>1</v>
      </c>
      <c r="N74" s="613">
        <f t="shared" si="9"/>
        <v>0</v>
      </c>
      <c r="O74" s="613">
        <f t="shared" si="12"/>
        <v>0</v>
      </c>
      <c r="P74" s="613">
        <v>0</v>
      </c>
      <c r="Q74" s="613">
        <f t="shared" si="13"/>
        <v>0</v>
      </c>
      <c r="R74" s="1514"/>
      <c r="S74" s="1617" t="e">
        <f>SUMIF('[105]TB for financial'!$A:$A,A74,'[105]TB for financial'!$E:$E)</f>
        <v>#VALUE!</v>
      </c>
      <c r="T74" s="613"/>
    </row>
    <row r="75" spans="1:20">
      <c r="A75" s="608">
        <v>100550</v>
      </c>
      <c r="B75" s="609" t="s">
        <v>1033</v>
      </c>
      <c r="C75" s="610">
        <f t="shared" si="8"/>
        <v>-1.1800000006519258</v>
      </c>
      <c r="D75" s="611">
        <v>0</v>
      </c>
      <c r="E75" s="610">
        <f>SUMIF('Entries 24-25'!$B:$B,A:A,'Entries 24-25'!$D:$D)-SUMIF('Entries 24-25'!$B:$B,A:A,'Entries 24-25'!$E:$E)+SUMIF('IND AS entries 24-25'!$B:$B,A:A,'IND AS entries 24-25'!$D:$D)-SUMIF('IND AS entries 24-25'!$B:$B,A:A,'IND AS entries 24-25'!$E:$E)</f>
        <v>0</v>
      </c>
      <c r="F75" s="611">
        <f t="shared" si="10"/>
        <v>-1.1800000006519258</v>
      </c>
      <c r="G75" s="610"/>
      <c r="H75" s="610">
        <v>-1.1800000006519258</v>
      </c>
      <c r="I75" s="611">
        <v>0</v>
      </c>
      <c r="J75" s="610">
        <v>0</v>
      </c>
      <c r="K75" s="611">
        <f t="shared" si="11"/>
        <v>-1.1800000006519258</v>
      </c>
      <c r="L75" s="612">
        <f>VLOOKUP(A75,'BS Gr'!A:A,1,FALSE)</f>
        <v>100550</v>
      </c>
      <c r="M75" s="612">
        <f t="shared" si="7"/>
        <v>1</v>
      </c>
      <c r="N75" s="613">
        <f t="shared" si="9"/>
        <v>0</v>
      </c>
      <c r="O75" s="613">
        <f t="shared" si="12"/>
        <v>0</v>
      </c>
      <c r="P75" s="613">
        <v>1718107.2885435994</v>
      </c>
      <c r="Q75" s="613">
        <f t="shared" si="13"/>
        <v>-1718108.4685436001</v>
      </c>
      <c r="R75" s="1514"/>
      <c r="S75" s="1617" t="e">
        <f>SUMIF('[105]TB for financial'!$A:$A,A75,'[105]TB for financial'!$E:$E)</f>
        <v>#VALUE!</v>
      </c>
      <c r="T75" s="613"/>
    </row>
    <row r="76" spans="1:20">
      <c r="A76" s="608">
        <v>100518</v>
      </c>
      <c r="B76" s="609" t="s">
        <v>1034</v>
      </c>
      <c r="C76" s="610">
        <f t="shared" si="8"/>
        <v>0</v>
      </c>
      <c r="D76" s="611">
        <v>0</v>
      </c>
      <c r="E76" s="610">
        <f>SUMIF('Entries 24-25'!$B:$B,A:A,'Entries 24-25'!$D:$D)-SUMIF('Entries 24-25'!$B:$B,A:A,'Entries 24-25'!$E:$E)+SUMIF('IND AS entries 24-25'!$B:$B,A:A,'IND AS entries 24-25'!$D:$D)-SUMIF('IND AS entries 24-25'!$B:$B,A:A,'IND AS entries 24-25'!$E:$E)</f>
        <v>0</v>
      </c>
      <c r="F76" s="611">
        <f t="shared" si="10"/>
        <v>0</v>
      </c>
      <c r="G76" s="610"/>
      <c r="H76" s="610">
        <v>0</v>
      </c>
      <c r="I76" s="611">
        <v>0</v>
      </c>
      <c r="J76" s="610">
        <v>0</v>
      </c>
      <c r="K76" s="611">
        <f t="shared" si="11"/>
        <v>0</v>
      </c>
      <c r="L76" s="612">
        <f>VLOOKUP(A76,'BS Gr'!A:A,1,FALSE)</f>
        <v>100518</v>
      </c>
      <c r="M76" s="612">
        <f t="shared" si="7"/>
        <v>1</v>
      </c>
      <c r="N76" s="613">
        <f t="shared" si="9"/>
        <v>0</v>
      </c>
      <c r="O76" s="613">
        <f t="shared" si="12"/>
        <v>0</v>
      </c>
      <c r="P76" s="613">
        <v>0</v>
      </c>
      <c r="Q76" s="613">
        <f t="shared" si="13"/>
        <v>0</v>
      </c>
      <c r="R76" s="1514"/>
      <c r="S76" s="1617" t="e">
        <f>SUMIF('[105]TB for financial'!$A:$A,A76,'[105]TB for financial'!$E:$E)</f>
        <v>#VALUE!</v>
      </c>
      <c r="T76" s="613"/>
    </row>
    <row r="77" spans="1:20">
      <c r="A77" s="608">
        <v>100551</v>
      </c>
      <c r="B77" s="609" t="s">
        <v>1035</v>
      </c>
      <c r="C77" s="610">
        <f t="shared" si="8"/>
        <v>0</v>
      </c>
      <c r="D77" s="611">
        <v>0</v>
      </c>
      <c r="E77" s="610">
        <f>SUMIF('Entries 24-25'!$B:$B,A:A,'Entries 24-25'!$D:$D)-SUMIF('Entries 24-25'!$B:$B,A:A,'Entries 24-25'!$E:$E)+SUMIF('IND AS entries 24-25'!$B:$B,A:A,'IND AS entries 24-25'!$D:$D)-SUMIF('IND AS entries 24-25'!$B:$B,A:A,'IND AS entries 24-25'!$E:$E)</f>
        <v>0</v>
      </c>
      <c r="F77" s="611">
        <f t="shared" si="10"/>
        <v>0</v>
      </c>
      <c r="G77" s="610"/>
      <c r="H77" s="610">
        <v>0</v>
      </c>
      <c r="I77" s="611">
        <v>0</v>
      </c>
      <c r="J77" s="610">
        <v>0</v>
      </c>
      <c r="K77" s="611">
        <f t="shared" si="11"/>
        <v>0</v>
      </c>
      <c r="L77" s="612">
        <f>VLOOKUP(A77,'BS Gr'!A:A,1,FALSE)</f>
        <v>100551</v>
      </c>
      <c r="M77" s="612">
        <f t="shared" si="7"/>
        <v>1</v>
      </c>
      <c r="N77" s="613">
        <f t="shared" si="9"/>
        <v>0</v>
      </c>
      <c r="O77" s="613">
        <f t="shared" si="12"/>
        <v>0</v>
      </c>
      <c r="P77" s="613">
        <v>0</v>
      </c>
      <c r="Q77" s="613">
        <f t="shared" si="13"/>
        <v>0</v>
      </c>
      <c r="R77" s="1514"/>
      <c r="S77" s="1617" t="e">
        <f>SUMIF('[105]TB for financial'!$A:$A,A77,'[105]TB for financial'!$E:$E)</f>
        <v>#VALUE!</v>
      </c>
      <c r="T77" s="613"/>
    </row>
    <row r="78" spans="1:20">
      <c r="A78" s="608">
        <v>100552</v>
      </c>
      <c r="B78" s="609" t="s">
        <v>1036</v>
      </c>
      <c r="C78" s="610">
        <f t="shared" si="8"/>
        <v>0</v>
      </c>
      <c r="D78" s="611">
        <v>0</v>
      </c>
      <c r="E78" s="610">
        <f>SUMIF('Entries 24-25'!$B:$B,A:A,'Entries 24-25'!$D:$D)-SUMIF('Entries 24-25'!$B:$B,A:A,'Entries 24-25'!$E:$E)+SUMIF('IND AS entries 24-25'!$B:$B,A:A,'IND AS entries 24-25'!$D:$D)-SUMIF('IND AS entries 24-25'!$B:$B,A:A,'IND AS entries 24-25'!$E:$E)</f>
        <v>0</v>
      </c>
      <c r="F78" s="611">
        <f t="shared" si="10"/>
        <v>0</v>
      </c>
      <c r="G78" s="610"/>
      <c r="H78" s="610">
        <v>0</v>
      </c>
      <c r="I78" s="611">
        <v>0</v>
      </c>
      <c r="J78" s="610">
        <v>0</v>
      </c>
      <c r="K78" s="611">
        <f t="shared" si="11"/>
        <v>0</v>
      </c>
      <c r="L78" s="612">
        <f>VLOOKUP(A78,'BS Gr'!A:A,1,FALSE)</f>
        <v>100552</v>
      </c>
      <c r="M78" s="612">
        <f t="shared" si="7"/>
        <v>1</v>
      </c>
      <c r="N78" s="613">
        <f t="shared" si="9"/>
        <v>0</v>
      </c>
      <c r="O78" s="613">
        <f t="shared" si="12"/>
        <v>0</v>
      </c>
      <c r="P78" s="613">
        <v>0</v>
      </c>
      <c r="Q78" s="613">
        <f t="shared" si="13"/>
        <v>0</v>
      </c>
      <c r="R78" s="1514"/>
      <c r="S78" s="1617" t="e">
        <f>SUMIF('[105]TB for financial'!$A:$A,A78,'[105]TB for financial'!$E:$E)</f>
        <v>#VALUE!</v>
      </c>
      <c r="T78" s="613"/>
    </row>
    <row r="79" spans="1:20">
      <c r="A79" s="608">
        <v>100553</v>
      </c>
      <c r="B79" s="609" t="s">
        <v>1037</v>
      </c>
      <c r="C79" s="610">
        <f t="shared" si="8"/>
        <v>0</v>
      </c>
      <c r="D79" s="611">
        <v>0</v>
      </c>
      <c r="E79" s="610">
        <f>SUMIF('Entries 24-25'!$B:$B,A:A,'Entries 24-25'!$D:$D)-SUMIF('Entries 24-25'!$B:$B,A:A,'Entries 24-25'!$E:$E)+SUMIF('IND AS entries 24-25'!$B:$B,A:A,'IND AS entries 24-25'!$D:$D)-SUMIF('IND AS entries 24-25'!$B:$B,A:A,'IND AS entries 24-25'!$E:$E)</f>
        <v>0</v>
      </c>
      <c r="F79" s="611">
        <f t="shared" si="10"/>
        <v>0</v>
      </c>
      <c r="G79" s="610"/>
      <c r="H79" s="610">
        <v>0</v>
      </c>
      <c r="I79" s="611">
        <v>0</v>
      </c>
      <c r="J79" s="610">
        <v>0</v>
      </c>
      <c r="K79" s="611">
        <f t="shared" si="11"/>
        <v>0</v>
      </c>
      <c r="L79" s="612">
        <f>VLOOKUP(A79,'BS Gr'!A:A,1,FALSE)</f>
        <v>100553</v>
      </c>
      <c r="M79" s="612">
        <f t="shared" si="7"/>
        <v>1</v>
      </c>
      <c r="N79" s="613">
        <f t="shared" si="9"/>
        <v>0</v>
      </c>
      <c r="O79" s="613">
        <f t="shared" si="12"/>
        <v>0</v>
      </c>
      <c r="P79" s="613">
        <v>0</v>
      </c>
      <c r="Q79" s="613">
        <f t="shared" si="13"/>
        <v>0</v>
      </c>
      <c r="R79" s="1514"/>
      <c r="S79" s="1617" t="e">
        <f>SUMIF('[105]TB for financial'!$A:$A,A79,'[105]TB for financial'!$E:$E)</f>
        <v>#VALUE!</v>
      </c>
      <c r="T79" s="613"/>
    </row>
    <row r="80" spans="1:20">
      <c r="A80" s="608">
        <v>100554</v>
      </c>
      <c r="B80" s="609" t="s">
        <v>1038</v>
      </c>
      <c r="C80" s="610">
        <f t="shared" si="8"/>
        <v>0</v>
      </c>
      <c r="D80" s="611">
        <v>0</v>
      </c>
      <c r="E80" s="610">
        <f>SUMIF('Entries 24-25'!$B:$B,A:A,'Entries 24-25'!$D:$D)-SUMIF('Entries 24-25'!$B:$B,A:A,'Entries 24-25'!$E:$E)+SUMIF('IND AS entries 24-25'!$B:$B,A:A,'IND AS entries 24-25'!$D:$D)-SUMIF('IND AS entries 24-25'!$B:$B,A:A,'IND AS entries 24-25'!$E:$E)</f>
        <v>0</v>
      </c>
      <c r="F80" s="611">
        <f t="shared" si="10"/>
        <v>0</v>
      </c>
      <c r="G80" s="610"/>
      <c r="H80" s="610">
        <v>0</v>
      </c>
      <c r="I80" s="611">
        <v>0</v>
      </c>
      <c r="J80" s="610">
        <v>0</v>
      </c>
      <c r="K80" s="611">
        <f t="shared" si="11"/>
        <v>0</v>
      </c>
      <c r="L80" s="612">
        <f>VLOOKUP(A80,'BS Gr'!A:A,1,FALSE)</f>
        <v>100554</v>
      </c>
      <c r="M80" s="612">
        <f t="shared" si="7"/>
        <v>1</v>
      </c>
      <c r="N80" s="613">
        <f t="shared" si="9"/>
        <v>0</v>
      </c>
      <c r="O80" s="613">
        <f t="shared" si="12"/>
        <v>0</v>
      </c>
      <c r="P80" s="613">
        <v>0</v>
      </c>
      <c r="Q80" s="613">
        <f t="shared" si="13"/>
        <v>0</v>
      </c>
      <c r="R80" s="1514"/>
      <c r="S80" s="1617" t="e">
        <f>SUMIF('[105]TB for financial'!$A:$A,A80,'[105]TB for financial'!$E:$E)</f>
        <v>#VALUE!</v>
      </c>
      <c r="T80" s="613"/>
    </row>
    <row r="81" spans="1:20">
      <c r="A81" s="608">
        <v>100555</v>
      </c>
      <c r="B81" s="609" t="s">
        <v>1039</v>
      </c>
      <c r="C81" s="610">
        <f t="shared" si="8"/>
        <v>0</v>
      </c>
      <c r="D81" s="611">
        <v>0</v>
      </c>
      <c r="E81" s="610">
        <f>SUMIF('Entries 24-25'!$B:$B,A:A,'Entries 24-25'!$D:$D)-SUMIF('Entries 24-25'!$B:$B,A:A,'Entries 24-25'!$E:$E)+SUMIF('IND AS entries 24-25'!$B:$B,A:A,'IND AS entries 24-25'!$D:$D)-SUMIF('IND AS entries 24-25'!$B:$B,A:A,'IND AS entries 24-25'!$E:$E)</f>
        <v>0</v>
      </c>
      <c r="F81" s="611">
        <f t="shared" si="10"/>
        <v>0</v>
      </c>
      <c r="G81" s="610"/>
      <c r="H81" s="610">
        <v>0</v>
      </c>
      <c r="I81" s="611">
        <v>0</v>
      </c>
      <c r="J81" s="610">
        <v>0</v>
      </c>
      <c r="K81" s="611">
        <f t="shared" si="11"/>
        <v>0</v>
      </c>
      <c r="L81" s="612">
        <f>VLOOKUP(A81,'BS Gr'!A:A,1,FALSE)</f>
        <v>100555</v>
      </c>
      <c r="M81" s="612">
        <f t="shared" si="7"/>
        <v>1</v>
      </c>
      <c r="N81" s="613">
        <f t="shared" si="9"/>
        <v>0</v>
      </c>
      <c r="O81" s="613">
        <f t="shared" si="12"/>
        <v>0</v>
      </c>
      <c r="P81" s="613">
        <v>0</v>
      </c>
      <c r="Q81" s="613">
        <f t="shared" si="13"/>
        <v>0</v>
      </c>
      <c r="R81" s="1514"/>
      <c r="S81" s="1617" t="e">
        <f>SUMIF('[105]TB for financial'!$A:$A,A81,'[105]TB for financial'!$E:$E)</f>
        <v>#VALUE!</v>
      </c>
      <c r="T81" s="613"/>
    </row>
    <row r="82" spans="1:20">
      <c r="A82" s="608">
        <v>100556</v>
      </c>
      <c r="B82" s="609" t="s">
        <v>1040</v>
      </c>
      <c r="C82" s="610">
        <f t="shared" si="8"/>
        <v>1.2499999981373549</v>
      </c>
      <c r="D82" s="611">
        <v>0</v>
      </c>
      <c r="E82" s="610">
        <f>SUMIF('Entries 24-25'!$B:$B,A:A,'Entries 24-25'!$D:$D)-SUMIF('Entries 24-25'!$B:$B,A:A,'Entries 24-25'!$E:$E)+SUMIF('IND AS entries 24-25'!$B:$B,A:A,'IND AS entries 24-25'!$D:$D)-SUMIF('IND AS entries 24-25'!$B:$B,A:A,'IND AS entries 24-25'!$E:$E)</f>
        <v>0</v>
      </c>
      <c r="F82" s="611">
        <f t="shared" si="10"/>
        <v>1.2499999981373549</v>
      </c>
      <c r="G82" s="610"/>
      <c r="H82" s="610">
        <v>1.2499999981373549</v>
      </c>
      <c r="I82" s="611">
        <v>0</v>
      </c>
      <c r="J82" s="610">
        <v>0</v>
      </c>
      <c r="K82" s="611">
        <f t="shared" si="11"/>
        <v>1.2499999981373549</v>
      </c>
      <c r="L82" s="612">
        <f>VLOOKUP(A82,'BS Gr'!A:A,1,FALSE)</f>
        <v>100556</v>
      </c>
      <c r="M82" s="612">
        <f t="shared" si="7"/>
        <v>1</v>
      </c>
      <c r="N82" s="613">
        <f t="shared" si="9"/>
        <v>0</v>
      </c>
      <c r="O82" s="613">
        <f t="shared" si="12"/>
        <v>0</v>
      </c>
      <c r="P82" s="613">
        <v>-2.2351741568726879E-9</v>
      </c>
      <c r="Q82" s="613">
        <f t="shared" si="13"/>
        <v>1.2500000003725291</v>
      </c>
      <c r="R82" s="1514"/>
      <c r="S82" s="1617" t="e">
        <f>SUMIF('[105]TB for financial'!$A:$A,A82,'[105]TB for financial'!$E:$E)</f>
        <v>#VALUE!</v>
      </c>
      <c r="T82" s="613"/>
    </row>
    <row r="83" spans="1:20">
      <c r="A83" s="608">
        <v>100557</v>
      </c>
      <c r="B83" s="609" t="s">
        <v>1041</v>
      </c>
      <c r="C83" s="610">
        <f t="shared" si="8"/>
        <v>0</v>
      </c>
      <c r="D83" s="611">
        <v>0</v>
      </c>
      <c r="E83" s="610">
        <f>SUMIF('Entries 24-25'!$B:$B,A:A,'Entries 24-25'!$D:$D)-SUMIF('Entries 24-25'!$B:$B,A:A,'Entries 24-25'!$E:$E)+SUMIF('IND AS entries 24-25'!$B:$B,A:A,'IND AS entries 24-25'!$D:$D)-SUMIF('IND AS entries 24-25'!$B:$B,A:A,'IND AS entries 24-25'!$E:$E)</f>
        <v>0</v>
      </c>
      <c r="F83" s="611">
        <f t="shared" si="10"/>
        <v>0</v>
      </c>
      <c r="G83" s="610"/>
      <c r="H83" s="610">
        <v>0</v>
      </c>
      <c r="I83" s="611">
        <v>0</v>
      </c>
      <c r="J83" s="610">
        <v>0</v>
      </c>
      <c r="K83" s="611">
        <f t="shared" si="11"/>
        <v>0</v>
      </c>
      <c r="L83" s="612">
        <f>VLOOKUP(A83,'BS Gr'!A:A,1,FALSE)</f>
        <v>100557</v>
      </c>
      <c r="M83" s="612">
        <f t="shared" si="7"/>
        <v>1</v>
      </c>
      <c r="N83" s="613">
        <f t="shared" si="9"/>
        <v>0</v>
      </c>
      <c r="O83" s="613">
        <f t="shared" si="12"/>
        <v>0</v>
      </c>
      <c r="P83" s="613">
        <v>0</v>
      </c>
      <c r="Q83" s="613">
        <f t="shared" si="13"/>
        <v>0</v>
      </c>
      <c r="R83" s="1514"/>
      <c r="S83" s="1617" t="e">
        <f>SUMIF('[105]TB for financial'!$A:$A,A83,'[105]TB for financial'!$E:$E)</f>
        <v>#VALUE!</v>
      </c>
      <c r="T83" s="613"/>
    </row>
    <row r="84" spans="1:20">
      <c r="A84" s="608">
        <v>100558</v>
      </c>
      <c r="B84" s="609" t="s">
        <v>1042</v>
      </c>
      <c r="C84" s="610">
        <f t="shared" si="8"/>
        <v>0</v>
      </c>
      <c r="D84" s="611">
        <v>0</v>
      </c>
      <c r="E84" s="610">
        <f>SUMIF('Entries 24-25'!$B:$B,A:A,'Entries 24-25'!$D:$D)-SUMIF('Entries 24-25'!$B:$B,A:A,'Entries 24-25'!$E:$E)+SUMIF('IND AS entries 24-25'!$B:$B,A:A,'IND AS entries 24-25'!$D:$D)-SUMIF('IND AS entries 24-25'!$B:$B,A:A,'IND AS entries 24-25'!$E:$E)</f>
        <v>0</v>
      </c>
      <c r="F84" s="611">
        <f t="shared" si="10"/>
        <v>0</v>
      </c>
      <c r="G84" s="610"/>
      <c r="H84" s="610">
        <v>0</v>
      </c>
      <c r="I84" s="611">
        <v>0</v>
      </c>
      <c r="J84" s="610">
        <v>0</v>
      </c>
      <c r="K84" s="611">
        <f t="shared" si="11"/>
        <v>0</v>
      </c>
      <c r="L84" s="612">
        <f>VLOOKUP(A84,'BS Gr'!A:A,1,FALSE)</f>
        <v>100558</v>
      </c>
      <c r="M84" s="612">
        <f t="shared" si="7"/>
        <v>1</v>
      </c>
      <c r="N84" s="613">
        <f t="shared" si="9"/>
        <v>0</v>
      </c>
      <c r="O84" s="613">
        <f t="shared" si="12"/>
        <v>0</v>
      </c>
      <c r="P84" s="613">
        <v>0</v>
      </c>
      <c r="Q84" s="613">
        <f t="shared" si="13"/>
        <v>0</v>
      </c>
      <c r="R84" s="1514"/>
      <c r="S84" s="1617" t="e">
        <f>SUMIF('[105]TB for financial'!$A:$A,A84,'[105]TB for financial'!$E:$E)</f>
        <v>#VALUE!</v>
      </c>
      <c r="T84" s="613"/>
    </row>
    <row r="85" spans="1:20">
      <c r="A85" s="608">
        <v>100559</v>
      </c>
      <c r="B85" s="609" t="s">
        <v>1043</v>
      </c>
      <c r="C85" s="610">
        <f t="shared" si="8"/>
        <v>0</v>
      </c>
      <c r="D85" s="611">
        <v>0</v>
      </c>
      <c r="E85" s="610">
        <f>SUMIF('Entries 24-25'!$B:$B,A:A,'Entries 24-25'!$D:$D)-SUMIF('Entries 24-25'!$B:$B,A:A,'Entries 24-25'!$E:$E)+SUMIF('IND AS entries 24-25'!$B:$B,A:A,'IND AS entries 24-25'!$D:$D)-SUMIF('IND AS entries 24-25'!$B:$B,A:A,'IND AS entries 24-25'!$E:$E)</f>
        <v>0</v>
      </c>
      <c r="F85" s="611">
        <f t="shared" si="10"/>
        <v>0</v>
      </c>
      <c r="G85" s="610"/>
      <c r="H85" s="610">
        <v>0</v>
      </c>
      <c r="I85" s="611">
        <v>0</v>
      </c>
      <c r="J85" s="610">
        <v>0</v>
      </c>
      <c r="K85" s="611">
        <f t="shared" si="11"/>
        <v>0</v>
      </c>
      <c r="L85" s="612">
        <f>VLOOKUP(A85,'BS Gr'!A:A,1,FALSE)</f>
        <v>100559</v>
      </c>
      <c r="M85" s="612">
        <f t="shared" si="7"/>
        <v>1</v>
      </c>
      <c r="N85" s="613">
        <f t="shared" si="9"/>
        <v>0</v>
      </c>
      <c r="O85" s="613">
        <f t="shared" si="12"/>
        <v>0</v>
      </c>
      <c r="P85" s="613">
        <v>0</v>
      </c>
      <c r="Q85" s="613">
        <f t="shared" si="13"/>
        <v>0</v>
      </c>
      <c r="R85" s="1514"/>
      <c r="S85" s="1617" t="e">
        <f>SUMIF('[105]TB for financial'!$A:$A,A85,'[105]TB for financial'!$E:$E)</f>
        <v>#VALUE!</v>
      </c>
      <c r="T85" s="613"/>
    </row>
    <row r="86" spans="1:20">
      <c r="A86" s="608">
        <v>100560</v>
      </c>
      <c r="B86" s="609" t="s">
        <v>1044</v>
      </c>
      <c r="C86" s="610">
        <f t="shared" si="8"/>
        <v>0</v>
      </c>
      <c r="D86" s="611">
        <v>0</v>
      </c>
      <c r="E86" s="610">
        <f>SUMIF('Entries 24-25'!$B:$B,A:A,'Entries 24-25'!$D:$D)-SUMIF('Entries 24-25'!$B:$B,A:A,'Entries 24-25'!$E:$E)+SUMIF('IND AS entries 24-25'!$B:$B,A:A,'IND AS entries 24-25'!$D:$D)-SUMIF('IND AS entries 24-25'!$B:$B,A:A,'IND AS entries 24-25'!$E:$E)</f>
        <v>0</v>
      </c>
      <c r="F86" s="611">
        <f t="shared" si="10"/>
        <v>0</v>
      </c>
      <c r="G86" s="610"/>
      <c r="H86" s="610">
        <v>0</v>
      </c>
      <c r="I86" s="611">
        <v>0</v>
      </c>
      <c r="J86" s="610">
        <v>0</v>
      </c>
      <c r="K86" s="611">
        <f t="shared" si="11"/>
        <v>0</v>
      </c>
      <c r="L86" s="612">
        <f>VLOOKUP(A86,'BS Gr'!A:A,1,FALSE)</f>
        <v>100560</v>
      </c>
      <c r="M86" s="612">
        <f t="shared" si="7"/>
        <v>1</v>
      </c>
      <c r="N86" s="613">
        <f t="shared" si="9"/>
        <v>0</v>
      </c>
      <c r="O86" s="613">
        <f t="shared" si="12"/>
        <v>0</v>
      </c>
      <c r="P86" s="613">
        <v>0</v>
      </c>
      <c r="Q86" s="613">
        <f t="shared" si="13"/>
        <v>0</v>
      </c>
      <c r="R86" s="1514"/>
      <c r="S86" s="1617" t="e">
        <f>SUMIF('[105]TB for financial'!$A:$A,A86,'[105]TB for financial'!$E:$E)</f>
        <v>#VALUE!</v>
      </c>
      <c r="T86" s="613"/>
    </row>
    <row r="87" spans="1:20">
      <c r="A87" s="608">
        <v>100561</v>
      </c>
      <c r="B87" s="609" t="s">
        <v>1045</v>
      </c>
      <c r="C87" s="610">
        <f t="shared" si="8"/>
        <v>0</v>
      </c>
      <c r="D87" s="611">
        <v>0</v>
      </c>
      <c r="E87" s="610">
        <f>SUMIF('Entries 24-25'!$B:$B,A:A,'Entries 24-25'!$D:$D)-SUMIF('Entries 24-25'!$B:$B,A:A,'Entries 24-25'!$E:$E)+SUMIF('IND AS entries 24-25'!$B:$B,A:A,'IND AS entries 24-25'!$D:$D)-SUMIF('IND AS entries 24-25'!$B:$B,A:A,'IND AS entries 24-25'!$E:$E)</f>
        <v>0</v>
      </c>
      <c r="F87" s="611">
        <f t="shared" si="10"/>
        <v>0</v>
      </c>
      <c r="G87" s="610"/>
      <c r="H87" s="610">
        <v>0</v>
      </c>
      <c r="I87" s="611">
        <v>0</v>
      </c>
      <c r="J87" s="610">
        <v>0</v>
      </c>
      <c r="K87" s="611">
        <f t="shared" si="11"/>
        <v>0</v>
      </c>
      <c r="L87" s="612">
        <f>VLOOKUP(A87,'BS Gr'!A:A,1,FALSE)</f>
        <v>100561</v>
      </c>
      <c r="M87" s="612">
        <f t="shared" si="7"/>
        <v>1</v>
      </c>
      <c r="N87" s="613">
        <f t="shared" si="9"/>
        <v>0</v>
      </c>
      <c r="O87" s="613">
        <f t="shared" si="12"/>
        <v>0</v>
      </c>
      <c r="P87" s="613">
        <v>0</v>
      </c>
      <c r="Q87" s="613">
        <f t="shared" si="13"/>
        <v>0</v>
      </c>
      <c r="R87" s="1514"/>
      <c r="S87" s="1617" t="e">
        <f>SUMIF('[105]TB for financial'!$A:$A,A87,'[105]TB for financial'!$E:$E)</f>
        <v>#VALUE!</v>
      </c>
      <c r="T87" s="613"/>
    </row>
    <row r="88" spans="1:20">
      <c r="A88" s="608">
        <v>100562</v>
      </c>
      <c r="B88" s="609" t="s">
        <v>1046</v>
      </c>
      <c r="C88" s="610">
        <f t="shared" si="8"/>
        <v>-1.2000000029802322</v>
      </c>
      <c r="D88" s="611">
        <v>0</v>
      </c>
      <c r="E88" s="610">
        <f>SUMIF('Entries 24-25'!$B:$B,A:A,'Entries 24-25'!$D:$D)-SUMIF('Entries 24-25'!$B:$B,A:A,'Entries 24-25'!$E:$E)+SUMIF('IND AS entries 24-25'!$B:$B,A:A,'IND AS entries 24-25'!$D:$D)-SUMIF('IND AS entries 24-25'!$B:$B,A:A,'IND AS entries 24-25'!$E:$E)</f>
        <v>0</v>
      </c>
      <c r="F88" s="611">
        <f t="shared" si="10"/>
        <v>-1.2000000029802322</v>
      </c>
      <c r="G88" s="610"/>
      <c r="H88" s="610">
        <v>-1.2000000029802322</v>
      </c>
      <c r="I88" s="611">
        <v>0</v>
      </c>
      <c r="J88" s="610">
        <v>0</v>
      </c>
      <c r="K88" s="611">
        <f t="shared" si="11"/>
        <v>-1.2000000029802322</v>
      </c>
      <c r="L88" s="612">
        <f>VLOOKUP(A88,'BS Gr'!A:A,1,FALSE)</f>
        <v>100562</v>
      </c>
      <c r="M88" s="612">
        <f t="shared" si="7"/>
        <v>1</v>
      </c>
      <c r="N88" s="613">
        <f t="shared" si="9"/>
        <v>0</v>
      </c>
      <c r="O88" s="613">
        <f t="shared" si="12"/>
        <v>0</v>
      </c>
      <c r="P88" s="613">
        <v>0.83999999985098839</v>
      </c>
      <c r="Q88" s="613">
        <f t="shared" si="13"/>
        <v>-2.0400000028312206</v>
      </c>
      <c r="R88" s="1514"/>
      <c r="S88" s="1617" t="e">
        <f>SUMIF('[105]TB for financial'!$A:$A,A88,'[105]TB for financial'!$E:$E)</f>
        <v>#VALUE!</v>
      </c>
      <c r="T88" s="613"/>
    </row>
    <row r="89" spans="1:20">
      <c r="A89" s="608">
        <v>100563</v>
      </c>
      <c r="B89" s="609" t="s">
        <v>1047</v>
      </c>
      <c r="C89" s="610">
        <f t="shared" si="8"/>
        <v>-8.0000014510005713E-2</v>
      </c>
      <c r="D89" s="611">
        <v>0</v>
      </c>
      <c r="E89" s="610">
        <f>SUMIF('Entries 24-25'!$B:$B,A:A,'Entries 24-25'!$D:$D)-SUMIF('Entries 24-25'!$B:$B,A:A,'Entries 24-25'!$E:$E)+SUMIF('IND AS entries 24-25'!$B:$B,A:A,'IND AS entries 24-25'!$D:$D)-SUMIF('IND AS entries 24-25'!$B:$B,A:A,'IND AS entries 24-25'!$E:$E)</f>
        <v>0</v>
      </c>
      <c r="F89" s="611">
        <f t="shared" si="10"/>
        <v>-8.0000014510005713E-2</v>
      </c>
      <c r="G89" s="610"/>
      <c r="H89" s="610">
        <v>-8.0000014510005713E-2</v>
      </c>
      <c r="I89" s="611">
        <v>0</v>
      </c>
      <c r="J89" s="610">
        <v>0</v>
      </c>
      <c r="K89" s="611">
        <f t="shared" si="11"/>
        <v>-8.0000014510005713E-2</v>
      </c>
      <c r="L89" s="612">
        <f>VLOOKUP(A89,'BS Gr'!A:A,1,FALSE)</f>
        <v>100563</v>
      </c>
      <c r="M89" s="612">
        <f t="shared" si="7"/>
        <v>1</v>
      </c>
      <c r="N89" s="613">
        <f t="shared" si="9"/>
        <v>0</v>
      </c>
      <c r="O89" s="613">
        <f t="shared" si="12"/>
        <v>0</v>
      </c>
      <c r="P89" s="613">
        <v>12301872.4955108</v>
      </c>
      <c r="Q89" s="613">
        <f t="shared" si="13"/>
        <v>-12301872.575510815</v>
      </c>
      <c r="R89" s="1514"/>
      <c r="S89" s="1617" t="e">
        <f>SUMIF('[105]TB for financial'!$A:$A,A89,'[105]TB for financial'!$E:$E)</f>
        <v>#VALUE!</v>
      </c>
      <c r="T89" s="613"/>
    </row>
    <row r="90" spans="1:20">
      <c r="A90" s="608">
        <v>100564</v>
      </c>
      <c r="B90" s="609" t="s">
        <v>1048</v>
      </c>
      <c r="C90" s="610">
        <f t="shared" si="8"/>
        <v>0</v>
      </c>
      <c r="D90" s="611">
        <v>0</v>
      </c>
      <c r="E90" s="610">
        <f>SUMIF('Entries 24-25'!$B:$B,A:A,'Entries 24-25'!$D:$D)-SUMIF('Entries 24-25'!$B:$B,A:A,'Entries 24-25'!$E:$E)+SUMIF('IND AS entries 24-25'!$B:$B,A:A,'IND AS entries 24-25'!$D:$D)-SUMIF('IND AS entries 24-25'!$B:$B,A:A,'IND AS entries 24-25'!$E:$E)</f>
        <v>0</v>
      </c>
      <c r="F90" s="611">
        <f t="shared" si="10"/>
        <v>0</v>
      </c>
      <c r="G90" s="610"/>
      <c r="H90" s="610">
        <v>0</v>
      </c>
      <c r="I90" s="611">
        <v>0</v>
      </c>
      <c r="J90" s="610">
        <v>0</v>
      </c>
      <c r="K90" s="611">
        <f t="shared" si="11"/>
        <v>0</v>
      </c>
      <c r="L90" s="612">
        <f>VLOOKUP(A90,'BS Gr'!A:A,1,FALSE)</f>
        <v>100564</v>
      </c>
      <c r="M90" s="612">
        <f t="shared" si="7"/>
        <v>1</v>
      </c>
      <c r="N90" s="613">
        <f t="shared" si="9"/>
        <v>0</v>
      </c>
      <c r="O90" s="613">
        <f t="shared" si="12"/>
        <v>0</v>
      </c>
      <c r="P90" s="613">
        <v>0</v>
      </c>
      <c r="Q90" s="613">
        <f t="shared" si="13"/>
        <v>0</v>
      </c>
      <c r="R90" s="1514"/>
      <c r="S90" s="1617" t="e">
        <f>SUMIF('[105]TB for financial'!$A:$A,A90,'[105]TB for financial'!$E:$E)</f>
        <v>#VALUE!</v>
      </c>
      <c r="T90" s="613"/>
    </row>
    <row r="91" spans="1:20">
      <c r="A91" s="608">
        <v>100565</v>
      </c>
      <c r="B91" s="609" t="s">
        <v>1049</v>
      </c>
      <c r="C91" s="610">
        <f t="shared" si="8"/>
        <v>0</v>
      </c>
      <c r="D91" s="611">
        <v>0</v>
      </c>
      <c r="E91" s="610">
        <f>SUMIF('Entries 24-25'!$B:$B,A:A,'Entries 24-25'!$D:$D)-SUMIF('Entries 24-25'!$B:$B,A:A,'Entries 24-25'!$E:$E)+SUMIF('IND AS entries 24-25'!$B:$B,A:A,'IND AS entries 24-25'!$D:$D)-SUMIF('IND AS entries 24-25'!$B:$B,A:A,'IND AS entries 24-25'!$E:$E)</f>
        <v>0</v>
      </c>
      <c r="F91" s="611">
        <f t="shared" si="10"/>
        <v>0</v>
      </c>
      <c r="G91" s="610"/>
      <c r="H91" s="610">
        <v>0</v>
      </c>
      <c r="I91" s="611">
        <v>0</v>
      </c>
      <c r="J91" s="610">
        <v>0</v>
      </c>
      <c r="K91" s="611">
        <f t="shared" si="11"/>
        <v>0</v>
      </c>
      <c r="L91" s="612">
        <f>VLOOKUP(A91,'BS Gr'!A:A,1,FALSE)</f>
        <v>100565</v>
      </c>
      <c r="M91" s="612">
        <f t="shared" si="7"/>
        <v>1</v>
      </c>
      <c r="N91" s="613">
        <f t="shared" si="9"/>
        <v>0</v>
      </c>
      <c r="O91" s="613">
        <f t="shared" si="12"/>
        <v>0</v>
      </c>
      <c r="P91" s="613">
        <v>0</v>
      </c>
      <c r="Q91" s="613">
        <f t="shared" si="13"/>
        <v>0</v>
      </c>
      <c r="R91" s="1514"/>
      <c r="S91" s="1617" t="e">
        <f>SUMIF('[105]TB for financial'!$A:$A,A91,'[105]TB for financial'!$E:$E)</f>
        <v>#VALUE!</v>
      </c>
      <c r="T91" s="613"/>
    </row>
    <row r="92" spans="1:20">
      <c r="A92" s="608">
        <v>100566</v>
      </c>
      <c r="B92" s="609" t="s">
        <v>1050</v>
      </c>
      <c r="C92" s="610">
        <f t="shared" si="8"/>
        <v>0</v>
      </c>
      <c r="D92" s="611">
        <v>0</v>
      </c>
      <c r="E92" s="610">
        <f>SUMIF('Entries 24-25'!$B:$B,A:A,'Entries 24-25'!$D:$D)-SUMIF('Entries 24-25'!$B:$B,A:A,'Entries 24-25'!$E:$E)+SUMIF('IND AS entries 24-25'!$B:$B,A:A,'IND AS entries 24-25'!$D:$D)-SUMIF('IND AS entries 24-25'!$B:$B,A:A,'IND AS entries 24-25'!$E:$E)</f>
        <v>0</v>
      </c>
      <c r="F92" s="611">
        <f t="shared" si="10"/>
        <v>0</v>
      </c>
      <c r="G92" s="610"/>
      <c r="H92" s="610">
        <v>0</v>
      </c>
      <c r="I92" s="611">
        <v>0</v>
      </c>
      <c r="J92" s="610">
        <v>0</v>
      </c>
      <c r="K92" s="611">
        <f t="shared" si="11"/>
        <v>0</v>
      </c>
      <c r="L92" s="612">
        <f>VLOOKUP(A92,'BS Gr'!A:A,1,FALSE)</f>
        <v>100566</v>
      </c>
      <c r="M92" s="612">
        <f t="shared" si="7"/>
        <v>1</v>
      </c>
      <c r="N92" s="613">
        <f t="shared" si="9"/>
        <v>0</v>
      </c>
      <c r="O92" s="613">
        <f t="shared" si="12"/>
        <v>0</v>
      </c>
      <c r="P92" s="613">
        <v>0</v>
      </c>
      <c r="Q92" s="613">
        <f t="shared" si="13"/>
        <v>0</v>
      </c>
      <c r="R92" s="1514"/>
      <c r="S92" s="1617" t="e">
        <f>SUMIF('[105]TB for financial'!$A:$A,A92,'[105]TB for financial'!$E:$E)</f>
        <v>#VALUE!</v>
      </c>
      <c r="T92" s="613"/>
    </row>
    <row r="93" spans="1:20">
      <c r="A93" s="608">
        <v>100567</v>
      </c>
      <c r="B93" s="609" t="s">
        <v>1051</v>
      </c>
      <c r="C93" s="610">
        <f t="shared" si="8"/>
        <v>0.13000000022351743</v>
      </c>
      <c r="D93" s="611">
        <v>0</v>
      </c>
      <c r="E93" s="610">
        <f>SUMIF('Entries 24-25'!$B:$B,A:A,'Entries 24-25'!$D:$D)-SUMIF('Entries 24-25'!$B:$B,A:A,'Entries 24-25'!$E:$E)+SUMIF('IND AS entries 24-25'!$B:$B,A:A,'IND AS entries 24-25'!$D:$D)-SUMIF('IND AS entries 24-25'!$B:$B,A:A,'IND AS entries 24-25'!$E:$E)</f>
        <v>0</v>
      </c>
      <c r="F93" s="611">
        <f t="shared" si="10"/>
        <v>0.13000000022351743</v>
      </c>
      <c r="G93" s="610"/>
      <c r="H93" s="610">
        <v>0.13000000022351743</v>
      </c>
      <c r="I93" s="611">
        <v>0</v>
      </c>
      <c r="J93" s="610">
        <v>0</v>
      </c>
      <c r="K93" s="611">
        <f t="shared" si="11"/>
        <v>0.13000000022351743</v>
      </c>
      <c r="L93" s="612">
        <f>VLOOKUP(A93,'BS Gr'!A:A,1,FALSE)</f>
        <v>100567</v>
      </c>
      <c r="M93" s="612">
        <f t="shared" si="7"/>
        <v>1</v>
      </c>
      <c r="N93" s="613">
        <f t="shared" si="9"/>
        <v>0</v>
      </c>
      <c r="O93" s="613">
        <f t="shared" si="12"/>
        <v>0</v>
      </c>
      <c r="P93" s="613">
        <v>-9.9999997764825821E-3</v>
      </c>
      <c r="Q93" s="613">
        <f t="shared" si="13"/>
        <v>0.14000000000000001</v>
      </c>
      <c r="R93" s="1514"/>
      <c r="S93" s="1617" t="e">
        <f>SUMIF('[105]TB for financial'!$A:$A,A93,'[105]TB for financial'!$E:$E)</f>
        <v>#VALUE!</v>
      </c>
      <c r="T93" s="613"/>
    </row>
    <row r="94" spans="1:20">
      <c r="A94" s="608">
        <v>100568</v>
      </c>
      <c r="B94" s="609" t="s">
        <v>1052</v>
      </c>
      <c r="C94" s="610">
        <f t="shared" si="8"/>
        <v>0</v>
      </c>
      <c r="D94" s="611">
        <v>0</v>
      </c>
      <c r="E94" s="610">
        <f>SUMIF('Entries 24-25'!$B:$B,A:A,'Entries 24-25'!$D:$D)-SUMIF('Entries 24-25'!$B:$B,A:A,'Entries 24-25'!$E:$E)+SUMIF('IND AS entries 24-25'!$B:$B,A:A,'IND AS entries 24-25'!$D:$D)-SUMIF('IND AS entries 24-25'!$B:$B,A:A,'IND AS entries 24-25'!$E:$E)</f>
        <v>0</v>
      </c>
      <c r="F94" s="611">
        <f t="shared" si="10"/>
        <v>0</v>
      </c>
      <c r="G94" s="610"/>
      <c r="H94" s="610">
        <v>0</v>
      </c>
      <c r="I94" s="611">
        <v>0</v>
      </c>
      <c r="J94" s="610">
        <v>0</v>
      </c>
      <c r="K94" s="611">
        <f t="shared" si="11"/>
        <v>0</v>
      </c>
      <c r="L94" s="612">
        <f>VLOOKUP(A94,'BS Gr'!A:A,1,FALSE)</f>
        <v>100568</v>
      </c>
      <c r="M94" s="612">
        <f t="shared" si="7"/>
        <v>1</v>
      </c>
      <c r="N94" s="613">
        <f t="shared" si="9"/>
        <v>0</v>
      </c>
      <c r="O94" s="613">
        <f t="shared" si="12"/>
        <v>0</v>
      </c>
      <c r="P94" s="613">
        <v>0</v>
      </c>
      <c r="Q94" s="613">
        <f t="shared" si="13"/>
        <v>0</v>
      </c>
      <c r="R94" s="1514"/>
      <c r="S94" s="1617" t="e">
        <f>SUMIF('[105]TB for financial'!$A:$A,A94,'[105]TB for financial'!$E:$E)</f>
        <v>#VALUE!</v>
      </c>
      <c r="T94" s="613"/>
    </row>
    <row r="95" spans="1:20">
      <c r="A95" s="608">
        <v>100569</v>
      </c>
      <c r="B95" s="609" t="s">
        <v>1053</v>
      </c>
      <c r="C95" s="610">
        <f t="shared" si="8"/>
        <v>0</v>
      </c>
      <c r="D95" s="611">
        <v>0</v>
      </c>
      <c r="E95" s="610">
        <f>SUMIF('Entries 24-25'!$B:$B,A:A,'Entries 24-25'!$D:$D)-SUMIF('Entries 24-25'!$B:$B,A:A,'Entries 24-25'!$E:$E)+SUMIF('IND AS entries 24-25'!$B:$B,A:A,'IND AS entries 24-25'!$D:$D)-SUMIF('IND AS entries 24-25'!$B:$B,A:A,'IND AS entries 24-25'!$E:$E)</f>
        <v>0</v>
      </c>
      <c r="F95" s="611">
        <f t="shared" si="10"/>
        <v>0</v>
      </c>
      <c r="G95" s="610"/>
      <c r="H95" s="610">
        <v>0</v>
      </c>
      <c r="I95" s="611">
        <v>0</v>
      </c>
      <c r="J95" s="610">
        <v>0</v>
      </c>
      <c r="K95" s="611">
        <f t="shared" si="11"/>
        <v>0</v>
      </c>
      <c r="L95" s="612">
        <f>VLOOKUP(A95,'BS Gr'!A:A,1,FALSE)</f>
        <v>100569</v>
      </c>
      <c r="M95" s="612">
        <f t="shared" si="7"/>
        <v>1</v>
      </c>
      <c r="N95" s="613">
        <f t="shared" si="9"/>
        <v>0</v>
      </c>
      <c r="O95" s="613">
        <f t="shared" si="12"/>
        <v>0</v>
      </c>
      <c r="P95" s="613">
        <v>0</v>
      </c>
      <c r="Q95" s="613">
        <f t="shared" si="13"/>
        <v>0</v>
      </c>
      <c r="R95" s="1514"/>
      <c r="S95" s="1617" t="e">
        <f>SUMIF('[105]TB for financial'!$A:$A,A95,'[105]TB for financial'!$E:$E)</f>
        <v>#VALUE!</v>
      </c>
      <c r="T95" s="613"/>
    </row>
    <row r="96" spans="1:20">
      <c r="A96" s="608">
        <v>100570</v>
      </c>
      <c r="B96" s="609" t="s">
        <v>1054</v>
      </c>
      <c r="C96" s="610">
        <f t="shared" si="8"/>
        <v>0</v>
      </c>
      <c r="D96" s="611">
        <v>0</v>
      </c>
      <c r="E96" s="610">
        <f>SUMIF('Entries 24-25'!$B:$B,A:A,'Entries 24-25'!$D:$D)-SUMIF('Entries 24-25'!$B:$B,A:A,'Entries 24-25'!$E:$E)+SUMIF('IND AS entries 24-25'!$B:$B,A:A,'IND AS entries 24-25'!$D:$D)-SUMIF('IND AS entries 24-25'!$B:$B,A:A,'IND AS entries 24-25'!$E:$E)</f>
        <v>0</v>
      </c>
      <c r="F96" s="611">
        <f t="shared" si="10"/>
        <v>0</v>
      </c>
      <c r="G96" s="610"/>
      <c r="H96" s="610">
        <v>0</v>
      </c>
      <c r="I96" s="611">
        <v>0</v>
      </c>
      <c r="J96" s="610">
        <v>0</v>
      </c>
      <c r="K96" s="611">
        <f t="shared" si="11"/>
        <v>0</v>
      </c>
      <c r="L96" s="612">
        <f>VLOOKUP(A96,'BS Gr'!A:A,1,FALSE)</f>
        <v>100570</v>
      </c>
      <c r="M96" s="612">
        <f t="shared" si="7"/>
        <v>1</v>
      </c>
      <c r="N96" s="613">
        <f t="shared" si="9"/>
        <v>0</v>
      </c>
      <c r="O96" s="613">
        <f t="shared" si="12"/>
        <v>0</v>
      </c>
      <c r="P96" s="613">
        <v>0</v>
      </c>
      <c r="Q96" s="613">
        <f t="shared" si="13"/>
        <v>0</v>
      </c>
      <c r="R96" s="1514"/>
      <c r="S96" s="1617" t="e">
        <f>SUMIF('[105]TB for financial'!$A:$A,A96,'[105]TB for financial'!$E:$E)</f>
        <v>#VALUE!</v>
      </c>
      <c r="T96" s="613"/>
    </row>
    <row r="97" spans="1:20">
      <c r="A97" s="608">
        <v>100571</v>
      </c>
      <c r="B97" s="609" t="s">
        <v>1055</v>
      </c>
      <c r="C97" s="610">
        <f t="shared" si="8"/>
        <v>-0.35000000175088641</v>
      </c>
      <c r="D97" s="611">
        <v>0</v>
      </c>
      <c r="E97" s="610">
        <f>SUMIF('Entries 24-25'!$B:$B,A:A,'Entries 24-25'!$D:$D)-SUMIF('Entries 24-25'!$B:$B,A:A,'Entries 24-25'!$E:$E)+SUMIF('IND AS entries 24-25'!$B:$B,A:A,'IND AS entries 24-25'!$D:$D)-SUMIF('IND AS entries 24-25'!$B:$B,A:A,'IND AS entries 24-25'!$E:$E)</f>
        <v>0</v>
      </c>
      <c r="F97" s="611">
        <f t="shared" si="10"/>
        <v>-0.35000000175088641</v>
      </c>
      <c r="G97" s="610"/>
      <c r="H97" s="610">
        <v>-0.35000000175088641</v>
      </c>
      <c r="I97" s="611">
        <v>0</v>
      </c>
      <c r="J97" s="610">
        <v>0</v>
      </c>
      <c r="K97" s="611">
        <f t="shared" si="11"/>
        <v>-0.35000000175088641</v>
      </c>
      <c r="L97" s="612">
        <f>VLOOKUP(A97,'BS Gr'!A:A,1,FALSE)</f>
        <v>100571</v>
      </c>
      <c r="M97" s="612">
        <f t="shared" si="7"/>
        <v>1</v>
      </c>
      <c r="N97" s="613">
        <f t="shared" si="9"/>
        <v>0</v>
      </c>
      <c r="O97" s="613">
        <f t="shared" si="12"/>
        <v>0</v>
      </c>
      <c r="P97" s="613">
        <v>-2.9999999962747104E-2</v>
      </c>
      <c r="Q97" s="613">
        <f t="shared" si="13"/>
        <v>-0.32000000178813931</v>
      </c>
      <c r="R97" s="1514"/>
      <c r="S97" s="1617" t="e">
        <f>SUMIF('[105]TB for financial'!$A:$A,A97,'[105]TB for financial'!$E:$E)</f>
        <v>#VALUE!</v>
      </c>
      <c r="T97" s="613"/>
    </row>
    <row r="98" spans="1:20">
      <c r="A98" s="608">
        <v>100572</v>
      </c>
      <c r="B98" s="609" t="s">
        <v>1056</v>
      </c>
      <c r="C98" s="610">
        <f t="shared" si="8"/>
        <v>0</v>
      </c>
      <c r="D98" s="611">
        <v>0</v>
      </c>
      <c r="E98" s="610">
        <f>SUMIF('Entries 24-25'!$B:$B,A:A,'Entries 24-25'!$D:$D)-SUMIF('Entries 24-25'!$B:$B,A:A,'Entries 24-25'!$E:$E)+SUMIF('IND AS entries 24-25'!$B:$B,A:A,'IND AS entries 24-25'!$D:$D)-SUMIF('IND AS entries 24-25'!$B:$B,A:A,'IND AS entries 24-25'!$E:$E)</f>
        <v>0</v>
      </c>
      <c r="F98" s="611">
        <f t="shared" si="10"/>
        <v>0</v>
      </c>
      <c r="G98" s="610"/>
      <c r="H98" s="610">
        <v>0</v>
      </c>
      <c r="I98" s="611">
        <v>0</v>
      </c>
      <c r="J98" s="610">
        <v>0</v>
      </c>
      <c r="K98" s="611">
        <f t="shared" si="11"/>
        <v>0</v>
      </c>
      <c r="L98" s="612">
        <f>VLOOKUP(A98,'BS Gr'!A:A,1,FALSE)</f>
        <v>100572</v>
      </c>
      <c r="M98" s="612">
        <f t="shared" si="7"/>
        <v>1</v>
      </c>
      <c r="N98" s="613">
        <f t="shared" si="9"/>
        <v>0</v>
      </c>
      <c r="O98" s="613">
        <f t="shared" si="12"/>
        <v>0</v>
      </c>
      <c r="P98" s="613">
        <v>0</v>
      </c>
      <c r="Q98" s="613">
        <f t="shared" si="13"/>
        <v>0</v>
      </c>
      <c r="R98" s="1514"/>
      <c r="S98" s="1617" t="e">
        <f>SUMIF('[105]TB for financial'!$A:$A,A98,'[105]TB for financial'!$E:$E)</f>
        <v>#VALUE!</v>
      </c>
      <c r="T98" s="613"/>
    </row>
    <row r="99" spans="1:20">
      <c r="A99" s="608">
        <v>100573</v>
      </c>
      <c r="B99" s="609" t="s">
        <v>1057</v>
      </c>
      <c r="C99" s="610">
        <f t="shared" si="8"/>
        <v>0</v>
      </c>
      <c r="D99" s="611">
        <v>0</v>
      </c>
      <c r="E99" s="610">
        <f>SUMIF('Entries 24-25'!$B:$B,A:A,'Entries 24-25'!$D:$D)-SUMIF('Entries 24-25'!$B:$B,A:A,'Entries 24-25'!$E:$E)+SUMIF('IND AS entries 24-25'!$B:$B,A:A,'IND AS entries 24-25'!$D:$D)-SUMIF('IND AS entries 24-25'!$B:$B,A:A,'IND AS entries 24-25'!$E:$E)</f>
        <v>0</v>
      </c>
      <c r="F99" s="611">
        <f t="shared" si="10"/>
        <v>0</v>
      </c>
      <c r="G99" s="610"/>
      <c r="H99" s="610">
        <v>0</v>
      </c>
      <c r="I99" s="611">
        <v>0</v>
      </c>
      <c r="J99" s="610">
        <v>0</v>
      </c>
      <c r="K99" s="611">
        <f t="shared" si="11"/>
        <v>0</v>
      </c>
      <c r="L99" s="612">
        <f>VLOOKUP(A99,'BS Gr'!A:A,1,FALSE)</f>
        <v>100573</v>
      </c>
      <c r="M99" s="612">
        <f t="shared" si="7"/>
        <v>1</v>
      </c>
      <c r="N99" s="613">
        <f t="shared" si="9"/>
        <v>0</v>
      </c>
      <c r="O99" s="613">
        <f t="shared" si="12"/>
        <v>0</v>
      </c>
      <c r="P99" s="613">
        <v>0</v>
      </c>
      <c r="Q99" s="613">
        <f t="shared" si="13"/>
        <v>0</v>
      </c>
      <c r="R99" s="1514"/>
      <c r="S99" s="1617" t="e">
        <f>SUMIF('[105]TB for financial'!$A:$A,A99,'[105]TB for financial'!$E:$E)</f>
        <v>#VALUE!</v>
      </c>
      <c r="T99" s="613"/>
    </row>
    <row r="100" spans="1:20">
      <c r="A100" s="608">
        <v>100574</v>
      </c>
      <c r="B100" s="609" t="s">
        <v>1058</v>
      </c>
      <c r="C100" s="610">
        <f t="shared" si="8"/>
        <v>0</v>
      </c>
      <c r="D100" s="611">
        <v>0</v>
      </c>
      <c r="E100" s="610">
        <f>SUMIF('Entries 24-25'!$B:$B,A:A,'Entries 24-25'!$D:$D)-SUMIF('Entries 24-25'!$B:$B,A:A,'Entries 24-25'!$E:$E)+SUMIF('IND AS entries 24-25'!$B:$B,A:A,'IND AS entries 24-25'!$D:$D)-SUMIF('IND AS entries 24-25'!$B:$B,A:A,'IND AS entries 24-25'!$E:$E)</f>
        <v>0</v>
      </c>
      <c r="F100" s="611">
        <f t="shared" si="10"/>
        <v>0</v>
      </c>
      <c r="G100" s="610"/>
      <c r="H100" s="610">
        <v>0</v>
      </c>
      <c r="I100" s="611">
        <v>0</v>
      </c>
      <c r="J100" s="610">
        <v>0</v>
      </c>
      <c r="K100" s="611">
        <f t="shared" si="11"/>
        <v>0</v>
      </c>
      <c r="L100" s="612">
        <f>VLOOKUP(A100,'BS Gr'!A:A,1,FALSE)</f>
        <v>100574</v>
      </c>
      <c r="M100" s="612">
        <f t="shared" si="7"/>
        <v>1</v>
      </c>
      <c r="N100" s="613">
        <f t="shared" si="9"/>
        <v>0</v>
      </c>
      <c r="O100" s="613">
        <f t="shared" si="12"/>
        <v>0</v>
      </c>
      <c r="P100" s="613">
        <v>0</v>
      </c>
      <c r="Q100" s="613">
        <f t="shared" si="13"/>
        <v>0</v>
      </c>
      <c r="R100" s="1514"/>
      <c r="S100" s="1617" t="e">
        <f>SUMIF('[105]TB for financial'!$A:$A,A100,'[105]TB for financial'!$E:$E)</f>
        <v>#VALUE!</v>
      </c>
      <c r="T100" s="613"/>
    </row>
    <row r="101" spans="1:20">
      <c r="A101" s="608">
        <v>100575</v>
      </c>
      <c r="B101" s="609" t="s">
        <v>1059</v>
      </c>
      <c r="C101" s="610">
        <f t="shared" si="8"/>
        <v>0</v>
      </c>
      <c r="D101" s="611">
        <v>0</v>
      </c>
      <c r="E101" s="610">
        <f>SUMIF('Entries 24-25'!$B:$B,A:A,'Entries 24-25'!$D:$D)-SUMIF('Entries 24-25'!$B:$B,A:A,'Entries 24-25'!$E:$E)+SUMIF('IND AS entries 24-25'!$B:$B,A:A,'IND AS entries 24-25'!$D:$D)-SUMIF('IND AS entries 24-25'!$B:$B,A:A,'IND AS entries 24-25'!$E:$E)</f>
        <v>0</v>
      </c>
      <c r="F101" s="611">
        <f t="shared" si="10"/>
        <v>0</v>
      </c>
      <c r="G101" s="610"/>
      <c r="H101" s="610">
        <v>0</v>
      </c>
      <c r="I101" s="611">
        <v>0</v>
      </c>
      <c r="J101" s="610">
        <v>0</v>
      </c>
      <c r="K101" s="611">
        <f t="shared" si="11"/>
        <v>0</v>
      </c>
      <c r="L101" s="612">
        <f>VLOOKUP(A101,'BS Gr'!A:A,1,FALSE)</f>
        <v>100575</v>
      </c>
      <c r="M101" s="612">
        <f t="shared" si="7"/>
        <v>1</v>
      </c>
      <c r="N101" s="613">
        <f t="shared" si="9"/>
        <v>0</v>
      </c>
      <c r="O101" s="613">
        <f t="shared" si="12"/>
        <v>0</v>
      </c>
      <c r="P101" s="613">
        <v>0</v>
      </c>
      <c r="Q101" s="613">
        <f t="shared" si="13"/>
        <v>0</v>
      </c>
      <c r="R101" s="1514"/>
      <c r="S101" s="1617" t="e">
        <f>SUMIF('[105]TB for financial'!$A:$A,A101,'[105]TB for financial'!$E:$E)</f>
        <v>#VALUE!</v>
      </c>
      <c r="T101" s="613"/>
    </row>
    <row r="102" spans="1:20">
      <c r="A102" s="608">
        <v>100576</v>
      </c>
      <c r="B102" s="609" t="s">
        <v>1060</v>
      </c>
      <c r="C102" s="610">
        <f t="shared" si="8"/>
        <v>0</v>
      </c>
      <c r="D102" s="611">
        <v>0</v>
      </c>
      <c r="E102" s="610">
        <f>SUMIF('Entries 24-25'!$B:$B,A:A,'Entries 24-25'!$D:$D)-SUMIF('Entries 24-25'!$B:$B,A:A,'Entries 24-25'!$E:$E)+SUMIF('IND AS entries 24-25'!$B:$B,A:A,'IND AS entries 24-25'!$D:$D)-SUMIF('IND AS entries 24-25'!$B:$B,A:A,'IND AS entries 24-25'!$E:$E)</f>
        <v>0</v>
      </c>
      <c r="F102" s="611">
        <f t="shared" si="10"/>
        <v>0</v>
      </c>
      <c r="G102" s="610"/>
      <c r="H102" s="610">
        <v>0</v>
      </c>
      <c r="I102" s="611">
        <v>0</v>
      </c>
      <c r="J102" s="610">
        <v>0</v>
      </c>
      <c r="K102" s="611">
        <f t="shared" si="11"/>
        <v>0</v>
      </c>
      <c r="L102" s="612">
        <f>VLOOKUP(A102,'BS Gr'!A:A,1,FALSE)</f>
        <v>100576</v>
      </c>
      <c r="M102" s="612">
        <f t="shared" si="7"/>
        <v>1</v>
      </c>
      <c r="N102" s="613">
        <f t="shared" si="9"/>
        <v>0</v>
      </c>
      <c r="O102" s="613">
        <f t="shared" si="12"/>
        <v>0</v>
      </c>
      <c r="P102" s="613">
        <v>0</v>
      </c>
      <c r="Q102" s="613">
        <f t="shared" si="13"/>
        <v>0</v>
      </c>
      <c r="R102" s="1514"/>
      <c r="S102" s="1617" t="e">
        <f>SUMIF('[105]TB for financial'!$A:$A,A102,'[105]TB for financial'!$E:$E)</f>
        <v>#VALUE!</v>
      </c>
      <c r="T102" s="613"/>
    </row>
    <row r="103" spans="1:20">
      <c r="A103" s="608">
        <v>100577</v>
      </c>
      <c r="B103" s="609" t="s">
        <v>1061</v>
      </c>
      <c r="C103" s="610">
        <f t="shared" si="8"/>
        <v>0</v>
      </c>
      <c r="D103" s="611">
        <v>0</v>
      </c>
      <c r="E103" s="610">
        <f>SUMIF('Entries 24-25'!$B:$B,A:A,'Entries 24-25'!$D:$D)-SUMIF('Entries 24-25'!$B:$B,A:A,'Entries 24-25'!$E:$E)+SUMIF('IND AS entries 24-25'!$B:$B,A:A,'IND AS entries 24-25'!$D:$D)-SUMIF('IND AS entries 24-25'!$B:$B,A:A,'IND AS entries 24-25'!$E:$E)</f>
        <v>0</v>
      </c>
      <c r="F103" s="611">
        <f t="shared" si="10"/>
        <v>0</v>
      </c>
      <c r="G103" s="610"/>
      <c r="H103" s="610">
        <v>0</v>
      </c>
      <c r="I103" s="611">
        <v>0</v>
      </c>
      <c r="J103" s="610">
        <v>0</v>
      </c>
      <c r="K103" s="611">
        <f t="shared" si="11"/>
        <v>0</v>
      </c>
      <c r="L103" s="612">
        <f>VLOOKUP(A103,'BS Gr'!A:A,1,FALSE)</f>
        <v>100577</v>
      </c>
      <c r="M103" s="612">
        <f t="shared" si="7"/>
        <v>1</v>
      </c>
      <c r="N103" s="613">
        <f t="shared" si="9"/>
        <v>0</v>
      </c>
      <c r="O103" s="613">
        <f t="shared" si="12"/>
        <v>0</v>
      </c>
      <c r="P103" s="613">
        <v>0</v>
      </c>
      <c r="Q103" s="613">
        <f t="shared" si="13"/>
        <v>0</v>
      </c>
      <c r="R103" s="1514"/>
      <c r="S103" s="1617" t="e">
        <f>SUMIF('[105]TB for financial'!$A:$A,A103,'[105]TB for financial'!$E:$E)</f>
        <v>#VALUE!</v>
      </c>
      <c r="T103" s="613"/>
    </row>
    <row r="104" spans="1:20">
      <c r="A104" s="608">
        <v>100578</v>
      </c>
      <c r="B104" s="609" t="s">
        <v>1062</v>
      </c>
      <c r="C104" s="610">
        <f t="shared" si="8"/>
        <v>0</v>
      </c>
      <c r="D104" s="611">
        <v>0</v>
      </c>
      <c r="E104" s="610">
        <f>SUMIF('Entries 24-25'!$B:$B,A:A,'Entries 24-25'!$D:$D)-SUMIF('Entries 24-25'!$B:$B,A:A,'Entries 24-25'!$E:$E)+SUMIF('IND AS entries 24-25'!$B:$B,A:A,'IND AS entries 24-25'!$D:$D)-SUMIF('IND AS entries 24-25'!$B:$B,A:A,'IND AS entries 24-25'!$E:$E)</f>
        <v>0</v>
      </c>
      <c r="F104" s="611">
        <f t="shared" si="10"/>
        <v>0</v>
      </c>
      <c r="G104" s="610"/>
      <c r="H104" s="610">
        <v>0</v>
      </c>
      <c r="I104" s="611">
        <v>0</v>
      </c>
      <c r="J104" s="610">
        <v>0</v>
      </c>
      <c r="K104" s="611">
        <f t="shared" si="11"/>
        <v>0</v>
      </c>
      <c r="L104" s="612">
        <f>VLOOKUP(A104,'BS Gr'!A:A,1,FALSE)</f>
        <v>100578</v>
      </c>
      <c r="M104" s="612">
        <f t="shared" si="7"/>
        <v>1</v>
      </c>
      <c r="N104" s="613">
        <f t="shared" si="9"/>
        <v>0</v>
      </c>
      <c r="O104" s="613">
        <f t="shared" si="12"/>
        <v>0</v>
      </c>
      <c r="P104" s="613">
        <v>0</v>
      </c>
      <c r="Q104" s="613">
        <f t="shared" si="13"/>
        <v>0</v>
      </c>
      <c r="R104" s="1514"/>
      <c r="S104" s="1617" t="e">
        <f>SUMIF('[105]TB for financial'!$A:$A,A104,'[105]TB for financial'!$E:$E)</f>
        <v>#VALUE!</v>
      </c>
      <c r="T104" s="613"/>
    </row>
    <row r="105" spans="1:20">
      <c r="A105" s="608">
        <v>100579</v>
      </c>
      <c r="B105" s="609" t="s">
        <v>1063</v>
      </c>
      <c r="C105" s="610">
        <f t="shared" si="8"/>
        <v>0</v>
      </c>
      <c r="D105" s="611">
        <v>0</v>
      </c>
      <c r="E105" s="610">
        <f>SUMIF('Entries 24-25'!$B:$B,A:A,'Entries 24-25'!$D:$D)-SUMIF('Entries 24-25'!$B:$B,A:A,'Entries 24-25'!$E:$E)+SUMIF('IND AS entries 24-25'!$B:$B,A:A,'IND AS entries 24-25'!$D:$D)-SUMIF('IND AS entries 24-25'!$B:$B,A:A,'IND AS entries 24-25'!$E:$E)</f>
        <v>0</v>
      </c>
      <c r="F105" s="611">
        <f t="shared" si="10"/>
        <v>0</v>
      </c>
      <c r="G105" s="610"/>
      <c r="H105" s="610">
        <v>0</v>
      </c>
      <c r="I105" s="611">
        <v>0</v>
      </c>
      <c r="J105" s="610">
        <v>0</v>
      </c>
      <c r="K105" s="611">
        <f t="shared" si="11"/>
        <v>0</v>
      </c>
      <c r="L105" s="612">
        <f>VLOOKUP(A105,'BS Gr'!A:A,1,FALSE)</f>
        <v>100579</v>
      </c>
      <c r="M105" s="612">
        <f t="shared" si="7"/>
        <v>1</v>
      </c>
      <c r="N105" s="613">
        <f t="shared" si="9"/>
        <v>0</v>
      </c>
      <c r="O105" s="613">
        <f t="shared" si="12"/>
        <v>0</v>
      </c>
      <c r="P105" s="613">
        <v>0</v>
      </c>
      <c r="Q105" s="613">
        <f t="shared" si="13"/>
        <v>0</v>
      </c>
      <c r="R105" s="1514"/>
      <c r="S105" s="1617" t="e">
        <f>SUMIF('[105]TB for financial'!$A:$A,A105,'[105]TB for financial'!$E:$E)</f>
        <v>#VALUE!</v>
      </c>
      <c r="T105" s="613"/>
    </row>
    <row r="106" spans="1:20">
      <c r="A106" s="608">
        <v>100580</v>
      </c>
      <c r="B106" s="609" t="s">
        <v>1064</v>
      </c>
      <c r="C106" s="610">
        <f t="shared" si="8"/>
        <v>0</v>
      </c>
      <c r="D106" s="611">
        <v>0</v>
      </c>
      <c r="E106" s="610">
        <f>SUMIF('Entries 24-25'!$B:$B,A:A,'Entries 24-25'!$D:$D)-SUMIF('Entries 24-25'!$B:$B,A:A,'Entries 24-25'!$E:$E)+SUMIF('IND AS entries 24-25'!$B:$B,A:A,'IND AS entries 24-25'!$D:$D)-SUMIF('IND AS entries 24-25'!$B:$B,A:A,'IND AS entries 24-25'!$E:$E)</f>
        <v>0</v>
      </c>
      <c r="F106" s="611">
        <f t="shared" si="10"/>
        <v>0</v>
      </c>
      <c r="G106" s="610"/>
      <c r="H106" s="610">
        <v>0</v>
      </c>
      <c r="I106" s="611">
        <v>0</v>
      </c>
      <c r="J106" s="610">
        <v>0</v>
      </c>
      <c r="K106" s="611">
        <f t="shared" si="11"/>
        <v>0</v>
      </c>
      <c r="L106" s="612">
        <f>VLOOKUP(A106,'BS Gr'!A:A,1,FALSE)</f>
        <v>100580</v>
      </c>
      <c r="M106" s="612">
        <f t="shared" si="7"/>
        <v>1</v>
      </c>
      <c r="N106" s="613">
        <f t="shared" si="9"/>
        <v>0</v>
      </c>
      <c r="O106" s="613">
        <f t="shared" si="12"/>
        <v>0</v>
      </c>
      <c r="P106" s="613">
        <v>0</v>
      </c>
      <c r="Q106" s="613">
        <f t="shared" si="13"/>
        <v>0</v>
      </c>
      <c r="R106" s="1514"/>
      <c r="S106" s="1617" t="e">
        <f>SUMIF('[105]TB for financial'!$A:$A,A106,'[105]TB for financial'!$E:$E)</f>
        <v>#VALUE!</v>
      </c>
      <c r="T106" s="613"/>
    </row>
    <row r="107" spans="1:20">
      <c r="A107" s="608">
        <v>100581</v>
      </c>
      <c r="B107" s="609" t="s">
        <v>1035</v>
      </c>
      <c r="C107" s="610">
        <f t="shared" si="8"/>
        <v>0</v>
      </c>
      <c r="D107" s="611">
        <v>0</v>
      </c>
      <c r="E107" s="610">
        <f>SUMIF('Entries 24-25'!$B:$B,A:A,'Entries 24-25'!$D:$D)-SUMIF('Entries 24-25'!$B:$B,A:A,'Entries 24-25'!$E:$E)+SUMIF('IND AS entries 24-25'!$B:$B,A:A,'IND AS entries 24-25'!$D:$D)-SUMIF('IND AS entries 24-25'!$B:$B,A:A,'IND AS entries 24-25'!$E:$E)</f>
        <v>0</v>
      </c>
      <c r="F107" s="611">
        <f t="shared" si="10"/>
        <v>0</v>
      </c>
      <c r="G107" s="610"/>
      <c r="H107" s="610">
        <v>0</v>
      </c>
      <c r="I107" s="611">
        <v>0</v>
      </c>
      <c r="J107" s="610">
        <v>0</v>
      </c>
      <c r="K107" s="611">
        <f t="shared" si="11"/>
        <v>0</v>
      </c>
      <c r="L107" s="612">
        <f>VLOOKUP(A107,'BS Gr'!A:A,1,FALSE)</f>
        <v>100581</v>
      </c>
      <c r="M107" s="612">
        <f t="shared" si="7"/>
        <v>1</v>
      </c>
      <c r="N107" s="613">
        <f t="shared" si="9"/>
        <v>0</v>
      </c>
      <c r="O107" s="613">
        <f t="shared" si="12"/>
        <v>0</v>
      </c>
      <c r="P107" s="613">
        <v>0</v>
      </c>
      <c r="Q107" s="613">
        <f t="shared" si="13"/>
        <v>0</v>
      </c>
      <c r="R107" s="1514"/>
      <c r="S107" s="1617" t="e">
        <f>SUMIF('[105]TB for financial'!$A:$A,A107,'[105]TB for financial'!$E:$E)</f>
        <v>#VALUE!</v>
      </c>
      <c r="T107" s="613"/>
    </row>
    <row r="108" spans="1:20">
      <c r="A108" s="608">
        <v>100582</v>
      </c>
      <c r="B108" s="609" t="s">
        <v>1065</v>
      </c>
      <c r="C108" s="610">
        <f t="shared" si="8"/>
        <v>0</v>
      </c>
      <c r="D108" s="611">
        <v>0</v>
      </c>
      <c r="E108" s="610">
        <f>SUMIF('Entries 24-25'!$B:$B,A:A,'Entries 24-25'!$D:$D)-SUMIF('Entries 24-25'!$B:$B,A:A,'Entries 24-25'!$E:$E)+SUMIF('IND AS entries 24-25'!$B:$B,A:A,'IND AS entries 24-25'!$D:$D)-SUMIF('IND AS entries 24-25'!$B:$B,A:A,'IND AS entries 24-25'!$E:$E)</f>
        <v>0</v>
      </c>
      <c r="F108" s="611">
        <f t="shared" si="10"/>
        <v>0</v>
      </c>
      <c r="G108" s="610"/>
      <c r="H108" s="610">
        <v>0</v>
      </c>
      <c r="I108" s="611">
        <v>0</v>
      </c>
      <c r="J108" s="610">
        <v>0</v>
      </c>
      <c r="K108" s="611">
        <f t="shared" si="11"/>
        <v>0</v>
      </c>
      <c r="L108" s="612">
        <f>VLOOKUP(A108,'BS Gr'!A:A,1,FALSE)</f>
        <v>100582</v>
      </c>
      <c r="M108" s="612">
        <f t="shared" si="7"/>
        <v>1</v>
      </c>
      <c r="N108" s="613">
        <f t="shared" si="9"/>
        <v>0</v>
      </c>
      <c r="O108" s="613">
        <f t="shared" si="12"/>
        <v>0</v>
      </c>
      <c r="P108" s="613">
        <v>0</v>
      </c>
      <c r="Q108" s="613">
        <f t="shared" si="13"/>
        <v>0</v>
      </c>
      <c r="R108" s="1514"/>
      <c r="S108" s="1617" t="e">
        <f>SUMIF('[105]TB for financial'!$A:$A,A108,'[105]TB for financial'!$E:$E)</f>
        <v>#VALUE!</v>
      </c>
      <c r="T108" s="613"/>
    </row>
    <row r="109" spans="1:20">
      <c r="A109" s="608">
        <v>100583</v>
      </c>
      <c r="B109" s="609" t="s">
        <v>1066</v>
      </c>
      <c r="C109" s="610">
        <f t="shared" si="8"/>
        <v>0</v>
      </c>
      <c r="D109" s="611">
        <v>0</v>
      </c>
      <c r="E109" s="610">
        <f>SUMIF('Entries 24-25'!$B:$B,A:A,'Entries 24-25'!$D:$D)-SUMIF('Entries 24-25'!$B:$B,A:A,'Entries 24-25'!$E:$E)+SUMIF('IND AS entries 24-25'!$B:$B,A:A,'IND AS entries 24-25'!$D:$D)-SUMIF('IND AS entries 24-25'!$B:$B,A:A,'IND AS entries 24-25'!$E:$E)</f>
        <v>0</v>
      </c>
      <c r="F109" s="611">
        <f t="shared" si="10"/>
        <v>0</v>
      </c>
      <c r="G109" s="610"/>
      <c r="H109" s="610">
        <v>0</v>
      </c>
      <c r="I109" s="611">
        <v>0</v>
      </c>
      <c r="J109" s="610">
        <v>0</v>
      </c>
      <c r="K109" s="611">
        <f t="shared" si="11"/>
        <v>0</v>
      </c>
      <c r="L109" s="612">
        <f>VLOOKUP(A109,'BS Gr'!A:A,1,FALSE)</f>
        <v>100583</v>
      </c>
      <c r="M109" s="612">
        <f t="shared" si="7"/>
        <v>1</v>
      </c>
      <c r="N109" s="613">
        <f t="shared" si="9"/>
        <v>0</v>
      </c>
      <c r="O109" s="613">
        <f t="shared" si="12"/>
        <v>0</v>
      </c>
      <c r="P109" s="613">
        <v>0</v>
      </c>
      <c r="Q109" s="613">
        <f t="shared" si="13"/>
        <v>0</v>
      </c>
      <c r="R109" s="1514"/>
      <c r="S109" s="1617" t="e">
        <f>SUMIF('[105]TB for financial'!$A:$A,A109,'[105]TB for financial'!$E:$E)</f>
        <v>#VALUE!</v>
      </c>
      <c r="T109" s="613"/>
    </row>
    <row r="110" spans="1:20">
      <c r="A110" s="608">
        <v>100584</v>
      </c>
      <c r="B110" s="609" t="s">
        <v>1067</v>
      </c>
      <c r="C110" s="610">
        <f t="shared" si="8"/>
        <v>-9.2400000005960461</v>
      </c>
      <c r="D110" s="611">
        <v>0</v>
      </c>
      <c r="E110" s="610">
        <f>SUMIF('Entries 24-25'!$B:$B,A:A,'Entries 24-25'!$D:$D)-SUMIF('Entries 24-25'!$B:$B,A:A,'Entries 24-25'!$E:$E)+SUMIF('IND AS entries 24-25'!$B:$B,A:A,'IND AS entries 24-25'!$D:$D)-SUMIF('IND AS entries 24-25'!$B:$B,A:A,'IND AS entries 24-25'!$E:$E)</f>
        <v>0</v>
      </c>
      <c r="F110" s="611">
        <f t="shared" si="10"/>
        <v>-9.2400000005960461</v>
      </c>
      <c r="G110" s="610"/>
      <c r="H110" s="610">
        <v>-9.2400000005960461</v>
      </c>
      <c r="I110" s="611">
        <v>0</v>
      </c>
      <c r="J110" s="610">
        <v>0</v>
      </c>
      <c r="K110" s="611">
        <f t="shared" si="11"/>
        <v>-9.2400000005960461</v>
      </c>
      <c r="L110" s="612">
        <f>VLOOKUP(A110,'BS Gr'!A:A,1,FALSE)</f>
        <v>100584</v>
      </c>
      <c r="M110" s="612">
        <f t="shared" si="7"/>
        <v>1</v>
      </c>
      <c r="N110" s="613">
        <f t="shared" si="9"/>
        <v>0</v>
      </c>
      <c r="O110" s="613">
        <f t="shared" si="12"/>
        <v>0</v>
      </c>
      <c r="P110" s="613">
        <v>-8.140000001527369</v>
      </c>
      <c r="Q110" s="613">
        <f t="shared" si="13"/>
        <v>-1.0999999990686771</v>
      </c>
      <c r="R110" s="1514"/>
      <c r="S110" s="1617" t="e">
        <f>SUMIF('[105]TB for financial'!$A:$A,A110,'[105]TB for financial'!$E:$E)</f>
        <v>#VALUE!</v>
      </c>
      <c r="T110" s="613"/>
    </row>
    <row r="111" spans="1:20">
      <c r="A111" s="608">
        <v>100586</v>
      </c>
      <c r="B111" s="609" t="s">
        <v>1068</v>
      </c>
      <c r="C111" s="610">
        <f t="shared" si="8"/>
        <v>0</v>
      </c>
      <c r="D111" s="611">
        <v>0</v>
      </c>
      <c r="E111" s="610">
        <f>SUMIF('Entries 24-25'!$B:$B,A:A,'Entries 24-25'!$D:$D)-SUMIF('Entries 24-25'!$B:$B,A:A,'Entries 24-25'!$E:$E)+SUMIF('IND AS entries 24-25'!$B:$B,A:A,'IND AS entries 24-25'!$D:$D)-SUMIF('IND AS entries 24-25'!$B:$B,A:A,'IND AS entries 24-25'!$E:$E)</f>
        <v>0</v>
      </c>
      <c r="F111" s="611">
        <f t="shared" si="10"/>
        <v>0</v>
      </c>
      <c r="G111" s="610"/>
      <c r="H111" s="610">
        <v>0</v>
      </c>
      <c r="I111" s="611">
        <v>0</v>
      </c>
      <c r="J111" s="610">
        <v>0</v>
      </c>
      <c r="K111" s="611">
        <f t="shared" si="11"/>
        <v>0</v>
      </c>
      <c r="L111" s="612">
        <f>VLOOKUP(A111,'BS Gr'!A:A,1,FALSE)</f>
        <v>100586</v>
      </c>
      <c r="M111" s="612">
        <f t="shared" si="7"/>
        <v>1</v>
      </c>
      <c r="N111" s="613">
        <f t="shared" si="9"/>
        <v>0</v>
      </c>
      <c r="O111" s="613">
        <f t="shared" si="12"/>
        <v>0</v>
      </c>
      <c r="P111" s="613">
        <v>0</v>
      </c>
      <c r="Q111" s="613">
        <f t="shared" si="13"/>
        <v>0</v>
      </c>
      <c r="R111" s="1514"/>
      <c r="S111" s="1617" t="e">
        <f>SUMIF('[105]TB for financial'!$A:$A,A111,'[105]TB for financial'!$E:$E)</f>
        <v>#VALUE!</v>
      </c>
      <c r="T111" s="613"/>
    </row>
    <row r="112" spans="1:20">
      <c r="A112" s="608">
        <v>100587</v>
      </c>
      <c r="B112" s="609" t="s">
        <v>1069</v>
      </c>
      <c r="C112" s="610">
        <f t="shared" si="8"/>
        <v>0</v>
      </c>
      <c r="D112" s="611">
        <v>0</v>
      </c>
      <c r="E112" s="610">
        <f>SUMIF('Entries 24-25'!$B:$B,A:A,'Entries 24-25'!$D:$D)-SUMIF('Entries 24-25'!$B:$B,A:A,'Entries 24-25'!$E:$E)+SUMIF('IND AS entries 24-25'!$B:$B,A:A,'IND AS entries 24-25'!$D:$D)-SUMIF('IND AS entries 24-25'!$B:$B,A:A,'IND AS entries 24-25'!$E:$E)</f>
        <v>0</v>
      </c>
      <c r="F112" s="611">
        <f t="shared" si="10"/>
        <v>0</v>
      </c>
      <c r="G112" s="610"/>
      <c r="H112" s="610">
        <v>0</v>
      </c>
      <c r="I112" s="611">
        <v>0</v>
      </c>
      <c r="J112" s="610">
        <v>0</v>
      </c>
      <c r="K112" s="611">
        <f t="shared" si="11"/>
        <v>0</v>
      </c>
      <c r="L112" s="612">
        <f>VLOOKUP(A112,'BS Gr'!A:A,1,FALSE)</f>
        <v>100587</v>
      </c>
      <c r="M112" s="612">
        <f t="shared" si="7"/>
        <v>1</v>
      </c>
      <c r="N112" s="613">
        <f t="shared" si="9"/>
        <v>0</v>
      </c>
      <c r="O112" s="613">
        <f t="shared" si="12"/>
        <v>0</v>
      </c>
      <c r="P112" s="613">
        <v>0</v>
      </c>
      <c r="Q112" s="613">
        <f t="shared" si="13"/>
        <v>0</v>
      </c>
      <c r="R112" s="1514"/>
      <c r="S112" s="1617" t="e">
        <f>SUMIF('[105]TB for financial'!$A:$A,A112,'[105]TB for financial'!$E:$E)</f>
        <v>#VALUE!</v>
      </c>
      <c r="T112" s="613"/>
    </row>
    <row r="113" spans="1:20">
      <c r="A113" s="608">
        <v>100588</v>
      </c>
      <c r="B113" s="609" t="s">
        <v>1070</v>
      </c>
      <c r="C113" s="610">
        <f t="shared" si="8"/>
        <v>0</v>
      </c>
      <c r="D113" s="611">
        <v>0</v>
      </c>
      <c r="E113" s="610">
        <f>SUMIF('Entries 24-25'!$B:$B,A:A,'Entries 24-25'!$D:$D)-SUMIF('Entries 24-25'!$B:$B,A:A,'Entries 24-25'!$E:$E)+SUMIF('IND AS entries 24-25'!$B:$B,A:A,'IND AS entries 24-25'!$D:$D)-SUMIF('IND AS entries 24-25'!$B:$B,A:A,'IND AS entries 24-25'!$E:$E)</f>
        <v>0</v>
      </c>
      <c r="F113" s="611">
        <f t="shared" si="10"/>
        <v>0</v>
      </c>
      <c r="G113" s="610"/>
      <c r="H113" s="610">
        <v>0</v>
      </c>
      <c r="I113" s="611">
        <v>0</v>
      </c>
      <c r="J113" s="610">
        <v>0</v>
      </c>
      <c r="K113" s="611">
        <f t="shared" si="11"/>
        <v>0</v>
      </c>
      <c r="L113" s="612">
        <f>VLOOKUP(A113,'BS Gr'!A:A,1,FALSE)</f>
        <v>100588</v>
      </c>
      <c r="M113" s="612">
        <f t="shared" si="7"/>
        <v>1</v>
      </c>
      <c r="N113" s="613">
        <f t="shared" si="9"/>
        <v>0</v>
      </c>
      <c r="O113" s="613">
        <f t="shared" si="12"/>
        <v>0</v>
      </c>
      <c r="P113" s="613">
        <v>0</v>
      </c>
      <c r="Q113" s="613">
        <f t="shared" si="13"/>
        <v>0</v>
      </c>
      <c r="R113" s="1514"/>
      <c r="S113" s="1617" t="e">
        <f>SUMIF('[105]TB for financial'!$A:$A,A113,'[105]TB for financial'!$E:$E)</f>
        <v>#VALUE!</v>
      </c>
      <c r="T113" s="613"/>
    </row>
    <row r="114" spans="1:20">
      <c r="A114" s="608">
        <v>100589</v>
      </c>
      <c r="B114" s="609" t="s">
        <v>1071</v>
      </c>
      <c r="C114" s="610">
        <f t="shared" si="8"/>
        <v>0</v>
      </c>
      <c r="D114" s="611">
        <v>0</v>
      </c>
      <c r="E114" s="610">
        <f>SUMIF('Entries 24-25'!$B:$B,A:A,'Entries 24-25'!$D:$D)-SUMIF('Entries 24-25'!$B:$B,A:A,'Entries 24-25'!$E:$E)+SUMIF('IND AS entries 24-25'!$B:$B,A:A,'IND AS entries 24-25'!$D:$D)-SUMIF('IND AS entries 24-25'!$B:$B,A:A,'IND AS entries 24-25'!$E:$E)</f>
        <v>0</v>
      </c>
      <c r="F114" s="611">
        <f t="shared" si="10"/>
        <v>0</v>
      </c>
      <c r="G114" s="610"/>
      <c r="H114" s="610">
        <v>0</v>
      </c>
      <c r="I114" s="611">
        <v>0</v>
      </c>
      <c r="J114" s="610">
        <v>0</v>
      </c>
      <c r="K114" s="611">
        <f t="shared" si="11"/>
        <v>0</v>
      </c>
      <c r="L114" s="612">
        <f>VLOOKUP(A114,'BS Gr'!A:A,1,FALSE)</f>
        <v>100589</v>
      </c>
      <c r="M114" s="612">
        <f t="shared" si="7"/>
        <v>1</v>
      </c>
      <c r="N114" s="613">
        <f t="shared" si="9"/>
        <v>0</v>
      </c>
      <c r="O114" s="613">
        <f t="shared" si="12"/>
        <v>0</v>
      </c>
      <c r="P114" s="613">
        <v>0</v>
      </c>
      <c r="Q114" s="613">
        <f t="shared" si="13"/>
        <v>0</v>
      </c>
      <c r="R114" s="1514"/>
      <c r="S114" s="1617" t="e">
        <f>SUMIF('[105]TB for financial'!$A:$A,A114,'[105]TB for financial'!$E:$E)</f>
        <v>#VALUE!</v>
      </c>
      <c r="T114" s="613"/>
    </row>
    <row r="115" spans="1:20">
      <c r="A115" s="608">
        <v>100590</v>
      </c>
      <c r="B115" s="609" t="s">
        <v>1072</v>
      </c>
      <c r="C115" s="610">
        <f t="shared" si="8"/>
        <v>0</v>
      </c>
      <c r="D115" s="611">
        <v>0</v>
      </c>
      <c r="E115" s="610">
        <f>SUMIF('Entries 24-25'!$B:$B,A:A,'Entries 24-25'!$D:$D)-SUMIF('Entries 24-25'!$B:$B,A:A,'Entries 24-25'!$E:$E)+SUMIF('IND AS entries 24-25'!$B:$B,A:A,'IND AS entries 24-25'!$D:$D)-SUMIF('IND AS entries 24-25'!$B:$B,A:A,'IND AS entries 24-25'!$E:$E)</f>
        <v>0</v>
      </c>
      <c r="F115" s="611">
        <f t="shared" si="10"/>
        <v>0</v>
      </c>
      <c r="G115" s="610"/>
      <c r="H115" s="610">
        <v>0</v>
      </c>
      <c r="I115" s="611">
        <v>0</v>
      </c>
      <c r="J115" s="610">
        <v>0</v>
      </c>
      <c r="K115" s="611">
        <f t="shared" si="11"/>
        <v>0</v>
      </c>
      <c r="L115" s="612">
        <f>VLOOKUP(A115,'BS Gr'!A:A,1,FALSE)</f>
        <v>100590</v>
      </c>
      <c r="M115" s="612">
        <f t="shared" si="7"/>
        <v>1</v>
      </c>
      <c r="N115" s="613">
        <f t="shared" si="9"/>
        <v>0</v>
      </c>
      <c r="O115" s="613">
        <f t="shared" si="12"/>
        <v>0</v>
      </c>
      <c r="P115" s="613">
        <v>0</v>
      </c>
      <c r="Q115" s="613">
        <f t="shared" si="13"/>
        <v>0</v>
      </c>
      <c r="R115" s="1514"/>
      <c r="S115" s="1617" t="e">
        <f>SUMIF('[105]TB for financial'!$A:$A,A115,'[105]TB for financial'!$E:$E)</f>
        <v>#VALUE!</v>
      </c>
      <c r="T115" s="613"/>
    </row>
    <row r="116" spans="1:20">
      <c r="A116" s="608">
        <v>100593</v>
      </c>
      <c r="B116" s="609" t="s">
        <v>1073</v>
      </c>
      <c r="C116" s="610">
        <f t="shared" si="8"/>
        <v>0</v>
      </c>
      <c r="D116" s="611">
        <v>0</v>
      </c>
      <c r="E116" s="610">
        <f>SUMIF('Entries 24-25'!$B:$B,A:A,'Entries 24-25'!$D:$D)-SUMIF('Entries 24-25'!$B:$B,A:A,'Entries 24-25'!$E:$E)+SUMIF('IND AS entries 24-25'!$B:$B,A:A,'IND AS entries 24-25'!$D:$D)-SUMIF('IND AS entries 24-25'!$B:$B,A:A,'IND AS entries 24-25'!$E:$E)</f>
        <v>0</v>
      </c>
      <c r="F116" s="611">
        <f t="shared" si="10"/>
        <v>0</v>
      </c>
      <c r="G116" s="610"/>
      <c r="H116" s="610">
        <v>0</v>
      </c>
      <c r="I116" s="611">
        <v>0</v>
      </c>
      <c r="J116" s="610">
        <v>0</v>
      </c>
      <c r="K116" s="611">
        <f t="shared" si="11"/>
        <v>0</v>
      </c>
      <c r="L116" s="612">
        <f>VLOOKUP(A116,'BS Gr'!A:A,1,FALSE)</f>
        <v>100593</v>
      </c>
      <c r="M116" s="612">
        <f t="shared" si="7"/>
        <v>1</v>
      </c>
      <c r="N116" s="613">
        <f t="shared" si="9"/>
        <v>0</v>
      </c>
      <c r="O116" s="613">
        <f t="shared" si="12"/>
        <v>0</v>
      </c>
      <c r="P116" s="613">
        <v>0</v>
      </c>
      <c r="Q116" s="613">
        <f t="shared" si="13"/>
        <v>0</v>
      </c>
      <c r="R116" s="1514"/>
      <c r="S116" s="1617" t="e">
        <f>SUMIF('[105]TB for financial'!$A:$A,A116,'[105]TB for financial'!$E:$E)</f>
        <v>#VALUE!</v>
      </c>
      <c r="T116" s="613"/>
    </row>
    <row r="117" spans="1:20">
      <c r="A117" s="608">
        <v>100594</v>
      </c>
      <c r="B117" s="609" t="s">
        <v>1074</v>
      </c>
      <c r="C117" s="610">
        <f t="shared" si="8"/>
        <v>0</v>
      </c>
      <c r="D117" s="611">
        <v>0</v>
      </c>
      <c r="E117" s="610">
        <f>SUMIF('Entries 24-25'!$B:$B,A:A,'Entries 24-25'!$D:$D)-SUMIF('Entries 24-25'!$B:$B,A:A,'Entries 24-25'!$E:$E)+SUMIF('IND AS entries 24-25'!$B:$B,A:A,'IND AS entries 24-25'!$D:$D)-SUMIF('IND AS entries 24-25'!$B:$B,A:A,'IND AS entries 24-25'!$E:$E)</f>
        <v>0</v>
      </c>
      <c r="F117" s="611">
        <f t="shared" si="10"/>
        <v>0</v>
      </c>
      <c r="G117" s="610"/>
      <c r="H117" s="610">
        <v>0</v>
      </c>
      <c r="I117" s="611">
        <v>0</v>
      </c>
      <c r="J117" s="610">
        <v>0</v>
      </c>
      <c r="K117" s="611">
        <f t="shared" si="11"/>
        <v>0</v>
      </c>
      <c r="L117" s="612">
        <f>VLOOKUP(A117,'BS Gr'!A:A,1,FALSE)</f>
        <v>100594</v>
      </c>
      <c r="M117" s="612">
        <f t="shared" si="7"/>
        <v>1</v>
      </c>
      <c r="N117" s="613">
        <f t="shared" si="9"/>
        <v>0</v>
      </c>
      <c r="O117" s="613">
        <f t="shared" si="12"/>
        <v>0</v>
      </c>
      <c r="P117" s="613">
        <v>0</v>
      </c>
      <c r="Q117" s="613">
        <f t="shared" si="13"/>
        <v>0</v>
      </c>
      <c r="R117" s="1514"/>
      <c r="S117" s="1617" t="e">
        <f>SUMIF('[105]TB for financial'!$A:$A,A117,'[105]TB for financial'!$E:$E)</f>
        <v>#VALUE!</v>
      </c>
      <c r="T117" s="613"/>
    </row>
    <row r="118" spans="1:20">
      <c r="A118" s="608">
        <v>100595</v>
      </c>
      <c r="B118" s="609" t="s">
        <v>1075</v>
      </c>
      <c r="C118" s="610">
        <f t="shared" si="8"/>
        <v>0</v>
      </c>
      <c r="D118" s="611">
        <v>0</v>
      </c>
      <c r="E118" s="610">
        <f>SUMIF('Entries 24-25'!$B:$B,A:A,'Entries 24-25'!$D:$D)-SUMIF('Entries 24-25'!$B:$B,A:A,'Entries 24-25'!$E:$E)+SUMIF('IND AS entries 24-25'!$B:$B,A:A,'IND AS entries 24-25'!$D:$D)-SUMIF('IND AS entries 24-25'!$B:$B,A:A,'IND AS entries 24-25'!$E:$E)</f>
        <v>0</v>
      </c>
      <c r="F118" s="611">
        <f t="shared" si="10"/>
        <v>0</v>
      </c>
      <c r="G118" s="610"/>
      <c r="H118" s="610">
        <v>0</v>
      </c>
      <c r="I118" s="611">
        <v>0</v>
      </c>
      <c r="J118" s="610">
        <v>0</v>
      </c>
      <c r="K118" s="611">
        <f t="shared" si="11"/>
        <v>0</v>
      </c>
      <c r="L118" s="612">
        <f>VLOOKUP(A118,'BS Gr'!A:A,1,FALSE)</f>
        <v>100595</v>
      </c>
      <c r="M118" s="612">
        <f t="shared" si="7"/>
        <v>1</v>
      </c>
      <c r="N118" s="613">
        <f t="shared" si="9"/>
        <v>0</v>
      </c>
      <c r="O118" s="613">
        <f t="shared" si="12"/>
        <v>0</v>
      </c>
      <c r="P118" s="613">
        <v>0</v>
      </c>
      <c r="Q118" s="613">
        <f t="shared" si="13"/>
        <v>0</v>
      </c>
      <c r="R118" s="1514"/>
      <c r="S118" s="1617" t="e">
        <f>SUMIF('[105]TB for financial'!$A:$A,A118,'[105]TB for financial'!$E:$E)</f>
        <v>#VALUE!</v>
      </c>
      <c r="T118" s="613"/>
    </row>
    <row r="119" spans="1:20">
      <c r="A119" s="608">
        <v>100597</v>
      </c>
      <c r="B119" s="609" t="s">
        <v>1076</v>
      </c>
      <c r="C119" s="610">
        <f t="shared" si="8"/>
        <v>0.12000000476837158</v>
      </c>
      <c r="D119" s="611">
        <v>0</v>
      </c>
      <c r="E119" s="610">
        <f>SUMIF('Entries 24-25'!$B:$B,A:A,'Entries 24-25'!$D:$D)-SUMIF('Entries 24-25'!$B:$B,A:A,'Entries 24-25'!$E:$E)+SUMIF('IND AS entries 24-25'!$B:$B,A:A,'IND AS entries 24-25'!$D:$D)-SUMIF('IND AS entries 24-25'!$B:$B,A:A,'IND AS entries 24-25'!$E:$E)</f>
        <v>0</v>
      </c>
      <c r="F119" s="611">
        <f t="shared" si="10"/>
        <v>0.12000000476837158</v>
      </c>
      <c r="G119" s="610"/>
      <c r="H119" s="610">
        <v>0.12000000476837158</v>
      </c>
      <c r="I119" s="611">
        <v>0</v>
      </c>
      <c r="J119" s="610">
        <v>0</v>
      </c>
      <c r="K119" s="611">
        <f t="shared" si="11"/>
        <v>0.12000000476837158</v>
      </c>
      <c r="L119" s="612">
        <f>VLOOKUP(A119,'BS Gr'!A:A,1,FALSE)</f>
        <v>100597</v>
      </c>
      <c r="M119" s="612">
        <f t="shared" si="7"/>
        <v>1</v>
      </c>
      <c r="N119" s="613">
        <f t="shared" si="9"/>
        <v>0</v>
      </c>
      <c r="O119" s="613">
        <f t="shared" si="12"/>
        <v>0</v>
      </c>
      <c r="P119" s="613">
        <v>0.12000000476837158</v>
      </c>
      <c r="Q119" s="613">
        <f t="shared" si="13"/>
        <v>0</v>
      </c>
      <c r="R119" s="1514"/>
      <c r="S119" s="1617" t="e">
        <f>SUMIF('[105]TB for financial'!$A:$A,A119,'[105]TB for financial'!$E:$E)</f>
        <v>#VALUE!</v>
      </c>
      <c r="T119" s="613"/>
    </row>
    <row r="120" spans="1:20">
      <c r="A120" s="608">
        <v>100598</v>
      </c>
      <c r="B120" s="609" t="s">
        <v>1077</v>
      </c>
      <c r="C120" s="610">
        <f t="shared" si="8"/>
        <v>-0.01</v>
      </c>
      <c r="D120" s="611">
        <v>0</v>
      </c>
      <c r="E120" s="610">
        <f>SUMIF('Entries 24-25'!$B:$B,A:A,'Entries 24-25'!$D:$D)-SUMIF('Entries 24-25'!$B:$B,A:A,'Entries 24-25'!$E:$E)+SUMIF('IND AS entries 24-25'!$B:$B,A:A,'IND AS entries 24-25'!$D:$D)-SUMIF('IND AS entries 24-25'!$B:$B,A:A,'IND AS entries 24-25'!$E:$E)</f>
        <v>0</v>
      </c>
      <c r="F120" s="611">
        <f t="shared" si="10"/>
        <v>-0.01</v>
      </c>
      <c r="G120" s="610"/>
      <c r="H120" s="610">
        <v>-0.01</v>
      </c>
      <c r="I120" s="611">
        <v>0</v>
      </c>
      <c r="J120" s="610">
        <v>0</v>
      </c>
      <c r="K120" s="611">
        <f t="shared" si="11"/>
        <v>-0.01</v>
      </c>
      <c r="L120" s="612">
        <f>VLOOKUP(A120,'BS Gr'!A:A,1,FALSE)</f>
        <v>100598</v>
      </c>
      <c r="M120" s="612">
        <f t="shared" si="7"/>
        <v>1</v>
      </c>
      <c r="N120" s="613">
        <f t="shared" si="9"/>
        <v>0</v>
      </c>
      <c r="O120" s="613">
        <f t="shared" si="12"/>
        <v>0</v>
      </c>
      <c r="P120" s="613">
        <v>-0.01</v>
      </c>
      <c r="Q120" s="613">
        <f t="shared" si="13"/>
        <v>0</v>
      </c>
      <c r="R120" s="1514"/>
      <c r="S120" s="1617" t="e">
        <f>SUMIF('[105]TB for financial'!$A:$A,A120,'[105]TB for financial'!$E:$E)</f>
        <v>#VALUE!</v>
      </c>
      <c r="T120" s="613"/>
    </row>
    <row r="121" spans="1:20">
      <c r="A121" s="608">
        <v>100599</v>
      </c>
      <c r="B121" s="609" t="s">
        <v>1078</v>
      </c>
      <c r="C121" s="610">
        <f t="shared" si="8"/>
        <v>0.33999999985098839</v>
      </c>
      <c r="D121" s="611">
        <v>0</v>
      </c>
      <c r="E121" s="610">
        <f>SUMIF('Entries 24-25'!$B:$B,A:A,'Entries 24-25'!$D:$D)-SUMIF('Entries 24-25'!$B:$B,A:A,'Entries 24-25'!$E:$E)+SUMIF('IND AS entries 24-25'!$B:$B,A:A,'IND AS entries 24-25'!$D:$D)-SUMIF('IND AS entries 24-25'!$B:$B,A:A,'IND AS entries 24-25'!$E:$E)</f>
        <v>0</v>
      </c>
      <c r="F121" s="611">
        <f t="shared" si="10"/>
        <v>0.33999999985098839</v>
      </c>
      <c r="G121" s="610"/>
      <c r="H121" s="610">
        <v>0.33999999985098839</v>
      </c>
      <c r="I121" s="611">
        <v>0</v>
      </c>
      <c r="J121" s="610">
        <v>0</v>
      </c>
      <c r="K121" s="611">
        <f t="shared" si="11"/>
        <v>0.33999999985098839</v>
      </c>
      <c r="L121" s="612">
        <f>VLOOKUP(A121,'BS Gr'!A:A,1,FALSE)</f>
        <v>100599</v>
      </c>
      <c r="M121" s="612">
        <f t="shared" si="7"/>
        <v>1</v>
      </c>
      <c r="N121" s="613">
        <f t="shared" si="9"/>
        <v>0</v>
      </c>
      <c r="O121" s="613">
        <f t="shared" si="12"/>
        <v>0</v>
      </c>
      <c r="P121" s="613">
        <v>0.33999999985098839</v>
      </c>
      <c r="Q121" s="613">
        <f t="shared" si="13"/>
        <v>0</v>
      </c>
      <c r="R121" s="1514"/>
      <c r="S121" s="1617" t="e">
        <f>SUMIF('[105]TB for financial'!$A:$A,A121,'[105]TB for financial'!$E:$E)</f>
        <v>#VALUE!</v>
      </c>
      <c r="T121" s="613"/>
    </row>
    <row r="122" spans="1:20">
      <c r="A122" s="608">
        <v>100600</v>
      </c>
      <c r="B122" s="609" t="s">
        <v>1079</v>
      </c>
      <c r="C122" s="610">
        <f t="shared" si="8"/>
        <v>0</v>
      </c>
      <c r="D122" s="611">
        <v>0</v>
      </c>
      <c r="E122" s="610">
        <f>SUMIF('Entries 24-25'!$B:$B,A:A,'Entries 24-25'!$D:$D)-SUMIF('Entries 24-25'!$B:$B,A:A,'Entries 24-25'!$E:$E)+SUMIF('IND AS entries 24-25'!$B:$B,A:A,'IND AS entries 24-25'!$D:$D)-SUMIF('IND AS entries 24-25'!$B:$B,A:A,'IND AS entries 24-25'!$E:$E)</f>
        <v>0</v>
      </c>
      <c r="F122" s="611">
        <f t="shared" si="10"/>
        <v>0</v>
      </c>
      <c r="G122" s="610"/>
      <c r="H122" s="610">
        <v>0</v>
      </c>
      <c r="I122" s="611">
        <v>0</v>
      </c>
      <c r="J122" s="610">
        <v>0</v>
      </c>
      <c r="K122" s="611">
        <f t="shared" si="11"/>
        <v>0</v>
      </c>
      <c r="L122" s="612">
        <f>VLOOKUP(A122,'BS Gr'!A:A,1,FALSE)</f>
        <v>100600</v>
      </c>
      <c r="M122" s="612">
        <f t="shared" si="7"/>
        <v>1</v>
      </c>
      <c r="N122" s="613">
        <f t="shared" si="9"/>
        <v>0</v>
      </c>
      <c r="O122" s="613">
        <f t="shared" si="12"/>
        <v>0</v>
      </c>
      <c r="P122" s="613">
        <v>0</v>
      </c>
      <c r="Q122" s="613">
        <f t="shared" si="13"/>
        <v>0</v>
      </c>
      <c r="R122" s="1514"/>
      <c r="S122" s="1617" t="e">
        <f>SUMIF('[105]TB for financial'!$A:$A,A122,'[105]TB for financial'!$E:$E)</f>
        <v>#VALUE!</v>
      </c>
      <c r="T122" s="613"/>
    </row>
    <row r="123" spans="1:20">
      <c r="A123" s="608">
        <v>100601</v>
      </c>
      <c r="B123" s="609" t="s">
        <v>1080</v>
      </c>
      <c r="C123" s="610">
        <f t="shared" si="8"/>
        <v>0</v>
      </c>
      <c r="D123" s="611">
        <v>0</v>
      </c>
      <c r="E123" s="610">
        <f>SUMIF('Entries 24-25'!$B:$B,A:A,'Entries 24-25'!$D:$D)-SUMIF('Entries 24-25'!$B:$B,A:A,'Entries 24-25'!$E:$E)+SUMIF('IND AS entries 24-25'!$B:$B,A:A,'IND AS entries 24-25'!$D:$D)-SUMIF('IND AS entries 24-25'!$B:$B,A:A,'IND AS entries 24-25'!$E:$E)</f>
        <v>0</v>
      </c>
      <c r="F123" s="611">
        <f t="shared" si="10"/>
        <v>0</v>
      </c>
      <c r="G123" s="610"/>
      <c r="H123" s="610">
        <v>0</v>
      </c>
      <c r="I123" s="611">
        <v>0</v>
      </c>
      <c r="J123" s="610">
        <v>0</v>
      </c>
      <c r="K123" s="611">
        <f t="shared" si="11"/>
        <v>0</v>
      </c>
      <c r="L123" s="612">
        <f>VLOOKUP(A123,'BS Gr'!A:A,1,FALSE)</f>
        <v>100601</v>
      </c>
      <c r="M123" s="612">
        <f t="shared" si="7"/>
        <v>1</v>
      </c>
      <c r="N123" s="613">
        <f t="shared" si="9"/>
        <v>0</v>
      </c>
      <c r="O123" s="613">
        <f t="shared" si="12"/>
        <v>0</v>
      </c>
      <c r="P123" s="613">
        <v>0</v>
      </c>
      <c r="Q123" s="613">
        <f t="shared" si="13"/>
        <v>0</v>
      </c>
      <c r="R123" s="1514"/>
      <c r="S123" s="1617" t="e">
        <f>SUMIF('[105]TB for financial'!$A:$A,A123,'[105]TB for financial'!$E:$E)</f>
        <v>#VALUE!</v>
      </c>
      <c r="T123" s="613"/>
    </row>
    <row r="124" spans="1:20">
      <c r="A124" s="608">
        <v>100605</v>
      </c>
      <c r="B124" s="609" t="s">
        <v>1081</v>
      </c>
      <c r="C124" s="610">
        <f t="shared" si="8"/>
        <v>0</v>
      </c>
      <c r="D124" s="611">
        <v>0</v>
      </c>
      <c r="E124" s="610">
        <f>SUMIF('Entries 24-25'!$B:$B,A:A,'Entries 24-25'!$D:$D)-SUMIF('Entries 24-25'!$B:$B,A:A,'Entries 24-25'!$E:$E)+SUMIF('IND AS entries 24-25'!$B:$B,A:A,'IND AS entries 24-25'!$D:$D)-SUMIF('IND AS entries 24-25'!$B:$B,A:A,'IND AS entries 24-25'!$E:$E)</f>
        <v>0</v>
      </c>
      <c r="F124" s="611">
        <f t="shared" si="10"/>
        <v>0</v>
      </c>
      <c r="G124" s="610"/>
      <c r="H124" s="610">
        <v>0</v>
      </c>
      <c r="I124" s="611">
        <v>0</v>
      </c>
      <c r="J124" s="610">
        <v>0</v>
      </c>
      <c r="K124" s="611">
        <f t="shared" si="11"/>
        <v>0</v>
      </c>
      <c r="L124" s="612">
        <f>VLOOKUP(A124,'BS Gr'!A:A,1,FALSE)</f>
        <v>100605</v>
      </c>
      <c r="M124" s="612">
        <f t="shared" si="7"/>
        <v>1</v>
      </c>
      <c r="N124" s="613">
        <f t="shared" si="9"/>
        <v>0</v>
      </c>
      <c r="O124" s="613">
        <f t="shared" si="12"/>
        <v>0</v>
      </c>
      <c r="P124" s="613">
        <v>0</v>
      </c>
      <c r="Q124" s="613">
        <f t="shared" si="13"/>
        <v>0</v>
      </c>
      <c r="R124" s="1514"/>
      <c r="S124" s="1617" t="e">
        <f>SUMIF('[105]TB for financial'!$A:$A,A124,'[105]TB for financial'!$E:$E)</f>
        <v>#VALUE!</v>
      </c>
      <c r="T124" s="613"/>
    </row>
    <row r="125" spans="1:20">
      <c r="A125" s="608">
        <v>100602</v>
      </c>
      <c r="B125" s="609" t="s">
        <v>533</v>
      </c>
      <c r="C125" s="610">
        <f t="shared" si="8"/>
        <v>0</v>
      </c>
      <c r="D125" s="611">
        <v>0</v>
      </c>
      <c r="E125" s="610">
        <f>SUMIF('Entries 24-25'!$B:$B,A:A,'Entries 24-25'!$D:$D)-SUMIF('Entries 24-25'!$B:$B,A:A,'Entries 24-25'!$E:$E)+SUMIF('IND AS entries 24-25'!$B:$B,A:A,'IND AS entries 24-25'!$D:$D)-SUMIF('IND AS entries 24-25'!$B:$B,A:A,'IND AS entries 24-25'!$E:$E)</f>
        <v>0</v>
      </c>
      <c r="F125" s="611">
        <f t="shared" si="10"/>
        <v>0</v>
      </c>
      <c r="G125" s="610"/>
      <c r="H125" s="610">
        <v>0</v>
      </c>
      <c r="I125" s="611">
        <v>0</v>
      </c>
      <c r="J125" s="610">
        <v>0</v>
      </c>
      <c r="K125" s="611">
        <f t="shared" si="11"/>
        <v>0</v>
      </c>
      <c r="L125" s="612">
        <f>VLOOKUP(A125,'BS Gr'!A:A,1,FALSE)</f>
        <v>100602</v>
      </c>
      <c r="M125" s="612">
        <f t="shared" si="7"/>
        <v>1</v>
      </c>
      <c r="N125" s="613">
        <f t="shared" si="9"/>
        <v>0</v>
      </c>
      <c r="O125" s="613">
        <f t="shared" si="12"/>
        <v>0</v>
      </c>
      <c r="P125" s="613">
        <v>0</v>
      </c>
      <c r="Q125" s="613">
        <f t="shared" si="13"/>
        <v>0</v>
      </c>
      <c r="R125" s="1514"/>
      <c r="S125" s="1617" t="e">
        <f>SUMIF('[105]TB for financial'!$A:$A,A125,'[105]TB for financial'!$E:$E)</f>
        <v>#VALUE!</v>
      </c>
      <c r="T125" s="613"/>
    </row>
    <row r="126" spans="1:20">
      <c r="A126" s="608">
        <v>100700</v>
      </c>
      <c r="B126" s="609" t="s">
        <v>1082</v>
      </c>
      <c r="C126" s="610">
        <f t="shared" si="8"/>
        <v>0</v>
      </c>
      <c r="D126" s="611">
        <v>0</v>
      </c>
      <c r="E126" s="610">
        <f>SUMIF('Entries 24-25'!$B:$B,A:A,'Entries 24-25'!$D:$D)-SUMIF('Entries 24-25'!$B:$B,A:A,'Entries 24-25'!$E:$E)+SUMIF('IND AS entries 24-25'!$B:$B,A:A,'IND AS entries 24-25'!$D:$D)-SUMIF('IND AS entries 24-25'!$B:$B,A:A,'IND AS entries 24-25'!$E:$E)</f>
        <v>0</v>
      </c>
      <c r="F126" s="611">
        <f t="shared" si="10"/>
        <v>0</v>
      </c>
      <c r="G126" s="610"/>
      <c r="H126" s="610">
        <v>0</v>
      </c>
      <c r="I126" s="611">
        <v>0</v>
      </c>
      <c r="J126" s="610">
        <v>0</v>
      </c>
      <c r="K126" s="611">
        <f t="shared" si="11"/>
        <v>0</v>
      </c>
      <c r="L126" s="612">
        <f>VLOOKUP(A126,'BS Gr'!A:A,1,FALSE)</f>
        <v>100700</v>
      </c>
      <c r="M126" s="612">
        <f t="shared" si="7"/>
        <v>1</v>
      </c>
      <c r="N126" s="613">
        <f t="shared" si="9"/>
        <v>0</v>
      </c>
      <c r="O126" s="613">
        <f t="shared" si="12"/>
        <v>0</v>
      </c>
      <c r="P126" s="613">
        <v>0</v>
      </c>
      <c r="Q126" s="613">
        <f t="shared" si="13"/>
        <v>0</v>
      </c>
      <c r="R126" s="1514"/>
      <c r="S126" s="1617" t="e">
        <f>SUMIF('[105]TB for financial'!$A:$A,A126,'[105]TB for financial'!$E:$E)</f>
        <v>#VALUE!</v>
      </c>
      <c r="T126" s="613"/>
    </row>
    <row r="127" spans="1:20">
      <c r="A127" s="608">
        <v>100750</v>
      </c>
      <c r="B127" s="609" t="s">
        <v>1083</v>
      </c>
      <c r="C127" s="610">
        <f t="shared" si="8"/>
        <v>0</v>
      </c>
      <c r="D127" s="611">
        <v>0</v>
      </c>
      <c r="E127" s="610">
        <f>SUMIF('Entries 24-25'!$B:$B,A:A,'Entries 24-25'!$D:$D)-SUMIF('Entries 24-25'!$B:$B,A:A,'Entries 24-25'!$E:$E)+SUMIF('IND AS entries 24-25'!$B:$B,A:A,'IND AS entries 24-25'!$D:$D)-SUMIF('IND AS entries 24-25'!$B:$B,A:A,'IND AS entries 24-25'!$E:$E)</f>
        <v>0</v>
      </c>
      <c r="F127" s="611">
        <f t="shared" si="10"/>
        <v>0</v>
      </c>
      <c r="G127" s="610"/>
      <c r="H127" s="610">
        <v>0</v>
      </c>
      <c r="I127" s="611">
        <v>0</v>
      </c>
      <c r="J127" s="610">
        <v>0</v>
      </c>
      <c r="K127" s="611">
        <f t="shared" si="11"/>
        <v>0</v>
      </c>
      <c r="L127" s="612">
        <f>VLOOKUP(A127,'BS Gr'!A:A,1,FALSE)</f>
        <v>100750</v>
      </c>
      <c r="M127" s="612">
        <f t="shared" si="7"/>
        <v>1</v>
      </c>
      <c r="N127" s="613">
        <f t="shared" si="9"/>
        <v>0</v>
      </c>
      <c r="O127" s="613">
        <f t="shared" si="12"/>
        <v>0</v>
      </c>
      <c r="P127" s="613">
        <v>0</v>
      </c>
      <c r="Q127" s="613">
        <f t="shared" si="13"/>
        <v>0</v>
      </c>
      <c r="R127" s="1514"/>
      <c r="S127" s="1617" t="e">
        <f>SUMIF('[105]TB for financial'!$A:$A,A127,'[105]TB for financial'!$E:$E)</f>
        <v>#VALUE!</v>
      </c>
      <c r="T127" s="613"/>
    </row>
    <row r="128" spans="1:20">
      <c r="A128" s="608">
        <v>100760</v>
      </c>
      <c r="B128" s="609" t="s">
        <v>1084</v>
      </c>
      <c r="C128" s="610">
        <f t="shared" si="8"/>
        <v>0</v>
      </c>
      <c r="D128" s="611">
        <v>0</v>
      </c>
      <c r="E128" s="610">
        <f>SUMIF('Entries 24-25'!$B:$B,A:A,'Entries 24-25'!$D:$D)-SUMIF('Entries 24-25'!$B:$B,A:A,'Entries 24-25'!$E:$E)+SUMIF('IND AS entries 24-25'!$B:$B,A:A,'IND AS entries 24-25'!$D:$D)-SUMIF('IND AS entries 24-25'!$B:$B,A:A,'IND AS entries 24-25'!$E:$E)</f>
        <v>0</v>
      </c>
      <c r="F128" s="611">
        <f t="shared" si="10"/>
        <v>0</v>
      </c>
      <c r="G128" s="610"/>
      <c r="H128" s="610">
        <v>0</v>
      </c>
      <c r="I128" s="611">
        <v>0</v>
      </c>
      <c r="J128" s="610">
        <v>0</v>
      </c>
      <c r="K128" s="611">
        <f t="shared" si="11"/>
        <v>0</v>
      </c>
      <c r="L128" s="612">
        <f>VLOOKUP(A128,'BS Gr'!A:A,1,FALSE)</f>
        <v>100760</v>
      </c>
      <c r="M128" s="612">
        <f t="shared" si="7"/>
        <v>1</v>
      </c>
      <c r="N128" s="613">
        <f t="shared" si="9"/>
        <v>0</v>
      </c>
      <c r="O128" s="613">
        <f t="shared" si="12"/>
        <v>0</v>
      </c>
      <c r="P128" s="613">
        <v>0</v>
      </c>
      <c r="Q128" s="613">
        <f t="shared" si="13"/>
        <v>0</v>
      </c>
      <c r="R128" s="1514"/>
      <c r="S128" s="1617" t="e">
        <f>SUMIF('[105]TB for financial'!$A:$A,A128,'[105]TB for financial'!$E:$E)</f>
        <v>#VALUE!</v>
      </c>
      <c r="T128" s="613"/>
    </row>
    <row r="129" spans="1:20">
      <c r="A129" s="608">
        <v>100761</v>
      </c>
      <c r="B129" s="609" t="s">
        <v>1085</v>
      </c>
      <c r="C129" s="610">
        <f t="shared" si="8"/>
        <v>0</v>
      </c>
      <c r="D129" s="611">
        <v>0</v>
      </c>
      <c r="E129" s="610">
        <f>SUMIF('Entries 24-25'!$B:$B,A:A,'Entries 24-25'!$D:$D)-SUMIF('Entries 24-25'!$B:$B,A:A,'Entries 24-25'!$E:$E)+SUMIF('IND AS entries 24-25'!$B:$B,A:A,'IND AS entries 24-25'!$D:$D)-SUMIF('IND AS entries 24-25'!$B:$B,A:A,'IND AS entries 24-25'!$E:$E)</f>
        <v>0</v>
      </c>
      <c r="F129" s="611">
        <f t="shared" si="10"/>
        <v>0</v>
      </c>
      <c r="G129" s="610"/>
      <c r="H129" s="610">
        <v>0</v>
      </c>
      <c r="I129" s="611">
        <v>0</v>
      </c>
      <c r="J129" s="610">
        <v>0</v>
      </c>
      <c r="K129" s="611">
        <f t="shared" si="11"/>
        <v>0</v>
      </c>
      <c r="L129" s="612">
        <f>VLOOKUP(A129,'BS Gr'!A:A,1,FALSE)</f>
        <v>100761</v>
      </c>
      <c r="M129" s="612">
        <f t="shared" si="7"/>
        <v>1</v>
      </c>
      <c r="N129" s="613">
        <f t="shared" si="9"/>
        <v>0</v>
      </c>
      <c r="O129" s="613">
        <f t="shared" si="12"/>
        <v>0</v>
      </c>
      <c r="P129" s="613">
        <v>0</v>
      </c>
      <c r="Q129" s="613">
        <f t="shared" si="13"/>
        <v>0</v>
      </c>
      <c r="R129" s="1514"/>
      <c r="S129" s="1617" t="e">
        <f>SUMIF('[105]TB for financial'!$A:$A,A129,'[105]TB for financial'!$E:$E)</f>
        <v>#VALUE!</v>
      </c>
      <c r="T129" s="613"/>
    </row>
    <row r="130" spans="1:20">
      <c r="A130" s="608">
        <v>100762</v>
      </c>
      <c r="B130" s="609" t="s">
        <v>1086</v>
      </c>
      <c r="C130" s="610">
        <f t="shared" si="8"/>
        <v>0</v>
      </c>
      <c r="D130" s="611">
        <v>0</v>
      </c>
      <c r="E130" s="610">
        <f>SUMIF('Entries 24-25'!$B:$B,A:A,'Entries 24-25'!$D:$D)-SUMIF('Entries 24-25'!$B:$B,A:A,'Entries 24-25'!$E:$E)+SUMIF('IND AS entries 24-25'!$B:$B,A:A,'IND AS entries 24-25'!$D:$D)-SUMIF('IND AS entries 24-25'!$B:$B,A:A,'IND AS entries 24-25'!$E:$E)</f>
        <v>0</v>
      </c>
      <c r="F130" s="611">
        <f t="shared" si="10"/>
        <v>0</v>
      </c>
      <c r="G130" s="610"/>
      <c r="H130" s="610">
        <v>0</v>
      </c>
      <c r="I130" s="611">
        <v>0</v>
      </c>
      <c r="J130" s="610">
        <v>0</v>
      </c>
      <c r="K130" s="611">
        <f t="shared" si="11"/>
        <v>0</v>
      </c>
      <c r="L130" s="612">
        <f>VLOOKUP(A130,'BS Gr'!A:A,1,FALSE)</f>
        <v>100762</v>
      </c>
      <c r="M130" s="612">
        <f t="shared" si="7"/>
        <v>1</v>
      </c>
      <c r="N130" s="613">
        <f t="shared" si="9"/>
        <v>0</v>
      </c>
      <c r="O130" s="613">
        <f t="shared" si="12"/>
        <v>0</v>
      </c>
      <c r="P130" s="613">
        <v>0</v>
      </c>
      <c r="Q130" s="613">
        <f t="shared" si="13"/>
        <v>0</v>
      </c>
      <c r="R130" s="1514"/>
      <c r="S130" s="1617" t="e">
        <f>SUMIF('[105]TB for financial'!$A:$A,A130,'[105]TB for financial'!$E:$E)</f>
        <v>#VALUE!</v>
      </c>
      <c r="T130" s="613"/>
    </row>
    <row r="131" spans="1:20">
      <c r="A131" s="608">
        <v>100763</v>
      </c>
      <c r="B131" s="609" t="s">
        <v>1087</v>
      </c>
      <c r="C131" s="610">
        <f t="shared" si="8"/>
        <v>0</v>
      </c>
      <c r="D131" s="611">
        <v>0</v>
      </c>
      <c r="E131" s="610">
        <f>SUMIF('Entries 24-25'!$B:$B,A:A,'Entries 24-25'!$D:$D)-SUMIF('Entries 24-25'!$B:$B,A:A,'Entries 24-25'!$E:$E)+SUMIF('IND AS entries 24-25'!$B:$B,A:A,'IND AS entries 24-25'!$D:$D)-SUMIF('IND AS entries 24-25'!$B:$B,A:A,'IND AS entries 24-25'!$E:$E)</f>
        <v>0</v>
      </c>
      <c r="F131" s="611">
        <f t="shared" si="10"/>
        <v>0</v>
      </c>
      <c r="G131" s="610"/>
      <c r="H131" s="610">
        <v>0</v>
      </c>
      <c r="I131" s="611">
        <v>0</v>
      </c>
      <c r="J131" s="610">
        <v>0</v>
      </c>
      <c r="K131" s="611">
        <f t="shared" si="11"/>
        <v>0</v>
      </c>
      <c r="L131" s="612">
        <f>VLOOKUP(A131,'BS Gr'!A:A,1,FALSE)</f>
        <v>100763</v>
      </c>
      <c r="M131" s="612">
        <f t="shared" si="7"/>
        <v>1</v>
      </c>
      <c r="N131" s="613">
        <f t="shared" si="9"/>
        <v>0</v>
      </c>
      <c r="O131" s="613">
        <f t="shared" si="12"/>
        <v>0</v>
      </c>
      <c r="P131" s="613">
        <v>0</v>
      </c>
      <c r="Q131" s="613">
        <f t="shared" si="13"/>
        <v>0</v>
      </c>
      <c r="R131" s="1514"/>
      <c r="S131" s="1617" t="e">
        <f>SUMIF('[105]TB for financial'!$A:$A,A131,'[105]TB for financial'!$E:$E)</f>
        <v>#VALUE!</v>
      </c>
      <c r="T131" s="613"/>
    </row>
    <row r="132" spans="1:20">
      <c r="A132" s="608">
        <v>100765</v>
      </c>
      <c r="B132" s="609" t="s">
        <v>1088</v>
      </c>
      <c r="C132" s="610">
        <f t="shared" si="8"/>
        <v>0</v>
      </c>
      <c r="D132" s="611">
        <v>0</v>
      </c>
      <c r="E132" s="610">
        <f>SUMIF('Entries 24-25'!$B:$B,A:A,'Entries 24-25'!$D:$D)-SUMIF('Entries 24-25'!$B:$B,A:A,'Entries 24-25'!$E:$E)+SUMIF('IND AS entries 24-25'!$B:$B,A:A,'IND AS entries 24-25'!$D:$D)-SUMIF('IND AS entries 24-25'!$B:$B,A:A,'IND AS entries 24-25'!$E:$E)</f>
        <v>0</v>
      </c>
      <c r="F132" s="611">
        <f t="shared" si="10"/>
        <v>0</v>
      </c>
      <c r="G132" s="610"/>
      <c r="H132" s="610">
        <v>0</v>
      </c>
      <c r="I132" s="611">
        <v>0</v>
      </c>
      <c r="J132" s="610">
        <v>0</v>
      </c>
      <c r="K132" s="611">
        <f t="shared" si="11"/>
        <v>0</v>
      </c>
      <c r="L132" s="612">
        <f>VLOOKUP(A132,'BS Gr'!A:A,1,FALSE)</f>
        <v>100765</v>
      </c>
      <c r="M132" s="612">
        <f t="shared" si="7"/>
        <v>1</v>
      </c>
      <c r="N132" s="613">
        <f t="shared" si="9"/>
        <v>0</v>
      </c>
      <c r="O132" s="613">
        <f t="shared" si="12"/>
        <v>0</v>
      </c>
      <c r="P132" s="613">
        <v>0</v>
      </c>
      <c r="Q132" s="613">
        <f t="shared" si="13"/>
        <v>0</v>
      </c>
      <c r="R132" s="1514"/>
      <c r="S132" s="1617" t="e">
        <f>SUMIF('[105]TB for financial'!$A:$A,A132,'[105]TB for financial'!$E:$E)</f>
        <v>#VALUE!</v>
      </c>
      <c r="T132" s="613"/>
    </row>
    <row r="133" spans="1:20">
      <c r="A133" s="608">
        <v>100770</v>
      </c>
      <c r="B133" s="609" t="s">
        <v>1089</v>
      </c>
      <c r="C133" s="610">
        <f t="shared" si="8"/>
        <v>0</v>
      </c>
      <c r="D133" s="611">
        <v>0</v>
      </c>
      <c r="E133" s="610">
        <f>SUMIF('Entries 24-25'!$B:$B,A:A,'Entries 24-25'!$D:$D)-SUMIF('Entries 24-25'!$B:$B,A:A,'Entries 24-25'!$E:$E)+SUMIF('IND AS entries 24-25'!$B:$B,A:A,'IND AS entries 24-25'!$D:$D)-SUMIF('IND AS entries 24-25'!$B:$B,A:A,'IND AS entries 24-25'!$E:$E)</f>
        <v>0</v>
      </c>
      <c r="F133" s="611">
        <f t="shared" si="10"/>
        <v>0</v>
      </c>
      <c r="G133" s="610"/>
      <c r="H133" s="610">
        <v>0</v>
      </c>
      <c r="I133" s="611">
        <v>0</v>
      </c>
      <c r="J133" s="610">
        <v>0</v>
      </c>
      <c r="K133" s="611">
        <f t="shared" si="11"/>
        <v>0</v>
      </c>
      <c r="L133" s="612">
        <f>VLOOKUP(A133,'BS Gr'!A:A,1,FALSE)</f>
        <v>100770</v>
      </c>
      <c r="M133" s="612">
        <f t="shared" ref="M133:M196" si="14">COUNTIF(A:A,A133)</f>
        <v>1</v>
      </c>
      <c r="N133" s="613">
        <f t="shared" si="9"/>
        <v>0</v>
      </c>
      <c r="O133" s="613">
        <f t="shared" si="12"/>
        <v>0</v>
      </c>
      <c r="P133" s="613">
        <v>0</v>
      </c>
      <c r="Q133" s="613">
        <f t="shared" si="13"/>
        <v>0</v>
      </c>
      <c r="R133" s="1514"/>
      <c r="S133" s="1617" t="e">
        <f>SUMIF('[105]TB for financial'!$A:$A,A133,'[105]TB for financial'!$E:$E)</f>
        <v>#VALUE!</v>
      </c>
      <c r="T133" s="613"/>
    </row>
    <row r="134" spans="1:20">
      <c r="A134" s="608">
        <v>100780</v>
      </c>
      <c r="B134" s="609" t="s">
        <v>1090</v>
      </c>
      <c r="C134" s="610">
        <f t="shared" ref="C134:C197" si="15">K134</f>
        <v>0</v>
      </c>
      <c r="D134" s="611">
        <v>0</v>
      </c>
      <c r="E134" s="610">
        <f>SUMIF('Entries 24-25'!$B:$B,A:A,'Entries 24-25'!$D:$D)-SUMIF('Entries 24-25'!$B:$B,A:A,'Entries 24-25'!$E:$E)+SUMIF('IND AS entries 24-25'!$B:$B,A:A,'IND AS entries 24-25'!$D:$D)-SUMIF('IND AS entries 24-25'!$B:$B,A:A,'IND AS entries 24-25'!$E:$E)</f>
        <v>0</v>
      </c>
      <c r="F134" s="611">
        <f t="shared" si="10"/>
        <v>0</v>
      </c>
      <c r="G134" s="610"/>
      <c r="H134" s="610">
        <v>0</v>
      </c>
      <c r="I134" s="611">
        <v>0</v>
      </c>
      <c r="J134" s="610">
        <v>0</v>
      </c>
      <c r="K134" s="611">
        <f t="shared" si="11"/>
        <v>0</v>
      </c>
      <c r="L134" s="612">
        <f>VLOOKUP(A134,'BS Gr'!A:A,1,FALSE)</f>
        <v>100780</v>
      </c>
      <c r="M134" s="612">
        <f t="shared" si="14"/>
        <v>1</v>
      </c>
      <c r="N134" s="613">
        <f t="shared" ref="N134:N197" si="16">C134-K134</f>
        <v>0</v>
      </c>
      <c r="O134" s="613">
        <f t="shared" si="12"/>
        <v>0</v>
      </c>
      <c r="P134" s="613">
        <v>0</v>
      </c>
      <c r="Q134" s="613">
        <f t="shared" si="13"/>
        <v>0</v>
      </c>
      <c r="R134" s="1514"/>
      <c r="S134" s="1617" t="e">
        <f>SUMIF('[105]TB for financial'!$A:$A,A134,'[105]TB for financial'!$E:$E)</f>
        <v>#VALUE!</v>
      </c>
      <c r="T134" s="613"/>
    </row>
    <row r="135" spans="1:20">
      <c r="A135" s="608">
        <v>100800</v>
      </c>
      <c r="B135" s="609" t="s">
        <v>1091</v>
      </c>
      <c r="C135" s="610">
        <f t="shared" si="15"/>
        <v>0</v>
      </c>
      <c r="D135" s="611">
        <v>0</v>
      </c>
      <c r="E135" s="610">
        <f>SUMIF('Entries 24-25'!$B:$B,A:A,'Entries 24-25'!$D:$D)-SUMIF('Entries 24-25'!$B:$B,A:A,'Entries 24-25'!$E:$E)+SUMIF('IND AS entries 24-25'!$B:$B,A:A,'IND AS entries 24-25'!$D:$D)-SUMIF('IND AS entries 24-25'!$B:$B,A:A,'IND AS entries 24-25'!$E:$E)</f>
        <v>0</v>
      </c>
      <c r="F135" s="611">
        <f t="shared" si="10"/>
        <v>0</v>
      </c>
      <c r="G135" s="610"/>
      <c r="H135" s="610">
        <v>0</v>
      </c>
      <c r="I135" s="611">
        <v>0</v>
      </c>
      <c r="J135" s="610">
        <v>0</v>
      </c>
      <c r="K135" s="611">
        <f t="shared" si="11"/>
        <v>0</v>
      </c>
      <c r="L135" s="612">
        <f>VLOOKUP(A135,'BS Gr'!A:A,1,FALSE)</f>
        <v>100800</v>
      </c>
      <c r="M135" s="612">
        <f t="shared" si="14"/>
        <v>1</v>
      </c>
      <c r="N135" s="613">
        <f t="shared" si="16"/>
        <v>0</v>
      </c>
      <c r="O135" s="613">
        <f t="shared" si="12"/>
        <v>0</v>
      </c>
      <c r="P135" s="613">
        <v>0</v>
      </c>
      <c r="Q135" s="613">
        <f t="shared" si="13"/>
        <v>0</v>
      </c>
      <c r="R135" s="1514"/>
      <c r="S135" s="1617" t="e">
        <f>SUMIF('[105]TB for financial'!$A:$A,A135,'[105]TB for financial'!$E:$E)</f>
        <v>#VALUE!</v>
      </c>
      <c r="T135" s="613"/>
    </row>
    <row r="136" spans="1:20">
      <c r="A136" s="608">
        <v>100801</v>
      </c>
      <c r="B136" s="609" t="s">
        <v>1092</v>
      </c>
      <c r="C136" s="610">
        <f t="shared" si="15"/>
        <v>0</v>
      </c>
      <c r="D136" s="611">
        <v>0</v>
      </c>
      <c r="E136" s="610">
        <f>SUMIF('Entries 24-25'!$B:$B,A:A,'Entries 24-25'!$D:$D)-SUMIF('Entries 24-25'!$B:$B,A:A,'Entries 24-25'!$E:$E)+SUMIF('IND AS entries 24-25'!$B:$B,A:A,'IND AS entries 24-25'!$D:$D)-SUMIF('IND AS entries 24-25'!$B:$B,A:A,'IND AS entries 24-25'!$E:$E)</f>
        <v>0</v>
      </c>
      <c r="F136" s="611">
        <f t="shared" ref="F136:F199" si="17">SUM(C136:E136)</f>
        <v>0</v>
      </c>
      <c r="G136" s="610"/>
      <c r="H136" s="610">
        <v>0</v>
      </c>
      <c r="I136" s="611">
        <v>0</v>
      </c>
      <c r="J136" s="610">
        <v>0</v>
      </c>
      <c r="K136" s="611">
        <f t="shared" ref="K136:K199" si="18">SUM(H136:J136)</f>
        <v>0</v>
      </c>
      <c r="L136" s="612">
        <f>VLOOKUP(A136,'BS Gr'!A:A,1,FALSE)</f>
        <v>100801</v>
      </c>
      <c r="M136" s="612">
        <f t="shared" si="14"/>
        <v>1</v>
      </c>
      <c r="N136" s="613">
        <f t="shared" si="16"/>
        <v>0</v>
      </c>
      <c r="O136" s="613">
        <f t="shared" ref="O136:O200" si="19">C136-K136</f>
        <v>0</v>
      </c>
      <c r="P136" s="613">
        <v>0</v>
      </c>
      <c r="Q136" s="613">
        <f t="shared" si="13"/>
        <v>0</v>
      </c>
      <c r="R136" s="1514"/>
      <c r="S136" s="1617" t="e">
        <f>SUMIF('[105]TB for financial'!$A:$A,A136,'[105]TB for financial'!$E:$E)</f>
        <v>#VALUE!</v>
      </c>
      <c r="T136" s="613"/>
    </row>
    <row r="137" spans="1:20">
      <c r="A137" s="608">
        <v>100802</v>
      </c>
      <c r="B137" s="609" t="s">
        <v>1093</v>
      </c>
      <c r="C137" s="610">
        <f t="shared" si="15"/>
        <v>0</v>
      </c>
      <c r="D137" s="611">
        <v>0</v>
      </c>
      <c r="E137" s="610">
        <f>SUMIF('Entries 24-25'!$B:$B,A:A,'Entries 24-25'!$D:$D)-SUMIF('Entries 24-25'!$B:$B,A:A,'Entries 24-25'!$E:$E)+SUMIF('IND AS entries 24-25'!$B:$B,A:A,'IND AS entries 24-25'!$D:$D)-SUMIF('IND AS entries 24-25'!$B:$B,A:A,'IND AS entries 24-25'!$E:$E)</f>
        <v>0</v>
      </c>
      <c r="F137" s="611">
        <f t="shared" si="17"/>
        <v>0</v>
      </c>
      <c r="G137" s="610"/>
      <c r="H137" s="610">
        <v>0</v>
      </c>
      <c r="I137" s="611">
        <v>0</v>
      </c>
      <c r="J137" s="610">
        <v>0</v>
      </c>
      <c r="K137" s="611">
        <f t="shared" si="18"/>
        <v>0</v>
      </c>
      <c r="L137" s="612">
        <f>VLOOKUP(A137,'BS Gr'!A:A,1,FALSE)</f>
        <v>100802</v>
      </c>
      <c r="M137" s="612">
        <f t="shared" si="14"/>
        <v>1</v>
      </c>
      <c r="N137" s="613">
        <f t="shared" si="16"/>
        <v>0</v>
      </c>
      <c r="O137" s="613">
        <f t="shared" si="19"/>
        <v>0</v>
      </c>
      <c r="P137" s="613">
        <v>0</v>
      </c>
      <c r="Q137" s="613">
        <f t="shared" ref="Q137:Q201" si="20">+K137-P137</f>
        <v>0</v>
      </c>
      <c r="R137" s="1514"/>
      <c r="S137" s="1617" t="e">
        <f>SUMIF('[105]TB for financial'!$A:$A,A137,'[105]TB for financial'!$E:$E)</f>
        <v>#VALUE!</v>
      </c>
      <c r="T137" s="613"/>
    </row>
    <row r="138" spans="1:20">
      <c r="A138" s="608">
        <v>100803</v>
      </c>
      <c r="B138" s="609" t="s">
        <v>1094</v>
      </c>
      <c r="C138" s="610">
        <f t="shared" si="15"/>
        <v>0</v>
      </c>
      <c r="D138" s="611">
        <v>0</v>
      </c>
      <c r="E138" s="610">
        <f>SUMIF('Entries 24-25'!$B:$B,A:A,'Entries 24-25'!$D:$D)-SUMIF('Entries 24-25'!$B:$B,A:A,'Entries 24-25'!$E:$E)+SUMIF('IND AS entries 24-25'!$B:$B,A:A,'IND AS entries 24-25'!$D:$D)-SUMIF('IND AS entries 24-25'!$B:$B,A:A,'IND AS entries 24-25'!$E:$E)</f>
        <v>0</v>
      </c>
      <c r="F138" s="611">
        <f t="shared" si="17"/>
        <v>0</v>
      </c>
      <c r="G138" s="610"/>
      <c r="H138" s="610">
        <v>0</v>
      </c>
      <c r="I138" s="611">
        <v>0</v>
      </c>
      <c r="J138" s="610">
        <v>0</v>
      </c>
      <c r="K138" s="611">
        <f t="shared" si="18"/>
        <v>0</v>
      </c>
      <c r="L138" s="612">
        <f>VLOOKUP(A138,'BS Gr'!A:A,1,FALSE)</f>
        <v>100803</v>
      </c>
      <c r="M138" s="612">
        <f t="shared" si="14"/>
        <v>1</v>
      </c>
      <c r="N138" s="613">
        <f t="shared" si="16"/>
        <v>0</v>
      </c>
      <c r="O138" s="613">
        <f t="shared" si="19"/>
        <v>0</v>
      </c>
      <c r="P138" s="613">
        <v>0</v>
      </c>
      <c r="Q138" s="613">
        <f t="shared" si="20"/>
        <v>0</v>
      </c>
      <c r="R138" s="1514"/>
      <c r="S138" s="1617" t="e">
        <f>SUMIF('[105]TB for financial'!$A:$A,A138,'[105]TB for financial'!$E:$E)</f>
        <v>#VALUE!</v>
      </c>
      <c r="T138" s="613"/>
    </row>
    <row r="139" spans="1:20">
      <c r="A139" s="608">
        <v>100804</v>
      </c>
      <c r="B139" s="609" t="s">
        <v>1095</v>
      </c>
      <c r="C139" s="610">
        <f t="shared" si="15"/>
        <v>0</v>
      </c>
      <c r="D139" s="611">
        <v>0</v>
      </c>
      <c r="E139" s="610">
        <f>SUMIF('Entries 24-25'!$B:$B,A:A,'Entries 24-25'!$D:$D)-SUMIF('Entries 24-25'!$B:$B,A:A,'Entries 24-25'!$E:$E)+SUMIF('IND AS entries 24-25'!$B:$B,A:A,'IND AS entries 24-25'!$D:$D)-SUMIF('IND AS entries 24-25'!$B:$B,A:A,'IND AS entries 24-25'!$E:$E)</f>
        <v>0</v>
      </c>
      <c r="F139" s="611">
        <f t="shared" si="17"/>
        <v>0</v>
      </c>
      <c r="G139" s="610"/>
      <c r="H139" s="610">
        <v>0</v>
      </c>
      <c r="I139" s="611">
        <v>0</v>
      </c>
      <c r="J139" s="610">
        <v>0</v>
      </c>
      <c r="K139" s="611">
        <f t="shared" si="18"/>
        <v>0</v>
      </c>
      <c r="L139" s="612">
        <f>VLOOKUP(A139,'BS Gr'!A:A,1,FALSE)</f>
        <v>100804</v>
      </c>
      <c r="M139" s="612">
        <f t="shared" si="14"/>
        <v>1</v>
      </c>
      <c r="N139" s="613">
        <f t="shared" si="16"/>
        <v>0</v>
      </c>
      <c r="O139" s="613">
        <f t="shared" si="19"/>
        <v>0</v>
      </c>
      <c r="P139" s="613">
        <v>21263</v>
      </c>
      <c r="Q139" s="613">
        <f t="shared" si="20"/>
        <v>-21263</v>
      </c>
      <c r="R139" s="1514"/>
      <c r="S139" s="1617" t="e">
        <f>SUMIF('[105]TB for financial'!$A:$A,A139,'[105]TB for financial'!$E:$E)</f>
        <v>#VALUE!</v>
      </c>
      <c r="T139" s="613"/>
    </row>
    <row r="140" spans="1:20">
      <c r="A140" s="608">
        <v>100806</v>
      </c>
      <c r="B140" s="609" t="s">
        <v>220</v>
      </c>
      <c r="C140" s="610">
        <f t="shared" si="15"/>
        <v>0</v>
      </c>
      <c r="D140" s="611">
        <v>0</v>
      </c>
      <c r="E140" s="610">
        <f>SUMIF('Entries 24-25'!$B:$B,A:A,'Entries 24-25'!$D:$D)-SUMIF('Entries 24-25'!$B:$B,A:A,'Entries 24-25'!$E:$E)+SUMIF('IND AS entries 24-25'!$B:$B,A:A,'IND AS entries 24-25'!$D:$D)-SUMIF('IND AS entries 24-25'!$B:$B,A:A,'IND AS entries 24-25'!$E:$E)</f>
        <v>0</v>
      </c>
      <c r="F140" s="611">
        <f t="shared" si="17"/>
        <v>0</v>
      </c>
      <c r="G140" s="610"/>
      <c r="H140" s="610">
        <v>0</v>
      </c>
      <c r="I140" s="611">
        <v>0</v>
      </c>
      <c r="J140" s="610">
        <v>0</v>
      </c>
      <c r="K140" s="611">
        <f t="shared" si="18"/>
        <v>0</v>
      </c>
      <c r="L140" s="612">
        <f>VLOOKUP(A140,'BS Gr'!A:A,1,FALSE)</f>
        <v>100806</v>
      </c>
      <c r="M140" s="612">
        <f t="shared" si="14"/>
        <v>1</v>
      </c>
      <c r="N140" s="613">
        <f t="shared" si="16"/>
        <v>0</v>
      </c>
      <c r="O140" s="613">
        <f t="shared" si="19"/>
        <v>0</v>
      </c>
      <c r="P140" s="613">
        <v>0</v>
      </c>
      <c r="Q140" s="613">
        <f t="shared" si="20"/>
        <v>0</v>
      </c>
      <c r="R140" s="1514"/>
      <c r="S140" s="1617" t="e">
        <f>SUMIF('[105]TB for financial'!$A:$A,A140,'[105]TB for financial'!$E:$E)</f>
        <v>#VALUE!</v>
      </c>
      <c r="T140" s="613"/>
    </row>
    <row r="141" spans="1:20">
      <c r="A141" s="608">
        <v>100807</v>
      </c>
      <c r="B141" s="609" t="s">
        <v>1096</v>
      </c>
      <c r="C141" s="610">
        <f t="shared" si="15"/>
        <v>-0.21</v>
      </c>
      <c r="D141" s="611">
        <v>0</v>
      </c>
      <c r="E141" s="610">
        <f>SUMIF('Entries 24-25'!$B:$B,A:A,'Entries 24-25'!$D:$D)-SUMIF('Entries 24-25'!$B:$B,A:A,'Entries 24-25'!$E:$E)+SUMIF('IND AS entries 24-25'!$B:$B,A:A,'IND AS entries 24-25'!$D:$D)-SUMIF('IND AS entries 24-25'!$B:$B,A:A,'IND AS entries 24-25'!$E:$E)</f>
        <v>0</v>
      </c>
      <c r="F141" s="611">
        <f t="shared" si="17"/>
        <v>-0.21</v>
      </c>
      <c r="G141" s="610"/>
      <c r="H141" s="610">
        <v>-0.21</v>
      </c>
      <c r="I141" s="611">
        <v>0</v>
      </c>
      <c r="J141" s="610">
        <v>0</v>
      </c>
      <c r="K141" s="611">
        <f t="shared" si="18"/>
        <v>-0.21</v>
      </c>
      <c r="L141" s="612">
        <f>VLOOKUP(A141,'BS Gr'!A:A,1,FALSE)</f>
        <v>100807</v>
      </c>
      <c r="M141" s="612">
        <f t="shared" si="14"/>
        <v>1</v>
      </c>
      <c r="N141" s="613">
        <f t="shared" si="16"/>
        <v>0</v>
      </c>
      <c r="O141" s="613">
        <f t="shared" si="19"/>
        <v>0</v>
      </c>
      <c r="P141" s="613">
        <v>-0.21</v>
      </c>
      <c r="Q141" s="613">
        <f t="shared" si="20"/>
        <v>0</v>
      </c>
      <c r="R141" s="1514"/>
      <c r="S141" s="1617" t="e">
        <f>SUMIF('[105]TB for financial'!$A:$A,A141,'[105]TB for financial'!$E:$E)</f>
        <v>#VALUE!</v>
      </c>
      <c r="T141" s="613"/>
    </row>
    <row r="142" spans="1:20">
      <c r="A142" s="608">
        <v>101000</v>
      </c>
      <c r="B142" s="609" t="s">
        <v>1097</v>
      </c>
      <c r="C142" s="610">
        <f t="shared" si="15"/>
        <v>-7.4387740285508333</v>
      </c>
      <c r="D142" s="611">
        <v>0</v>
      </c>
      <c r="E142" s="610">
        <f>SUMIF('Entries 24-25'!$B:$B,A:A,'Entries 24-25'!$D:$D)-SUMIF('Entries 24-25'!$B:$B,A:A,'Entries 24-25'!$E:$E)+SUMIF('IND AS entries 24-25'!$B:$B,A:A,'IND AS entries 24-25'!$D:$D)-SUMIF('IND AS entries 24-25'!$B:$B,A:A,'IND AS entries 24-25'!$E:$E)</f>
        <v>0</v>
      </c>
      <c r="F142" s="611">
        <f t="shared" si="17"/>
        <v>-7.4387740285508333</v>
      </c>
      <c r="G142" s="610"/>
      <c r="H142" s="610">
        <v>-7.4387740285508333</v>
      </c>
      <c r="I142" s="611">
        <v>0</v>
      </c>
      <c r="J142" s="610">
        <v>0</v>
      </c>
      <c r="K142" s="611">
        <f t="shared" si="18"/>
        <v>-7.4387740285508333</v>
      </c>
      <c r="L142" s="612">
        <f>VLOOKUP(A142,'BS Gr'!A:A,1,FALSE)</f>
        <v>101000</v>
      </c>
      <c r="M142" s="612">
        <f t="shared" si="14"/>
        <v>1</v>
      </c>
      <c r="N142" s="613">
        <f t="shared" si="16"/>
        <v>0</v>
      </c>
      <c r="O142" s="613">
        <f t="shared" si="19"/>
        <v>0</v>
      </c>
      <c r="P142" s="613">
        <v>3.1412259716307744</v>
      </c>
      <c r="Q142" s="613">
        <f t="shared" si="20"/>
        <v>-10.580000000181608</v>
      </c>
      <c r="R142" s="1514"/>
      <c r="S142" s="1617" t="e">
        <f>SUMIF('[105]TB for financial'!$A:$A,A142,'[105]TB for financial'!$E:$E)</f>
        <v>#VALUE!</v>
      </c>
      <c r="T142" s="613"/>
    </row>
    <row r="143" spans="1:20">
      <c r="A143" s="608">
        <v>101001</v>
      </c>
      <c r="B143" s="609" t="s">
        <v>1098</v>
      </c>
      <c r="C143" s="610">
        <f t="shared" si="15"/>
        <v>0</v>
      </c>
      <c r="D143" s="611">
        <v>0</v>
      </c>
      <c r="E143" s="610">
        <f>SUMIF('Entries 24-25'!$B:$B,A:A,'Entries 24-25'!$D:$D)-SUMIF('Entries 24-25'!$B:$B,A:A,'Entries 24-25'!$E:$E)+SUMIF('IND AS entries 24-25'!$B:$B,A:A,'IND AS entries 24-25'!$D:$D)-SUMIF('IND AS entries 24-25'!$B:$B,A:A,'IND AS entries 24-25'!$E:$E)</f>
        <v>0</v>
      </c>
      <c r="F143" s="611">
        <f t="shared" si="17"/>
        <v>0</v>
      </c>
      <c r="G143" s="610"/>
      <c r="H143" s="610">
        <v>0</v>
      </c>
      <c r="I143" s="611">
        <v>0</v>
      </c>
      <c r="J143" s="610">
        <v>0</v>
      </c>
      <c r="K143" s="611">
        <f t="shared" si="18"/>
        <v>0</v>
      </c>
      <c r="L143" s="612">
        <f>VLOOKUP(A143,'BS Gr'!A:A,1,FALSE)</f>
        <v>101001</v>
      </c>
      <c r="M143" s="612">
        <f t="shared" si="14"/>
        <v>1</v>
      </c>
      <c r="N143" s="613">
        <f t="shared" si="16"/>
        <v>0</v>
      </c>
      <c r="O143" s="613">
        <f t="shared" si="19"/>
        <v>0</v>
      </c>
      <c r="P143" s="613">
        <v>0</v>
      </c>
      <c r="Q143" s="613">
        <f t="shared" si="20"/>
        <v>0</v>
      </c>
      <c r="R143" s="1514"/>
      <c r="S143" s="1617" t="e">
        <f>SUMIF('[105]TB for financial'!$A:$A,A143,'[105]TB for financial'!$E:$E)</f>
        <v>#VALUE!</v>
      </c>
      <c r="T143" s="613"/>
    </row>
    <row r="144" spans="1:20">
      <c r="A144" s="608">
        <v>101002</v>
      </c>
      <c r="B144" s="609" t="s">
        <v>1099</v>
      </c>
      <c r="C144" s="610">
        <f t="shared" si="15"/>
        <v>0</v>
      </c>
      <c r="D144" s="611">
        <v>0</v>
      </c>
      <c r="E144" s="610">
        <f>SUMIF('Entries 24-25'!$B:$B,A:A,'Entries 24-25'!$D:$D)-SUMIF('Entries 24-25'!$B:$B,A:A,'Entries 24-25'!$E:$E)+SUMIF('IND AS entries 24-25'!$B:$B,A:A,'IND AS entries 24-25'!$D:$D)-SUMIF('IND AS entries 24-25'!$B:$B,A:A,'IND AS entries 24-25'!$E:$E)</f>
        <v>0</v>
      </c>
      <c r="F144" s="611">
        <f t="shared" si="17"/>
        <v>0</v>
      </c>
      <c r="G144" s="610"/>
      <c r="H144" s="610">
        <v>0</v>
      </c>
      <c r="I144" s="611">
        <v>0</v>
      </c>
      <c r="J144" s="610">
        <v>0</v>
      </c>
      <c r="K144" s="611">
        <f t="shared" si="18"/>
        <v>0</v>
      </c>
      <c r="L144" s="612">
        <f>VLOOKUP(A144,'BS Gr'!A:A,1,FALSE)</f>
        <v>101002</v>
      </c>
      <c r="M144" s="612">
        <f t="shared" si="14"/>
        <v>1</v>
      </c>
      <c r="N144" s="613">
        <f t="shared" si="16"/>
        <v>0</v>
      </c>
      <c r="O144" s="613">
        <f t="shared" si="19"/>
        <v>0</v>
      </c>
      <c r="P144" s="613">
        <v>0</v>
      </c>
      <c r="Q144" s="613">
        <f t="shared" si="20"/>
        <v>0</v>
      </c>
      <c r="R144" s="1514"/>
      <c r="S144" s="1617" t="e">
        <f>SUMIF('[105]TB for financial'!$A:$A,A144,'[105]TB for financial'!$E:$E)</f>
        <v>#VALUE!</v>
      </c>
      <c r="T144" s="613"/>
    </row>
    <row r="145" spans="1:20">
      <c r="A145" s="608">
        <v>101003</v>
      </c>
      <c r="B145" s="615" t="s">
        <v>1100</v>
      </c>
      <c r="C145" s="610">
        <f t="shared" si="15"/>
        <v>0</v>
      </c>
      <c r="D145" s="611">
        <v>0</v>
      </c>
      <c r="E145" s="610">
        <f>SUMIF('Entries 24-25'!$B:$B,A:A,'Entries 24-25'!$D:$D)-SUMIF('Entries 24-25'!$B:$B,A:A,'Entries 24-25'!$E:$E)+SUMIF('IND AS entries 24-25'!$B:$B,A:A,'IND AS entries 24-25'!$D:$D)-SUMIF('IND AS entries 24-25'!$B:$B,A:A,'IND AS entries 24-25'!$E:$E)</f>
        <v>0</v>
      </c>
      <c r="F145" s="611">
        <f t="shared" si="17"/>
        <v>0</v>
      </c>
      <c r="G145" s="610"/>
      <c r="H145" s="610">
        <v>0</v>
      </c>
      <c r="I145" s="611">
        <v>0</v>
      </c>
      <c r="J145" s="610">
        <v>0</v>
      </c>
      <c r="K145" s="611">
        <f t="shared" si="18"/>
        <v>0</v>
      </c>
      <c r="L145" s="612">
        <f>VLOOKUP(A145,'BS Gr'!A:A,1,FALSE)</f>
        <v>101003</v>
      </c>
      <c r="M145" s="612">
        <f t="shared" si="14"/>
        <v>1</v>
      </c>
      <c r="N145" s="613">
        <f t="shared" si="16"/>
        <v>0</v>
      </c>
      <c r="O145" s="613">
        <f t="shared" si="19"/>
        <v>0</v>
      </c>
      <c r="P145" s="613">
        <v>23073665.940000001</v>
      </c>
      <c r="Q145" s="613">
        <f t="shared" si="20"/>
        <v>-23073665.940000001</v>
      </c>
      <c r="R145" s="1514"/>
      <c r="S145" s="1617" t="e">
        <f>SUMIF('[105]TB for financial'!$A:$A,A145,'[105]TB for financial'!$E:$E)</f>
        <v>#VALUE!</v>
      </c>
      <c r="T145" s="613"/>
    </row>
    <row r="146" spans="1:20">
      <c r="A146" s="608">
        <v>101050</v>
      </c>
      <c r="B146" s="609" t="s">
        <v>1101</v>
      </c>
      <c r="C146" s="610">
        <f t="shared" si="15"/>
        <v>0</v>
      </c>
      <c r="D146" s="611">
        <v>0</v>
      </c>
      <c r="E146" s="610">
        <f>SUMIF('Entries 24-25'!$B:$B,A:A,'Entries 24-25'!$D:$D)-SUMIF('Entries 24-25'!$B:$B,A:A,'Entries 24-25'!$E:$E)+SUMIF('IND AS entries 24-25'!$B:$B,A:A,'IND AS entries 24-25'!$D:$D)-SUMIF('IND AS entries 24-25'!$B:$B,A:A,'IND AS entries 24-25'!$E:$E)</f>
        <v>0</v>
      </c>
      <c r="F146" s="611">
        <f t="shared" si="17"/>
        <v>0</v>
      </c>
      <c r="G146" s="610"/>
      <c r="H146" s="610">
        <v>0</v>
      </c>
      <c r="I146" s="611">
        <v>0</v>
      </c>
      <c r="J146" s="610">
        <v>0</v>
      </c>
      <c r="K146" s="611">
        <f t="shared" si="18"/>
        <v>0</v>
      </c>
      <c r="L146" s="612">
        <f>VLOOKUP(A146,'BS Gr'!A:A,1,FALSE)</f>
        <v>101050</v>
      </c>
      <c r="M146" s="612">
        <f t="shared" si="14"/>
        <v>1</v>
      </c>
      <c r="N146" s="613">
        <f t="shared" si="16"/>
        <v>0</v>
      </c>
      <c r="O146" s="613">
        <f t="shared" si="19"/>
        <v>0</v>
      </c>
      <c r="P146" s="613">
        <v>0</v>
      </c>
      <c r="Q146" s="613">
        <f t="shared" si="20"/>
        <v>0</v>
      </c>
      <c r="R146" s="1514"/>
      <c r="S146" s="1617" t="e">
        <f>SUMIF('[105]TB for financial'!$A:$A,A146,'[105]TB for financial'!$E:$E)</f>
        <v>#VALUE!</v>
      </c>
      <c r="T146" s="613"/>
    </row>
    <row r="147" spans="1:20">
      <c r="A147" s="608">
        <v>101052</v>
      </c>
      <c r="B147" s="609" t="s">
        <v>1102</v>
      </c>
      <c r="C147" s="610">
        <f t="shared" si="15"/>
        <v>0</v>
      </c>
      <c r="D147" s="611">
        <v>0</v>
      </c>
      <c r="E147" s="610">
        <f>SUMIF('Entries 24-25'!$B:$B,A:A,'Entries 24-25'!$D:$D)-SUMIF('Entries 24-25'!$B:$B,A:A,'Entries 24-25'!$E:$E)+SUMIF('IND AS entries 24-25'!$B:$B,A:A,'IND AS entries 24-25'!$D:$D)-SUMIF('IND AS entries 24-25'!$B:$B,A:A,'IND AS entries 24-25'!$E:$E)</f>
        <v>0</v>
      </c>
      <c r="F147" s="611">
        <f t="shared" si="17"/>
        <v>0</v>
      </c>
      <c r="G147" s="610"/>
      <c r="H147" s="610">
        <v>0</v>
      </c>
      <c r="I147" s="611">
        <v>0</v>
      </c>
      <c r="J147" s="610">
        <v>0</v>
      </c>
      <c r="K147" s="611">
        <f t="shared" si="18"/>
        <v>0</v>
      </c>
      <c r="L147" s="612">
        <f>VLOOKUP(A147,'BS Gr'!A:A,1,FALSE)</f>
        <v>101052</v>
      </c>
      <c r="M147" s="612">
        <f t="shared" si="14"/>
        <v>1</v>
      </c>
      <c r="N147" s="613">
        <f t="shared" si="16"/>
        <v>0</v>
      </c>
      <c r="O147" s="613">
        <f t="shared" si="19"/>
        <v>0</v>
      </c>
      <c r="P147" s="613">
        <v>0</v>
      </c>
      <c r="Q147" s="613">
        <f t="shared" si="20"/>
        <v>0</v>
      </c>
      <c r="R147" s="1514"/>
      <c r="S147" s="1617" t="e">
        <f>SUMIF('[105]TB for financial'!$A:$A,A147,'[105]TB for financial'!$E:$E)</f>
        <v>#VALUE!</v>
      </c>
      <c r="T147" s="613"/>
    </row>
    <row r="148" spans="1:20">
      <c r="A148" s="608">
        <v>101060</v>
      </c>
      <c r="B148" s="609" t="s">
        <v>1103</v>
      </c>
      <c r="C148" s="610">
        <f t="shared" si="15"/>
        <v>0</v>
      </c>
      <c r="D148" s="611">
        <v>0</v>
      </c>
      <c r="E148" s="610">
        <f>SUMIF('Entries 24-25'!$B:$B,A:A,'Entries 24-25'!$D:$D)-SUMIF('Entries 24-25'!$B:$B,A:A,'Entries 24-25'!$E:$E)+SUMIF('IND AS entries 24-25'!$B:$B,A:A,'IND AS entries 24-25'!$D:$D)-SUMIF('IND AS entries 24-25'!$B:$B,A:A,'IND AS entries 24-25'!$E:$E)</f>
        <v>0</v>
      </c>
      <c r="F148" s="611">
        <f t="shared" si="17"/>
        <v>0</v>
      </c>
      <c r="G148" s="610"/>
      <c r="H148" s="610">
        <v>0</v>
      </c>
      <c r="I148" s="611">
        <v>0</v>
      </c>
      <c r="J148" s="610">
        <v>0</v>
      </c>
      <c r="K148" s="611">
        <f t="shared" si="18"/>
        <v>0</v>
      </c>
      <c r="L148" s="612">
        <f>VLOOKUP(A148,'BS Gr'!A:A,1,FALSE)</f>
        <v>101060</v>
      </c>
      <c r="M148" s="612">
        <f t="shared" si="14"/>
        <v>1</v>
      </c>
      <c r="N148" s="613">
        <f t="shared" si="16"/>
        <v>0</v>
      </c>
      <c r="O148" s="613">
        <f t="shared" si="19"/>
        <v>0</v>
      </c>
      <c r="P148" s="613">
        <v>0</v>
      </c>
      <c r="Q148" s="613">
        <f t="shared" si="20"/>
        <v>0</v>
      </c>
      <c r="R148" s="1514"/>
      <c r="S148" s="1617" t="e">
        <f>SUMIF('[105]TB for financial'!$A:$A,A148,'[105]TB for financial'!$E:$E)</f>
        <v>#VALUE!</v>
      </c>
      <c r="T148" s="613"/>
    </row>
    <row r="149" spans="1:20">
      <c r="A149" s="608">
        <v>101065</v>
      </c>
      <c r="B149" s="609" t="s">
        <v>1104</v>
      </c>
      <c r="C149" s="610">
        <f t="shared" si="15"/>
        <v>1.0000014677643776E-2</v>
      </c>
      <c r="D149" s="611">
        <v>0</v>
      </c>
      <c r="E149" s="610">
        <f>SUMIF('Entries 24-25'!$B:$B,A:A,'Entries 24-25'!$D:$D)-SUMIF('Entries 24-25'!$B:$B,A:A,'Entries 24-25'!$E:$E)+SUMIF('IND AS entries 24-25'!$B:$B,A:A,'IND AS entries 24-25'!$D:$D)-SUMIF('IND AS entries 24-25'!$B:$B,A:A,'IND AS entries 24-25'!$E:$E)</f>
        <v>0</v>
      </c>
      <c r="F149" s="611">
        <f t="shared" si="17"/>
        <v>1.0000014677643776E-2</v>
      </c>
      <c r="G149" s="610"/>
      <c r="H149" s="610">
        <v>1.0000014677643776E-2</v>
      </c>
      <c r="I149" s="611">
        <v>0</v>
      </c>
      <c r="J149" s="610">
        <v>0</v>
      </c>
      <c r="K149" s="611">
        <f t="shared" si="18"/>
        <v>1.0000014677643776E-2</v>
      </c>
      <c r="L149" s="612">
        <f>VLOOKUP(A149,'BS Gr'!A:A,1,FALSE)</f>
        <v>101065</v>
      </c>
      <c r="M149" s="612">
        <f t="shared" si="14"/>
        <v>1</v>
      </c>
      <c r="N149" s="613">
        <f t="shared" si="16"/>
        <v>0</v>
      </c>
      <c r="O149" s="613">
        <f t="shared" si="19"/>
        <v>0</v>
      </c>
      <c r="P149" s="613">
        <v>1.0000014677643776E-2</v>
      </c>
      <c r="Q149" s="613">
        <f t="shared" si="20"/>
        <v>0</v>
      </c>
      <c r="R149" s="1514"/>
      <c r="S149" s="1617" t="e">
        <f>SUMIF('[105]TB for financial'!$A:$A,A149,'[105]TB for financial'!$E:$E)</f>
        <v>#VALUE!</v>
      </c>
      <c r="T149" s="613"/>
    </row>
    <row r="150" spans="1:20">
      <c r="A150" s="608">
        <v>101066</v>
      </c>
      <c r="B150" s="609" t="s">
        <v>2375</v>
      </c>
      <c r="C150" s="610">
        <f t="shared" si="15"/>
        <v>0</v>
      </c>
      <c r="D150" s="611">
        <v>0</v>
      </c>
      <c r="E150" s="610">
        <f>SUMIF('Entries 24-25'!$B:$B,A:A,'Entries 24-25'!$D:$D)-SUMIF('Entries 24-25'!$B:$B,A:A,'Entries 24-25'!$E:$E)+SUMIF('IND AS entries 24-25'!$B:$B,A:A,'IND AS entries 24-25'!$D:$D)-SUMIF('IND AS entries 24-25'!$B:$B,A:A,'IND AS entries 24-25'!$E:$E)</f>
        <v>0</v>
      </c>
      <c r="F150" s="611">
        <f t="shared" si="17"/>
        <v>0</v>
      </c>
      <c r="G150" s="610"/>
      <c r="H150" s="610">
        <v>0</v>
      </c>
      <c r="I150" s="611">
        <v>0</v>
      </c>
      <c r="J150" s="610">
        <v>0</v>
      </c>
      <c r="K150" s="611">
        <f t="shared" si="18"/>
        <v>0</v>
      </c>
      <c r="L150" s="612">
        <f>VLOOKUP(A150,'BS Gr'!A:A,1,FALSE)</f>
        <v>101066</v>
      </c>
      <c r="M150" s="612">
        <f t="shared" si="14"/>
        <v>1</v>
      </c>
      <c r="N150" s="613">
        <f t="shared" si="16"/>
        <v>0</v>
      </c>
      <c r="O150" s="613">
        <f t="shared" si="19"/>
        <v>0</v>
      </c>
      <c r="P150" s="613"/>
      <c r="Q150" s="613">
        <f t="shared" si="20"/>
        <v>0</v>
      </c>
      <c r="R150" s="1514"/>
      <c r="S150" s="1617" t="e">
        <f>SUMIF('[105]TB for financial'!$A:$A,A150,'[105]TB for financial'!$E:$E)</f>
        <v>#VALUE!</v>
      </c>
      <c r="T150" s="613"/>
    </row>
    <row r="151" spans="1:20">
      <c r="A151" s="608">
        <v>101090</v>
      </c>
      <c r="B151" s="609" t="s">
        <v>1105</v>
      </c>
      <c r="C151" s="610">
        <f t="shared" si="15"/>
        <v>1.619999997317791</v>
      </c>
      <c r="D151" s="611">
        <v>0</v>
      </c>
      <c r="E151" s="610">
        <f>SUMIF('Entries 24-25'!$B:$B,A:A,'Entries 24-25'!$D:$D)-SUMIF('Entries 24-25'!$B:$B,A:A,'Entries 24-25'!$E:$E)+SUMIF('IND AS entries 24-25'!$B:$B,A:A,'IND AS entries 24-25'!$D:$D)-SUMIF('IND AS entries 24-25'!$B:$B,A:A,'IND AS entries 24-25'!$E:$E)</f>
        <v>0</v>
      </c>
      <c r="F151" s="611">
        <f t="shared" si="17"/>
        <v>1.619999997317791</v>
      </c>
      <c r="G151" s="610"/>
      <c r="H151" s="610">
        <v>1.619999997317791</v>
      </c>
      <c r="I151" s="611">
        <v>0</v>
      </c>
      <c r="J151" s="610">
        <v>0</v>
      </c>
      <c r="K151" s="611">
        <f t="shared" si="18"/>
        <v>1.619999997317791</v>
      </c>
      <c r="L151" s="612">
        <f>VLOOKUP(A151,'BS Gr'!A:A,1,FALSE)</f>
        <v>101090</v>
      </c>
      <c r="M151" s="612">
        <f t="shared" si="14"/>
        <v>1</v>
      </c>
      <c r="N151" s="613">
        <f t="shared" si="16"/>
        <v>0</v>
      </c>
      <c r="O151" s="613">
        <f t="shared" si="19"/>
        <v>0</v>
      </c>
      <c r="P151" s="613">
        <v>1.619999997317791</v>
      </c>
      <c r="Q151" s="613">
        <f t="shared" si="20"/>
        <v>0</v>
      </c>
      <c r="R151" s="1514"/>
      <c r="S151" s="1617" t="e">
        <f>SUMIF('[105]TB for financial'!$A:$A,A151,'[105]TB for financial'!$E:$E)</f>
        <v>#VALUE!</v>
      </c>
      <c r="T151" s="613"/>
    </row>
    <row r="152" spans="1:20">
      <c r="A152" s="608">
        <v>101120</v>
      </c>
      <c r="B152" s="609" t="s">
        <v>1106</v>
      </c>
      <c r="C152" s="610">
        <f t="shared" si="15"/>
        <v>0</v>
      </c>
      <c r="D152" s="611">
        <v>0</v>
      </c>
      <c r="E152" s="610">
        <f>SUMIF('Entries 24-25'!$B:$B,A:A,'Entries 24-25'!$D:$D)-SUMIF('Entries 24-25'!$B:$B,A:A,'Entries 24-25'!$E:$E)+SUMIF('IND AS entries 24-25'!$B:$B,A:A,'IND AS entries 24-25'!$D:$D)-SUMIF('IND AS entries 24-25'!$B:$B,A:A,'IND AS entries 24-25'!$E:$E)</f>
        <v>0</v>
      </c>
      <c r="F152" s="611">
        <f t="shared" si="17"/>
        <v>0</v>
      </c>
      <c r="G152" s="610"/>
      <c r="H152" s="610">
        <v>0</v>
      </c>
      <c r="I152" s="611">
        <v>0</v>
      </c>
      <c r="J152" s="610">
        <v>0</v>
      </c>
      <c r="K152" s="611">
        <f t="shared" si="18"/>
        <v>0</v>
      </c>
      <c r="L152" s="612">
        <f>VLOOKUP(A152,'BS Gr'!A:A,1,FALSE)</f>
        <v>101120</v>
      </c>
      <c r="M152" s="612">
        <f t="shared" si="14"/>
        <v>1</v>
      </c>
      <c r="N152" s="613">
        <f t="shared" si="16"/>
        <v>0</v>
      </c>
      <c r="O152" s="613">
        <f t="shared" si="19"/>
        <v>0</v>
      </c>
      <c r="P152" s="613">
        <v>0</v>
      </c>
      <c r="Q152" s="613">
        <f t="shared" si="20"/>
        <v>0</v>
      </c>
      <c r="R152" s="1514"/>
      <c r="S152" s="1617" t="e">
        <f>SUMIF('[105]TB for financial'!$A:$A,A152,'[105]TB for financial'!$E:$E)</f>
        <v>#VALUE!</v>
      </c>
      <c r="T152" s="613"/>
    </row>
    <row r="153" spans="1:20">
      <c r="A153" s="608">
        <v>101130</v>
      </c>
      <c r="B153" s="609" t="s">
        <v>1107</v>
      </c>
      <c r="C153" s="610">
        <f t="shared" si="15"/>
        <v>0</v>
      </c>
      <c r="D153" s="611">
        <v>0</v>
      </c>
      <c r="E153" s="610">
        <f>SUMIF('Entries 24-25'!$B:$B,A:A,'Entries 24-25'!$D:$D)-SUMIF('Entries 24-25'!$B:$B,A:A,'Entries 24-25'!$E:$E)+SUMIF('IND AS entries 24-25'!$B:$B,A:A,'IND AS entries 24-25'!$D:$D)-SUMIF('IND AS entries 24-25'!$B:$B,A:A,'IND AS entries 24-25'!$E:$E)</f>
        <v>0</v>
      </c>
      <c r="F153" s="611">
        <f t="shared" si="17"/>
        <v>0</v>
      </c>
      <c r="G153" s="610"/>
      <c r="H153" s="610">
        <v>0</v>
      </c>
      <c r="I153" s="611">
        <v>0</v>
      </c>
      <c r="J153" s="610">
        <v>0</v>
      </c>
      <c r="K153" s="611">
        <f t="shared" si="18"/>
        <v>0</v>
      </c>
      <c r="L153" s="612">
        <f>VLOOKUP(A153,'BS Gr'!A:A,1,FALSE)</f>
        <v>101130</v>
      </c>
      <c r="M153" s="612">
        <f t="shared" si="14"/>
        <v>1</v>
      </c>
      <c r="N153" s="613">
        <f t="shared" si="16"/>
        <v>0</v>
      </c>
      <c r="O153" s="613">
        <f t="shared" si="19"/>
        <v>0</v>
      </c>
      <c r="P153" s="613">
        <v>0</v>
      </c>
      <c r="Q153" s="613">
        <f t="shared" si="20"/>
        <v>0</v>
      </c>
      <c r="R153" s="1514"/>
      <c r="S153" s="1617" t="e">
        <f>SUMIF('[105]TB for financial'!$A:$A,A153,'[105]TB for financial'!$E:$E)</f>
        <v>#VALUE!</v>
      </c>
      <c r="T153" s="613"/>
    </row>
    <row r="154" spans="1:20">
      <c r="A154" s="608">
        <v>101150</v>
      </c>
      <c r="B154" s="609" t="s">
        <v>1108</v>
      </c>
      <c r="C154" s="610">
        <f t="shared" si="15"/>
        <v>0</v>
      </c>
      <c r="D154" s="611">
        <v>0</v>
      </c>
      <c r="E154" s="610">
        <f>SUMIF('Entries 24-25'!$B:$B,A:A,'Entries 24-25'!$D:$D)-SUMIF('Entries 24-25'!$B:$B,A:A,'Entries 24-25'!$E:$E)+SUMIF('IND AS entries 24-25'!$B:$B,A:A,'IND AS entries 24-25'!$D:$D)-SUMIF('IND AS entries 24-25'!$B:$B,A:A,'IND AS entries 24-25'!$E:$E)</f>
        <v>0</v>
      </c>
      <c r="F154" s="611">
        <f t="shared" si="17"/>
        <v>0</v>
      </c>
      <c r="G154" s="610"/>
      <c r="H154" s="610">
        <v>0</v>
      </c>
      <c r="I154" s="611">
        <v>0</v>
      </c>
      <c r="J154" s="610">
        <v>0</v>
      </c>
      <c r="K154" s="611">
        <f t="shared" si="18"/>
        <v>0</v>
      </c>
      <c r="L154" s="612">
        <f>VLOOKUP(A154,'BS Gr'!A:A,1,FALSE)</f>
        <v>101150</v>
      </c>
      <c r="M154" s="612">
        <f t="shared" si="14"/>
        <v>1</v>
      </c>
      <c r="N154" s="613">
        <f t="shared" si="16"/>
        <v>0</v>
      </c>
      <c r="O154" s="613">
        <f t="shared" si="19"/>
        <v>0</v>
      </c>
      <c r="P154" s="613">
        <v>0</v>
      </c>
      <c r="Q154" s="613">
        <f t="shared" si="20"/>
        <v>0</v>
      </c>
      <c r="R154" s="1514"/>
      <c r="S154" s="1617" t="e">
        <f>SUMIF('[105]TB for financial'!$A:$A,A154,'[105]TB for financial'!$E:$E)</f>
        <v>#VALUE!</v>
      </c>
      <c r="T154" s="613"/>
    </row>
    <row r="155" spans="1:20">
      <c r="A155" s="608">
        <v>101160</v>
      </c>
      <c r="B155" s="609" t="s">
        <v>1109</v>
      </c>
      <c r="C155" s="610">
        <f t="shared" si="15"/>
        <v>0</v>
      </c>
      <c r="D155" s="611">
        <v>0</v>
      </c>
      <c r="E155" s="610">
        <f>SUMIF('Entries 24-25'!$B:$B,A:A,'Entries 24-25'!$D:$D)-SUMIF('Entries 24-25'!$B:$B,A:A,'Entries 24-25'!$E:$E)+SUMIF('IND AS entries 24-25'!$B:$B,A:A,'IND AS entries 24-25'!$D:$D)-SUMIF('IND AS entries 24-25'!$B:$B,A:A,'IND AS entries 24-25'!$E:$E)</f>
        <v>0</v>
      </c>
      <c r="F155" s="611">
        <f t="shared" si="17"/>
        <v>0</v>
      </c>
      <c r="G155" s="610"/>
      <c r="H155" s="610">
        <v>0</v>
      </c>
      <c r="I155" s="611">
        <v>0</v>
      </c>
      <c r="J155" s="610">
        <v>0</v>
      </c>
      <c r="K155" s="611">
        <f t="shared" si="18"/>
        <v>0</v>
      </c>
      <c r="L155" s="612">
        <f>VLOOKUP(A155,'BS Gr'!A:A,1,FALSE)</f>
        <v>101160</v>
      </c>
      <c r="M155" s="612">
        <f t="shared" si="14"/>
        <v>1</v>
      </c>
      <c r="N155" s="613">
        <f t="shared" si="16"/>
        <v>0</v>
      </c>
      <c r="O155" s="613">
        <f t="shared" si="19"/>
        <v>0</v>
      </c>
      <c r="P155" s="613">
        <v>10347875.42</v>
      </c>
      <c r="Q155" s="613">
        <f t="shared" si="20"/>
        <v>-10347875.42</v>
      </c>
      <c r="R155" s="1514"/>
      <c r="S155" s="1617" t="e">
        <f>SUMIF('[105]TB for financial'!$A:$A,A155,'[105]TB for financial'!$E:$E)</f>
        <v>#VALUE!</v>
      </c>
      <c r="T155" s="613"/>
    </row>
    <row r="156" spans="1:20">
      <c r="A156" s="608">
        <v>101170</v>
      </c>
      <c r="B156" s="609" t="s">
        <v>1110</v>
      </c>
      <c r="C156" s="610">
        <f t="shared" si="15"/>
        <v>0</v>
      </c>
      <c r="D156" s="611">
        <v>0</v>
      </c>
      <c r="E156" s="610">
        <f>SUMIF('Entries 24-25'!$B:$B,A:A,'Entries 24-25'!$D:$D)-SUMIF('Entries 24-25'!$B:$B,A:A,'Entries 24-25'!$E:$E)+SUMIF('IND AS entries 24-25'!$B:$B,A:A,'IND AS entries 24-25'!$D:$D)-SUMIF('IND AS entries 24-25'!$B:$B,A:A,'IND AS entries 24-25'!$E:$E)</f>
        <v>0</v>
      </c>
      <c r="F156" s="611">
        <f t="shared" si="17"/>
        <v>0</v>
      </c>
      <c r="G156" s="610"/>
      <c r="H156" s="610">
        <v>0</v>
      </c>
      <c r="I156" s="611">
        <v>0</v>
      </c>
      <c r="J156" s="610">
        <v>0</v>
      </c>
      <c r="K156" s="611">
        <f t="shared" si="18"/>
        <v>0</v>
      </c>
      <c r="L156" s="612">
        <f>VLOOKUP(A156,'BS Gr'!A:A,1,FALSE)</f>
        <v>101170</v>
      </c>
      <c r="M156" s="612">
        <f t="shared" si="14"/>
        <v>1</v>
      </c>
      <c r="N156" s="613">
        <f t="shared" si="16"/>
        <v>0</v>
      </c>
      <c r="O156" s="613">
        <f t="shared" si="19"/>
        <v>0</v>
      </c>
      <c r="P156" s="613">
        <v>0</v>
      </c>
      <c r="Q156" s="613">
        <f t="shared" si="20"/>
        <v>0</v>
      </c>
      <c r="R156" s="1514"/>
      <c r="S156" s="1617" t="e">
        <f>SUMIF('[105]TB for financial'!$A:$A,A156,'[105]TB for financial'!$E:$E)</f>
        <v>#VALUE!</v>
      </c>
      <c r="T156" s="613"/>
    </row>
    <row r="157" spans="1:20">
      <c r="A157" s="608">
        <v>101180</v>
      </c>
      <c r="B157" s="609" t="s">
        <v>1111</v>
      </c>
      <c r="C157" s="610">
        <f t="shared" si="15"/>
        <v>0</v>
      </c>
      <c r="D157" s="611">
        <v>0</v>
      </c>
      <c r="E157" s="610">
        <f>SUMIF('Entries 24-25'!$B:$B,A:A,'Entries 24-25'!$D:$D)-SUMIF('Entries 24-25'!$B:$B,A:A,'Entries 24-25'!$E:$E)+SUMIF('IND AS entries 24-25'!$B:$B,A:A,'IND AS entries 24-25'!$D:$D)-SUMIF('IND AS entries 24-25'!$B:$B,A:A,'IND AS entries 24-25'!$E:$E)</f>
        <v>0</v>
      </c>
      <c r="F157" s="611">
        <f t="shared" si="17"/>
        <v>0</v>
      </c>
      <c r="G157" s="610"/>
      <c r="H157" s="610">
        <v>0</v>
      </c>
      <c r="I157" s="611">
        <v>0</v>
      </c>
      <c r="J157" s="610">
        <v>0</v>
      </c>
      <c r="K157" s="611">
        <f t="shared" si="18"/>
        <v>0</v>
      </c>
      <c r="L157" s="612">
        <f>VLOOKUP(A157,'BS Gr'!A:A,1,FALSE)</f>
        <v>101180</v>
      </c>
      <c r="M157" s="612">
        <f t="shared" si="14"/>
        <v>1</v>
      </c>
      <c r="N157" s="613">
        <f t="shared" si="16"/>
        <v>0</v>
      </c>
      <c r="O157" s="613">
        <f t="shared" si="19"/>
        <v>0</v>
      </c>
      <c r="P157" s="613">
        <v>0</v>
      </c>
      <c r="Q157" s="613">
        <f t="shared" si="20"/>
        <v>0</v>
      </c>
      <c r="R157" s="1514"/>
      <c r="S157" s="1617" t="e">
        <f>SUMIF('[105]TB for financial'!$A:$A,A157,'[105]TB for financial'!$E:$E)</f>
        <v>#VALUE!</v>
      </c>
      <c r="T157" s="613"/>
    </row>
    <row r="158" spans="1:20">
      <c r="A158" s="608">
        <v>101190</v>
      </c>
      <c r="B158" s="609" t="s">
        <v>1112</v>
      </c>
      <c r="C158" s="610">
        <f t="shared" si="15"/>
        <v>0</v>
      </c>
      <c r="D158" s="611">
        <v>0</v>
      </c>
      <c r="E158" s="610">
        <f>SUMIF('Entries 24-25'!$B:$B,A:A,'Entries 24-25'!$D:$D)-SUMIF('Entries 24-25'!$B:$B,A:A,'Entries 24-25'!$E:$E)+SUMIF('IND AS entries 24-25'!$B:$B,A:A,'IND AS entries 24-25'!$D:$D)-SUMIF('IND AS entries 24-25'!$B:$B,A:A,'IND AS entries 24-25'!$E:$E)</f>
        <v>0</v>
      </c>
      <c r="F158" s="611">
        <f t="shared" si="17"/>
        <v>0</v>
      </c>
      <c r="G158" s="610"/>
      <c r="H158" s="610">
        <v>0</v>
      </c>
      <c r="I158" s="611">
        <v>0</v>
      </c>
      <c r="J158" s="610">
        <v>0</v>
      </c>
      <c r="K158" s="611">
        <f t="shared" si="18"/>
        <v>0</v>
      </c>
      <c r="L158" s="612">
        <f>VLOOKUP(A158,'BS Gr'!A:A,1,FALSE)</f>
        <v>101190</v>
      </c>
      <c r="M158" s="612">
        <f t="shared" si="14"/>
        <v>1</v>
      </c>
      <c r="N158" s="613">
        <f t="shared" si="16"/>
        <v>0</v>
      </c>
      <c r="O158" s="613">
        <f t="shared" si="19"/>
        <v>0</v>
      </c>
      <c r="P158" s="613">
        <v>0</v>
      </c>
      <c r="Q158" s="613">
        <f t="shared" si="20"/>
        <v>0</v>
      </c>
      <c r="R158" s="1514"/>
      <c r="S158" s="1617" t="e">
        <f>SUMIF('[105]TB for financial'!$A:$A,A158,'[105]TB for financial'!$E:$E)</f>
        <v>#VALUE!</v>
      </c>
      <c r="T158" s="613"/>
    </row>
    <row r="159" spans="1:20">
      <c r="A159" s="608">
        <v>101200</v>
      </c>
      <c r="B159" s="615" t="s">
        <v>1113</v>
      </c>
      <c r="C159" s="610">
        <f t="shared" si="15"/>
        <v>0</v>
      </c>
      <c r="D159" s="611">
        <v>0</v>
      </c>
      <c r="E159" s="610">
        <f>SUMIF('Entries 24-25'!$B:$B,A:A,'Entries 24-25'!$D:$D)-SUMIF('Entries 24-25'!$B:$B,A:A,'Entries 24-25'!$E:$E)+SUMIF('IND AS entries 24-25'!$B:$B,A:A,'IND AS entries 24-25'!$D:$D)-SUMIF('IND AS entries 24-25'!$B:$B,A:A,'IND AS entries 24-25'!$E:$E)</f>
        <v>0</v>
      </c>
      <c r="F159" s="611">
        <f t="shared" si="17"/>
        <v>0</v>
      </c>
      <c r="G159" s="610"/>
      <c r="H159" s="610">
        <v>0</v>
      </c>
      <c r="I159" s="611">
        <v>0</v>
      </c>
      <c r="J159" s="610">
        <v>0</v>
      </c>
      <c r="K159" s="611">
        <f t="shared" si="18"/>
        <v>0</v>
      </c>
      <c r="L159" s="612">
        <f>VLOOKUP(A159,'BS Gr'!A:A,1,FALSE)</f>
        <v>101200</v>
      </c>
      <c r="M159" s="612">
        <f t="shared" si="14"/>
        <v>1</v>
      </c>
      <c r="N159" s="613">
        <f t="shared" si="16"/>
        <v>0</v>
      </c>
      <c r="O159" s="613">
        <f t="shared" si="19"/>
        <v>0</v>
      </c>
      <c r="P159" s="613">
        <v>0</v>
      </c>
      <c r="Q159" s="613">
        <f t="shared" si="20"/>
        <v>0</v>
      </c>
      <c r="R159" s="1514"/>
      <c r="S159" s="1617" t="e">
        <f>SUMIF('[105]TB for financial'!$A:$A,A159,'[105]TB for financial'!$E:$E)</f>
        <v>#VALUE!</v>
      </c>
      <c r="T159" s="613"/>
    </row>
    <row r="160" spans="1:20">
      <c r="A160" s="608">
        <v>101201</v>
      </c>
      <c r="B160" s="609" t="s">
        <v>1114</v>
      </c>
      <c r="C160" s="610">
        <f t="shared" si="15"/>
        <v>0</v>
      </c>
      <c r="D160" s="611">
        <v>0</v>
      </c>
      <c r="E160" s="610">
        <f>SUMIF('Entries 24-25'!$B:$B,A:A,'Entries 24-25'!$D:$D)-SUMIF('Entries 24-25'!$B:$B,A:A,'Entries 24-25'!$E:$E)+SUMIF('IND AS entries 24-25'!$B:$B,A:A,'IND AS entries 24-25'!$D:$D)-SUMIF('IND AS entries 24-25'!$B:$B,A:A,'IND AS entries 24-25'!$E:$E)</f>
        <v>0</v>
      </c>
      <c r="F160" s="611">
        <f t="shared" si="17"/>
        <v>0</v>
      </c>
      <c r="G160" s="610"/>
      <c r="H160" s="610">
        <v>0</v>
      </c>
      <c r="I160" s="611">
        <v>0</v>
      </c>
      <c r="J160" s="610">
        <v>0</v>
      </c>
      <c r="K160" s="611">
        <f t="shared" si="18"/>
        <v>0</v>
      </c>
      <c r="L160" s="612">
        <f>VLOOKUP(A160,'BS Gr'!A:A,1,FALSE)</f>
        <v>101201</v>
      </c>
      <c r="M160" s="612">
        <f t="shared" si="14"/>
        <v>1</v>
      </c>
      <c r="N160" s="613">
        <f t="shared" si="16"/>
        <v>0</v>
      </c>
      <c r="O160" s="613">
        <f t="shared" si="19"/>
        <v>0</v>
      </c>
      <c r="P160" s="613">
        <v>0</v>
      </c>
      <c r="Q160" s="613">
        <f t="shared" si="20"/>
        <v>0</v>
      </c>
      <c r="R160" s="1514"/>
      <c r="S160" s="1617" t="e">
        <f>SUMIF('[105]TB for financial'!$A:$A,A160,'[105]TB for financial'!$E:$E)</f>
        <v>#VALUE!</v>
      </c>
      <c r="T160" s="613"/>
    </row>
    <row r="161" spans="1:20">
      <c r="A161" s="608">
        <v>101202</v>
      </c>
      <c r="B161" s="609" t="s">
        <v>1115</v>
      </c>
      <c r="C161" s="610">
        <f t="shared" si="15"/>
        <v>0</v>
      </c>
      <c r="D161" s="611">
        <v>0</v>
      </c>
      <c r="E161" s="610">
        <f>SUMIF('Entries 24-25'!$B:$B,A:A,'Entries 24-25'!$D:$D)-SUMIF('Entries 24-25'!$B:$B,A:A,'Entries 24-25'!$E:$E)+SUMIF('IND AS entries 24-25'!$B:$B,A:A,'IND AS entries 24-25'!$D:$D)-SUMIF('IND AS entries 24-25'!$B:$B,A:A,'IND AS entries 24-25'!$E:$E)</f>
        <v>0</v>
      </c>
      <c r="F161" s="611">
        <f t="shared" si="17"/>
        <v>0</v>
      </c>
      <c r="G161" s="610"/>
      <c r="H161" s="610">
        <v>0</v>
      </c>
      <c r="I161" s="611">
        <v>0</v>
      </c>
      <c r="J161" s="610">
        <v>0</v>
      </c>
      <c r="K161" s="611">
        <f t="shared" si="18"/>
        <v>0</v>
      </c>
      <c r="L161" s="612">
        <f>VLOOKUP(A161,'BS Gr'!A:A,1,FALSE)</f>
        <v>101202</v>
      </c>
      <c r="M161" s="612">
        <f t="shared" si="14"/>
        <v>1</v>
      </c>
      <c r="N161" s="613">
        <f t="shared" si="16"/>
        <v>0</v>
      </c>
      <c r="O161" s="613">
        <f t="shared" si="19"/>
        <v>0</v>
      </c>
      <c r="P161" s="613">
        <v>0</v>
      </c>
      <c r="Q161" s="613">
        <f t="shared" si="20"/>
        <v>0</v>
      </c>
      <c r="R161" s="1514"/>
      <c r="S161" s="1617" t="e">
        <f>SUMIF('[105]TB for financial'!$A:$A,A161,'[105]TB for financial'!$E:$E)</f>
        <v>#VALUE!</v>
      </c>
      <c r="T161" s="613"/>
    </row>
    <row r="162" spans="1:20">
      <c r="A162" s="608">
        <v>101309</v>
      </c>
      <c r="B162" s="609" t="s">
        <v>1116</v>
      </c>
      <c r="C162" s="610">
        <f t="shared" si="15"/>
        <v>0</v>
      </c>
      <c r="D162" s="611">
        <v>0</v>
      </c>
      <c r="E162" s="610">
        <f>SUMIF('Entries 24-25'!$B:$B,A:A,'Entries 24-25'!$D:$D)-SUMIF('Entries 24-25'!$B:$B,A:A,'Entries 24-25'!$E:$E)+SUMIF('IND AS entries 24-25'!$B:$B,A:A,'IND AS entries 24-25'!$D:$D)-SUMIF('IND AS entries 24-25'!$B:$B,A:A,'IND AS entries 24-25'!$E:$E)</f>
        <v>0</v>
      </c>
      <c r="F162" s="611">
        <f t="shared" si="17"/>
        <v>0</v>
      </c>
      <c r="G162" s="610"/>
      <c r="H162" s="610">
        <v>0</v>
      </c>
      <c r="I162" s="611">
        <v>0</v>
      </c>
      <c r="J162" s="610">
        <v>0</v>
      </c>
      <c r="K162" s="611">
        <f t="shared" si="18"/>
        <v>0</v>
      </c>
      <c r="L162" s="612">
        <f>VLOOKUP(A162,'BS Gr'!A:A,1,FALSE)</f>
        <v>101309</v>
      </c>
      <c r="M162" s="612">
        <f t="shared" si="14"/>
        <v>1</v>
      </c>
      <c r="N162" s="613">
        <f t="shared" si="16"/>
        <v>0</v>
      </c>
      <c r="O162" s="613">
        <f t="shared" si="19"/>
        <v>0</v>
      </c>
      <c r="P162" s="613">
        <v>0</v>
      </c>
      <c r="Q162" s="613">
        <f t="shared" si="20"/>
        <v>0</v>
      </c>
      <c r="R162" s="1514"/>
      <c r="S162" s="1617" t="e">
        <f>SUMIF('[105]TB for financial'!$A:$A,A162,'[105]TB for financial'!$E:$E)</f>
        <v>#VALUE!</v>
      </c>
      <c r="T162" s="613"/>
    </row>
    <row r="163" spans="1:20">
      <c r="A163" s="608">
        <v>101310</v>
      </c>
      <c r="B163" s="609" t="s">
        <v>1117</v>
      </c>
      <c r="C163" s="610">
        <f t="shared" si="15"/>
        <v>0</v>
      </c>
      <c r="D163" s="611">
        <v>0</v>
      </c>
      <c r="E163" s="610">
        <f>SUMIF('Entries 24-25'!$B:$B,A:A,'Entries 24-25'!$D:$D)-SUMIF('Entries 24-25'!$B:$B,A:A,'Entries 24-25'!$E:$E)+SUMIF('IND AS entries 24-25'!$B:$B,A:A,'IND AS entries 24-25'!$D:$D)-SUMIF('IND AS entries 24-25'!$B:$B,A:A,'IND AS entries 24-25'!$E:$E)</f>
        <v>0</v>
      </c>
      <c r="F163" s="611">
        <f t="shared" si="17"/>
        <v>0</v>
      </c>
      <c r="G163" s="610"/>
      <c r="H163" s="610">
        <v>0</v>
      </c>
      <c r="I163" s="611">
        <v>0</v>
      </c>
      <c r="J163" s="610">
        <v>0</v>
      </c>
      <c r="K163" s="611">
        <f t="shared" si="18"/>
        <v>0</v>
      </c>
      <c r="L163" s="612">
        <f>VLOOKUP(A163,'BS Gr'!A:A,1,FALSE)</f>
        <v>101310</v>
      </c>
      <c r="M163" s="612">
        <f t="shared" si="14"/>
        <v>1</v>
      </c>
      <c r="N163" s="613">
        <f t="shared" si="16"/>
        <v>0</v>
      </c>
      <c r="O163" s="613">
        <f t="shared" si="19"/>
        <v>0</v>
      </c>
      <c r="P163" s="613">
        <v>0</v>
      </c>
      <c r="Q163" s="613">
        <f t="shared" si="20"/>
        <v>0</v>
      </c>
      <c r="R163" s="1514"/>
      <c r="S163" s="1617" t="e">
        <f>SUMIF('[105]TB for financial'!$A:$A,A163,'[105]TB for financial'!$E:$E)</f>
        <v>#VALUE!</v>
      </c>
      <c r="T163" s="613"/>
    </row>
    <row r="164" spans="1:20">
      <c r="A164" s="608">
        <v>101311</v>
      </c>
      <c r="B164" s="609" t="s">
        <v>1118</v>
      </c>
      <c r="C164" s="610">
        <f t="shared" si="15"/>
        <v>0</v>
      </c>
      <c r="D164" s="611">
        <v>0</v>
      </c>
      <c r="E164" s="610">
        <f>SUMIF('Entries 24-25'!$B:$B,A:A,'Entries 24-25'!$D:$D)-SUMIF('Entries 24-25'!$B:$B,A:A,'Entries 24-25'!$E:$E)+SUMIF('IND AS entries 24-25'!$B:$B,A:A,'IND AS entries 24-25'!$D:$D)-SUMIF('IND AS entries 24-25'!$B:$B,A:A,'IND AS entries 24-25'!$E:$E)</f>
        <v>0</v>
      </c>
      <c r="F164" s="611">
        <f t="shared" si="17"/>
        <v>0</v>
      </c>
      <c r="G164" s="610"/>
      <c r="H164" s="610">
        <v>0</v>
      </c>
      <c r="I164" s="611">
        <v>0</v>
      </c>
      <c r="J164" s="610">
        <v>0</v>
      </c>
      <c r="K164" s="611">
        <f t="shared" si="18"/>
        <v>0</v>
      </c>
      <c r="L164" s="612">
        <f>VLOOKUP(A164,'BS Gr'!A:A,1,FALSE)</f>
        <v>101311</v>
      </c>
      <c r="M164" s="612">
        <f t="shared" si="14"/>
        <v>1</v>
      </c>
      <c r="N164" s="613">
        <f t="shared" si="16"/>
        <v>0</v>
      </c>
      <c r="O164" s="613">
        <f t="shared" si="19"/>
        <v>0</v>
      </c>
      <c r="P164" s="613">
        <v>43480</v>
      </c>
      <c r="Q164" s="613">
        <f t="shared" si="20"/>
        <v>-43480</v>
      </c>
      <c r="R164" s="1514"/>
      <c r="S164" s="1617" t="e">
        <f>SUMIF('[105]TB for financial'!$A:$A,A164,'[105]TB for financial'!$E:$E)</f>
        <v>#VALUE!</v>
      </c>
      <c r="T164" s="613"/>
    </row>
    <row r="165" spans="1:20">
      <c r="A165" s="608">
        <v>101312</v>
      </c>
      <c r="B165" s="609" t="s">
        <v>1119</v>
      </c>
      <c r="C165" s="610">
        <f t="shared" si="15"/>
        <v>0</v>
      </c>
      <c r="D165" s="611">
        <v>0</v>
      </c>
      <c r="E165" s="610">
        <f>SUMIF('Entries 24-25'!$B:$B,A:A,'Entries 24-25'!$D:$D)-SUMIF('Entries 24-25'!$B:$B,A:A,'Entries 24-25'!$E:$E)+SUMIF('IND AS entries 24-25'!$B:$B,A:A,'IND AS entries 24-25'!$D:$D)-SUMIF('IND AS entries 24-25'!$B:$B,A:A,'IND AS entries 24-25'!$E:$E)</f>
        <v>0</v>
      </c>
      <c r="F165" s="611">
        <f t="shared" si="17"/>
        <v>0</v>
      </c>
      <c r="G165" s="610"/>
      <c r="H165" s="610">
        <v>0</v>
      </c>
      <c r="I165" s="611">
        <v>0</v>
      </c>
      <c r="J165" s="610">
        <v>0</v>
      </c>
      <c r="K165" s="611">
        <f t="shared" si="18"/>
        <v>0</v>
      </c>
      <c r="L165" s="612">
        <f>VLOOKUP(A165,'BS Gr'!A:A,1,FALSE)</f>
        <v>101312</v>
      </c>
      <c r="M165" s="612">
        <f t="shared" si="14"/>
        <v>1</v>
      </c>
      <c r="N165" s="613">
        <f t="shared" si="16"/>
        <v>0</v>
      </c>
      <c r="O165" s="613">
        <f t="shared" si="19"/>
        <v>0</v>
      </c>
      <c r="P165" s="613">
        <v>0</v>
      </c>
      <c r="Q165" s="613">
        <f t="shared" si="20"/>
        <v>0</v>
      </c>
      <c r="R165" s="1514"/>
      <c r="S165" s="1617" t="e">
        <f>SUMIF('[105]TB for financial'!$A:$A,A165,'[105]TB for financial'!$E:$E)</f>
        <v>#VALUE!</v>
      </c>
      <c r="T165" s="613"/>
    </row>
    <row r="166" spans="1:20">
      <c r="A166" s="608">
        <v>101313</v>
      </c>
      <c r="B166" s="609" t="s">
        <v>1120</v>
      </c>
      <c r="C166" s="610">
        <f t="shared" si="15"/>
        <v>0</v>
      </c>
      <c r="D166" s="611">
        <v>0</v>
      </c>
      <c r="E166" s="610">
        <f>SUMIF('Entries 24-25'!$B:$B,A:A,'Entries 24-25'!$D:$D)-SUMIF('Entries 24-25'!$B:$B,A:A,'Entries 24-25'!$E:$E)+SUMIF('IND AS entries 24-25'!$B:$B,A:A,'IND AS entries 24-25'!$D:$D)-SUMIF('IND AS entries 24-25'!$B:$B,A:A,'IND AS entries 24-25'!$E:$E)</f>
        <v>0</v>
      </c>
      <c r="F166" s="611">
        <f t="shared" si="17"/>
        <v>0</v>
      </c>
      <c r="G166" s="610"/>
      <c r="H166" s="610">
        <v>0</v>
      </c>
      <c r="I166" s="611">
        <v>0</v>
      </c>
      <c r="J166" s="610">
        <v>0</v>
      </c>
      <c r="K166" s="611">
        <f t="shared" si="18"/>
        <v>0</v>
      </c>
      <c r="L166" s="612">
        <f>VLOOKUP(A166,'BS Gr'!A:A,1,FALSE)</f>
        <v>101313</v>
      </c>
      <c r="M166" s="612">
        <f t="shared" si="14"/>
        <v>1</v>
      </c>
      <c r="N166" s="613">
        <f t="shared" si="16"/>
        <v>0</v>
      </c>
      <c r="O166" s="613">
        <f t="shared" si="19"/>
        <v>0</v>
      </c>
      <c r="P166" s="613">
        <v>0</v>
      </c>
      <c r="Q166" s="613">
        <f t="shared" si="20"/>
        <v>0</v>
      </c>
      <c r="R166" s="1514"/>
      <c r="S166" s="1617" t="e">
        <f>SUMIF('[105]TB for financial'!$A:$A,A166,'[105]TB for financial'!$E:$E)</f>
        <v>#VALUE!</v>
      </c>
      <c r="T166" s="613"/>
    </row>
    <row r="167" spans="1:20">
      <c r="A167" s="608">
        <v>101314</v>
      </c>
      <c r="B167" s="609" t="s">
        <v>1121</v>
      </c>
      <c r="C167" s="610">
        <f t="shared" si="15"/>
        <v>0</v>
      </c>
      <c r="D167" s="611">
        <v>0</v>
      </c>
      <c r="E167" s="610">
        <f>SUMIF('Entries 24-25'!$B:$B,A:A,'Entries 24-25'!$D:$D)-SUMIF('Entries 24-25'!$B:$B,A:A,'Entries 24-25'!$E:$E)+SUMIF('IND AS entries 24-25'!$B:$B,A:A,'IND AS entries 24-25'!$D:$D)-SUMIF('IND AS entries 24-25'!$B:$B,A:A,'IND AS entries 24-25'!$E:$E)</f>
        <v>0</v>
      </c>
      <c r="F167" s="611">
        <f t="shared" si="17"/>
        <v>0</v>
      </c>
      <c r="G167" s="610"/>
      <c r="H167" s="610">
        <v>0</v>
      </c>
      <c r="I167" s="611">
        <v>0</v>
      </c>
      <c r="J167" s="610">
        <v>0</v>
      </c>
      <c r="K167" s="611">
        <f t="shared" si="18"/>
        <v>0</v>
      </c>
      <c r="L167" s="612">
        <f>VLOOKUP(A167,'BS Gr'!A:A,1,FALSE)</f>
        <v>101314</v>
      </c>
      <c r="M167" s="612">
        <f t="shared" si="14"/>
        <v>1</v>
      </c>
      <c r="N167" s="613">
        <f t="shared" si="16"/>
        <v>0</v>
      </c>
      <c r="O167" s="613">
        <f t="shared" si="19"/>
        <v>0</v>
      </c>
      <c r="P167" s="613">
        <v>0</v>
      </c>
      <c r="Q167" s="613">
        <f t="shared" si="20"/>
        <v>0</v>
      </c>
      <c r="R167" s="1514"/>
      <c r="S167" s="1617" t="e">
        <f>SUMIF('[105]TB for financial'!$A:$A,A167,'[105]TB for financial'!$E:$E)</f>
        <v>#VALUE!</v>
      </c>
      <c r="T167" s="613"/>
    </row>
    <row r="168" spans="1:20">
      <c r="A168" s="608">
        <v>101315</v>
      </c>
      <c r="B168" s="609" t="s">
        <v>1122</v>
      </c>
      <c r="C168" s="610">
        <f t="shared" si="15"/>
        <v>0</v>
      </c>
      <c r="D168" s="611">
        <v>0</v>
      </c>
      <c r="E168" s="610">
        <f>SUMIF('Entries 24-25'!$B:$B,A:A,'Entries 24-25'!$D:$D)-SUMIF('Entries 24-25'!$B:$B,A:A,'Entries 24-25'!$E:$E)+SUMIF('IND AS entries 24-25'!$B:$B,A:A,'IND AS entries 24-25'!$D:$D)-SUMIF('IND AS entries 24-25'!$B:$B,A:A,'IND AS entries 24-25'!$E:$E)</f>
        <v>0</v>
      </c>
      <c r="F168" s="611">
        <f t="shared" si="17"/>
        <v>0</v>
      </c>
      <c r="G168" s="610"/>
      <c r="H168" s="610">
        <v>0</v>
      </c>
      <c r="I168" s="611">
        <v>0</v>
      </c>
      <c r="J168" s="610">
        <v>0</v>
      </c>
      <c r="K168" s="611">
        <f t="shared" si="18"/>
        <v>0</v>
      </c>
      <c r="L168" s="612">
        <f>VLOOKUP(A168,'BS Gr'!A:A,1,FALSE)</f>
        <v>101315</v>
      </c>
      <c r="M168" s="612">
        <f t="shared" si="14"/>
        <v>1</v>
      </c>
      <c r="N168" s="613">
        <f t="shared" si="16"/>
        <v>0</v>
      </c>
      <c r="O168" s="613">
        <f t="shared" si="19"/>
        <v>0</v>
      </c>
      <c r="P168" s="613">
        <v>0</v>
      </c>
      <c r="Q168" s="613">
        <f t="shared" si="20"/>
        <v>0</v>
      </c>
      <c r="R168" s="1514"/>
      <c r="S168" s="1617" t="e">
        <f>SUMIF('[105]TB for financial'!$A:$A,A168,'[105]TB for financial'!$E:$E)</f>
        <v>#VALUE!</v>
      </c>
      <c r="T168" s="613"/>
    </row>
    <row r="169" spans="1:20">
      <c r="A169" s="608">
        <v>101316</v>
      </c>
      <c r="B169" s="609" t="s">
        <v>1123</v>
      </c>
      <c r="C169" s="610">
        <f t="shared" si="15"/>
        <v>0</v>
      </c>
      <c r="D169" s="611">
        <v>0</v>
      </c>
      <c r="E169" s="610">
        <f>SUMIF('Entries 24-25'!$B:$B,A:A,'Entries 24-25'!$D:$D)-SUMIF('Entries 24-25'!$B:$B,A:A,'Entries 24-25'!$E:$E)+SUMIF('IND AS entries 24-25'!$B:$B,A:A,'IND AS entries 24-25'!$D:$D)-SUMIF('IND AS entries 24-25'!$B:$B,A:A,'IND AS entries 24-25'!$E:$E)</f>
        <v>0</v>
      </c>
      <c r="F169" s="611">
        <f t="shared" si="17"/>
        <v>0</v>
      </c>
      <c r="G169" s="610"/>
      <c r="H169" s="610">
        <v>0</v>
      </c>
      <c r="I169" s="611">
        <v>0</v>
      </c>
      <c r="J169" s="610">
        <v>0</v>
      </c>
      <c r="K169" s="611">
        <f t="shared" si="18"/>
        <v>0</v>
      </c>
      <c r="L169" s="612">
        <f>VLOOKUP(A169,'BS Gr'!A:A,1,FALSE)</f>
        <v>101316</v>
      </c>
      <c r="M169" s="612">
        <f t="shared" si="14"/>
        <v>1</v>
      </c>
      <c r="N169" s="613">
        <f t="shared" si="16"/>
        <v>0</v>
      </c>
      <c r="O169" s="613">
        <f t="shared" si="19"/>
        <v>0</v>
      </c>
      <c r="P169" s="613">
        <v>26808.599999999991</v>
      </c>
      <c r="Q169" s="613">
        <f t="shared" si="20"/>
        <v>-26808.599999999991</v>
      </c>
      <c r="R169" s="1514"/>
      <c r="S169" s="1617" t="e">
        <f>SUMIF('[105]TB for financial'!$A:$A,A169,'[105]TB for financial'!$E:$E)</f>
        <v>#VALUE!</v>
      </c>
      <c r="T169" s="613"/>
    </row>
    <row r="170" spans="1:20">
      <c r="A170" s="608">
        <v>101317</v>
      </c>
      <c r="B170" s="609" t="s">
        <v>1124</v>
      </c>
      <c r="C170" s="610">
        <f t="shared" si="15"/>
        <v>0</v>
      </c>
      <c r="D170" s="611">
        <v>0</v>
      </c>
      <c r="E170" s="610">
        <f>SUMIF('Entries 24-25'!$B:$B,A:A,'Entries 24-25'!$D:$D)-SUMIF('Entries 24-25'!$B:$B,A:A,'Entries 24-25'!$E:$E)+SUMIF('IND AS entries 24-25'!$B:$B,A:A,'IND AS entries 24-25'!$D:$D)-SUMIF('IND AS entries 24-25'!$B:$B,A:A,'IND AS entries 24-25'!$E:$E)</f>
        <v>0</v>
      </c>
      <c r="F170" s="611">
        <f t="shared" si="17"/>
        <v>0</v>
      </c>
      <c r="G170" s="610"/>
      <c r="H170" s="610">
        <v>0</v>
      </c>
      <c r="I170" s="611">
        <v>0</v>
      </c>
      <c r="J170" s="610">
        <v>0</v>
      </c>
      <c r="K170" s="611">
        <f t="shared" si="18"/>
        <v>0</v>
      </c>
      <c r="L170" s="612">
        <f>VLOOKUP(A170,'BS Gr'!A:A,1,FALSE)</f>
        <v>101317</v>
      </c>
      <c r="M170" s="612">
        <f t="shared" si="14"/>
        <v>1</v>
      </c>
      <c r="N170" s="613">
        <f t="shared" si="16"/>
        <v>0</v>
      </c>
      <c r="O170" s="613">
        <f t="shared" si="19"/>
        <v>0</v>
      </c>
      <c r="P170" s="613">
        <v>0</v>
      </c>
      <c r="Q170" s="613">
        <f t="shared" si="20"/>
        <v>0</v>
      </c>
      <c r="R170" s="1514"/>
      <c r="S170" s="1617" t="e">
        <f>SUMIF('[105]TB for financial'!$A:$A,A170,'[105]TB for financial'!$E:$E)</f>
        <v>#VALUE!</v>
      </c>
      <c r="T170" s="613"/>
    </row>
    <row r="171" spans="1:20">
      <c r="A171" s="608">
        <v>101318</v>
      </c>
      <c r="B171" s="609" t="s">
        <v>1125</v>
      </c>
      <c r="C171" s="610">
        <f t="shared" si="15"/>
        <v>0</v>
      </c>
      <c r="D171" s="611">
        <v>0</v>
      </c>
      <c r="E171" s="610">
        <f>SUMIF('Entries 24-25'!$B:$B,A:A,'Entries 24-25'!$D:$D)-SUMIF('Entries 24-25'!$B:$B,A:A,'Entries 24-25'!$E:$E)+SUMIF('IND AS entries 24-25'!$B:$B,A:A,'IND AS entries 24-25'!$D:$D)-SUMIF('IND AS entries 24-25'!$B:$B,A:A,'IND AS entries 24-25'!$E:$E)</f>
        <v>0</v>
      </c>
      <c r="F171" s="611">
        <f t="shared" si="17"/>
        <v>0</v>
      </c>
      <c r="G171" s="610"/>
      <c r="H171" s="610">
        <v>0</v>
      </c>
      <c r="I171" s="611">
        <v>0</v>
      </c>
      <c r="J171" s="610">
        <v>0</v>
      </c>
      <c r="K171" s="611">
        <f t="shared" si="18"/>
        <v>0</v>
      </c>
      <c r="L171" s="612">
        <f>VLOOKUP(A171,'BS Gr'!A:A,1,FALSE)</f>
        <v>101318</v>
      </c>
      <c r="M171" s="612">
        <f t="shared" si="14"/>
        <v>1</v>
      </c>
      <c r="N171" s="613">
        <f t="shared" si="16"/>
        <v>0</v>
      </c>
      <c r="O171" s="613">
        <f t="shared" si="19"/>
        <v>0</v>
      </c>
      <c r="P171" s="613">
        <v>0</v>
      </c>
      <c r="Q171" s="613">
        <f t="shared" si="20"/>
        <v>0</v>
      </c>
      <c r="R171" s="1514"/>
      <c r="S171" s="1617" t="e">
        <f>SUMIF('[105]TB for financial'!$A:$A,A171,'[105]TB for financial'!$E:$E)</f>
        <v>#VALUE!</v>
      </c>
      <c r="T171" s="613"/>
    </row>
    <row r="172" spans="1:20">
      <c r="A172" s="608">
        <v>101320</v>
      </c>
      <c r="B172" s="609" t="s">
        <v>1126</v>
      </c>
      <c r="C172" s="610">
        <f t="shared" si="15"/>
        <v>4.2405190470162779E-11</v>
      </c>
      <c r="D172" s="611">
        <v>0</v>
      </c>
      <c r="E172" s="610">
        <f>SUMIF('Entries 24-25'!$B:$B,A:A,'Entries 24-25'!$D:$D)-SUMIF('Entries 24-25'!$B:$B,A:A,'Entries 24-25'!$E:$E)+SUMIF('IND AS entries 24-25'!$B:$B,A:A,'IND AS entries 24-25'!$D:$D)-SUMIF('IND AS entries 24-25'!$B:$B,A:A,'IND AS entries 24-25'!$E:$E)</f>
        <v>0</v>
      </c>
      <c r="F172" s="611">
        <f t="shared" si="17"/>
        <v>4.2405190470162779E-11</v>
      </c>
      <c r="G172" s="610"/>
      <c r="H172" s="610">
        <v>4.2405190470162779E-11</v>
      </c>
      <c r="I172" s="611">
        <v>0</v>
      </c>
      <c r="J172" s="610">
        <v>0</v>
      </c>
      <c r="K172" s="611">
        <f t="shared" si="18"/>
        <v>4.2405190470162779E-11</v>
      </c>
      <c r="L172" s="612">
        <f>VLOOKUP(A172,'BS Gr'!A:A,1,FALSE)</f>
        <v>101320</v>
      </c>
      <c r="M172" s="612">
        <f t="shared" si="14"/>
        <v>1</v>
      </c>
      <c r="N172" s="613">
        <f t="shared" si="16"/>
        <v>0</v>
      </c>
      <c r="O172" s="613">
        <f t="shared" si="19"/>
        <v>0</v>
      </c>
      <c r="P172" s="613">
        <v>-7846.32</v>
      </c>
      <c r="Q172" s="613">
        <f t="shared" si="20"/>
        <v>7846.3200000000425</v>
      </c>
      <c r="R172" s="1514"/>
      <c r="S172" s="1617" t="e">
        <f>SUMIF('[105]TB for financial'!$A:$A,A172,'[105]TB for financial'!$E:$E)</f>
        <v>#VALUE!</v>
      </c>
      <c r="T172" s="613"/>
    </row>
    <row r="173" spans="1:20">
      <c r="A173" s="608">
        <v>101321</v>
      </c>
      <c r="B173" s="609" t="s">
        <v>1127</v>
      </c>
      <c r="C173" s="610">
        <f t="shared" si="15"/>
        <v>0</v>
      </c>
      <c r="D173" s="611">
        <v>0</v>
      </c>
      <c r="E173" s="610">
        <f>SUMIF('Entries 24-25'!$B:$B,A:A,'Entries 24-25'!$D:$D)-SUMIF('Entries 24-25'!$B:$B,A:A,'Entries 24-25'!$E:$E)+SUMIF('IND AS entries 24-25'!$B:$B,A:A,'IND AS entries 24-25'!$D:$D)-SUMIF('IND AS entries 24-25'!$B:$B,A:A,'IND AS entries 24-25'!$E:$E)</f>
        <v>0</v>
      </c>
      <c r="F173" s="611">
        <f t="shared" si="17"/>
        <v>0</v>
      </c>
      <c r="G173" s="610"/>
      <c r="H173" s="610">
        <v>0</v>
      </c>
      <c r="I173" s="611">
        <v>0</v>
      </c>
      <c r="J173" s="610">
        <v>0</v>
      </c>
      <c r="K173" s="611">
        <f t="shared" si="18"/>
        <v>0</v>
      </c>
      <c r="L173" s="612">
        <f>VLOOKUP(A173,'BS Gr'!A:A,1,FALSE)</f>
        <v>101321</v>
      </c>
      <c r="M173" s="612">
        <f t="shared" si="14"/>
        <v>1</v>
      </c>
      <c r="N173" s="613">
        <f t="shared" si="16"/>
        <v>0</v>
      </c>
      <c r="O173" s="613">
        <f t="shared" si="19"/>
        <v>0</v>
      </c>
      <c r="P173" s="613">
        <v>0</v>
      </c>
      <c r="Q173" s="613">
        <f t="shared" si="20"/>
        <v>0</v>
      </c>
      <c r="R173" s="1514"/>
      <c r="S173" s="1617" t="e">
        <f>SUMIF('[105]TB for financial'!$A:$A,A173,'[105]TB for financial'!$E:$E)</f>
        <v>#VALUE!</v>
      </c>
      <c r="T173" s="613"/>
    </row>
    <row r="174" spans="1:20">
      <c r="A174" s="608">
        <v>101322</v>
      </c>
      <c r="B174" s="609" t="s">
        <v>1128</v>
      </c>
      <c r="C174" s="610">
        <f t="shared" si="15"/>
        <v>0</v>
      </c>
      <c r="D174" s="611">
        <v>0</v>
      </c>
      <c r="E174" s="610">
        <f>SUMIF('Entries 24-25'!$B:$B,A:A,'Entries 24-25'!$D:$D)-SUMIF('Entries 24-25'!$B:$B,A:A,'Entries 24-25'!$E:$E)+SUMIF('IND AS entries 24-25'!$B:$B,A:A,'IND AS entries 24-25'!$D:$D)-SUMIF('IND AS entries 24-25'!$B:$B,A:A,'IND AS entries 24-25'!$E:$E)</f>
        <v>0</v>
      </c>
      <c r="F174" s="611">
        <f t="shared" si="17"/>
        <v>0</v>
      </c>
      <c r="G174" s="610"/>
      <c r="H174" s="610">
        <v>0</v>
      </c>
      <c r="I174" s="611">
        <v>0</v>
      </c>
      <c r="J174" s="610">
        <v>0</v>
      </c>
      <c r="K174" s="611">
        <f t="shared" si="18"/>
        <v>0</v>
      </c>
      <c r="L174" s="612">
        <f>VLOOKUP(A174,'BS Gr'!A:A,1,FALSE)</f>
        <v>101322</v>
      </c>
      <c r="M174" s="612">
        <f t="shared" si="14"/>
        <v>1</v>
      </c>
      <c r="N174" s="613">
        <f t="shared" si="16"/>
        <v>0</v>
      </c>
      <c r="O174" s="613">
        <f t="shared" si="19"/>
        <v>0</v>
      </c>
      <c r="P174" s="613">
        <v>0</v>
      </c>
      <c r="Q174" s="613">
        <f t="shared" si="20"/>
        <v>0</v>
      </c>
      <c r="R174" s="1514"/>
      <c r="S174" s="1617" t="e">
        <f>SUMIF('[105]TB for financial'!$A:$A,A174,'[105]TB for financial'!$E:$E)</f>
        <v>#VALUE!</v>
      </c>
      <c r="T174" s="613"/>
    </row>
    <row r="175" spans="1:20">
      <c r="A175" s="608">
        <v>101323</v>
      </c>
      <c r="B175" s="609" t="s">
        <v>1129</v>
      </c>
      <c r="C175" s="610">
        <f t="shared" si="15"/>
        <v>0</v>
      </c>
      <c r="D175" s="611">
        <v>0</v>
      </c>
      <c r="E175" s="610">
        <f>SUMIF('Entries 24-25'!$B:$B,A:A,'Entries 24-25'!$D:$D)-SUMIF('Entries 24-25'!$B:$B,A:A,'Entries 24-25'!$E:$E)+SUMIF('IND AS entries 24-25'!$B:$B,A:A,'IND AS entries 24-25'!$D:$D)-SUMIF('IND AS entries 24-25'!$B:$B,A:A,'IND AS entries 24-25'!$E:$E)</f>
        <v>0</v>
      </c>
      <c r="F175" s="611">
        <f t="shared" si="17"/>
        <v>0</v>
      </c>
      <c r="G175" s="610"/>
      <c r="H175" s="610">
        <v>0</v>
      </c>
      <c r="I175" s="611">
        <v>0</v>
      </c>
      <c r="J175" s="610">
        <v>0</v>
      </c>
      <c r="K175" s="611">
        <f t="shared" si="18"/>
        <v>0</v>
      </c>
      <c r="L175" s="612">
        <f>VLOOKUP(A175,'BS Gr'!A:A,1,FALSE)</f>
        <v>101323</v>
      </c>
      <c r="M175" s="612">
        <f t="shared" si="14"/>
        <v>1</v>
      </c>
      <c r="N175" s="613">
        <f t="shared" si="16"/>
        <v>0</v>
      </c>
      <c r="O175" s="613">
        <f t="shared" si="19"/>
        <v>0</v>
      </c>
      <c r="P175" s="613">
        <v>0</v>
      </c>
      <c r="Q175" s="613">
        <f t="shared" si="20"/>
        <v>0</v>
      </c>
      <c r="R175" s="1514"/>
      <c r="S175" s="1617" t="e">
        <f>SUMIF('[105]TB for financial'!$A:$A,A175,'[105]TB for financial'!$E:$E)</f>
        <v>#VALUE!</v>
      </c>
      <c r="T175" s="613"/>
    </row>
    <row r="176" spans="1:20">
      <c r="A176" s="608">
        <v>101324</v>
      </c>
      <c r="B176" s="609" t="s">
        <v>1130</v>
      </c>
      <c r="C176" s="610">
        <f t="shared" si="15"/>
        <v>-1</v>
      </c>
      <c r="D176" s="611">
        <v>0</v>
      </c>
      <c r="E176" s="610">
        <f>SUMIF('Entries 24-25'!$B:$B,A:A,'Entries 24-25'!$D:$D)-SUMIF('Entries 24-25'!$B:$B,A:A,'Entries 24-25'!$E:$E)+SUMIF('IND AS entries 24-25'!$B:$B,A:A,'IND AS entries 24-25'!$D:$D)-SUMIF('IND AS entries 24-25'!$B:$B,A:A,'IND AS entries 24-25'!$E:$E)</f>
        <v>0</v>
      </c>
      <c r="F176" s="611">
        <f t="shared" si="17"/>
        <v>-1</v>
      </c>
      <c r="G176" s="610"/>
      <c r="H176" s="610">
        <v>-1</v>
      </c>
      <c r="I176" s="611">
        <v>0</v>
      </c>
      <c r="J176" s="610">
        <v>0</v>
      </c>
      <c r="K176" s="611">
        <f t="shared" si="18"/>
        <v>-1</v>
      </c>
      <c r="L176" s="612">
        <f>VLOOKUP(A176,'BS Gr'!A:A,1,FALSE)</f>
        <v>101324</v>
      </c>
      <c r="M176" s="612">
        <f t="shared" si="14"/>
        <v>1</v>
      </c>
      <c r="N176" s="613">
        <f t="shared" si="16"/>
        <v>0</v>
      </c>
      <c r="O176" s="613">
        <f t="shared" si="19"/>
        <v>0</v>
      </c>
      <c r="P176" s="613">
        <v>19999</v>
      </c>
      <c r="Q176" s="613">
        <f t="shared" si="20"/>
        <v>-20000</v>
      </c>
      <c r="R176" s="1514"/>
      <c r="S176" s="1617" t="e">
        <f>SUMIF('[105]TB for financial'!$A:$A,A176,'[105]TB for financial'!$E:$E)</f>
        <v>#VALUE!</v>
      </c>
      <c r="T176" s="613"/>
    </row>
    <row r="177" spans="1:20">
      <c r="A177" s="608">
        <v>101325</v>
      </c>
      <c r="B177" s="609" t="s">
        <v>1131</v>
      </c>
      <c r="C177" s="610">
        <f t="shared" si="15"/>
        <v>0</v>
      </c>
      <c r="D177" s="611">
        <v>0</v>
      </c>
      <c r="E177" s="610">
        <f>SUMIF('Entries 24-25'!$B:$B,A:A,'Entries 24-25'!$D:$D)-SUMIF('Entries 24-25'!$B:$B,A:A,'Entries 24-25'!$E:$E)+SUMIF('IND AS entries 24-25'!$B:$B,A:A,'IND AS entries 24-25'!$D:$D)-SUMIF('IND AS entries 24-25'!$B:$B,A:A,'IND AS entries 24-25'!$E:$E)</f>
        <v>0</v>
      </c>
      <c r="F177" s="611">
        <f t="shared" si="17"/>
        <v>0</v>
      </c>
      <c r="G177" s="610"/>
      <c r="H177" s="610">
        <v>0</v>
      </c>
      <c r="I177" s="611">
        <v>0</v>
      </c>
      <c r="J177" s="610">
        <v>0</v>
      </c>
      <c r="K177" s="611">
        <f t="shared" si="18"/>
        <v>0</v>
      </c>
      <c r="L177" s="612">
        <f>VLOOKUP(A177,'BS Gr'!A:A,1,FALSE)</f>
        <v>101325</v>
      </c>
      <c r="M177" s="612">
        <f t="shared" si="14"/>
        <v>1</v>
      </c>
      <c r="N177" s="613">
        <f t="shared" si="16"/>
        <v>0</v>
      </c>
      <c r="O177" s="613">
        <f t="shared" si="19"/>
        <v>0</v>
      </c>
      <c r="P177" s="613">
        <v>0</v>
      </c>
      <c r="Q177" s="613">
        <f t="shared" si="20"/>
        <v>0</v>
      </c>
      <c r="R177" s="1514"/>
      <c r="S177" s="1617" t="e">
        <f>SUMIF('[105]TB for financial'!$A:$A,A177,'[105]TB for financial'!$E:$E)</f>
        <v>#VALUE!</v>
      </c>
      <c r="T177" s="613"/>
    </row>
    <row r="178" spans="1:20">
      <c r="A178" s="608">
        <v>101326</v>
      </c>
      <c r="B178" s="609" t="s">
        <v>1132</v>
      </c>
      <c r="C178" s="610">
        <f t="shared" si="15"/>
        <v>0</v>
      </c>
      <c r="D178" s="611">
        <v>0</v>
      </c>
      <c r="E178" s="610">
        <f>SUMIF('Entries 24-25'!$B:$B,A:A,'Entries 24-25'!$D:$D)-SUMIF('Entries 24-25'!$B:$B,A:A,'Entries 24-25'!$E:$E)+SUMIF('IND AS entries 24-25'!$B:$B,A:A,'IND AS entries 24-25'!$D:$D)-SUMIF('IND AS entries 24-25'!$B:$B,A:A,'IND AS entries 24-25'!$E:$E)</f>
        <v>0</v>
      </c>
      <c r="F178" s="611">
        <f t="shared" si="17"/>
        <v>0</v>
      </c>
      <c r="G178" s="610"/>
      <c r="H178" s="610">
        <v>0</v>
      </c>
      <c r="I178" s="611">
        <v>0</v>
      </c>
      <c r="J178" s="610">
        <v>0</v>
      </c>
      <c r="K178" s="611">
        <f t="shared" si="18"/>
        <v>0</v>
      </c>
      <c r="L178" s="612">
        <f>VLOOKUP(A178,'BS Gr'!A:A,1,FALSE)</f>
        <v>101326</v>
      </c>
      <c r="M178" s="612">
        <f t="shared" si="14"/>
        <v>1</v>
      </c>
      <c r="N178" s="613">
        <f t="shared" si="16"/>
        <v>0</v>
      </c>
      <c r="O178" s="613">
        <f t="shared" si="19"/>
        <v>0</v>
      </c>
      <c r="P178" s="613">
        <v>0</v>
      </c>
      <c r="Q178" s="613">
        <f t="shared" si="20"/>
        <v>0</v>
      </c>
      <c r="R178" s="1514"/>
      <c r="S178" s="1617" t="e">
        <f>SUMIF('[105]TB for financial'!$A:$A,A178,'[105]TB for financial'!$E:$E)</f>
        <v>#VALUE!</v>
      </c>
      <c r="T178" s="613"/>
    </row>
    <row r="179" spans="1:20">
      <c r="A179" s="608">
        <v>101327</v>
      </c>
      <c r="B179" s="609" t="s">
        <v>1133</v>
      </c>
      <c r="C179" s="610">
        <f t="shared" si="15"/>
        <v>0</v>
      </c>
      <c r="D179" s="611">
        <v>0</v>
      </c>
      <c r="E179" s="610">
        <f>SUMIF('Entries 24-25'!$B:$B,A:A,'Entries 24-25'!$D:$D)-SUMIF('Entries 24-25'!$B:$B,A:A,'Entries 24-25'!$E:$E)+SUMIF('IND AS entries 24-25'!$B:$B,A:A,'IND AS entries 24-25'!$D:$D)-SUMIF('IND AS entries 24-25'!$B:$B,A:A,'IND AS entries 24-25'!$E:$E)</f>
        <v>0</v>
      </c>
      <c r="F179" s="611">
        <f t="shared" si="17"/>
        <v>0</v>
      </c>
      <c r="G179" s="610"/>
      <c r="H179" s="610">
        <v>0</v>
      </c>
      <c r="I179" s="611">
        <v>0</v>
      </c>
      <c r="J179" s="610">
        <v>0</v>
      </c>
      <c r="K179" s="611">
        <f t="shared" si="18"/>
        <v>0</v>
      </c>
      <c r="L179" s="612">
        <f>VLOOKUP(A179,'BS Gr'!A:A,1,FALSE)</f>
        <v>101327</v>
      </c>
      <c r="M179" s="612">
        <f t="shared" si="14"/>
        <v>1</v>
      </c>
      <c r="N179" s="613">
        <f t="shared" si="16"/>
        <v>0</v>
      </c>
      <c r="O179" s="613">
        <f t="shared" si="19"/>
        <v>0</v>
      </c>
      <c r="P179" s="613">
        <v>0</v>
      </c>
      <c r="Q179" s="613">
        <f t="shared" si="20"/>
        <v>0</v>
      </c>
      <c r="R179" s="1514"/>
      <c r="S179" s="1617" t="e">
        <f>SUMIF('[105]TB for financial'!$A:$A,A179,'[105]TB for financial'!$E:$E)</f>
        <v>#VALUE!</v>
      </c>
      <c r="T179" s="613"/>
    </row>
    <row r="180" spans="1:20">
      <c r="A180" s="608">
        <v>101328</v>
      </c>
      <c r="B180" s="609" t="s">
        <v>1134</v>
      </c>
      <c r="C180" s="610">
        <f t="shared" si="15"/>
        <v>0</v>
      </c>
      <c r="D180" s="611">
        <v>0</v>
      </c>
      <c r="E180" s="610">
        <f>SUMIF('Entries 24-25'!$B:$B,A:A,'Entries 24-25'!$D:$D)-SUMIF('Entries 24-25'!$B:$B,A:A,'Entries 24-25'!$E:$E)+SUMIF('IND AS entries 24-25'!$B:$B,A:A,'IND AS entries 24-25'!$D:$D)-SUMIF('IND AS entries 24-25'!$B:$B,A:A,'IND AS entries 24-25'!$E:$E)</f>
        <v>0</v>
      </c>
      <c r="F180" s="611">
        <f t="shared" si="17"/>
        <v>0</v>
      </c>
      <c r="G180" s="610"/>
      <c r="H180" s="610">
        <v>0</v>
      </c>
      <c r="I180" s="611">
        <v>0</v>
      </c>
      <c r="J180" s="610">
        <v>0</v>
      </c>
      <c r="K180" s="611">
        <f t="shared" si="18"/>
        <v>0</v>
      </c>
      <c r="L180" s="612">
        <f>VLOOKUP(A180,'BS Gr'!A:A,1,FALSE)</f>
        <v>101328</v>
      </c>
      <c r="M180" s="612">
        <f t="shared" si="14"/>
        <v>1</v>
      </c>
      <c r="N180" s="613">
        <f t="shared" si="16"/>
        <v>0</v>
      </c>
      <c r="O180" s="613">
        <f t="shared" si="19"/>
        <v>0</v>
      </c>
      <c r="P180" s="613">
        <v>0</v>
      </c>
      <c r="Q180" s="613">
        <f t="shared" si="20"/>
        <v>0</v>
      </c>
      <c r="R180" s="1514"/>
      <c r="S180" s="1617" t="e">
        <f>SUMIF('[105]TB for financial'!$A:$A,A180,'[105]TB for financial'!$E:$E)</f>
        <v>#VALUE!</v>
      </c>
      <c r="T180" s="613"/>
    </row>
    <row r="181" spans="1:20">
      <c r="A181" s="608">
        <v>101329</v>
      </c>
      <c r="B181" s="609" t="s">
        <v>1135</v>
      </c>
      <c r="C181" s="610">
        <f t="shared" si="15"/>
        <v>0</v>
      </c>
      <c r="D181" s="611">
        <v>0</v>
      </c>
      <c r="E181" s="610">
        <f>SUMIF('Entries 24-25'!$B:$B,A:A,'Entries 24-25'!$D:$D)-SUMIF('Entries 24-25'!$B:$B,A:A,'Entries 24-25'!$E:$E)+SUMIF('IND AS entries 24-25'!$B:$B,A:A,'IND AS entries 24-25'!$D:$D)-SUMIF('IND AS entries 24-25'!$B:$B,A:A,'IND AS entries 24-25'!$E:$E)</f>
        <v>0</v>
      </c>
      <c r="F181" s="611">
        <f t="shared" si="17"/>
        <v>0</v>
      </c>
      <c r="G181" s="610"/>
      <c r="H181" s="610">
        <v>0</v>
      </c>
      <c r="I181" s="611">
        <v>0</v>
      </c>
      <c r="J181" s="610">
        <v>0</v>
      </c>
      <c r="K181" s="611">
        <f t="shared" si="18"/>
        <v>0</v>
      </c>
      <c r="L181" s="612">
        <f>VLOOKUP(A181,'BS Gr'!A:A,1,FALSE)</f>
        <v>101329</v>
      </c>
      <c r="M181" s="612">
        <f t="shared" si="14"/>
        <v>1</v>
      </c>
      <c r="N181" s="613">
        <f t="shared" si="16"/>
        <v>0</v>
      </c>
      <c r="O181" s="613">
        <f t="shared" si="19"/>
        <v>0</v>
      </c>
      <c r="P181" s="613">
        <v>0</v>
      </c>
      <c r="Q181" s="613">
        <f t="shared" si="20"/>
        <v>0</v>
      </c>
      <c r="R181" s="1514"/>
      <c r="S181" s="1617" t="e">
        <f>SUMIF('[105]TB for financial'!$A:$A,A181,'[105]TB for financial'!$E:$E)</f>
        <v>#VALUE!</v>
      </c>
      <c r="T181" s="613"/>
    </row>
    <row r="182" spans="1:20">
      <c r="A182" s="608">
        <v>101330</v>
      </c>
      <c r="B182" s="609" t="s">
        <v>1136</v>
      </c>
      <c r="C182" s="610">
        <f t="shared" si="15"/>
        <v>0</v>
      </c>
      <c r="D182" s="611">
        <v>0</v>
      </c>
      <c r="E182" s="610">
        <f>SUMIF('Entries 24-25'!$B:$B,A:A,'Entries 24-25'!$D:$D)-SUMIF('Entries 24-25'!$B:$B,A:A,'Entries 24-25'!$E:$E)+SUMIF('IND AS entries 24-25'!$B:$B,A:A,'IND AS entries 24-25'!$D:$D)-SUMIF('IND AS entries 24-25'!$B:$B,A:A,'IND AS entries 24-25'!$E:$E)</f>
        <v>0</v>
      </c>
      <c r="F182" s="611">
        <f t="shared" si="17"/>
        <v>0</v>
      </c>
      <c r="G182" s="610"/>
      <c r="H182" s="610">
        <v>0</v>
      </c>
      <c r="I182" s="611">
        <v>0</v>
      </c>
      <c r="J182" s="610">
        <v>0</v>
      </c>
      <c r="K182" s="611">
        <f t="shared" si="18"/>
        <v>0</v>
      </c>
      <c r="L182" s="612">
        <f>VLOOKUP(A182,'BS Gr'!A:A,1,FALSE)</f>
        <v>101330</v>
      </c>
      <c r="M182" s="612">
        <f t="shared" si="14"/>
        <v>1</v>
      </c>
      <c r="N182" s="613">
        <f t="shared" si="16"/>
        <v>0</v>
      </c>
      <c r="O182" s="613">
        <f t="shared" si="19"/>
        <v>0</v>
      </c>
      <c r="P182" s="613">
        <v>0</v>
      </c>
      <c r="Q182" s="613">
        <f t="shared" si="20"/>
        <v>0</v>
      </c>
      <c r="R182" s="1514"/>
      <c r="S182" s="1617" t="e">
        <f>SUMIF('[105]TB for financial'!$A:$A,A182,'[105]TB for financial'!$E:$E)</f>
        <v>#VALUE!</v>
      </c>
      <c r="T182" s="613"/>
    </row>
    <row r="183" spans="1:20">
      <c r="A183" s="608">
        <v>101331</v>
      </c>
      <c r="B183" s="609" t="s">
        <v>1137</v>
      </c>
      <c r="C183" s="610">
        <f t="shared" si="15"/>
        <v>0</v>
      </c>
      <c r="D183" s="611">
        <v>0</v>
      </c>
      <c r="E183" s="610">
        <f>SUMIF('Entries 24-25'!$B:$B,A:A,'Entries 24-25'!$D:$D)-SUMIF('Entries 24-25'!$B:$B,A:A,'Entries 24-25'!$E:$E)+SUMIF('IND AS entries 24-25'!$B:$B,A:A,'IND AS entries 24-25'!$D:$D)-SUMIF('IND AS entries 24-25'!$B:$B,A:A,'IND AS entries 24-25'!$E:$E)</f>
        <v>0</v>
      </c>
      <c r="F183" s="611">
        <f t="shared" si="17"/>
        <v>0</v>
      </c>
      <c r="G183" s="610"/>
      <c r="H183" s="610">
        <v>0</v>
      </c>
      <c r="I183" s="611">
        <v>0</v>
      </c>
      <c r="J183" s="610">
        <v>0</v>
      </c>
      <c r="K183" s="611">
        <f t="shared" si="18"/>
        <v>0</v>
      </c>
      <c r="L183" s="612">
        <f>VLOOKUP(A183,'BS Gr'!A:A,1,FALSE)</f>
        <v>101331</v>
      </c>
      <c r="M183" s="612">
        <f t="shared" si="14"/>
        <v>1</v>
      </c>
      <c r="N183" s="613">
        <f t="shared" si="16"/>
        <v>0</v>
      </c>
      <c r="O183" s="613">
        <f t="shared" si="19"/>
        <v>0</v>
      </c>
      <c r="P183" s="613">
        <v>0</v>
      </c>
      <c r="Q183" s="613">
        <f t="shared" si="20"/>
        <v>0</v>
      </c>
      <c r="R183" s="1514"/>
      <c r="S183" s="1617" t="e">
        <f>SUMIF('[105]TB for financial'!$A:$A,A183,'[105]TB for financial'!$E:$E)</f>
        <v>#VALUE!</v>
      </c>
      <c r="T183" s="613"/>
    </row>
    <row r="184" spans="1:20">
      <c r="A184" s="608">
        <v>101332</v>
      </c>
      <c r="B184" s="609" t="s">
        <v>1138</v>
      </c>
      <c r="C184" s="610">
        <f t="shared" si="15"/>
        <v>0</v>
      </c>
      <c r="D184" s="611">
        <v>0</v>
      </c>
      <c r="E184" s="610">
        <f>SUMIF('Entries 24-25'!$B:$B,A:A,'Entries 24-25'!$D:$D)-SUMIF('Entries 24-25'!$B:$B,A:A,'Entries 24-25'!$E:$E)+SUMIF('IND AS entries 24-25'!$B:$B,A:A,'IND AS entries 24-25'!$D:$D)-SUMIF('IND AS entries 24-25'!$B:$B,A:A,'IND AS entries 24-25'!$E:$E)</f>
        <v>0</v>
      </c>
      <c r="F184" s="611">
        <f t="shared" si="17"/>
        <v>0</v>
      </c>
      <c r="G184" s="610"/>
      <c r="H184" s="610">
        <v>0</v>
      </c>
      <c r="I184" s="611">
        <v>0</v>
      </c>
      <c r="J184" s="610">
        <v>0</v>
      </c>
      <c r="K184" s="611">
        <f t="shared" si="18"/>
        <v>0</v>
      </c>
      <c r="L184" s="612">
        <f>VLOOKUP(A184,'BS Gr'!A:A,1,FALSE)</f>
        <v>101332</v>
      </c>
      <c r="M184" s="612">
        <f t="shared" si="14"/>
        <v>1</v>
      </c>
      <c r="N184" s="613">
        <f t="shared" si="16"/>
        <v>0</v>
      </c>
      <c r="O184" s="613">
        <f t="shared" si="19"/>
        <v>0</v>
      </c>
      <c r="P184" s="613">
        <v>0</v>
      </c>
      <c r="Q184" s="613">
        <f t="shared" si="20"/>
        <v>0</v>
      </c>
      <c r="R184" s="1514"/>
      <c r="S184" s="1617" t="e">
        <f>SUMIF('[105]TB for financial'!$A:$A,A184,'[105]TB for financial'!$E:$E)</f>
        <v>#VALUE!</v>
      </c>
      <c r="T184" s="613"/>
    </row>
    <row r="185" spans="1:20">
      <c r="A185" s="608">
        <v>101333</v>
      </c>
      <c r="B185" s="609" t="s">
        <v>1139</v>
      </c>
      <c r="C185" s="610">
        <f t="shared" si="15"/>
        <v>0</v>
      </c>
      <c r="D185" s="611">
        <v>0</v>
      </c>
      <c r="E185" s="610">
        <f>SUMIF('Entries 24-25'!$B:$B,A:A,'Entries 24-25'!$D:$D)-SUMIF('Entries 24-25'!$B:$B,A:A,'Entries 24-25'!$E:$E)+SUMIF('IND AS entries 24-25'!$B:$B,A:A,'IND AS entries 24-25'!$D:$D)-SUMIF('IND AS entries 24-25'!$B:$B,A:A,'IND AS entries 24-25'!$E:$E)</f>
        <v>0</v>
      </c>
      <c r="F185" s="611">
        <f t="shared" si="17"/>
        <v>0</v>
      </c>
      <c r="G185" s="610"/>
      <c r="H185" s="610">
        <v>0</v>
      </c>
      <c r="I185" s="611">
        <v>0</v>
      </c>
      <c r="J185" s="610">
        <v>0</v>
      </c>
      <c r="K185" s="611">
        <f t="shared" si="18"/>
        <v>0</v>
      </c>
      <c r="L185" s="612">
        <f>VLOOKUP(A185,'BS Gr'!A:A,1,FALSE)</f>
        <v>101333</v>
      </c>
      <c r="M185" s="612">
        <f t="shared" si="14"/>
        <v>1</v>
      </c>
      <c r="N185" s="613">
        <f t="shared" si="16"/>
        <v>0</v>
      </c>
      <c r="O185" s="613">
        <f t="shared" si="19"/>
        <v>0</v>
      </c>
      <c r="P185" s="613">
        <v>0</v>
      </c>
      <c r="Q185" s="613">
        <f t="shared" si="20"/>
        <v>0</v>
      </c>
      <c r="R185" s="1514"/>
      <c r="S185" s="1617" t="e">
        <f>SUMIF('[105]TB for financial'!$A:$A,A185,'[105]TB for financial'!$E:$E)</f>
        <v>#VALUE!</v>
      </c>
      <c r="T185" s="613"/>
    </row>
    <row r="186" spans="1:20">
      <c r="A186" s="608">
        <v>101334</v>
      </c>
      <c r="B186" s="609" t="s">
        <v>1140</v>
      </c>
      <c r="C186" s="610">
        <f t="shared" si="15"/>
        <v>0</v>
      </c>
      <c r="D186" s="611">
        <v>0</v>
      </c>
      <c r="E186" s="610">
        <f>SUMIF('Entries 24-25'!$B:$B,A:A,'Entries 24-25'!$D:$D)-SUMIF('Entries 24-25'!$B:$B,A:A,'Entries 24-25'!$E:$E)+SUMIF('IND AS entries 24-25'!$B:$B,A:A,'IND AS entries 24-25'!$D:$D)-SUMIF('IND AS entries 24-25'!$B:$B,A:A,'IND AS entries 24-25'!$E:$E)</f>
        <v>0</v>
      </c>
      <c r="F186" s="611">
        <f t="shared" si="17"/>
        <v>0</v>
      </c>
      <c r="G186" s="610"/>
      <c r="H186" s="610">
        <v>0</v>
      </c>
      <c r="I186" s="611">
        <v>0</v>
      </c>
      <c r="J186" s="610">
        <v>0</v>
      </c>
      <c r="K186" s="611">
        <f t="shared" si="18"/>
        <v>0</v>
      </c>
      <c r="L186" s="612">
        <f>VLOOKUP(A186,'BS Gr'!A:A,1,FALSE)</f>
        <v>101334</v>
      </c>
      <c r="M186" s="612">
        <f t="shared" si="14"/>
        <v>1</v>
      </c>
      <c r="N186" s="613">
        <f t="shared" si="16"/>
        <v>0</v>
      </c>
      <c r="O186" s="613">
        <f t="shared" si="19"/>
        <v>0</v>
      </c>
      <c r="P186" s="613">
        <v>0</v>
      </c>
      <c r="Q186" s="613">
        <f t="shared" si="20"/>
        <v>0</v>
      </c>
      <c r="R186" s="1514"/>
      <c r="S186" s="1617" t="e">
        <f>SUMIF('[105]TB for financial'!$A:$A,A186,'[105]TB for financial'!$E:$E)</f>
        <v>#VALUE!</v>
      </c>
      <c r="T186" s="613"/>
    </row>
    <row r="187" spans="1:20">
      <c r="A187" s="608">
        <v>101335</v>
      </c>
      <c r="B187" s="609" t="s">
        <v>1141</v>
      </c>
      <c r="C187" s="610">
        <f t="shared" si="15"/>
        <v>0</v>
      </c>
      <c r="D187" s="611">
        <v>0</v>
      </c>
      <c r="E187" s="610">
        <f>SUMIF('Entries 24-25'!$B:$B,A:A,'Entries 24-25'!$D:$D)-SUMIF('Entries 24-25'!$B:$B,A:A,'Entries 24-25'!$E:$E)+SUMIF('IND AS entries 24-25'!$B:$B,A:A,'IND AS entries 24-25'!$D:$D)-SUMIF('IND AS entries 24-25'!$B:$B,A:A,'IND AS entries 24-25'!$E:$E)</f>
        <v>0</v>
      </c>
      <c r="F187" s="611">
        <f t="shared" si="17"/>
        <v>0</v>
      </c>
      <c r="G187" s="610"/>
      <c r="H187" s="610">
        <v>0</v>
      </c>
      <c r="I187" s="611">
        <v>0</v>
      </c>
      <c r="J187" s="610">
        <v>0</v>
      </c>
      <c r="K187" s="611">
        <f t="shared" si="18"/>
        <v>0</v>
      </c>
      <c r="L187" s="612">
        <f>VLOOKUP(A187,'BS Gr'!A:A,1,FALSE)</f>
        <v>101335</v>
      </c>
      <c r="M187" s="612">
        <f t="shared" si="14"/>
        <v>1</v>
      </c>
      <c r="N187" s="613">
        <f t="shared" si="16"/>
        <v>0</v>
      </c>
      <c r="O187" s="613">
        <f t="shared" si="19"/>
        <v>0</v>
      </c>
      <c r="P187" s="613">
        <v>0</v>
      </c>
      <c r="Q187" s="613">
        <f t="shared" si="20"/>
        <v>0</v>
      </c>
      <c r="R187" s="1514"/>
      <c r="S187" s="1617" t="e">
        <f>SUMIF('[105]TB for financial'!$A:$A,A187,'[105]TB for financial'!$E:$E)</f>
        <v>#VALUE!</v>
      </c>
      <c r="T187" s="613"/>
    </row>
    <row r="188" spans="1:20">
      <c r="A188" s="608">
        <v>101336</v>
      </c>
      <c r="B188" s="609" t="s">
        <v>1142</v>
      </c>
      <c r="C188" s="610">
        <f t="shared" si="15"/>
        <v>0</v>
      </c>
      <c r="D188" s="611">
        <v>0</v>
      </c>
      <c r="E188" s="610">
        <f>SUMIF('Entries 24-25'!$B:$B,A:A,'Entries 24-25'!$D:$D)-SUMIF('Entries 24-25'!$B:$B,A:A,'Entries 24-25'!$E:$E)+SUMIF('IND AS entries 24-25'!$B:$B,A:A,'IND AS entries 24-25'!$D:$D)-SUMIF('IND AS entries 24-25'!$B:$B,A:A,'IND AS entries 24-25'!$E:$E)</f>
        <v>0</v>
      </c>
      <c r="F188" s="611">
        <f t="shared" si="17"/>
        <v>0</v>
      </c>
      <c r="G188" s="610"/>
      <c r="H188" s="610">
        <v>0</v>
      </c>
      <c r="I188" s="611">
        <v>0</v>
      </c>
      <c r="J188" s="610">
        <v>0</v>
      </c>
      <c r="K188" s="611">
        <f t="shared" si="18"/>
        <v>0</v>
      </c>
      <c r="L188" s="612">
        <f>VLOOKUP(A188,'BS Gr'!A:A,1,FALSE)</f>
        <v>101336</v>
      </c>
      <c r="M188" s="612">
        <f t="shared" si="14"/>
        <v>1</v>
      </c>
      <c r="N188" s="613">
        <f t="shared" si="16"/>
        <v>0</v>
      </c>
      <c r="O188" s="613">
        <f t="shared" si="19"/>
        <v>0</v>
      </c>
      <c r="P188" s="613">
        <v>0</v>
      </c>
      <c r="Q188" s="613">
        <f t="shared" si="20"/>
        <v>0</v>
      </c>
      <c r="R188" s="1514"/>
      <c r="S188" s="1617" t="e">
        <f>SUMIF('[105]TB for financial'!$A:$A,A188,'[105]TB for financial'!$E:$E)</f>
        <v>#VALUE!</v>
      </c>
      <c r="T188" s="613"/>
    </row>
    <row r="189" spans="1:20">
      <c r="A189" s="608">
        <v>101337</v>
      </c>
      <c r="B189" s="609" t="s">
        <v>1143</v>
      </c>
      <c r="C189" s="610">
        <f t="shared" si="15"/>
        <v>0</v>
      </c>
      <c r="D189" s="611">
        <v>0</v>
      </c>
      <c r="E189" s="610">
        <f>SUMIF('Entries 24-25'!$B:$B,A:A,'Entries 24-25'!$D:$D)-SUMIF('Entries 24-25'!$B:$B,A:A,'Entries 24-25'!$E:$E)+SUMIF('IND AS entries 24-25'!$B:$B,A:A,'IND AS entries 24-25'!$D:$D)-SUMIF('IND AS entries 24-25'!$B:$B,A:A,'IND AS entries 24-25'!$E:$E)</f>
        <v>0</v>
      </c>
      <c r="F189" s="611">
        <f t="shared" si="17"/>
        <v>0</v>
      </c>
      <c r="G189" s="610"/>
      <c r="H189" s="610">
        <v>0</v>
      </c>
      <c r="I189" s="611">
        <v>0</v>
      </c>
      <c r="J189" s="610">
        <v>0</v>
      </c>
      <c r="K189" s="611">
        <f t="shared" si="18"/>
        <v>0</v>
      </c>
      <c r="L189" s="612">
        <f>VLOOKUP(A189,'BS Gr'!A:A,1,FALSE)</f>
        <v>101337</v>
      </c>
      <c r="M189" s="612">
        <f t="shared" si="14"/>
        <v>1</v>
      </c>
      <c r="N189" s="613">
        <f t="shared" si="16"/>
        <v>0</v>
      </c>
      <c r="O189" s="613">
        <f t="shared" si="19"/>
        <v>0</v>
      </c>
      <c r="P189" s="613">
        <v>0</v>
      </c>
      <c r="Q189" s="613">
        <f t="shared" si="20"/>
        <v>0</v>
      </c>
      <c r="R189" s="1514"/>
      <c r="S189" s="1617" t="e">
        <f>SUMIF('[105]TB for financial'!$A:$A,A189,'[105]TB for financial'!$E:$E)</f>
        <v>#VALUE!</v>
      </c>
      <c r="T189" s="613"/>
    </row>
    <row r="190" spans="1:20">
      <c r="A190" s="608">
        <v>101338</v>
      </c>
      <c r="B190" s="609" t="s">
        <v>1144</v>
      </c>
      <c r="C190" s="610">
        <f t="shared" si="15"/>
        <v>0</v>
      </c>
      <c r="D190" s="611">
        <v>0</v>
      </c>
      <c r="E190" s="610">
        <f>SUMIF('Entries 24-25'!$B:$B,A:A,'Entries 24-25'!$D:$D)-SUMIF('Entries 24-25'!$B:$B,A:A,'Entries 24-25'!$E:$E)+SUMIF('IND AS entries 24-25'!$B:$B,A:A,'IND AS entries 24-25'!$D:$D)-SUMIF('IND AS entries 24-25'!$B:$B,A:A,'IND AS entries 24-25'!$E:$E)</f>
        <v>0</v>
      </c>
      <c r="F190" s="611">
        <f t="shared" si="17"/>
        <v>0</v>
      </c>
      <c r="G190" s="610"/>
      <c r="H190" s="610">
        <v>0</v>
      </c>
      <c r="I190" s="611">
        <v>0</v>
      </c>
      <c r="J190" s="610">
        <v>0</v>
      </c>
      <c r="K190" s="611">
        <f t="shared" si="18"/>
        <v>0</v>
      </c>
      <c r="L190" s="612">
        <f>VLOOKUP(A190,'BS Gr'!A:A,1,FALSE)</f>
        <v>101338</v>
      </c>
      <c r="M190" s="612">
        <f t="shared" si="14"/>
        <v>1</v>
      </c>
      <c r="N190" s="613">
        <f t="shared" si="16"/>
        <v>0</v>
      </c>
      <c r="O190" s="613">
        <f t="shared" si="19"/>
        <v>0</v>
      </c>
      <c r="P190" s="613">
        <v>0</v>
      </c>
      <c r="Q190" s="613">
        <f t="shared" si="20"/>
        <v>0</v>
      </c>
      <c r="R190" s="1514"/>
      <c r="S190" s="1617" t="e">
        <f>SUMIF('[105]TB for financial'!$A:$A,A190,'[105]TB for financial'!$E:$E)</f>
        <v>#VALUE!</v>
      </c>
      <c r="T190" s="613"/>
    </row>
    <row r="191" spans="1:20">
      <c r="A191" s="608">
        <v>101339</v>
      </c>
      <c r="B191" s="609" t="s">
        <v>1145</v>
      </c>
      <c r="C191" s="610">
        <f t="shared" si="15"/>
        <v>0</v>
      </c>
      <c r="D191" s="611">
        <v>0</v>
      </c>
      <c r="E191" s="610">
        <f>SUMIF('Entries 24-25'!$B:$B,A:A,'Entries 24-25'!$D:$D)-SUMIF('Entries 24-25'!$B:$B,A:A,'Entries 24-25'!$E:$E)+SUMIF('IND AS entries 24-25'!$B:$B,A:A,'IND AS entries 24-25'!$D:$D)-SUMIF('IND AS entries 24-25'!$B:$B,A:A,'IND AS entries 24-25'!$E:$E)</f>
        <v>0</v>
      </c>
      <c r="F191" s="611">
        <f t="shared" si="17"/>
        <v>0</v>
      </c>
      <c r="G191" s="610"/>
      <c r="H191" s="610">
        <v>0</v>
      </c>
      <c r="I191" s="611">
        <v>0</v>
      </c>
      <c r="J191" s="610">
        <v>0</v>
      </c>
      <c r="K191" s="611">
        <f t="shared" si="18"/>
        <v>0</v>
      </c>
      <c r="L191" s="612">
        <f>VLOOKUP(A191,'BS Gr'!A:A,1,FALSE)</f>
        <v>101339</v>
      </c>
      <c r="M191" s="612">
        <f t="shared" si="14"/>
        <v>1</v>
      </c>
      <c r="N191" s="613">
        <f t="shared" si="16"/>
        <v>0</v>
      </c>
      <c r="O191" s="613">
        <f t="shared" si="19"/>
        <v>0</v>
      </c>
      <c r="P191" s="613">
        <v>0</v>
      </c>
      <c r="Q191" s="613">
        <f t="shared" si="20"/>
        <v>0</v>
      </c>
      <c r="R191" s="1514"/>
      <c r="S191" s="1617" t="e">
        <f>SUMIF('[105]TB for financial'!$A:$A,A191,'[105]TB for financial'!$E:$E)</f>
        <v>#VALUE!</v>
      </c>
      <c r="T191" s="613"/>
    </row>
    <row r="192" spans="1:20">
      <c r="A192" s="608">
        <v>101340</v>
      </c>
      <c r="B192" s="609" t="s">
        <v>1146</v>
      </c>
      <c r="C192" s="610">
        <f t="shared" si="15"/>
        <v>0</v>
      </c>
      <c r="D192" s="611">
        <v>0</v>
      </c>
      <c r="E192" s="610">
        <f>SUMIF('Entries 24-25'!$B:$B,A:A,'Entries 24-25'!$D:$D)-SUMIF('Entries 24-25'!$B:$B,A:A,'Entries 24-25'!$E:$E)+SUMIF('IND AS entries 24-25'!$B:$B,A:A,'IND AS entries 24-25'!$D:$D)-SUMIF('IND AS entries 24-25'!$B:$B,A:A,'IND AS entries 24-25'!$E:$E)</f>
        <v>0</v>
      </c>
      <c r="F192" s="611">
        <f t="shared" si="17"/>
        <v>0</v>
      </c>
      <c r="G192" s="610"/>
      <c r="H192" s="610">
        <v>0</v>
      </c>
      <c r="I192" s="611">
        <v>0</v>
      </c>
      <c r="J192" s="610">
        <v>0</v>
      </c>
      <c r="K192" s="611">
        <f t="shared" si="18"/>
        <v>0</v>
      </c>
      <c r="L192" s="612">
        <f>VLOOKUP(A192,'BS Gr'!A:A,1,FALSE)</f>
        <v>101340</v>
      </c>
      <c r="M192" s="612">
        <f t="shared" si="14"/>
        <v>1</v>
      </c>
      <c r="N192" s="613">
        <f t="shared" si="16"/>
        <v>0</v>
      </c>
      <c r="O192" s="613">
        <f t="shared" si="19"/>
        <v>0</v>
      </c>
      <c r="P192" s="613">
        <v>0</v>
      </c>
      <c r="Q192" s="613">
        <f t="shared" si="20"/>
        <v>0</v>
      </c>
      <c r="R192" s="1514"/>
      <c r="S192" s="1617" t="e">
        <f>SUMIF('[105]TB for financial'!$A:$A,A192,'[105]TB for financial'!$E:$E)</f>
        <v>#VALUE!</v>
      </c>
      <c r="T192" s="613"/>
    </row>
    <row r="193" spans="1:20">
      <c r="A193" s="608">
        <v>101341</v>
      </c>
      <c r="B193" s="615" t="s">
        <v>1147</v>
      </c>
      <c r="C193" s="610">
        <f t="shared" si="15"/>
        <v>0</v>
      </c>
      <c r="D193" s="611">
        <v>0</v>
      </c>
      <c r="E193" s="610">
        <f>SUMIF('Entries 24-25'!$B:$B,A:A,'Entries 24-25'!$D:$D)-SUMIF('Entries 24-25'!$B:$B,A:A,'Entries 24-25'!$E:$E)+SUMIF('IND AS entries 24-25'!$B:$B,A:A,'IND AS entries 24-25'!$D:$D)-SUMIF('IND AS entries 24-25'!$B:$B,A:A,'IND AS entries 24-25'!$E:$E)</f>
        <v>0</v>
      </c>
      <c r="F193" s="611">
        <f t="shared" si="17"/>
        <v>0</v>
      </c>
      <c r="G193" s="610"/>
      <c r="H193" s="610">
        <v>0</v>
      </c>
      <c r="I193" s="611">
        <v>0</v>
      </c>
      <c r="J193" s="610">
        <v>0</v>
      </c>
      <c r="K193" s="611">
        <f t="shared" si="18"/>
        <v>0</v>
      </c>
      <c r="L193" s="612">
        <f>VLOOKUP(A193,'BS Gr'!A:A,1,FALSE)</f>
        <v>101341</v>
      </c>
      <c r="M193" s="612">
        <f t="shared" si="14"/>
        <v>1</v>
      </c>
      <c r="N193" s="613">
        <f t="shared" si="16"/>
        <v>0</v>
      </c>
      <c r="O193" s="613">
        <f t="shared" si="19"/>
        <v>0</v>
      </c>
      <c r="P193" s="613">
        <v>0</v>
      </c>
      <c r="Q193" s="613">
        <f t="shared" si="20"/>
        <v>0</v>
      </c>
      <c r="R193" s="1514"/>
      <c r="S193" s="1617" t="e">
        <f>SUMIF('[105]TB for financial'!$A:$A,A193,'[105]TB for financial'!$E:$E)</f>
        <v>#VALUE!</v>
      </c>
      <c r="T193" s="613"/>
    </row>
    <row r="194" spans="1:20">
      <c r="A194" s="608">
        <v>101342</v>
      </c>
      <c r="B194" s="615" t="s">
        <v>1148</v>
      </c>
      <c r="C194" s="610">
        <f t="shared" si="15"/>
        <v>0</v>
      </c>
      <c r="D194" s="611">
        <v>0</v>
      </c>
      <c r="E194" s="610">
        <f>SUMIF('Entries 24-25'!$B:$B,A:A,'Entries 24-25'!$D:$D)-SUMIF('Entries 24-25'!$B:$B,A:A,'Entries 24-25'!$E:$E)+SUMIF('IND AS entries 24-25'!$B:$B,A:A,'IND AS entries 24-25'!$D:$D)-SUMIF('IND AS entries 24-25'!$B:$B,A:A,'IND AS entries 24-25'!$E:$E)</f>
        <v>0</v>
      </c>
      <c r="F194" s="611">
        <f t="shared" si="17"/>
        <v>0</v>
      </c>
      <c r="G194" s="610"/>
      <c r="H194" s="610">
        <v>0</v>
      </c>
      <c r="I194" s="611">
        <v>0</v>
      </c>
      <c r="J194" s="610">
        <v>0</v>
      </c>
      <c r="K194" s="611">
        <f t="shared" si="18"/>
        <v>0</v>
      </c>
      <c r="L194" s="612">
        <f>VLOOKUP(A194,'BS Gr'!A:A,1,FALSE)</f>
        <v>101342</v>
      </c>
      <c r="M194" s="612">
        <f t="shared" si="14"/>
        <v>1</v>
      </c>
      <c r="N194" s="613">
        <f t="shared" si="16"/>
        <v>0</v>
      </c>
      <c r="O194" s="613">
        <f t="shared" si="19"/>
        <v>0</v>
      </c>
      <c r="P194" s="613">
        <v>0</v>
      </c>
      <c r="Q194" s="613">
        <f t="shared" si="20"/>
        <v>0</v>
      </c>
      <c r="R194" s="1514"/>
      <c r="S194" s="1617" t="e">
        <f>SUMIF('[105]TB for financial'!$A:$A,A194,'[105]TB for financial'!$E:$E)</f>
        <v>#VALUE!</v>
      </c>
      <c r="T194" s="613"/>
    </row>
    <row r="195" spans="1:20">
      <c r="A195" s="608">
        <v>101360</v>
      </c>
      <c r="B195" s="609" t="s">
        <v>1149</v>
      </c>
      <c r="C195" s="610">
        <f t="shared" si="15"/>
        <v>0</v>
      </c>
      <c r="D195" s="611">
        <v>0</v>
      </c>
      <c r="E195" s="610">
        <f>SUMIF('Entries 24-25'!$B:$B,A:A,'Entries 24-25'!$D:$D)-SUMIF('Entries 24-25'!$B:$B,A:A,'Entries 24-25'!$E:$E)+SUMIF('IND AS entries 24-25'!$B:$B,A:A,'IND AS entries 24-25'!$D:$D)-SUMIF('IND AS entries 24-25'!$B:$B,A:A,'IND AS entries 24-25'!$E:$E)</f>
        <v>0</v>
      </c>
      <c r="F195" s="611">
        <f t="shared" si="17"/>
        <v>0</v>
      </c>
      <c r="G195" s="610"/>
      <c r="H195" s="610">
        <v>0</v>
      </c>
      <c r="I195" s="611">
        <v>0</v>
      </c>
      <c r="J195" s="610">
        <v>0</v>
      </c>
      <c r="K195" s="611">
        <f t="shared" si="18"/>
        <v>0</v>
      </c>
      <c r="L195" s="612">
        <f>VLOOKUP(A195,'BS Gr'!A:A,1,FALSE)</f>
        <v>101360</v>
      </c>
      <c r="M195" s="612">
        <f t="shared" si="14"/>
        <v>1</v>
      </c>
      <c r="N195" s="613">
        <f t="shared" si="16"/>
        <v>0</v>
      </c>
      <c r="O195" s="613">
        <f t="shared" si="19"/>
        <v>0</v>
      </c>
      <c r="P195" s="613">
        <v>0</v>
      </c>
      <c r="Q195" s="613">
        <f t="shared" si="20"/>
        <v>0</v>
      </c>
      <c r="R195" s="1514"/>
      <c r="S195" s="1617" t="e">
        <f>SUMIF('[105]TB for financial'!$A:$A,A195,'[105]TB for financial'!$E:$E)</f>
        <v>#VALUE!</v>
      </c>
      <c r="T195" s="613"/>
    </row>
    <row r="196" spans="1:20">
      <c r="A196" s="608">
        <v>101361</v>
      </c>
      <c r="B196" s="609" t="s">
        <v>1150</v>
      </c>
      <c r="C196" s="610">
        <f t="shared" si="15"/>
        <v>0</v>
      </c>
      <c r="D196" s="611">
        <v>0</v>
      </c>
      <c r="E196" s="610">
        <f>SUMIF('Entries 24-25'!$B:$B,A:A,'Entries 24-25'!$D:$D)-SUMIF('Entries 24-25'!$B:$B,A:A,'Entries 24-25'!$E:$E)+SUMIF('IND AS entries 24-25'!$B:$B,A:A,'IND AS entries 24-25'!$D:$D)-SUMIF('IND AS entries 24-25'!$B:$B,A:A,'IND AS entries 24-25'!$E:$E)</f>
        <v>0</v>
      </c>
      <c r="F196" s="611">
        <f t="shared" si="17"/>
        <v>0</v>
      </c>
      <c r="G196" s="610"/>
      <c r="H196" s="610">
        <v>0</v>
      </c>
      <c r="I196" s="611">
        <v>0</v>
      </c>
      <c r="J196" s="610">
        <v>0</v>
      </c>
      <c r="K196" s="611">
        <f t="shared" si="18"/>
        <v>0</v>
      </c>
      <c r="L196" s="612">
        <f>VLOOKUP(A196,'BS Gr'!A:A,1,FALSE)</f>
        <v>101361</v>
      </c>
      <c r="M196" s="612">
        <f t="shared" si="14"/>
        <v>1</v>
      </c>
      <c r="N196" s="613">
        <f t="shared" si="16"/>
        <v>0</v>
      </c>
      <c r="O196" s="613">
        <f t="shared" si="19"/>
        <v>0</v>
      </c>
      <c r="P196" s="613">
        <v>0</v>
      </c>
      <c r="Q196" s="613">
        <f t="shared" si="20"/>
        <v>0</v>
      </c>
      <c r="R196" s="1514"/>
      <c r="S196" s="1617" t="e">
        <f>SUMIF('[105]TB for financial'!$A:$A,A196,'[105]TB for financial'!$E:$E)</f>
        <v>#VALUE!</v>
      </c>
      <c r="T196" s="613"/>
    </row>
    <row r="197" spans="1:20">
      <c r="A197" s="608">
        <v>101363</v>
      </c>
      <c r="B197" s="615" t="s">
        <v>1151</v>
      </c>
      <c r="C197" s="610">
        <f t="shared" si="15"/>
        <v>0</v>
      </c>
      <c r="D197" s="611">
        <v>0</v>
      </c>
      <c r="E197" s="610">
        <f>SUMIF('Entries 24-25'!$B:$B,A:A,'Entries 24-25'!$D:$D)-SUMIF('Entries 24-25'!$B:$B,A:A,'Entries 24-25'!$E:$E)+SUMIF('IND AS entries 24-25'!$B:$B,A:A,'IND AS entries 24-25'!$D:$D)-SUMIF('IND AS entries 24-25'!$B:$B,A:A,'IND AS entries 24-25'!$E:$E)</f>
        <v>0</v>
      </c>
      <c r="F197" s="611">
        <f t="shared" si="17"/>
        <v>0</v>
      </c>
      <c r="G197" s="610"/>
      <c r="H197" s="610">
        <v>0</v>
      </c>
      <c r="I197" s="611">
        <v>0</v>
      </c>
      <c r="J197" s="610">
        <v>0</v>
      </c>
      <c r="K197" s="611">
        <f t="shared" si="18"/>
        <v>0</v>
      </c>
      <c r="L197" s="612">
        <f>VLOOKUP(A197,'BS Gr'!A:A,1,FALSE)</f>
        <v>101363</v>
      </c>
      <c r="M197" s="612">
        <f t="shared" ref="M197:M260" si="21">COUNTIF(A:A,A197)</f>
        <v>1</v>
      </c>
      <c r="N197" s="613">
        <f t="shared" si="16"/>
        <v>0</v>
      </c>
      <c r="O197" s="613">
        <f t="shared" si="19"/>
        <v>0</v>
      </c>
      <c r="P197" s="613">
        <v>0</v>
      </c>
      <c r="Q197" s="613">
        <f t="shared" si="20"/>
        <v>0</v>
      </c>
      <c r="R197" s="1514"/>
      <c r="S197" s="1617" t="e">
        <f>SUMIF('[105]TB for financial'!$A:$A,A197,'[105]TB for financial'!$E:$E)</f>
        <v>#VALUE!</v>
      </c>
      <c r="T197" s="613"/>
    </row>
    <row r="198" spans="1:20">
      <c r="A198" s="608">
        <v>101366</v>
      </c>
      <c r="B198" s="609" t="s">
        <v>1152</v>
      </c>
      <c r="C198" s="610">
        <f t="shared" ref="C198:C261" si="22">K198</f>
        <v>0</v>
      </c>
      <c r="D198" s="611">
        <v>0</v>
      </c>
      <c r="E198" s="610">
        <f>SUMIF('Entries 24-25'!$B:$B,A:A,'Entries 24-25'!$D:$D)-SUMIF('Entries 24-25'!$B:$B,A:A,'Entries 24-25'!$E:$E)+SUMIF('IND AS entries 24-25'!$B:$B,A:A,'IND AS entries 24-25'!$D:$D)-SUMIF('IND AS entries 24-25'!$B:$B,A:A,'IND AS entries 24-25'!$E:$E)</f>
        <v>0</v>
      </c>
      <c r="F198" s="611">
        <f t="shared" si="17"/>
        <v>0</v>
      </c>
      <c r="G198" s="610"/>
      <c r="H198" s="610">
        <v>0</v>
      </c>
      <c r="I198" s="611">
        <v>0</v>
      </c>
      <c r="J198" s="610">
        <v>0</v>
      </c>
      <c r="K198" s="611">
        <f t="shared" si="18"/>
        <v>0</v>
      </c>
      <c r="L198" s="612">
        <f>VLOOKUP(A198,'BS Gr'!A:A,1,FALSE)</f>
        <v>101366</v>
      </c>
      <c r="M198" s="612">
        <f t="shared" si="21"/>
        <v>1</v>
      </c>
      <c r="N198" s="613">
        <f t="shared" ref="N198:N261" si="23">C198-K198</f>
        <v>0</v>
      </c>
      <c r="O198" s="613">
        <f t="shared" si="19"/>
        <v>0</v>
      </c>
      <c r="P198" s="613">
        <v>0</v>
      </c>
      <c r="Q198" s="613">
        <f t="shared" si="20"/>
        <v>0</v>
      </c>
      <c r="R198" s="1514"/>
      <c r="S198" s="1617" t="e">
        <f>SUMIF('[105]TB for financial'!$A:$A,A198,'[105]TB for financial'!$E:$E)</f>
        <v>#VALUE!</v>
      </c>
      <c r="T198" s="613"/>
    </row>
    <row r="199" spans="1:20">
      <c r="A199" s="608">
        <v>101367</v>
      </c>
      <c r="B199" s="609" t="s">
        <v>1153</v>
      </c>
      <c r="C199" s="610">
        <f t="shared" si="22"/>
        <v>0</v>
      </c>
      <c r="D199" s="611">
        <v>0</v>
      </c>
      <c r="E199" s="610">
        <f>SUMIF('Entries 24-25'!$B:$B,A:A,'Entries 24-25'!$D:$D)-SUMIF('Entries 24-25'!$B:$B,A:A,'Entries 24-25'!$E:$E)+SUMIF('IND AS entries 24-25'!$B:$B,A:A,'IND AS entries 24-25'!$D:$D)-SUMIF('IND AS entries 24-25'!$B:$B,A:A,'IND AS entries 24-25'!$E:$E)</f>
        <v>0</v>
      </c>
      <c r="F199" s="611">
        <f t="shared" si="17"/>
        <v>0</v>
      </c>
      <c r="G199" s="610"/>
      <c r="H199" s="610">
        <v>0</v>
      </c>
      <c r="I199" s="611">
        <v>0</v>
      </c>
      <c r="J199" s="610">
        <v>0</v>
      </c>
      <c r="K199" s="611">
        <f t="shared" si="18"/>
        <v>0</v>
      </c>
      <c r="L199" s="612">
        <f>VLOOKUP(A199,'BS Gr'!A:A,1,FALSE)</f>
        <v>101367</v>
      </c>
      <c r="M199" s="612">
        <f t="shared" si="21"/>
        <v>1</v>
      </c>
      <c r="N199" s="613">
        <f t="shared" si="23"/>
        <v>0</v>
      </c>
      <c r="O199" s="613">
        <f t="shared" si="19"/>
        <v>0</v>
      </c>
      <c r="P199" s="613">
        <v>0</v>
      </c>
      <c r="Q199" s="613">
        <f t="shared" si="20"/>
        <v>0</v>
      </c>
      <c r="R199" s="1514"/>
      <c r="S199" s="1617" t="e">
        <f>SUMIF('[105]TB for financial'!$A:$A,A199,'[105]TB for financial'!$E:$E)</f>
        <v>#VALUE!</v>
      </c>
      <c r="T199" s="613"/>
    </row>
    <row r="200" spans="1:20">
      <c r="A200" s="608">
        <v>101368</v>
      </c>
      <c r="B200" s="609" t="s">
        <v>1154</v>
      </c>
      <c r="C200" s="610">
        <f t="shared" si="22"/>
        <v>0</v>
      </c>
      <c r="D200" s="611">
        <v>0</v>
      </c>
      <c r="E200" s="610">
        <f>SUMIF('Entries 24-25'!$B:$B,A:A,'Entries 24-25'!$D:$D)-SUMIF('Entries 24-25'!$B:$B,A:A,'Entries 24-25'!$E:$E)+SUMIF('IND AS entries 24-25'!$B:$B,A:A,'IND AS entries 24-25'!$D:$D)-SUMIF('IND AS entries 24-25'!$B:$B,A:A,'IND AS entries 24-25'!$E:$E)</f>
        <v>0</v>
      </c>
      <c r="F200" s="611">
        <f t="shared" ref="F200:F263" si="24">SUM(C200:E200)</f>
        <v>0</v>
      </c>
      <c r="G200" s="610"/>
      <c r="H200" s="610">
        <v>0</v>
      </c>
      <c r="I200" s="611">
        <v>0</v>
      </c>
      <c r="J200" s="610">
        <v>0</v>
      </c>
      <c r="K200" s="611">
        <f t="shared" ref="K200:K263" si="25">SUM(H200:J200)</f>
        <v>0</v>
      </c>
      <c r="L200" s="612">
        <f>VLOOKUP(A200,'BS Gr'!A:A,1,FALSE)</f>
        <v>101368</v>
      </c>
      <c r="M200" s="612">
        <f t="shared" si="21"/>
        <v>1</v>
      </c>
      <c r="N200" s="613">
        <f t="shared" si="23"/>
        <v>0</v>
      </c>
      <c r="O200" s="613">
        <f t="shared" si="19"/>
        <v>0</v>
      </c>
      <c r="P200" s="613">
        <v>0</v>
      </c>
      <c r="Q200" s="613">
        <f t="shared" si="20"/>
        <v>0</v>
      </c>
      <c r="R200" s="1514"/>
      <c r="S200" s="1617" t="e">
        <f>SUMIF('[105]TB for financial'!$A:$A,A200,'[105]TB for financial'!$E:$E)</f>
        <v>#VALUE!</v>
      </c>
      <c r="T200" s="613"/>
    </row>
    <row r="201" spans="1:20">
      <c r="A201" s="608">
        <v>101369</v>
      </c>
      <c r="B201" s="609" t="s">
        <v>1155</v>
      </c>
      <c r="C201" s="610">
        <f t="shared" si="22"/>
        <v>0</v>
      </c>
      <c r="D201" s="611">
        <v>0</v>
      </c>
      <c r="E201" s="610">
        <f>SUMIF('Entries 24-25'!$B:$B,A:A,'Entries 24-25'!$D:$D)-SUMIF('Entries 24-25'!$B:$B,A:A,'Entries 24-25'!$E:$E)+SUMIF('IND AS entries 24-25'!$B:$B,A:A,'IND AS entries 24-25'!$D:$D)-SUMIF('IND AS entries 24-25'!$B:$B,A:A,'IND AS entries 24-25'!$E:$E)</f>
        <v>0</v>
      </c>
      <c r="F201" s="611">
        <f t="shared" si="24"/>
        <v>0</v>
      </c>
      <c r="G201" s="610"/>
      <c r="H201" s="610">
        <v>0</v>
      </c>
      <c r="I201" s="611">
        <v>0</v>
      </c>
      <c r="J201" s="610">
        <v>0</v>
      </c>
      <c r="K201" s="611">
        <f t="shared" si="25"/>
        <v>0</v>
      </c>
      <c r="L201" s="612">
        <f>VLOOKUP(A201,'BS Gr'!A:A,1,FALSE)</f>
        <v>101369</v>
      </c>
      <c r="M201" s="612">
        <f t="shared" si="21"/>
        <v>1</v>
      </c>
      <c r="N201" s="613">
        <f t="shared" si="23"/>
        <v>0</v>
      </c>
      <c r="O201" s="613">
        <f t="shared" ref="O201:O280" si="26">C201-K201</f>
        <v>0</v>
      </c>
      <c r="P201" s="613">
        <v>0</v>
      </c>
      <c r="Q201" s="613">
        <f t="shared" si="20"/>
        <v>0</v>
      </c>
      <c r="R201" s="1514"/>
      <c r="S201" s="1617" t="e">
        <f>SUMIF('[105]TB for financial'!$A:$A,A201,'[105]TB for financial'!$E:$E)</f>
        <v>#VALUE!</v>
      </c>
      <c r="T201" s="613"/>
    </row>
    <row r="202" spans="1:20">
      <c r="A202" s="608">
        <v>101370</v>
      </c>
      <c r="B202" s="609" t="s">
        <v>1156</v>
      </c>
      <c r="C202" s="610">
        <f t="shared" si="22"/>
        <v>0</v>
      </c>
      <c r="D202" s="611">
        <v>0</v>
      </c>
      <c r="E202" s="610">
        <f>SUMIF('Entries 24-25'!$B:$B,A:A,'Entries 24-25'!$D:$D)-SUMIF('Entries 24-25'!$B:$B,A:A,'Entries 24-25'!$E:$E)+SUMIF('IND AS entries 24-25'!$B:$B,A:A,'IND AS entries 24-25'!$D:$D)-SUMIF('IND AS entries 24-25'!$B:$B,A:A,'IND AS entries 24-25'!$E:$E)</f>
        <v>0</v>
      </c>
      <c r="F202" s="611">
        <f t="shared" si="24"/>
        <v>0</v>
      </c>
      <c r="G202" s="610"/>
      <c r="H202" s="610">
        <v>0</v>
      </c>
      <c r="I202" s="611">
        <v>0</v>
      </c>
      <c r="J202" s="610">
        <v>0</v>
      </c>
      <c r="K202" s="611">
        <f t="shared" si="25"/>
        <v>0</v>
      </c>
      <c r="L202" s="612">
        <f>VLOOKUP(A202,'BS Gr'!A:A,1,FALSE)</f>
        <v>101370</v>
      </c>
      <c r="M202" s="612">
        <f t="shared" si="21"/>
        <v>1</v>
      </c>
      <c r="N202" s="613">
        <f t="shared" si="23"/>
        <v>0</v>
      </c>
      <c r="O202" s="613">
        <f t="shared" si="26"/>
        <v>0</v>
      </c>
      <c r="P202" s="613">
        <v>0</v>
      </c>
      <c r="Q202" s="613">
        <f t="shared" ref="Q202:Q272" si="27">+K202-P202</f>
        <v>0</v>
      </c>
      <c r="R202" s="1514"/>
      <c r="S202" s="1617" t="e">
        <f>SUMIF('[105]TB for financial'!$A:$A,A202,'[105]TB for financial'!$E:$E)</f>
        <v>#VALUE!</v>
      </c>
      <c r="T202" s="613"/>
    </row>
    <row r="203" spans="1:20">
      <c r="A203" s="608">
        <v>101371</v>
      </c>
      <c r="B203" s="609" t="s">
        <v>1157</v>
      </c>
      <c r="C203" s="610">
        <f t="shared" si="22"/>
        <v>0</v>
      </c>
      <c r="D203" s="611">
        <v>0</v>
      </c>
      <c r="E203" s="610">
        <f>SUMIF('Entries 24-25'!$B:$B,A:A,'Entries 24-25'!$D:$D)-SUMIF('Entries 24-25'!$B:$B,A:A,'Entries 24-25'!$E:$E)+SUMIF('IND AS entries 24-25'!$B:$B,A:A,'IND AS entries 24-25'!$D:$D)-SUMIF('IND AS entries 24-25'!$B:$B,A:A,'IND AS entries 24-25'!$E:$E)</f>
        <v>0</v>
      </c>
      <c r="F203" s="611">
        <f t="shared" si="24"/>
        <v>0</v>
      </c>
      <c r="G203" s="610"/>
      <c r="H203" s="610">
        <v>0</v>
      </c>
      <c r="I203" s="611">
        <v>0</v>
      </c>
      <c r="J203" s="610">
        <v>0</v>
      </c>
      <c r="K203" s="611">
        <f t="shared" si="25"/>
        <v>0</v>
      </c>
      <c r="L203" s="612">
        <f>VLOOKUP(A203,'BS Gr'!A:A,1,FALSE)</f>
        <v>101371</v>
      </c>
      <c r="M203" s="612">
        <f t="shared" si="21"/>
        <v>1</v>
      </c>
      <c r="N203" s="613">
        <f t="shared" si="23"/>
        <v>0</v>
      </c>
      <c r="O203" s="613">
        <f t="shared" si="26"/>
        <v>0</v>
      </c>
      <c r="P203" s="613">
        <v>0</v>
      </c>
      <c r="Q203" s="613">
        <f t="shared" si="27"/>
        <v>0</v>
      </c>
      <c r="R203" s="1514"/>
      <c r="S203" s="1617" t="e">
        <f>SUMIF('[105]TB for financial'!$A:$A,A203,'[105]TB for financial'!$E:$E)</f>
        <v>#VALUE!</v>
      </c>
      <c r="T203" s="613"/>
    </row>
    <row r="204" spans="1:20">
      <c r="A204" s="608">
        <v>101372</v>
      </c>
      <c r="B204" s="609" t="s">
        <v>1158</v>
      </c>
      <c r="C204" s="610">
        <f t="shared" si="22"/>
        <v>0</v>
      </c>
      <c r="D204" s="611">
        <v>0</v>
      </c>
      <c r="E204" s="610">
        <f>SUMIF('Entries 24-25'!$B:$B,A:A,'Entries 24-25'!$D:$D)-SUMIF('Entries 24-25'!$B:$B,A:A,'Entries 24-25'!$E:$E)+SUMIF('IND AS entries 24-25'!$B:$B,A:A,'IND AS entries 24-25'!$D:$D)-SUMIF('IND AS entries 24-25'!$B:$B,A:A,'IND AS entries 24-25'!$E:$E)</f>
        <v>0</v>
      </c>
      <c r="F204" s="611">
        <f t="shared" si="24"/>
        <v>0</v>
      </c>
      <c r="G204" s="610"/>
      <c r="H204" s="610">
        <v>0</v>
      </c>
      <c r="I204" s="611">
        <v>0</v>
      </c>
      <c r="J204" s="610">
        <v>0</v>
      </c>
      <c r="K204" s="611">
        <f t="shared" si="25"/>
        <v>0</v>
      </c>
      <c r="L204" s="612">
        <f>VLOOKUP(A204,'BS Gr'!A:A,1,FALSE)</f>
        <v>101372</v>
      </c>
      <c r="M204" s="612">
        <f t="shared" si="21"/>
        <v>1</v>
      </c>
      <c r="N204" s="613">
        <f t="shared" si="23"/>
        <v>0</v>
      </c>
      <c r="O204" s="613">
        <f t="shared" si="26"/>
        <v>0</v>
      </c>
      <c r="P204" s="613">
        <v>0</v>
      </c>
      <c r="Q204" s="613">
        <f t="shared" si="27"/>
        <v>0</v>
      </c>
      <c r="R204" s="1514"/>
      <c r="S204" s="1617" t="e">
        <f>SUMIF('[105]TB for financial'!$A:$A,A204,'[105]TB for financial'!$E:$E)</f>
        <v>#VALUE!</v>
      </c>
      <c r="T204" s="613"/>
    </row>
    <row r="205" spans="1:20">
      <c r="A205" s="608">
        <v>101373</v>
      </c>
      <c r="B205" s="609" t="s">
        <v>1159</v>
      </c>
      <c r="C205" s="610">
        <f t="shared" si="22"/>
        <v>0</v>
      </c>
      <c r="D205" s="611">
        <v>0</v>
      </c>
      <c r="E205" s="610">
        <f>SUMIF('Entries 24-25'!$B:$B,A:A,'Entries 24-25'!$D:$D)-SUMIF('Entries 24-25'!$B:$B,A:A,'Entries 24-25'!$E:$E)+SUMIF('IND AS entries 24-25'!$B:$B,A:A,'IND AS entries 24-25'!$D:$D)-SUMIF('IND AS entries 24-25'!$B:$B,A:A,'IND AS entries 24-25'!$E:$E)</f>
        <v>0</v>
      </c>
      <c r="F205" s="611">
        <f t="shared" si="24"/>
        <v>0</v>
      </c>
      <c r="G205" s="610"/>
      <c r="H205" s="610">
        <v>0</v>
      </c>
      <c r="I205" s="611">
        <v>0</v>
      </c>
      <c r="J205" s="610">
        <v>0</v>
      </c>
      <c r="K205" s="611">
        <f t="shared" si="25"/>
        <v>0</v>
      </c>
      <c r="L205" s="612">
        <f>VLOOKUP(A205,'BS Gr'!A:A,1,FALSE)</f>
        <v>101373</v>
      </c>
      <c r="M205" s="612">
        <f t="shared" si="21"/>
        <v>1</v>
      </c>
      <c r="N205" s="613">
        <f t="shared" si="23"/>
        <v>0</v>
      </c>
      <c r="O205" s="613">
        <f t="shared" si="26"/>
        <v>0</v>
      </c>
      <c r="P205" s="613">
        <v>0</v>
      </c>
      <c r="Q205" s="613">
        <f t="shared" si="27"/>
        <v>0</v>
      </c>
      <c r="R205" s="1514"/>
      <c r="S205" s="1617" t="e">
        <f>SUMIF('[105]TB for financial'!$A:$A,A205,'[105]TB for financial'!$E:$E)</f>
        <v>#VALUE!</v>
      </c>
      <c r="T205" s="613"/>
    </row>
    <row r="206" spans="1:20">
      <c r="A206" s="608">
        <v>101374</v>
      </c>
      <c r="B206" s="609" t="s">
        <v>1160</v>
      </c>
      <c r="C206" s="610">
        <f t="shared" si="22"/>
        <v>0</v>
      </c>
      <c r="D206" s="611">
        <v>0</v>
      </c>
      <c r="E206" s="610">
        <f>SUMIF('Entries 24-25'!$B:$B,A:A,'Entries 24-25'!$D:$D)-SUMIF('Entries 24-25'!$B:$B,A:A,'Entries 24-25'!$E:$E)+SUMIF('IND AS entries 24-25'!$B:$B,A:A,'IND AS entries 24-25'!$D:$D)-SUMIF('IND AS entries 24-25'!$B:$B,A:A,'IND AS entries 24-25'!$E:$E)</f>
        <v>0</v>
      </c>
      <c r="F206" s="611">
        <f t="shared" si="24"/>
        <v>0</v>
      </c>
      <c r="G206" s="610"/>
      <c r="H206" s="610">
        <v>0</v>
      </c>
      <c r="I206" s="611">
        <v>0</v>
      </c>
      <c r="J206" s="610">
        <v>0</v>
      </c>
      <c r="K206" s="611">
        <f t="shared" si="25"/>
        <v>0</v>
      </c>
      <c r="L206" s="612">
        <f>VLOOKUP(A206,'BS Gr'!A:A,1,FALSE)</f>
        <v>101374</v>
      </c>
      <c r="M206" s="612">
        <f t="shared" si="21"/>
        <v>1</v>
      </c>
      <c r="N206" s="613">
        <f t="shared" si="23"/>
        <v>0</v>
      </c>
      <c r="O206" s="613">
        <f t="shared" si="26"/>
        <v>0</v>
      </c>
      <c r="P206" s="613">
        <v>0</v>
      </c>
      <c r="Q206" s="613">
        <f t="shared" si="27"/>
        <v>0</v>
      </c>
      <c r="R206" s="1514"/>
      <c r="S206" s="1617" t="e">
        <f>SUMIF('[105]TB for financial'!$A:$A,A206,'[105]TB for financial'!$E:$E)</f>
        <v>#VALUE!</v>
      </c>
      <c r="T206" s="613"/>
    </row>
    <row r="207" spans="1:20">
      <c r="A207" s="608">
        <v>101376</v>
      </c>
      <c r="B207" s="609" t="s">
        <v>1161</v>
      </c>
      <c r="C207" s="610">
        <f t="shared" si="22"/>
        <v>0</v>
      </c>
      <c r="D207" s="611">
        <v>0</v>
      </c>
      <c r="E207" s="610">
        <f>SUMIF('Entries 24-25'!$B:$B,A:A,'Entries 24-25'!$D:$D)-SUMIF('Entries 24-25'!$B:$B,A:A,'Entries 24-25'!$E:$E)+SUMIF('IND AS entries 24-25'!$B:$B,A:A,'IND AS entries 24-25'!$D:$D)-SUMIF('IND AS entries 24-25'!$B:$B,A:A,'IND AS entries 24-25'!$E:$E)</f>
        <v>0</v>
      </c>
      <c r="F207" s="611">
        <f t="shared" si="24"/>
        <v>0</v>
      </c>
      <c r="G207" s="610"/>
      <c r="H207" s="610">
        <v>0</v>
      </c>
      <c r="I207" s="611">
        <v>0</v>
      </c>
      <c r="J207" s="610">
        <v>0</v>
      </c>
      <c r="K207" s="611">
        <f t="shared" si="25"/>
        <v>0</v>
      </c>
      <c r="L207" s="612">
        <f>VLOOKUP(A207,'BS Gr'!A:A,1,FALSE)</f>
        <v>101376</v>
      </c>
      <c r="M207" s="612">
        <f t="shared" si="21"/>
        <v>1</v>
      </c>
      <c r="N207" s="613">
        <f t="shared" si="23"/>
        <v>0</v>
      </c>
      <c r="O207" s="613">
        <f t="shared" si="26"/>
        <v>0</v>
      </c>
      <c r="P207" s="613">
        <v>-845858</v>
      </c>
      <c r="Q207" s="613">
        <f t="shared" si="27"/>
        <v>845858</v>
      </c>
      <c r="R207" s="1514"/>
      <c r="S207" s="1617" t="e">
        <f>SUMIF('[105]TB for financial'!$A:$A,A207,'[105]TB for financial'!$E:$E)</f>
        <v>#VALUE!</v>
      </c>
      <c r="T207" s="613"/>
    </row>
    <row r="208" spans="1:20">
      <c r="A208" s="608">
        <v>101377</v>
      </c>
      <c r="B208" s="609" t="s">
        <v>1162</v>
      </c>
      <c r="C208" s="610">
        <f t="shared" si="22"/>
        <v>0</v>
      </c>
      <c r="D208" s="611">
        <v>0</v>
      </c>
      <c r="E208" s="610">
        <f>SUMIF('Entries 24-25'!$B:$B,A:A,'Entries 24-25'!$D:$D)-SUMIF('Entries 24-25'!$B:$B,A:A,'Entries 24-25'!$E:$E)+SUMIF('IND AS entries 24-25'!$B:$B,A:A,'IND AS entries 24-25'!$D:$D)-SUMIF('IND AS entries 24-25'!$B:$B,A:A,'IND AS entries 24-25'!$E:$E)</f>
        <v>0</v>
      </c>
      <c r="F208" s="611">
        <f t="shared" si="24"/>
        <v>0</v>
      </c>
      <c r="G208" s="610"/>
      <c r="H208" s="610">
        <v>0</v>
      </c>
      <c r="I208" s="611">
        <v>0</v>
      </c>
      <c r="J208" s="610">
        <v>0</v>
      </c>
      <c r="K208" s="611">
        <f t="shared" si="25"/>
        <v>0</v>
      </c>
      <c r="L208" s="612">
        <f>VLOOKUP(A208,'BS Gr'!A:A,1,FALSE)</f>
        <v>101377</v>
      </c>
      <c r="M208" s="612">
        <f t="shared" si="21"/>
        <v>1</v>
      </c>
      <c r="N208" s="613">
        <f t="shared" si="23"/>
        <v>0</v>
      </c>
      <c r="O208" s="613">
        <f t="shared" si="26"/>
        <v>0</v>
      </c>
      <c r="P208" s="613">
        <v>0</v>
      </c>
      <c r="Q208" s="613">
        <f t="shared" si="27"/>
        <v>0</v>
      </c>
      <c r="R208" s="1514"/>
      <c r="S208" s="1617" t="e">
        <f>SUMIF('[105]TB for financial'!$A:$A,A208,'[105]TB for financial'!$E:$E)</f>
        <v>#VALUE!</v>
      </c>
      <c r="T208" s="613"/>
    </row>
    <row r="209" spans="1:20">
      <c r="A209" s="608">
        <v>101378</v>
      </c>
      <c r="B209" s="609" t="s">
        <v>1163</v>
      </c>
      <c r="C209" s="610">
        <f t="shared" si="22"/>
        <v>0</v>
      </c>
      <c r="D209" s="611">
        <v>0</v>
      </c>
      <c r="E209" s="610">
        <f>SUMIF('Entries 24-25'!$B:$B,A:A,'Entries 24-25'!$D:$D)-SUMIF('Entries 24-25'!$B:$B,A:A,'Entries 24-25'!$E:$E)+SUMIF('IND AS entries 24-25'!$B:$B,A:A,'IND AS entries 24-25'!$D:$D)-SUMIF('IND AS entries 24-25'!$B:$B,A:A,'IND AS entries 24-25'!$E:$E)</f>
        <v>0</v>
      </c>
      <c r="F209" s="611">
        <f t="shared" si="24"/>
        <v>0</v>
      </c>
      <c r="G209" s="610"/>
      <c r="H209" s="610">
        <v>0</v>
      </c>
      <c r="I209" s="611">
        <v>0</v>
      </c>
      <c r="J209" s="610">
        <v>0</v>
      </c>
      <c r="K209" s="611">
        <f t="shared" si="25"/>
        <v>0</v>
      </c>
      <c r="L209" s="612">
        <f>VLOOKUP(A209,'BS Gr'!A:A,1,FALSE)</f>
        <v>101378</v>
      </c>
      <c r="M209" s="612">
        <f t="shared" si="21"/>
        <v>1</v>
      </c>
      <c r="N209" s="613">
        <f t="shared" si="23"/>
        <v>0</v>
      </c>
      <c r="O209" s="613">
        <f t="shared" si="26"/>
        <v>0</v>
      </c>
      <c r="P209" s="613">
        <v>0</v>
      </c>
      <c r="Q209" s="613">
        <f t="shared" si="27"/>
        <v>0</v>
      </c>
      <c r="R209" s="1514"/>
      <c r="S209" s="1617" t="e">
        <f>SUMIF('[105]TB for financial'!$A:$A,A209,'[105]TB for financial'!$E:$E)</f>
        <v>#VALUE!</v>
      </c>
      <c r="T209" s="613"/>
    </row>
    <row r="210" spans="1:20">
      <c r="A210" s="608">
        <v>101379</v>
      </c>
      <c r="B210" s="609" t="s">
        <v>1164</v>
      </c>
      <c r="C210" s="610">
        <f t="shared" si="22"/>
        <v>0</v>
      </c>
      <c r="D210" s="611">
        <v>0</v>
      </c>
      <c r="E210" s="610">
        <f>SUMIF('Entries 24-25'!$B:$B,A:A,'Entries 24-25'!$D:$D)-SUMIF('Entries 24-25'!$B:$B,A:A,'Entries 24-25'!$E:$E)+SUMIF('IND AS entries 24-25'!$B:$B,A:A,'IND AS entries 24-25'!$D:$D)-SUMIF('IND AS entries 24-25'!$B:$B,A:A,'IND AS entries 24-25'!$E:$E)</f>
        <v>0</v>
      </c>
      <c r="F210" s="611">
        <f t="shared" si="24"/>
        <v>0</v>
      </c>
      <c r="G210" s="610"/>
      <c r="H210" s="610">
        <v>0</v>
      </c>
      <c r="I210" s="611">
        <v>0</v>
      </c>
      <c r="J210" s="610">
        <v>0</v>
      </c>
      <c r="K210" s="611">
        <f t="shared" si="25"/>
        <v>0</v>
      </c>
      <c r="L210" s="612">
        <f>VLOOKUP(A210,'BS Gr'!A:A,1,FALSE)</f>
        <v>101379</v>
      </c>
      <c r="M210" s="612">
        <f t="shared" si="21"/>
        <v>1</v>
      </c>
      <c r="N210" s="613">
        <f t="shared" si="23"/>
        <v>0</v>
      </c>
      <c r="O210" s="613">
        <f t="shared" si="26"/>
        <v>0</v>
      </c>
      <c r="P210" s="613">
        <v>0</v>
      </c>
      <c r="Q210" s="613">
        <f t="shared" si="27"/>
        <v>0</v>
      </c>
      <c r="R210" s="1514"/>
      <c r="S210" s="1617" t="e">
        <f>SUMIF('[105]TB for financial'!$A:$A,A210,'[105]TB for financial'!$E:$E)</f>
        <v>#VALUE!</v>
      </c>
      <c r="T210" s="613"/>
    </row>
    <row r="211" spans="1:20">
      <c r="A211" s="608">
        <v>101380</v>
      </c>
      <c r="B211" s="609" t="s">
        <v>1165</v>
      </c>
      <c r="C211" s="610">
        <f t="shared" si="22"/>
        <v>0</v>
      </c>
      <c r="D211" s="611">
        <v>0</v>
      </c>
      <c r="E211" s="610">
        <f>SUMIF('Entries 24-25'!$B:$B,A:A,'Entries 24-25'!$D:$D)-SUMIF('Entries 24-25'!$B:$B,A:A,'Entries 24-25'!$E:$E)+SUMIF('IND AS entries 24-25'!$B:$B,A:A,'IND AS entries 24-25'!$D:$D)-SUMIF('IND AS entries 24-25'!$B:$B,A:A,'IND AS entries 24-25'!$E:$E)</f>
        <v>0</v>
      </c>
      <c r="F211" s="611">
        <f t="shared" si="24"/>
        <v>0</v>
      </c>
      <c r="G211" s="610"/>
      <c r="H211" s="610">
        <v>0</v>
      </c>
      <c r="I211" s="611">
        <v>0</v>
      </c>
      <c r="J211" s="610">
        <v>0</v>
      </c>
      <c r="K211" s="611">
        <f t="shared" si="25"/>
        <v>0</v>
      </c>
      <c r="L211" s="612">
        <f>VLOOKUP(A211,'BS Gr'!A:A,1,FALSE)</f>
        <v>101380</v>
      </c>
      <c r="M211" s="612">
        <f t="shared" si="21"/>
        <v>1</v>
      </c>
      <c r="N211" s="613">
        <f t="shared" si="23"/>
        <v>0</v>
      </c>
      <c r="O211" s="613">
        <f t="shared" si="26"/>
        <v>0</v>
      </c>
      <c r="P211" s="613">
        <v>0</v>
      </c>
      <c r="Q211" s="613">
        <f t="shared" si="27"/>
        <v>0</v>
      </c>
      <c r="R211" s="1514"/>
      <c r="S211" s="1617" t="e">
        <f>SUMIF('[105]TB for financial'!$A:$A,A211,'[105]TB for financial'!$E:$E)</f>
        <v>#VALUE!</v>
      </c>
      <c r="T211" s="613"/>
    </row>
    <row r="212" spans="1:20">
      <c r="A212" s="608">
        <v>101381</v>
      </c>
      <c r="B212" s="609" t="s">
        <v>1166</v>
      </c>
      <c r="C212" s="610">
        <f t="shared" si="22"/>
        <v>0</v>
      </c>
      <c r="D212" s="611">
        <v>0</v>
      </c>
      <c r="E212" s="610">
        <f>SUMIF('Entries 24-25'!$B:$B,A:A,'Entries 24-25'!$D:$D)-SUMIF('Entries 24-25'!$B:$B,A:A,'Entries 24-25'!$E:$E)+SUMIF('IND AS entries 24-25'!$B:$B,A:A,'IND AS entries 24-25'!$D:$D)-SUMIF('IND AS entries 24-25'!$B:$B,A:A,'IND AS entries 24-25'!$E:$E)</f>
        <v>0</v>
      </c>
      <c r="F212" s="611">
        <f t="shared" si="24"/>
        <v>0</v>
      </c>
      <c r="G212" s="610"/>
      <c r="H212" s="610">
        <v>0</v>
      </c>
      <c r="I212" s="611">
        <v>0</v>
      </c>
      <c r="J212" s="610">
        <v>0</v>
      </c>
      <c r="K212" s="611">
        <f t="shared" si="25"/>
        <v>0</v>
      </c>
      <c r="L212" s="612">
        <f>VLOOKUP(A212,'BS Gr'!A:A,1,FALSE)</f>
        <v>101381</v>
      </c>
      <c r="M212" s="612">
        <f t="shared" si="21"/>
        <v>1</v>
      </c>
      <c r="N212" s="613">
        <f t="shared" si="23"/>
        <v>0</v>
      </c>
      <c r="O212" s="613">
        <f t="shared" si="26"/>
        <v>0</v>
      </c>
      <c r="P212" s="613">
        <v>0</v>
      </c>
      <c r="Q212" s="613">
        <f t="shared" si="27"/>
        <v>0</v>
      </c>
      <c r="R212" s="1514"/>
      <c r="S212" s="1617" t="e">
        <f>SUMIF('[105]TB for financial'!$A:$A,A212,'[105]TB for financial'!$E:$E)</f>
        <v>#VALUE!</v>
      </c>
      <c r="T212" s="613"/>
    </row>
    <row r="213" spans="1:20">
      <c r="A213" s="608">
        <v>101382</v>
      </c>
      <c r="B213" s="609" t="s">
        <v>1167</v>
      </c>
      <c r="C213" s="610">
        <f t="shared" si="22"/>
        <v>0</v>
      </c>
      <c r="D213" s="611">
        <v>0</v>
      </c>
      <c r="E213" s="610">
        <f>SUMIF('Entries 24-25'!$B:$B,A:A,'Entries 24-25'!$D:$D)-SUMIF('Entries 24-25'!$B:$B,A:A,'Entries 24-25'!$E:$E)+SUMIF('IND AS entries 24-25'!$B:$B,A:A,'IND AS entries 24-25'!$D:$D)-SUMIF('IND AS entries 24-25'!$B:$B,A:A,'IND AS entries 24-25'!$E:$E)</f>
        <v>0</v>
      </c>
      <c r="F213" s="611">
        <f t="shared" si="24"/>
        <v>0</v>
      </c>
      <c r="G213" s="610"/>
      <c r="H213" s="610">
        <v>0</v>
      </c>
      <c r="I213" s="611">
        <v>0</v>
      </c>
      <c r="J213" s="610">
        <v>0</v>
      </c>
      <c r="K213" s="611">
        <f t="shared" si="25"/>
        <v>0</v>
      </c>
      <c r="L213" s="612">
        <f>VLOOKUP(A213,'BS Gr'!A:A,1,FALSE)</f>
        <v>101382</v>
      </c>
      <c r="M213" s="612">
        <f t="shared" si="21"/>
        <v>1</v>
      </c>
      <c r="N213" s="613">
        <f t="shared" si="23"/>
        <v>0</v>
      </c>
      <c r="O213" s="613">
        <f t="shared" si="26"/>
        <v>0</v>
      </c>
      <c r="P213" s="613">
        <v>0</v>
      </c>
      <c r="Q213" s="613">
        <f t="shared" si="27"/>
        <v>0</v>
      </c>
      <c r="R213" s="1514"/>
      <c r="S213" s="1617" t="e">
        <f>SUMIF('[105]TB for financial'!$A:$A,A213,'[105]TB for financial'!$E:$E)</f>
        <v>#VALUE!</v>
      </c>
      <c r="T213" s="613"/>
    </row>
    <row r="214" spans="1:20">
      <c r="A214" s="608">
        <v>101383</v>
      </c>
      <c r="B214" s="609" t="s">
        <v>1168</v>
      </c>
      <c r="C214" s="610">
        <f t="shared" si="22"/>
        <v>-1.4551915228366852E-11</v>
      </c>
      <c r="D214" s="611">
        <v>0</v>
      </c>
      <c r="E214" s="610">
        <f>SUMIF('Entries 24-25'!$B:$B,A:A,'Entries 24-25'!$D:$D)-SUMIF('Entries 24-25'!$B:$B,A:A,'Entries 24-25'!$E:$E)+SUMIF('IND AS entries 24-25'!$B:$B,A:A,'IND AS entries 24-25'!$D:$D)-SUMIF('IND AS entries 24-25'!$B:$B,A:A,'IND AS entries 24-25'!$E:$E)</f>
        <v>0</v>
      </c>
      <c r="F214" s="611">
        <f t="shared" si="24"/>
        <v>-1.4551915228366852E-11</v>
      </c>
      <c r="G214" s="610"/>
      <c r="H214" s="610">
        <v>-1.4551915228366852E-11</v>
      </c>
      <c r="I214" s="611">
        <v>0</v>
      </c>
      <c r="J214" s="610">
        <v>0</v>
      </c>
      <c r="K214" s="611">
        <f t="shared" si="25"/>
        <v>-1.4551915228366852E-11</v>
      </c>
      <c r="L214" s="612">
        <f>VLOOKUP(A214,'BS Gr'!A:A,1,FALSE)</f>
        <v>101383</v>
      </c>
      <c r="M214" s="612">
        <f t="shared" si="21"/>
        <v>1</v>
      </c>
      <c r="N214" s="613">
        <f t="shared" si="23"/>
        <v>0</v>
      </c>
      <c r="O214" s="613">
        <f t="shared" si="26"/>
        <v>0</v>
      </c>
      <c r="P214" s="613">
        <v>66737.919999999984</v>
      </c>
      <c r="Q214" s="613">
        <f t="shared" si="27"/>
        <v>-66737.919999999998</v>
      </c>
      <c r="R214" s="1514"/>
      <c r="S214" s="1617" t="e">
        <f>SUMIF('[105]TB for financial'!$A:$A,A214,'[105]TB for financial'!$E:$E)</f>
        <v>#VALUE!</v>
      </c>
      <c r="T214" s="613"/>
    </row>
    <row r="215" spans="1:20">
      <c r="A215" s="608">
        <v>101384</v>
      </c>
      <c r="B215" s="609" t="s">
        <v>1169</v>
      </c>
      <c r="C215" s="610">
        <f t="shared" si="22"/>
        <v>0</v>
      </c>
      <c r="D215" s="611">
        <v>0</v>
      </c>
      <c r="E215" s="610">
        <f>SUMIF('Entries 24-25'!$B:$B,A:A,'Entries 24-25'!$D:$D)-SUMIF('Entries 24-25'!$B:$B,A:A,'Entries 24-25'!$E:$E)+SUMIF('IND AS entries 24-25'!$B:$B,A:A,'IND AS entries 24-25'!$D:$D)-SUMIF('IND AS entries 24-25'!$B:$B,A:A,'IND AS entries 24-25'!$E:$E)</f>
        <v>0</v>
      </c>
      <c r="F215" s="611">
        <f t="shared" si="24"/>
        <v>0</v>
      </c>
      <c r="G215" s="610"/>
      <c r="H215" s="610">
        <v>0</v>
      </c>
      <c r="I215" s="611">
        <v>0</v>
      </c>
      <c r="J215" s="610">
        <v>0</v>
      </c>
      <c r="K215" s="611">
        <f t="shared" si="25"/>
        <v>0</v>
      </c>
      <c r="L215" s="612">
        <f>VLOOKUP(A215,'BS Gr'!A:A,1,FALSE)</f>
        <v>101384</v>
      </c>
      <c r="M215" s="612">
        <f t="shared" si="21"/>
        <v>1</v>
      </c>
      <c r="N215" s="613">
        <f t="shared" si="23"/>
        <v>0</v>
      </c>
      <c r="O215" s="613">
        <f t="shared" si="26"/>
        <v>0</v>
      </c>
      <c r="P215" s="613">
        <v>0</v>
      </c>
      <c r="Q215" s="613">
        <f t="shared" si="27"/>
        <v>0</v>
      </c>
      <c r="R215" s="1514"/>
      <c r="S215" s="1617" t="e">
        <f>SUMIF('[105]TB for financial'!$A:$A,A215,'[105]TB for financial'!$E:$E)</f>
        <v>#VALUE!</v>
      </c>
      <c r="T215" s="613"/>
    </row>
    <row r="216" spans="1:20">
      <c r="A216" s="608">
        <v>101385</v>
      </c>
      <c r="B216" s="609" t="s">
        <v>1170</v>
      </c>
      <c r="C216" s="610">
        <f t="shared" si="22"/>
        <v>0</v>
      </c>
      <c r="D216" s="611">
        <v>0</v>
      </c>
      <c r="E216" s="610">
        <f>SUMIF('Entries 24-25'!$B:$B,A:A,'Entries 24-25'!$D:$D)-SUMIF('Entries 24-25'!$B:$B,A:A,'Entries 24-25'!$E:$E)+SUMIF('IND AS entries 24-25'!$B:$B,A:A,'IND AS entries 24-25'!$D:$D)-SUMIF('IND AS entries 24-25'!$B:$B,A:A,'IND AS entries 24-25'!$E:$E)</f>
        <v>0</v>
      </c>
      <c r="F216" s="611">
        <f t="shared" si="24"/>
        <v>0</v>
      </c>
      <c r="G216" s="610"/>
      <c r="H216" s="610">
        <v>0</v>
      </c>
      <c r="I216" s="611">
        <v>0</v>
      </c>
      <c r="J216" s="610">
        <v>0</v>
      </c>
      <c r="K216" s="611">
        <f t="shared" si="25"/>
        <v>0</v>
      </c>
      <c r="L216" s="612">
        <f>VLOOKUP(A216,'BS Gr'!A:A,1,FALSE)</f>
        <v>101385</v>
      </c>
      <c r="M216" s="612">
        <f t="shared" si="21"/>
        <v>1</v>
      </c>
      <c r="N216" s="613">
        <f t="shared" si="23"/>
        <v>0</v>
      </c>
      <c r="O216" s="613">
        <f t="shared" si="26"/>
        <v>0</v>
      </c>
      <c r="P216" s="613">
        <v>0</v>
      </c>
      <c r="Q216" s="613">
        <f t="shared" si="27"/>
        <v>0</v>
      </c>
      <c r="R216" s="1514"/>
      <c r="S216" s="1617" t="e">
        <f>SUMIF('[105]TB for financial'!$A:$A,A216,'[105]TB for financial'!$E:$E)</f>
        <v>#VALUE!</v>
      </c>
      <c r="T216" s="613"/>
    </row>
    <row r="217" spans="1:20">
      <c r="A217" s="608">
        <v>101386</v>
      </c>
      <c r="B217" s="609" t="s">
        <v>1171</v>
      </c>
      <c r="C217" s="610">
        <f t="shared" si="22"/>
        <v>1.9740388088393956E-3</v>
      </c>
      <c r="D217" s="611">
        <v>0</v>
      </c>
      <c r="E217" s="610">
        <f>SUMIF('Entries 24-25'!$B:$B,A:A,'Entries 24-25'!$D:$D)-SUMIF('Entries 24-25'!$B:$B,A:A,'Entries 24-25'!$E:$E)+SUMIF('IND AS entries 24-25'!$B:$B,A:A,'IND AS entries 24-25'!$D:$D)-SUMIF('IND AS entries 24-25'!$B:$B,A:A,'IND AS entries 24-25'!$E:$E)</f>
        <v>0</v>
      </c>
      <c r="F217" s="611">
        <f t="shared" si="24"/>
        <v>1.9740388088393956E-3</v>
      </c>
      <c r="G217" s="610"/>
      <c r="H217" s="610">
        <v>1.9740388088393956E-3</v>
      </c>
      <c r="I217" s="611">
        <v>0</v>
      </c>
      <c r="J217" s="610">
        <v>0</v>
      </c>
      <c r="K217" s="611">
        <f t="shared" si="25"/>
        <v>1.9740388088393956E-3</v>
      </c>
      <c r="L217" s="612">
        <f>VLOOKUP(A217,'BS Gr'!A:A,1,FALSE)</f>
        <v>101386</v>
      </c>
      <c r="M217" s="612">
        <f t="shared" si="21"/>
        <v>1</v>
      </c>
      <c r="N217" s="613">
        <f t="shared" si="23"/>
        <v>0</v>
      </c>
      <c r="O217" s="613">
        <f t="shared" si="26"/>
        <v>0</v>
      </c>
      <c r="P217" s="613">
        <v>1.9740388088393956E-3</v>
      </c>
      <c r="Q217" s="613">
        <f t="shared" si="27"/>
        <v>0</v>
      </c>
      <c r="R217" s="1514"/>
      <c r="S217" s="1617" t="e">
        <f>SUMIF('[105]TB for financial'!$A:$A,A217,'[105]TB for financial'!$E:$E)</f>
        <v>#VALUE!</v>
      </c>
      <c r="T217" s="613"/>
    </row>
    <row r="218" spans="1:20">
      <c r="A218" s="608">
        <v>101387</v>
      </c>
      <c r="B218" s="609" t="s">
        <v>1172</v>
      </c>
      <c r="C218" s="610">
        <f t="shared" si="22"/>
        <v>0</v>
      </c>
      <c r="D218" s="611">
        <v>0</v>
      </c>
      <c r="E218" s="610">
        <f>SUMIF('Entries 24-25'!$B:$B,A:A,'Entries 24-25'!$D:$D)-SUMIF('Entries 24-25'!$B:$B,A:A,'Entries 24-25'!$E:$E)+SUMIF('IND AS entries 24-25'!$B:$B,A:A,'IND AS entries 24-25'!$D:$D)-SUMIF('IND AS entries 24-25'!$B:$B,A:A,'IND AS entries 24-25'!$E:$E)</f>
        <v>0</v>
      </c>
      <c r="F218" s="611">
        <f t="shared" si="24"/>
        <v>0</v>
      </c>
      <c r="G218" s="610"/>
      <c r="H218" s="610">
        <v>0</v>
      </c>
      <c r="I218" s="611">
        <v>0</v>
      </c>
      <c r="J218" s="610">
        <v>0</v>
      </c>
      <c r="K218" s="611">
        <f t="shared" si="25"/>
        <v>0</v>
      </c>
      <c r="L218" s="612">
        <f>VLOOKUP(A218,'BS Gr'!A:A,1,FALSE)</f>
        <v>101387</v>
      </c>
      <c r="M218" s="612">
        <f t="shared" si="21"/>
        <v>1</v>
      </c>
      <c r="N218" s="613">
        <f t="shared" si="23"/>
        <v>0</v>
      </c>
      <c r="O218" s="613">
        <f t="shared" si="26"/>
        <v>0</v>
      </c>
      <c r="P218" s="613">
        <v>0</v>
      </c>
      <c r="Q218" s="613">
        <f t="shared" si="27"/>
        <v>0</v>
      </c>
      <c r="R218" s="1514"/>
      <c r="S218" s="1617" t="e">
        <f>SUMIF('[105]TB for financial'!$A:$A,A218,'[105]TB for financial'!$E:$E)</f>
        <v>#VALUE!</v>
      </c>
      <c r="T218" s="613"/>
    </row>
    <row r="219" spans="1:20">
      <c r="A219" s="608">
        <v>101388</v>
      </c>
      <c r="B219" s="609" t="s">
        <v>1173</v>
      </c>
      <c r="C219" s="610">
        <f t="shared" si="22"/>
        <v>0</v>
      </c>
      <c r="D219" s="611">
        <v>0</v>
      </c>
      <c r="E219" s="610">
        <f>SUMIF('Entries 24-25'!$B:$B,A:A,'Entries 24-25'!$D:$D)-SUMIF('Entries 24-25'!$B:$B,A:A,'Entries 24-25'!$E:$E)+SUMIF('IND AS entries 24-25'!$B:$B,A:A,'IND AS entries 24-25'!$D:$D)-SUMIF('IND AS entries 24-25'!$B:$B,A:A,'IND AS entries 24-25'!$E:$E)</f>
        <v>0</v>
      </c>
      <c r="F219" s="611">
        <f t="shared" si="24"/>
        <v>0</v>
      </c>
      <c r="G219" s="610"/>
      <c r="H219" s="610">
        <v>0</v>
      </c>
      <c r="I219" s="611">
        <v>0</v>
      </c>
      <c r="J219" s="610">
        <v>0</v>
      </c>
      <c r="K219" s="611">
        <f t="shared" si="25"/>
        <v>0</v>
      </c>
      <c r="L219" s="612">
        <f>VLOOKUP(A219,'BS Gr'!A:A,1,FALSE)</f>
        <v>101388</v>
      </c>
      <c r="M219" s="612">
        <f t="shared" si="21"/>
        <v>1</v>
      </c>
      <c r="N219" s="613">
        <f t="shared" si="23"/>
        <v>0</v>
      </c>
      <c r="O219" s="613">
        <f t="shared" si="26"/>
        <v>0</v>
      </c>
      <c r="P219" s="613">
        <v>0</v>
      </c>
      <c r="Q219" s="613">
        <f t="shared" si="27"/>
        <v>0</v>
      </c>
      <c r="R219" s="1514"/>
      <c r="S219" s="1617" t="e">
        <f>SUMIF('[105]TB for financial'!$A:$A,A219,'[105]TB for financial'!$E:$E)</f>
        <v>#VALUE!</v>
      </c>
      <c r="T219" s="613"/>
    </row>
    <row r="220" spans="1:20">
      <c r="A220" s="608">
        <v>101389</v>
      </c>
      <c r="B220" s="609" t="s">
        <v>1174</v>
      </c>
      <c r="C220" s="610">
        <f t="shared" si="22"/>
        <v>0</v>
      </c>
      <c r="D220" s="611">
        <v>0</v>
      </c>
      <c r="E220" s="610">
        <f>SUMIF('Entries 24-25'!$B:$B,A:A,'Entries 24-25'!$D:$D)-SUMIF('Entries 24-25'!$B:$B,A:A,'Entries 24-25'!$E:$E)+SUMIF('IND AS entries 24-25'!$B:$B,A:A,'IND AS entries 24-25'!$D:$D)-SUMIF('IND AS entries 24-25'!$B:$B,A:A,'IND AS entries 24-25'!$E:$E)</f>
        <v>0</v>
      </c>
      <c r="F220" s="611">
        <f t="shared" si="24"/>
        <v>0</v>
      </c>
      <c r="G220" s="610"/>
      <c r="H220" s="610">
        <v>0</v>
      </c>
      <c r="I220" s="611">
        <v>0</v>
      </c>
      <c r="J220" s="610">
        <v>0</v>
      </c>
      <c r="K220" s="611">
        <f t="shared" si="25"/>
        <v>0</v>
      </c>
      <c r="L220" s="612">
        <f>VLOOKUP(A220,'BS Gr'!A:A,1,FALSE)</f>
        <v>101389</v>
      </c>
      <c r="M220" s="612">
        <f t="shared" si="21"/>
        <v>1</v>
      </c>
      <c r="N220" s="613">
        <f t="shared" si="23"/>
        <v>0</v>
      </c>
      <c r="O220" s="613">
        <f t="shared" si="26"/>
        <v>0</v>
      </c>
      <c r="P220" s="613">
        <v>0</v>
      </c>
      <c r="Q220" s="613">
        <f t="shared" si="27"/>
        <v>0</v>
      </c>
      <c r="R220" s="1514"/>
      <c r="S220" s="1617" t="e">
        <f>SUMIF('[105]TB for financial'!$A:$A,A220,'[105]TB for financial'!$E:$E)</f>
        <v>#VALUE!</v>
      </c>
      <c r="T220" s="613"/>
    </row>
    <row r="221" spans="1:20">
      <c r="A221" s="608">
        <v>101390</v>
      </c>
      <c r="B221" s="609" t="s">
        <v>1175</v>
      </c>
      <c r="C221" s="610">
        <f t="shared" si="22"/>
        <v>0</v>
      </c>
      <c r="D221" s="611">
        <v>0</v>
      </c>
      <c r="E221" s="610">
        <f>SUMIF('Entries 24-25'!$B:$B,A:A,'Entries 24-25'!$D:$D)-SUMIF('Entries 24-25'!$B:$B,A:A,'Entries 24-25'!$E:$E)+SUMIF('IND AS entries 24-25'!$B:$B,A:A,'IND AS entries 24-25'!$D:$D)-SUMIF('IND AS entries 24-25'!$B:$B,A:A,'IND AS entries 24-25'!$E:$E)</f>
        <v>0</v>
      </c>
      <c r="F221" s="611">
        <f t="shared" si="24"/>
        <v>0</v>
      </c>
      <c r="G221" s="610"/>
      <c r="H221" s="610">
        <v>0</v>
      </c>
      <c r="I221" s="611">
        <v>0</v>
      </c>
      <c r="J221" s="610">
        <v>0</v>
      </c>
      <c r="K221" s="611">
        <f t="shared" si="25"/>
        <v>0</v>
      </c>
      <c r="L221" s="612">
        <f>VLOOKUP(A221,'BS Gr'!A:A,1,FALSE)</f>
        <v>101390</v>
      </c>
      <c r="M221" s="612">
        <f t="shared" si="21"/>
        <v>1</v>
      </c>
      <c r="N221" s="613">
        <f t="shared" si="23"/>
        <v>0</v>
      </c>
      <c r="O221" s="613">
        <f t="shared" si="26"/>
        <v>0</v>
      </c>
      <c r="P221" s="613">
        <v>1475356</v>
      </c>
      <c r="Q221" s="613">
        <f t="shared" si="27"/>
        <v>-1475356</v>
      </c>
      <c r="R221" s="1514"/>
      <c r="S221" s="1617" t="e">
        <f>SUMIF('[105]TB for financial'!$A:$A,A221,'[105]TB for financial'!$E:$E)</f>
        <v>#VALUE!</v>
      </c>
      <c r="T221" s="613"/>
    </row>
    <row r="222" spans="1:20">
      <c r="A222" s="608">
        <v>101391</v>
      </c>
      <c r="B222" s="609" t="s">
        <v>1176</v>
      </c>
      <c r="C222" s="610">
        <f t="shared" si="22"/>
        <v>0</v>
      </c>
      <c r="D222" s="611">
        <v>0</v>
      </c>
      <c r="E222" s="610">
        <f>SUMIF('Entries 24-25'!$B:$B,A:A,'Entries 24-25'!$D:$D)-SUMIF('Entries 24-25'!$B:$B,A:A,'Entries 24-25'!$E:$E)+SUMIF('IND AS entries 24-25'!$B:$B,A:A,'IND AS entries 24-25'!$D:$D)-SUMIF('IND AS entries 24-25'!$B:$B,A:A,'IND AS entries 24-25'!$E:$E)</f>
        <v>0</v>
      </c>
      <c r="F222" s="611">
        <f t="shared" si="24"/>
        <v>0</v>
      </c>
      <c r="G222" s="610"/>
      <c r="H222" s="610">
        <v>0</v>
      </c>
      <c r="I222" s="611">
        <v>0</v>
      </c>
      <c r="J222" s="610">
        <v>0</v>
      </c>
      <c r="K222" s="611">
        <f t="shared" si="25"/>
        <v>0</v>
      </c>
      <c r="L222" s="612">
        <f>VLOOKUP(A222,'BS Gr'!A:A,1,FALSE)</f>
        <v>101391</v>
      </c>
      <c r="M222" s="612">
        <f t="shared" si="21"/>
        <v>1</v>
      </c>
      <c r="N222" s="613">
        <f t="shared" si="23"/>
        <v>0</v>
      </c>
      <c r="O222" s="613">
        <f t="shared" si="26"/>
        <v>0</v>
      </c>
      <c r="P222" s="613">
        <v>0</v>
      </c>
      <c r="Q222" s="613">
        <f t="shared" si="27"/>
        <v>0</v>
      </c>
      <c r="R222" s="1514"/>
      <c r="S222" s="1617" t="e">
        <f>SUMIF('[105]TB for financial'!$A:$A,A222,'[105]TB for financial'!$E:$E)</f>
        <v>#VALUE!</v>
      </c>
      <c r="T222" s="613"/>
    </row>
    <row r="223" spans="1:20">
      <c r="A223" s="608">
        <v>101392</v>
      </c>
      <c r="B223" s="609" t="s">
        <v>1177</v>
      </c>
      <c r="C223" s="610">
        <f t="shared" si="22"/>
        <v>0</v>
      </c>
      <c r="D223" s="611">
        <v>0</v>
      </c>
      <c r="E223" s="610">
        <f>SUMIF('Entries 24-25'!$B:$B,A:A,'Entries 24-25'!$D:$D)-SUMIF('Entries 24-25'!$B:$B,A:A,'Entries 24-25'!$E:$E)+SUMIF('IND AS entries 24-25'!$B:$B,A:A,'IND AS entries 24-25'!$D:$D)-SUMIF('IND AS entries 24-25'!$B:$B,A:A,'IND AS entries 24-25'!$E:$E)</f>
        <v>0</v>
      </c>
      <c r="F223" s="611">
        <f t="shared" si="24"/>
        <v>0</v>
      </c>
      <c r="G223" s="610"/>
      <c r="H223" s="610">
        <v>0</v>
      </c>
      <c r="I223" s="611">
        <v>0</v>
      </c>
      <c r="J223" s="610">
        <v>0</v>
      </c>
      <c r="K223" s="611">
        <f t="shared" si="25"/>
        <v>0</v>
      </c>
      <c r="L223" s="612">
        <f>VLOOKUP(A223,'BS Gr'!A:A,1,FALSE)</f>
        <v>101392</v>
      </c>
      <c r="M223" s="612">
        <f t="shared" si="21"/>
        <v>1</v>
      </c>
      <c r="N223" s="613">
        <f t="shared" si="23"/>
        <v>0</v>
      </c>
      <c r="O223" s="613">
        <f t="shared" si="26"/>
        <v>0</v>
      </c>
      <c r="P223" s="613">
        <v>0</v>
      </c>
      <c r="Q223" s="613">
        <f t="shared" si="27"/>
        <v>0</v>
      </c>
      <c r="R223" s="1514"/>
      <c r="S223" s="1617" t="e">
        <f>SUMIF('[105]TB for financial'!$A:$A,A223,'[105]TB for financial'!$E:$E)</f>
        <v>#VALUE!</v>
      </c>
      <c r="T223" s="613"/>
    </row>
    <row r="224" spans="1:20">
      <c r="A224" s="608">
        <v>101393</v>
      </c>
      <c r="B224" s="609" t="s">
        <v>1178</v>
      </c>
      <c r="C224" s="610">
        <f t="shared" si="22"/>
        <v>0.24729999946430326</v>
      </c>
      <c r="D224" s="611">
        <v>0</v>
      </c>
      <c r="E224" s="610">
        <f>SUMIF('Entries 24-25'!$B:$B,A:A,'Entries 24-25'!$D:$D)-SUMIF('Entries 24-25'!$B:$B,A:A,'Entries 24-25'!$E:$E)+SUMIF('IND AS entries 24-25'!$B:$B,A:A,'IND AS entries 24-25'!$D:$D)-SUMIF('IND AS entries 24-25'!$B:$B,A:A,'IND AS entries 24-25'!$E:$E)</f>
        <v>0</v>
      </c>
      <c r="F224" s="611">
        <f t="shared" si="24"/>
        <v>0.24729999946430326</v>
      </c>
      <c r="G224" s="610"/>
      <c r="H224" s="610">
        <v>0.24729999946430326</v>
      </c>
      <c r="I224" s="611">
        <v>0</v>
      </c>
      <c r="J224" s="610">
        <v>0</v>
      </c>
      <c r="K224" s="611">
        <f t="shared" si="25"/>
        <v>0.24729999946430326</v>
      </c>
      <c r="L224" s="612">
        <f>VLOOKUP(A224,'BS Gr'!A:A,1,FALSE)</f>
        <v>101393</v>
      </c>
      <c r="M224" s="612">
        <f t="shared" si="21"/>
        <v>1</v>
      </c>
      <c r="N224" s="613">
        <f t="shared" si="23"/>
        <v>0</v>
      </c>
      <c r="O224" s="613">
        <f t="shared" si="26"/>
        <v>0</v>
      </c>
      <c r="P224" s="613">
        <v>0</v>
      </c>
      <c r="Q224" s="613">
        <f t="shared" si="27"/>
        <v>0.24729999946430326</v>
      </c>
      <c r="R224" s="1514"/>
      <c r="S224" s="1617" t="e">
        <f>SUMIF('[105]TB for financial'!$A:$A,A224,'[105]TB for financial'!$E:$E)</f>
        <v>#VALUE!</v>
      </c>
      <c r="T224" s="613"/>
    </row>
    <row r="225" spans="1:20">
      <c r="A225" s="608">
        <v>101394</v>
      </c>
      <c r="B225" s="609" t="s">
        <v>1179</v>
      </c>
      <c r="C225" s="610">
        <f t="shared" si="22"/>
        <v>0</v>
      </c>
      <c r="D225" s="611">
        <v>0</v>
      </c>
      <c r="E225" s="610">
        <f>SUMIF('Entries 24-25'!$B:$B,A:A,'Entries 24-25'!$D:$D)-SUMIF('Entries 24-25'!$B:$B,A:A,'Entries 24-25'!$E:$E)+SUMIF('IND AS entries 24-25'!$B:$B,A:A,'IND AS entries 24-25'!$D:$D)-SUMIF('IND AS entries 24-25'!$B:$B,A:A,'IND AS entries 24-25'!$E:$E)</f>
        <v>0</v>
      </c>
      <c r="F225" s="611">
        <f t="shared" si="24"/>
        <v>0</v>
      </c>
      <c r="G225" s="610"/>
      <c r="H225" s="610">
        <v>0</v>
      </c>
      <c r="I225" s="611">
        <v>0</v>
      </c>
      <c r="J225" s="610">
        <v>0</v>
      </c>
      <c r="K225" s="611">
        <f t="shared" si="25"/>
        <v>0</v>
      </c>
      <c r="L225" s="612">
        <f>VLOOKUP(A225,'BS Gr'!A:A,1,FALSE)</f>
        <v>101394</v>
      </c>
      <c r="M225" s="612">
        <f t="shared" si="21"/>
        <v>1</v>
      </c>
      <c r="N225" s="613">
        <f t="shared" si="23"/>
        <v>0</v>
      </c>
      <c r="O225" s="613">
        <f t="shared" si="26"/>
        <v>0</v>
      </c>
      <c r="P225" s="613">
        <v>0</v>
      </c>
      <c r="Q225" s="613">
        <f t="shared" si="27"/>
        <v>0</v>
      </c>
      <c r="R225" s="1514"/>
      <c r="S225" s="1617" t="e">
        <f>SUMIF('[105]TB for financial'!$A:$A,A225,'[105]TB for financial'!$E:$E)</f>
        <v>#VALUE!</v>
      </c>
      <c r="T225" s="613"/>
    </row>
    <row r="226" spans="1:20">
      <c r="A226" s="608">
        <v>101395</v>
      </c>
      <c r="B226" s="609" t="s">
        <v>1180</v>
      </c>
      <c r="C226" s="610">
        <f t="shared" si="22"/>
        <v>0</v>
      </c>
      <c r="D226" s="611">
        <v>0</v>
      </c>
      <c r="E226" s="610">
        <f>SUMIF('Entries 24-25'!$B:$B,A:A,'Entries 24-25'!$D:$D)-SUMIF('Entries 24-25'!$B:$B,A:A,'Entries 24-25'!$E:$E)+SUMIF('IND AS entries 24-25'!$B:$B,A:A,'IND AS entries 24-25'!$D:$D)-SUMIF('IND AS entries 24-25'!$B:$B,A:A,'IND AS entries 24-25'!$E:$E)</f>
        <v>0</v>
      </c>
      <c r="F226" s="611">
        <f t="shared" si="24"/>
        <v>0</v>
      </c>
      <c r="G226" s="610"/>
      <c r="H226" s="610">
        <v>0</v>
      </c>
      <c r="I226" s="611">
        <v>0</v>
      </c>
      <c r="J226" s="610">
        <v>0</v>
      </c>
      <c r="K226" s="611">
        <f t="shared" si="25"/>
        <v>0</v>
      </c>
      <c r="L226" s="612">
        <f>VLOOKUP(A226,'BS Gr'!A:A,1,FALSE)</f>
        <v>101395</v>
      </c>
      <c r="M226" s="612">
        <f t="shared" si="21"/>
        <v>1</v>
      </c>
      <c r="N226" s="613">
        <f t="shared" si="23"/>
        <v>0</v>
      </c>
      <c r="O226" s="613">
        <f t="shared" si="26"/>
        <v>0</v>
      </c>
      <c r="P226" s="613">
        <v>0</v>
      </c>
      <c r="Q226" s="613">
        <f t="shared" si="27"/>
        <v>0</v>
      </c>
      <c r="R226" s="1514"/>
      <c r="S226" s="1617" t="e">
        <f>SUMIF('[105]TB for financial'!$A:$A,A226,'[105]TB for financial'!$E:$E)</f>
        <v>#VALUE!</v>
      </c>
      <c r="T226" s="613"/>
    </row>
    <row r="227" spans="1:20">
      <c r="A227" s="608">
        <v>101396</v>
      </c>
      <c r="B227" s="609" t="s">
        <v>1181</v>
      </c>
      <c r="C227" s="610">
        <f t="shared" si="22"/>
        <v>0</v>
      </c>
      <c r="D227" s="611">
        <v>0</v>
      </c>
      <c r="E227" s="610">
        <f>SUMIF('Entries 24-25'!$B:$B,A:A,'Entries 24-25'!$D:$D)-SUMIF('Entries 24-25'!$B:$B,A:A,'Entries 24-25'!$E:$E)+SUMIF('IND AS entries 24-25'!$B:$B,A:A,'IND AS entries 24-25'!$D:$D)-SUMIF('IND AS entries 24-25'!$B:$B,A:A,'IND AS entries 24-25'!$E:$E)</f>
        <v>0</v>
      </c>
      <c r="F227" s="611">
        <f t="shared" si="24"/>
        <v>0</v>
      </c>
      <c r="G227" s="610"/>
      <c r="H227" s="610">
        <v>0</v>
      </c>
      <c r="I227" s="611">
        <v>0</v>
      </c>
      <c r="J227" s="610">
        <v>0</v>
      </c>
      <c r="K227" s="611">
        <f t="shared" si="25"/>
        <v>0</v>
      </c>
      <c r="L227" s="612">
        <f>VLOOKUP(A227,'BS Gr'!A:A,1,FALSE)</f>
        <v>101396</v>
      </c>
      <c r="M227" s="612">
        <f t="shared" si="21"/>
        <v>1</v>
      </c>
      <c r="N227" s="613">
        <f t="shared" si="23"/>
        <v>0</v>
      </c>
      <c r="O227" s="613">
        <f t="shared" si="26"/>
        <v>0</v>
      </c>
      <c r="P227" s="613">
        <v>0</v>
      </c>
      <c r="Q227" s="613">
        <f t="shared" si="27"/>
        <v>0</v>
      </c>
      <c r="R227" s="1514"/>
      <c r="S227" s="1617" t="e">
        <f>SUMIF('[105]TB for financial'!$A:$A,A227,'[105]TB for financial'!$E:$E)</f>
        <v>#VALUE!</v>
      </c>
      <c r="T227" s="613"/>
    </row>
    <row r="228" spans="1:20">
      <c r="A228" s="608">
        <v>101397</v>
      </c>
      <c r="B228" s="609" t="s">
        <v>1182</v>
      </c>
      <c r="C228" s="610">
        <f t="shared" si="22"/>
        <v>0</v>
      </c>
      <c r="D228" s="611">
        <v>0</v>
      </c>
      <c r="E228" s="610">
        <f>SUMIF('Entries 24-25'!$B:$B,A:A,'Entries 24-25'!$D:$D)-SUMIF('Entries 24-25'!$B:$B,A:A,'Entries 24-25'!$E:$E)+SUMIF('IND AS entries 24-25'!$B:$B,A:A,'IND AS entries 24-25'!$D:$D)-SUMIF('IND AS entries 24-25'!$B:$B,A:A,'IND AS entries 24-25'!$E:$E)</f>
        <v>0</v>
      </c>
      <c r="F228" s="611">
        <f t="shared" si="24"/>
        <v>0</v>
      </c>
      <c r="G228" s="610"/>
      <c r="H228" s="610">
        <v>0</v>
      </c>
      <c r="I228" s="611">
        <v>0</v>
      </c>
      <c r="J228" s="610">
        <v>0</v>
      </c>
      <c r="K228" s="611">
        <f t="shared" si="25"/>
        <v>0</v>
      </c>
      <c r="L228" s="612">
        <f>VLOOKUP(A228,'BS Gr'!A:A,1,FALSE)</f>
        <v>101397</v>
      </c>
      <c r="M228" s="612">
        <f t="shared" si="21"/>
        <v>1</v>
      </c>
      <c r="N228" s="613">
        <f t="shared" si="23"/>
        <v>0</v>
      </c>
      <c r="O228" s="613">
        <f t="shared" si="26"/>
        <v>0</v>
      </c>
      <c r="P228" s="613">
        <v>0</v>
      </c>
      <c r="Q228" s="613">
        <f t="shared" si="27"/>
        <v>0</v>
      </c>
      <c r="R228" s="1514"/>
      <c r="S228" s="1617" t="e">
        <f>SUMIF('[105]TB for financial'!$A:$A,A228,'[105]TB for financial'!$E:$E)</f>
        <v>#VALUE!</v>
      </c>
      <c r="T228" s="613"/>
    </row>
    <row r="229" spans="1:20">
      <c r="A229" s="608">
        <v>101398</v>
      </c>
      <c r="B229" s="609" t="s">
        <v>1183</v>
      </c>
      <c r="C229" s="610">
        <f t="shared" si="22"/>
        <v>0</v>
      </c>
      <c r="D229" s="611">
        <v>0</v>
      </c>
      <c r="E229" s="610">
        <f>SUMIF('Entries 24-25'!$B:$B,A:A,'Entries 24-25'!$D:$D)-SUMIF('Entries 24-25'!$B:$B,A:A,'Entries 24-25'!$E:$E)+SUMIF('IND AS entries 24-25'!$B:$B,A:A,'IND AS entries 24-25'!$D:$D)-SUMIF('IND AS entries 24-25'!$B:$B,A:A,'IND AS entries 24-25'!$E:$E)</f>
        <v>0</v>
      </c>
      <c r="F229" s="611">
        <f t="shared" si="24"/>
        <v>0</v>
      </c>
      <c r="G229" s="610"/>
      <c r="H229" s="610">
        <v>0</v>
      </c>
      <c r="I229" s="611">
        <v>0</v>
      </c>
      <c r="J229" s="610">
        <v>0</v>
      </c>
      <c r="K229" s="611">
        <f t="shared" si="25"/>
        <v>0</v>
      </c>
      <c r="L229" s="612">
        <f>VLOOKUP(A229,'BS Gr'!A:A,1,FALSE)</f>
        <v>101398</v>
      </c>
      <c r="M229" s="612">
        <f t="shared" si="21"/>
        <v>1</v>
      </c>
      <c r="N229" s="613">
        <f t="shared" si="23"/>
        <v>0</v>
      </c>
      <c r="O229" s="613">
        <f t="shared" si="26"/>
        <v>0</v>
      </c>
      <c r="P229" s="613">
        <v>0</v>
      </c>
      <c r="Q229" s="613">
        <f t="shared" si="27"/>
        <v>0</v>
      </c>
      <c r="R229" s="1514"/>
      <c r="S229" s="1617" t="e">
        <f>SUMIF('[105]TB for financial'!$A:$A,A229,'[105]TB for financial'!$E:$E)</f>
        <v>#VALUE!</v>
      </c>
      <c r="T229" s="613"/>
    </row>
    <row r="230" spans="1:20">
      <c r="A230" s="608">
        <v>101399</v>
      </c>
      <c r="B230" s="609" t="s">
        <v>567</v>
      </c>
      <c r="C230" s="610">
        <f t="shared" si="22"/>
        <v>0</v>
      </c>
      <c r="D230" s="611">
        <v>0</v>
      </c>
      <c r="E230" s="610">
        <f>SUMIF('Entries 24-25'!$B:$B,A:A,'Entries 24-25'!$D:$D)-SUMIF('Entries 24-25'!$B:$B,A:A,'Entries 24-25'!$E:$E)+SUMIF('IND AS entries 24-25'!$B:$B,A:A,'IND AS entries 24-25'!$D:$D)-SUMIF('IND AS entries 24-25'!$B:$B,A:A,'IND AS entries 24-25'!$E:$E)</f>
        <v>0</v>
      </c>
      <c r="F230" s="611">
        <f t="shared" si="24"/>
        <v>0</v>
      </c>
      <c r="G230" s="610"/>
      <c r="H230" s="610">
        <v>0</v>
      </c>
      <c r="I230" s="611">
        <v>0</v>
      </c>
      <c r="J230" s="610">
        <v>0</v>
      </c>
      <c r="K230" s="611">
        <f t="shared" si="25"/>
        <v>0</v>
      </c>
      <c r="L230" s="612">
        <f>VLOOKUP(A230,'BS Gr'!A:A,1,FALSE)</f>
        <v>101399</v>
      </c>
      <c r="M230" s="612">
        <f t="shared" si="21"/>
        <v>1</v>
      </c>
      <c r="N230" s="613">
        <f t="shared" si="23"/>
        <v>0</v>
      </c>
      <c r="O230" s="613">
        <f t="shared" si="26"/>
        <v>0</v>
      </c>
      <c r="P230" s="613">
        <v>-1475356</v>
      </c>
      <c r="Q230" s="613">
        <f t="shared" si="27"/>
        <v>1475356</v>
      </c>
      <c r="R230" s="1514"/>
      <c r="S230" s="1617" t="e">
        <f>SUMIF('[105]TB for financial'!$A:$A,A230,'[105]TB for financial'!$E:$E)</f>
        <v>#VALUE!</v>
      </c>
      <c r="T230" s="613"/>
    </row>
    <row r="231" spans="1:20">
      <c r="A231" s="608">
        <v>101400</v>
      </c>
      <c r="B231" s="615" t="s">
        <v>1184</v>
      </c>
      <c r="C231" s="610">
        <f t="shared" si="22"/>
        <v>0</v>
      </c>
      <c r="D231" s="611">
        <v>0</v>
      </c>
      <c r="E231" s="610">
        <f>SUMIF('Entries 24-25'!$B:$B,A:A,'Entries 24-25'!$D:$D)-SUMIF('Entries 24-25'!$B:$B,A:A,'Entries 24-25'!$E:$E)+SUMIF('IND AS entries 24-25'!$B:$B,A:A,'IND AS entries 24-25'!$D:$D)-SUMIF('IND AS entries 24-25'!$B:$B,A:A,'IND AS entries 24-25'!$E:$E)</f>
        <v>0</v>
      </c>
      <c r="F231" s="611">
        <f t="shared" si="24"/>
        <v>0</v>
      </c>
      <c r="G231" s="610"/>
      <c r="H231" s="610">
        <v>0</v>
      </c>
      <c r="I231" s="611">
        <v>0</v>
      </c>
      <c r="J231" s="610">
        <v>0</v>
      </c>
      <c r="K231" s="611">
        <f t="shared" si="25"/>
        <v>0</v>
      </c>
      <c r="L231" s="612">
        <f>VLOOKUP(A231,'BS Gr'!A:A,1,FALSE)</f>
        <v>101400</v>
      </c>
      <c r="M231" s="612">
        <f t="shared" si="21"/>
        <v>1</v>
      </c>
      <c r="N231" s="613">
        <f t="shared" si="23"/>
        <v>0</v>
      </c>
      <c r="O231" s="613">
        <f t="shared" si="26"/>
        <v>0</v>
      </c>
      <c r="P231" s="613">
        <v>0</v>
      </c>
      <c r="Q231" s="613">
        <f t="shared" si="27"/>
        <v>0</v>
      </c>
      <c r="R231" s="1514"/>
      <c r="S231" s="1617" t="e">
        <f>SUMIF('[105]TB for financial'!$A:$A,A231,'[105]TB for financial'!$E:$E)</f>
        <v>#VALUE!</v>
      </c>
      <c r="T231" s="613"/>
    </row>
    <row r="232" spans="1:20">
      <c r="A232" s="608">
        <v>101410</v>
      </c>
      <c r="B232" s="609" t="s">
        <v>1185</v>
      </c>
      <c r="C232" s="610">
        <f t="shared" si="22"/>
        <v>0</v>
      </c>
      <c r="D232" s="611">
        <v>0</v>
      </c>
      <c r="E232" s="610">
        <f>SUMIF('Entries 24-25'!$B:$B,A:A,'Entries 24-25'!$D:$D)-SUMIF('Entries 24-25'!$B:$B,A:A,'Entries 24-25'!$E:$E)+SUMIF('IND AS entries 24-25'!$B:$B,A:A,'IND AS entries 24-25'!$D:$D)-SUMIF('IND AS entries 24-25'!$B:$B,A:A,'IND AS entries 24-25'!$E:$E)</f>
        <v>0</v>
      </c>
      <c r="F232" s="611">
        <f t="shared" si="24"/>
        <v>0</v>
      </c>
      <c r="G232" s="610"/>
      <c r="H232" s="610">
        <v>0</v>
      </c>
      <c r="I232" s="611">
        <v>0</v>
      </c>
      <c r="J232" s="610">
        <v>0</v>
      </c>
      <c r="K232" s="611">
        <f t="shared" si="25"/>
        <v>0</v>
      </c>
      <c r="L232" s="612">
        <f>VLOOKUP(A232,'BS Gr'!A:A,1,FALSE)</f>
        <v>101410</v>
      </c>
      <c r="M232" s="612">
        <f t="shared" si="21"/>
        <v>1</v>
      </c>
      <c r="N232" s="613">
        <f t="shared" si="23"/>
        <v>0</v>
      </c>
      <c r="O232" s="613">
        <f t="shared" si="26"/>
        <v>0</v>
      </c>
      <c r="P232" s="613">
        <v>0</v>
      </c>
      <c r="Q232" s="613">
        <f t="shared" si="27"/>
        <v>0</v>
      </c>
      <c r="R232" s="1514"/>
      <c r="S232" s="1617" t="e">
        <f>SUMIF('[105]TB for financial'!$A:$A,A232,'[105]TB for financial'!$E:$E)</f>
        <v>#VALUE!</v>
      </c>
      <c r="T232" s="613"/>
    </row>
    <row r="233" spans="1:20">
      <c r="A233" s="608">
        <v>101415</v>
      </c>
      <c r="B233" s="609" t="s">
        <v>1186</v>
      </c>
      <c r="C233" s="610">
        <f t="shared" si="22"/>
        <v>0</v>
      </c>
      <c r="D233" s="611">
        <v>0</v>
      </c>
      <c r="E233" s="610">
        <f>SUMIF('Entries 24-25'!$B:$B,A:A,'Entries 24-25'!$D:$D)-SUMIF('Entries 24-25'!$B:$B,A:A,'Entries 24-25'!$E:$E)+SUMIF('IND AS entries 24-25'!$B:$B,A:A,'IND AS entries 24-25'!$D:$D)-SUMIF('IND AS entries 24-25'!$B:$B,A:A,'IND AS entries 24-25'!$E:$E)</f>
        <v>0</v>
      </c>
      <c r="F233" s="611">
        <f t="shared" si="24"/>
        <v>0</v>
      </c>
      <c r="G233" s="610"/>
      <c r="H233" s="610">
        <v>0</v>
      </c>
      <c r="I233" s="611">
        <v>0</v>
      </c>
      <c r="J233" s="610">
        <v>0</v>
      </c>
      <c r="K233" s="611">
        <f t="shared" si="25"/>
        <v>0</v>
      </c>
      <c r="L233" s="612">
        <f>VLOOKUP(A233,'BS Gr'!A:A,1,FALSE)</f>
        <v>101415</v>
      </c>
      <c r="M233" s="612">
        <f t="shared" si="21"/>
        <v>1</v>
      </c>
      <c r="N233" s="613">
        <f t="shared" si="23"/>
        <v>0</v>
      </c>
      <c r="O233" s="613">
        <f t="shared" si="26"/>
        <v>0</v>
      </c>
      <c r="P233" s="613">
        <v>0</v>
      </c>
      <c r="Q233" s="613">
        <f t="shared" si="27"/>
        <v>0</v>
      </c>
      <c r="R233" s="1514"/>
      <c r="S233" s="1617" t="e">
        <f>SUMIF('[105]TB for financial'!$A:$A,A233,'[105]TB for financial'!$E:$E)</f>
        <v>#VALUE!</v>
      </c>
      <c r="T233" s="613"/>
    </row>
    <row r="234" spans="1:20">
      <c r="A234" s="608">
        <v>101416</v>
      </c>
      <c r="B234" s="609" t="s">
        <v>1187</v>
      </c>
      <c r="C234" s="610">
        <f t="shared" si="22"/>
        <v>0</v>
      </c>
      <c r="D234" s="611">
        <v>0</v>
      </c>
      <c r="E234" s="610">
        <f>SUMIF('Entries 24-25'!$B:$B,A:A,'Entries 24-25'!$D:$D)-SUMIF('Entries 24-25'!$B:$B,A:A,'Entries 24-25'!$E:$E)+SUMIF('IND AS entries 24-25'!$B:$B,A:A,'IND AS entries 24-25'!$D:$D)-SUMIF('IND AS entries 24-25'!$B:$B,A:A,'IND AS entries 24-25'!$E:$E)</f>
        <v>0</v>
      </c>
      <c r="F234" s="611">
        <f t="shared" si="24"/>
        <v>0</v>
      </c>
      <c r="G234" s="610"/>
      <c r="H234" s="610">
        <v>0</v>
      </c>
      <c r="I234" s="611">
        <v>0</v>
      </c>
      <c r="J234" s="610">
        <v>0</v>
      </c>
      <c r="K234" s="611">
        <f t="shared" si="25"/>
        <v>0</v>
      </c>
      <c r="L234" s="612">
        <f>VLOOKUP(A234,'BS Gr'!A:A,1,FALSE)</f>
        <v>101416</v>
      </c>
      <c r="M234" s="612">
        <f t="shared" si="21"/>
        <v>1</v>
      </c>
      <c r="N234" s="613">
        <f t="shared" si="23"/>
        <v>0</v>
      </c>
      <c r="O234" s="613">
        <f t="shared" si="26"/>
        <v>0</v>
      </c>
      <c r="P234" s="613">
        <v>0</v>
      </c>
      <c r="Q234" s="613">
        <f t="shared" si="27"/>
        <v>0</v>
      </c>
      <c r="R234" s="1514"/>
      <c r="S234" s="1617" t="e">
        <f>SUMIF('[105]TB for financial'!$A:$A,A234,'[105]TB for financial'!$E:$E)</f>
        <v>#VALUE!</v>
      </c>
      <c r="T234" s="613"/>
    </row>
    <row r="235" spans="1:20">
      <c r="A235" s="608">
        <v>101417</v>
      </c>
      <c r="B235" s="609" t="s">
        <v>1188</v>
      </c>
      <c r="C235" s="610">
        <f t="shared" si="22"/>
        <v>0</v>
      </c>
      <c r="D235" s="611">
        <v>0</v>
      </c>
      <c r="E235" s="610">
        <f>SUMIF('Entries 24-25'!$B:$B,A:A,'Entries 24-25'!$D:$D)-SUMIF('Entries 24-25'!$B:$B,A:A,'Entries 24-25'!$E:$E)+SUMIF('IND AS entries 24-25'!$B:$B,A:A,'IND AS entries 24-25'!$D:$D)-SUMIF('IND AS entries 24-25'!$B:$B,A:A,'IND AS entries 24-25'!$E:$E)</f>
        <v>0</v>
      </c>
      <c r="F235" s="611">
        <f t="shared" si="24"/>
        <v>0</v>
      </c>
      <c r="G235" s="610"/>
      <c r="H235" s="610">
        <v>0</v>
      </c>
      <c r="I235" s="611">
        <v>0</v>
      </c>
      <c r="J235" s="610">
        <v>0</v>
      </c>
      <c r="K235" s="611">
        <f t="shared" si="25"/>
        <v>0</v>
      </c>
      <c r="L235" s="612">
        <f>VLOOKUP(A235,'BS Gr'!A:A,1,FALSE)</f>
        <v>101417</v>
      </c>
      <c r="M235" s="612">
        <f t="shared" si="21"/>
        <v>1</v>
      </c>
      <c r="N235" s="613">
        <f t="shared" si="23"/>
        <v>0</v>
      </c>
      <c r="O235" s="613">
        <f t="shared" si="26"/>
        <v>0</v>
      </c>
      <c r="P235" s="613">
        <v>0</v>
      </c>
      <c r="Q235" s="613">
        <f t="shared" si="27"/>
        <v>0</v>
      </c>
      <c r="R235" s="1514"/>
      <c r="S235" s="1617" t="e">
        <f>SUMIF('[105]TB for financial'!$A:$A,A235,'[105]TB for financial'!$E:$E)</f>
        <v>#VALUE!</v>
      </c>
      <c r="T235" s="613"/>
    </row>
    <row r="236" spans="1:20">
      <c r="A236" s="608">
        <v>101418</v>
      </c>
      <c r="B236" s="609" t="s">
        <v>1189</v>
      </c>
      <c r="C236" s="610">
        <f t="shared" si="22"/>
        <v>0</v>
      </c>
      <c r="D236" s="611">
        <v>0</v>
      </c>
      <c r="E236" s="610">
        <f>SUMIF('Entries 24-25'!$B:$B,A:A,'Entries 24-25'!$D:$D)-SUMIF('Entries 24-25'!$B:$B,A:A,'Entries 24-25'!$E:$E)+SUMIF('IND AS entries 24-25'!$B:$B,A:A,'IND AS entries 24-25'!$D:$D)-SUMIF('IND AS entries 24-25'!$B:$B,A:A,'IND AS entries 24-25'!$E:$E)</f>
        <v>0</v>
      </c>
      <c r="F236" s="611">
        <f t="shared" si="24"/>
        <v>0</v>
      </c>
      <c r="G236" s="610"/>
      <c r="H236" s="610">
        <v>0</v>
      </c>
      <c r="I236" s="611">
        <v>0</v>
      </c>
      <c r="J236" s="610">
        <v>0</v>
      </c>
      <c r="K236" s="611">
        <f t="shared" si="25"/>
        <v>0</v>
      </c>
      <c r="L236" s="612">
        <f>VLOOKUP(A236,'BS Gr'!A:A,1,FALSE)</f>
        <v>101418</v>
      </c>
      <c r="M236" s="612">
        <f t="shared" si="21"/>
        <v>1</v>
      </c>
      <c r="N236" s="613">
        <f t="shared" si="23"/>
        <v>0</v>
      </c>
      <c r="O236" s="613">
        <f t="shared" si="26"/>
        <v>0</v>
      </c>
      <c r="P236" s="613">
        <v>0</v>
      </c>
      <c r="Q236" s="613">
        <f t="shared" si="27"/>
        <v>0</v>
      </c>
      <c r="R236" s="1514"/>
      <c r="S236" s="1617" t="e">
        <f>SUMIF('[105]TB for financial'!$A:$A,A236,'[105]TB for financial'!$E:$E)</f>
        <v>#VALUE!</v>
      </c>
      <c r="T236" s="613"/>
    </row>
    <row r="237" spans="1:20">
      <c r="A237" s="608">
        <v>101420</v>
      </c>
      <c r="B237" s="609" t="s">
        <v>1190</v>
      </c>
      <c r="C237" s="610">
        <f t="shared" si="22"/>
        <v>0</v>
      </c>
      <c r="D237" s="611">
        <v>0</v>
      </c>
      <c r="E237" s="610">
        <f>SUMIF('Entries 24-25'!$B:$B,A:A,'Entries 24-25'!$D:$D)-SUMIF('Entries 24-25'!$B:$B,A:A,'Entries 24-25'!$E:$E)+SUMIF('IND AS entries 24-25'!$B:$B,A:A,'IND AS entries 24-25'!$D:$D)-SUMIF('IND AS entries 24-25'!$B:$B,A:A,'IND AS entries 24-25'!$E:$E)</f>
        <v>0</v>
      </c>
      <c r="F237" s="611">
        <f t="shared" si="24"/>
        <v>0</v>
      </c>
      <c r="G237" s="610"/>
      <c r="H237" s="610">
        <v>0</v>
      </c>
      <c r="I237" s="611">
        <v>0</v>
      </c>
      <c r="J237" s="610">
        <v>0</v>
      </c>
      <c r="K237" s="611">
        <f t="shared" si="25"/>
        <v>0</v>
      </c>
      <c r="L237" s="612">
        <f>VLOOKUP(A237,'BS Gr'!A:A,1,FALSE)</f>
        <v>101420</v>
      </c>
      <c r="M237" s="612">
        <f t="shared" si="21"/>
        <v>1</v>
      </c>
      <c r="N237" s="613">
        <f t="shared" si="23"/>
        <v>0</v>
      </c>
      <c r="O237" s="613">
        <f t="shared" si="26"/>
        <v>0</v>
      </c>
      <c r="P237" s="613">
        <v>146523</v>
      </c>
      <c r="Q237" s="613">
        <f t="shared" si="27"/>
        <v>-146523</v>
      </c>
      <c r="R237" s="1514"/>
      <c r="S237" s="1617" t="e">
        <f>SUMIF('[105]TB for financial'!$A:$A,A237,'[105]TB for financial'!$E:$E)</f>
        <v>#VALUE!</v>
      </c>
      <c r="T237" s="613"/>
    </row>
    <row r="238" spans="1:20">
      <c r="A238" s="608">
        <v>101421</v>
      </c>
      <c r="B238" s="609" t="s">
        <v>1191</v>
      </c>
      <c r="C238" s="610">
        <f t="shared" si="22"/>
        <v>0</v>
      </c>
      <c r="D238" s="611">
        <v>0</v>
      </c>
      <c r="E238" s="610">
        <f>SUMIF('Entries 24-25'!$B:$B,A:A,'Entries 24-25'!$D:$D)-SUMIF('Entries 24-25'!$B:$B,A:A,'Entries 24-25'!$E:$E)+SUMIF('IND AS entries 24-25'!$B:$B,A:A,'IND AS entries 24-25'!$D:$D)-SUMIF('IND AS entries 24-25'!$B:$B,A:A,'IND AS entries 24-25'!$E:$E)</f>
        <v>0</v>
      </c>
      <c r="F238" s="611">
        <f t="shared" si="24"/>
        <v>0</v>
      </c>
      <c r="G238" s="610"/>
      <c r="H238" s="610">
        <v>0</v>
      </c>
      <c r="I238" s="611">
        <v>0</v>
      </c>
      <c r="J238" s="610">
        <v>0</v>
      </c>
      <c r="K238" s="611">
        <f t="shared" si="25"/>
        <v>0</v>
      </c>
      <c r="L238" s="612">
        <f>VLOOKUP(A238,'BS Gr'!A:A,1,FALSE)</f>
        <v>101421</v>
      </c>
      <c r="M238" s="612">
        <f t="shared" si="21"/>
        <v>1</v>
      </c>
      <c r="N238" s="613">
        <f t="shared" si="23"/>
        <v>0</v>
      </c>
      <c r="O238" s="613">
        <f t="shared" si="26"/>
        <v>0</v>
      </c>
      <c r="P238" s="613">
        <v>0</v>
      </c>
      <c r="Q238" s="613">
        <f t="shared" si="27"/>
        <v>0</v>
      </c>
      <c r="R238" s="1514"/>
      <c r="S238" s="1617" t="e">
        <f>SUMIF('[105]TB for financial'!$A:$A,A238,'[105]TB for financial'!$E:$E)</f>
        <v>#VALUE!</v>
      </c>
      <c r="T238" s="613"/>
    </row>
    <row r="239" spans="1:20">
      <c r="A239" s="608">
        <v>101425</v>
      </c>
      <c r="B239" s="609" t="s">
        <v>1192</v>
      </c>
      <c r="C239" s="610">
        <f t="shared" si="22"/>
        <v>0</v>
      </c>
      <c r="D239" s="611">
        <v>0</v>
      </c>
      <c r="E239" s="610">
        <f>SUMIF('Entries 24-25'!$B:$B,A:A,'Entries 24-25'!$D:$D)-SUMIF('Entries 24-25'!$B:$B,A:A,'Entries 24-25'!$E:$E)+SUMIF('IND AS entries 24-25'!$B:$B,A:A,'IND AS entries 24-25'!$D:$D)-SUMIF('IND AS entries 24-25'!$B:$B,A:A,'IND AS entries 24-25'!$E:$E)</f>
        <v>0</v>
      </c>
      <c r="F239" s="611">
        <f t="shared" si="24"/>
        <v>0</v>
      </c>
      <c r="G239" s="610"/>
      <c r="H239" s="610">
        <v>0</v>
      </c>
      <c r="I239" s="611">
        <v>0</v>
      </c>
      <c r="J239" s="610">
        <v>0</v>
      </c>
      <c r="K239" s="611">
        <f t="shared" si="25"/>
        <v>0</v>
      </c>
      <c r="L239" s="612">
        <f>VLOOKUP(A239,'BS Gr'!A:A,1,FALSE)</f>
        <v>101425</v>
      </c>
      <c r="M239" s="612">
        <f t="shared" si="21"/>
        <v>1</v>
      </c>
      <c r="N239" s="613">
        <f t="shared" si="23"/>
        <v>0</v>
      </c>
      <c r="O239" s="613">
        <f t="shared" si="26"/>
        <v>0</v>
      </c>
      <c r="P239" s="613">
        <v>0</v>
      </c>
      <c r="Q239" s="613">
        <f t="shared" si="27"/>
        <v>0</v>
      </c>
      <c r="R239" s="1514"/>
      <c r="S239" s="1617" t="e">
        <f>SUMIF('[105]TB for financial'!$A:$A,A239,'[105]TB for financial'!$E:$E)</f>
        <v>#VALUE!</v>
      </c>
      <c r="T239" s="613"/>
    </row>
    <row r="240" spans="1:20">
      <c r="A240" s="608">
        <v>101430</v>
      </c>
      <c r="B240" s="609" t="s">
        <v>1193</v>
      </c>
      <c r="C240" s="610">
        <f t="shared" si="22"/>
        <v>0</v>
      </c>
      <c r="D240" s="611">
        <v>0</v>
      </c>
      <c r="E240" s="610">
        <f>SUMIF('Entries 24-25'!$B:$B,A:A,'Entries 24-25'!$D:$D)-SUMIF('Entries 24-25'!$B:$B,A:A,'Entries 24-25'!$E:$E)+SUMIF('IND AS entries 24-25'!$B:$B,A:A,'IND AS entries 24-25'!$D:$D)-SUMIF('IND AS entries 24-25'!$B:$B,A:A,'IND AS entries 24-25'!$E:$E)</f>
        <v>0</v>
      </c>
      <c r="F240" s="611">
        <f t="shared" si="24"/>
        <v>0</v>
      </c>
      <c r="G240" s="610"/>
      <c r="H240" s="610">
        <v>0</v>
      </c>
      <c r="I240" s="611">
        <v>0</v>
      </c>
      <c r="J240" s="610">
        <v>0</v>
      </c>
      <c r="K240" s="611">
        <f t="shared" si="25"/>
        <v>0</v>
      </c>
      <c r="L240" s="612">
        <f>VLOOKUP(A240,'BS Gr'!A:A,1,FALSE)</f>
        <v>101430</v>
      </c>
      <c r="M240" s="612">
        <f t="shared" si="21"/>
        <v>1</v>
      </c>
      <c r="N240" s="613">
        <f t="shared" si="23"/>
        <v>0</v>
      </c>
      <c r="O240" s="613">
        <f t="shared" si="26"/>
        <v>0</v>
      </c>
      <c r="P240" s="613">
        <v>0</v>
      </c>
      <c r="Q240" s="613">
        <f t="shared" si="27"/>
        <v>0</v>
      </c>
      <c r="R240" s="1514"/>
      <c r="S240" s="1617" t="e">
        <f>SUMIF('[105]TB for financial'!$A:$A,A240,'[105]TB for financial'!$E:$E)</f>
        <v>#VALUE!</v>
      </c>
      <c r="T240" s="613"/>
    </row>
    <row r="241" spans="1:20">
      <c r="A241" s="608">
        <v>101435</v>
      </c>
      <c r="B241" s="609" t="s">
        <v>1194</v>
      </c>
      <c r="C241" s="610">
        <f t="shared" si="22"/>
        <v>0</v>
      </c>
      <c r="D241" s="611">
        <v>0</v>
      </c>
      <c r="E241" s="610">
        <f>SUMIF('Entries 24-25'!$B:$B,A:A,'Entries 24-25'!$D:$D)-SUMIF('Entries 24-25'!$B:$B,A:A,'Entries 24-25'!$E:$E)+SUMIF('IND AS entries 24-25'!$B:$B,A:A,'IND AS entries 24-25'!$D:$D)-SUMIF('IND AS entries 24-25'!$B:$B,A:A,'IND AS entries 24-25'!$E:$E)</f>
        <v>0</v>
      </c>
      <c r="F241" s="611">
        <f t="shared" si="24"/>
        <v>0</v>
      </c>
      <c r="G241" s="610"/>
      <c r="H241" s="610">
        <v>0</v>
      </c>
      <c r="I241" s="611">
        <v>0</v>
      </c>
      <c r="J241" s="610">
        <v>0</v>
      </c>
      <c r="K241" s="611">
        <f t="shared" si="25"/>
        <v>0</v>
      </c>
      <c r="L241" s="612">
        <f>VLOOKUP(A241,'BS Gr'!A:A,1,FALSE)</f>
        <v>101435</v>
      </c>
      <c r="M241" s="612">
        <f t="shared" si="21"/>
        <v>1</v>
      </c>
      <c r="N241" s="613">
        <f t="shared" si="23"/>
        <v>0</v>
      </c>
      <c r="O241" s="613">
        <f t="shared" si="26"/>
        <v>0</v>
      </c>
      <c r="P241" s="613">
        <v>0</v>
      </c>
      <c r="Q241" s="613">
        <f t="shared" si="27"/>
        <v>0</v>
      </c>
      <c r="R241" s="1514"/>
      <c r="S241" s="1617" t="e">
        <f>SUMIF('[105]TB for financial'!$A:$A,A241,'[105]TB for financial'!$E:$E)</f>
        <v>#VALUE!</v>
      </c>
      <c r="T241" s="613"/>
    </row>
    <row r="242" spans="1:20">
      <c r="A242" s="608">
        <v>101436</v>
      </c>
      <c r="B242" s="609" t="s">
        <v>1195</v>
      </c>
      <c r="C242" s="610">
        <f t="shared" si="22"/>
        <v>0</v>
      </c>
      <c r="D242" s="611">
        <v>0</v>
      </c>
      <c r="E242" s="610">
        <f>SUMIF('Entries 24-25'!$B:$B,A:A,'Entries 24-25'!$D:$D)-SUMIF('Entries 24-25'!$B:$B,A:A,'Entries 24-25'!$E:$E)+SUMIF('IND AS entries 24-25'!$B:$B,A:A,'IND AS entries 24-25'!$D:$D)-SUMIF('IND AS entries 24-25'!$B:$B,A:A,'IND AS entries 24-25'!$E:$E)</f>
        <v>0</v>
      </c>
      <c r="F242" s="611">
        <f t="shared" si="24"/>
        <v>0</v>
      </c>
      <c r="G242" s="610"/>
      <c r="H242" s="610">
        <v>0</v>
      </c>
      <c r="I242" s="611">
        <v>0</v>
      </c>
      <c r="J242" s="610">
        <v>0</v>
      </c>
      <c r="K242" s="611">
        <f t="shared" si="25"/>
        <v>0</v>
      </c>
      <c r="L242" s="612">
        <f>VLOOKUP(A242,'BS Gr'!A:A,1,FALSE)</f>
        <v>101436</v>
      </c>
      <c r="M242" s="612">
        <f t="shared" si="21"/>
        <v>1</v>
      </c>
      <c r="N242" s="613">
        <f t="shared" si="23"/>
        <v>0</v>
      </c>
      <c r="O242" s="613">
        <f t="shared" si="26"/>
        <v>0</v>
      </c>
      <c r="P242" s="613">
        <v>0</v>
      </c>
      <c r="Q242" s="613">
        <f t="shared" si="27"/>
        <v>0</v>
      </c>
      <c r="R242" s="1514"/>
      <c r="S242" s="1617" t="e">
        <f>SUMIF('[105]TB for financial'!$A:$A,A242,'[105]TB for financial'!$E:$E)</f>
        <v>#VALUE!</v>
      </c>
      <c r="T242" s="613"/>
    </row>
    <row r="243" spans="1:20">
      <c r="A243" s="608">
        <v>101437</v>
      </c>
      <c r="B243" s="609" t="s">
        <v>1196</v>
      </c>
      <c r="C243" s="610">
        <f t="shared" si="22"/>
        <v>0</v>
      </c>
      <c r="D243" s="611">
        <v>0</v>
      </c>
      <c r="E243" s="610">
        <f>SUMIF('Entries 24-25'!$B:$B,A:A,'Entries 24-25'!$D:$D)-SUMIF('Entries 24-25'!$B:$B,A:A,'Entries 24-25'!$E:$E)+SUMIF('IND AS entries 24-25'!$B:$B,A:A,'IND AS entries 24-25'!$D:$D)-SUMIF('IND AS entries 24-25'!$B:$B,A:A,'IND AS entries 24-25'!$E:$E)</f>
        <v>0</v>
      </c>
      <c r="F243" s="611">
        <f t="shared" si="24"/>
        <v>0</v>
      </c>
      <c r="G243" s="610"/>
      <c r="H243" s="610">
        <v>0</v>
      </c>
      <c r="I243" s="611">
        <v>0</v>
      </c>
      <c r="J243" s="610">
        <v>0</v>
      </c>
      <c r="K243" s="611">
        <f t="shared" si="25"/>
        <v>0</v>
      </c>
      <c r="L243" s="612">
        <f>VLOOKUP(A243,'BS Gr'!A:A,1,FALSE)</f>
        <v>101437</v>
      </c>
      <c r="M243" s="612">
        <f t="shared" si="21"/>
        <v>1</v>
      </c>
      <c r="N243" s="613">
        <f t="shared" si="23"/>
        <v>0</v>
      </c>
      <c r="O243" s="613">
        <f t="shared" si="26"/>
        <v>0</v>
      </c>
      <c r="P243" s="613">
        <v>0</v>
      </c>
      <c r="Q243" s="613">
        <f t="shared" si="27"/>
        <v>0</v>
      </c>
      <c r="R243" s="1514"/>
      <c r="S243" s="1617" t="e">
        <f>SUMIF('[105]TB for financial'!$A:$A,A243,'[105]TB for financial'!$E:$E)</f>
        <v>#VALUE!</v>
      </c>
      <c r="T243" s="613"/>
    </row>
    <row r="244" spans="1:20">
      <c r="A244" s="608">
        <v>101438</v>
      </c>
      <c r="B244" s="609" t="s">
        <v>1197</v>
      </c>
      <c r="C244" s="610">
        <f t="shared" si="22"/>
        <v>0</v>
      </c>
      <c r="D244" s="611">
        <v>0</v>
      </c>
      <c r="E244" s="610">
        <f>SUMIF('Entries 24-25'!$B:$B,A:A,'Entries 24-25'!$D:$D)-SUMIF('Entries 24-25'!$B:$B,A:A,'Entries 24-25'!$E:$E)+SUMIF('IND AS entries 24-25'!$B:$B,A:A,'IND AS entries 24-25'!$D:$D)-SUMIF('IND AS entries 24-25'!$B:$B,A:A,'IND AS entries 24-25'!$E:$E)</f>
        <v>0</v>
      </c>
      <c r="F244" s="611">
        <f t="shared" si="24"/>
        <v>0</v>
      </c>
      <c r="G244" s="610"/>
      <c r="H244" s="610">
        <v>0</v>
      </c>
      <c r="I244" s="611">
        <v>0</v>
      </c>
      <c r="J244" s="610">
        <v>0</v>
      </c>
      <c r="K244" s="611">
        <f t="shared" si="25"/>
        <v>0</v>
      </c>
      <c r="L244" s="612">
        <f>VLOOKUP(A244,'BS Gr'!A:A,1,FALSE)</f>
        <v>101438</v>
      </c>
      <c r="M244" s="612">
        <f t="shared" si="21"/>
        <v>1</v>
      </c>
      <c r="N244" s="613">
        <f t="shared" si="23"/>
        <v>0</v>
      </c>
      <c r="O244" s="613">
        <f t="shared" si="26"/>
        <v>0</v>
      </c>
      <c r="P244" s="613">
        <v>0</v>
      </c>
      <c r="Q244" s="613">
        <f t="shared" si="27"/>
        <v>0</v>
      </c>
      <c r="R244" s="1514"/>
      <c r="S244" s="1617" t="e">
        <f>SUMIF('[105]TB for financial'!$A:$A,A244,'[105]TB for financial'!$E:$E)</f>
        <v>#VALUE!</v>
      </c>
      <c r="T244" s="613"/>
    </row>
    <row r="245" spans="1:20">
      <c r="A245" s="608">
        <v>101439</v>
      </c>
      <c r="B245" s="609" t="s">
        <v>1198</v>
      </c>
      <c r="C245" s="610">
        <f t="shared" si="22"/>
        <v>0</v>
      </c>
      <c r="D245" s="611">
        <v>0</v>
      </c>
      <c r="E245" s="610">
        <f>SUMIF('Entries 24-25'!$B:$B,A:A,'Entries 24-25'!$D:$D)-SUMIF('Entries 24-25'!$B:$B,A:A,'Entries 24-25'!$E:$E)+SUMIF('IND AS entries 24-25'!$B:$B,A:A,'IND AS entries 24-25'!$D:$D)-SUMIF('IND AS entries 24-25'!$B:$B,A:A,'IND AS entries 24-25'!$E:$E)</f>
        <v>0</v>
      </c>
      <c r="F245" s="611">
        <f t="shared" si="24"/>
        <v>0</v>
      </c>
      <c r="G245" s="610"/>
      <c r="H245" s="610">
        <v>0</v>
      </c>
      <c r="I245" s="611">
        <v>0</v>
      </c>
      <c r="J245" s="610">
        <v>0</v>
      </c>
      <c r="K245" s="611">
        <f t="shared" si="25"/>
        <v>0</v>
      </c>
      <c r="L245" s="612">
        <f>VLOOKUP(A245,'BS Gr'!A:A,1,FALSE)</f>
        <v>101439</v>
      </c>
      <c r="M245" s="612">
        <f t="shared" si="21"/>
        <v>1</v>
      </c>
      <c r="N245" s="613">
        <f t="shared" si="23"/>
        <v>0</v>
      </c>
      <c r="O245" s="613">
        <f t="shared" si="26"/>
        <v>0</v>
      </c>
      <c r="P245" s="613">
        <v>0</v>
      </c>
      <c r="Q245" s="613">
        <f t="shared" si="27"/>
        <v>0</v>
      </c>
      <c r="R245" s="1514"/>
      <c r="S245" s="1617" t="e">
        <f>SUMIF('[105]TB for financial'!$A:$A,A245,'[105]TB for financial'!$E:$E)</f>
        <v>#VALUE!</v>
      </c>
      <c r="T245" s="613"/>
    </row>
    <row r="246" spans="1:20">
      <c r="A246" s="608">
        <v>101440</v>
      </c>
      <c r="B246" s="609" t="s">
        <v>1199</v>
      </c>
      <c r="C246" s="610">
        <f t="shared" si="22"/>
        <v>0</v>
      </c>
      <c r="D246" s="611">
        <v>0</v>
      </c>
      <c r="E246" s="610">
        <f>SUMIF('Entries 24-25'!$B:$B,A:A,'Entries 24-25'!$D:$D)-SUMIF('Entries 24-25'!$B:$B,A:A,'Entries 24-25'!$E:$E)+SUMIF('IND AS entries 24-25'!$B:$B,A:A,'IND AS entries 24-25'!$D:$D)-SUMIF('IND AS entries 24-25'!$B:$B,A:A,'IND AS entries 24-25'!$E:$E)</f>
        <v>0</v>
      </c>
      <c r="F246" s="611">
        <f t="shared" si="24"/>
        <v>0</v>
      </c>
      <c r="G246" s="610"/>
      <c r="H246" s="610">
        <v>0</v>
      </c>
      <c r="I246" s="611">
        <v>0</v>
      </c>
      <c r="J246" s="610">
        <v>0</v>
      </c>
      <c r="K246" s="611">
        <f t="shared" si="25"/>
        <v>0</v>
      </c>
      <c r="L246" s="612">
        <f>VLOOKUP(A246,'BS Gr'!A:A,1,FALSE)</f>
        <v>101440</v>
      </c>
      <c r="M246" s="612">
        <f t="shared" si="21"/>
        <v>1</v>
      </c>
      <c r="N246" s="613">
        <f t="shared" si="23"/>
        <v>0</v>
      </c>
      <c r="O246" s="613">
        <f t="shared" si="26"/>
        <v>0</v>
      </c>
      <c r="P246" s="613">
        <v>0</v>
      </c>
      <c r="Q246" s="613">
        <f t="shared" si="27"/>
        <v>0</v>
      </c>
      <c r="R246" s="1514"/>
      <c r="S246" s="1617" t="e">
        <f>SUMIF('[105]TB for financial'!$A:$A,A246,'[105]TB for financial'!$E:$E)</f>
        <v>#VALUE!</v>
      </c>
      <c r="T246" s="613"/>
    </row>
    <row r="247" spans="1:20">
      <c r="A247" s="608">
        <v>101441</v>
      </c>
      <c r="B247" s="609" t="s">
        <v>1200</v>
      </c>
      <c r="C247" s="610">
        <f t="shared" si="22"/>
        <v>0</v>
      </c>
      <c r="D247" s="611">
        <v>0</v>
      </c>
      <c r="E247" s="610">
        <f>SUMIF('Entries 24-25'!$B:$B,A:A,'Entries 24-25'!$D:$D)-SUMIF('Entries 24-25'!$B:$B,A:A,'Entries 24-25'!$E:$E)+SUMIF('IND AS entries 24-25'!$B:$B,A:A,'IND AS entries 24-25'!$D:$D)-SUMIF('IND AS entries 24-25'!$B:$B,A:A,'IND AS entries 24-25'!$E:$E)</f>
        <v>0</v>
      </c>
      <c r="F247" s="611">
        <f t="shared" si="24"/>
        <v>0</v>
      </c>
      <c r="G247" s="610"/>
      <c r="H247" s="610">
        <v>0</v>
      </c>
      <c r="I247" s="611">
        <v>0</v>
      </c>
      <c r="J247" s="610">
        <v>0</v>
      </c>
      <c r="K247" s="611">
        <f t="shared" si="25"/>
        <v>0</v>
      </c>
      <c r="L247" s="612">
        <f>VLOOKUP(A247,'BS Gr'!A:A,1,FALSE)</f>
        <v>101441</v>
      </c>
      <c r="M247" s="612">
        <f t="shared" si="21"/>
        <v>1</v>
      </c>
      <c r="N247" s="613">
        <f t="shared" si="23"/>
        <v>0</v>
      </c>
      <c r="O247" s="613">
        <f t="shared" si="26"/>
        <v>0</v>
      </c>
      <c r="P247" s="613">
        <v>0</v>
      </c>
      <c r="Q247" s="613">
        <f t="shared" si="27"/>
        <v>0</v>
      </c>
      <c r="R247" s="1514"/>
      <c r="S247" s="1617" t="e">
        <f>SUMIF('[105]TB for financial'!$A:$A,A247,'[105]TB for financial'!$E:$E)</f>
        <v>#VALUE!</v>
      </c>
      <c r="T247" s="613"/>
    </row>
    <row r="248" spans="1:20">
      <c r="A248" s="608">
        <v>101442</v>
      </c>
      <c r="B248" s="609" t="s">
        <v>1201</v>
      </c>
      <c r="C248" s="610">
        <f t="shared" si="22"/>
        <v>0</v>
      </c>
      <c r="D248" s="611">
        <v>0</v>
      </c>
      <c r="E248" s="610">
        <f>SUMIF('Entries 24-25'!$B:$B,A:A,'Entries 24-25'!$D:$D)-SUMIF('Entries 24-25'!$B:$B,A:A,'Entries 24-25'!$E:$E)+SUMIF('IND AS entries 24-25'!$B:$B,A:A,'IND AS entries 24-25'!$D:$D)-SUMIF('IND AS entries 24-25'!$B:$B,A:A,'IND AS entries 24-25'!$E:$E)</f>
        <v>0</v>
      </c>
      <c r="F248" s="611">
        <f t="shared" si="24"/>
        <v>0</v>
      </c>
      <c r="G248" s="610"/>
      <c r="H248" s="610">
        <v>0</v>
      </c>
      <c r="I248" s="611">
        <v>0</v>
      </c>
      <c r="J248" s="610">
        <v>0</v>
      </c>
      <c r="K248" s="611">
        <f t="shared" si="25"/>
        <v>0</v>
      </c>
      <c r="L248" s="612">
        <f>VLOOKUP(A248,'BS Gr'!A:A,1,FALSE)</f>
        <v>101442</v>
      </c>
      <c r="M248" s="612">
        <f t="shared" si="21"/>
        <v>1</v>
      </c>
      <c r="N248" s="613">
        <f t="shared" si="23"/>
        <v>0</v>
      </c>
      <c r="O248" s="613">
        <f t="shared" si="26"/>
        <v>0</v>
      </c>
      <c r="P248" s="613">
        <v>0</v>
      </c>
      <c r="Q248" s="613">
        <f t="shared" si="27"/>
        <v>0</v>
      </c>
      <c r="R248" s="1514"/>
      <c r="S248" s="1617" t="e">
        <f>SUMIF('[105]TB for financial'!$A:$A,A248,'[105]TB for financial'!$E:$E)</f>
        <v>#VALUE!</v>
      </c>
      <c r="T248" s="613"/>
    </row>
    <row r="249" spans="1:20">
      <c r="A249" s="608">
        <v>101443</v>
      </c>
      <c r="B249" s="609" t="s">
        <v>1202</v>
      </c>
      <c r="C249" s="610">
        <f t="shared" si="22"/>
        <v>-0.45999999999912689</v>
      </c>
      <c r="D249" s="611">
        <v>0</v>
      </c>
      <c r="E249" s="610">
        <f>SUMIF('Entries 24-25'!$B:$B,A:A,'Entries 24-25'!$D:$D)-SUMIF('Entries 24-25'!$B:$B,A:A,'Entries 24-25'!$E:$E)+SUMIF('IND AS entries 24-25'!$B:$B,A:A,'IND AS entries 24-25'!$D:$D)-SUMIF('IND AS entries 24-25'!$B:$B,A:A,'IND AS entries 24-25'!$E:$E)</f>
        <v>0</v>
      </c>
      <c r="F249" s="611">
        <f t="shared" si="24"/>
        <v>-0.45999999999912689</v>
      </c>
      <c r="G249" s="610"/>
      <c r="H249" s="610">
        <v>-0.45999999999912689</v>
      </c>
      <c r="I249" s="611">
        <v>0</v>
      </c>
      <c r="J249" s="610">
        <v>0</v>
      </c>
      <c r="K249" s="611">
        <f t="shared" si="25"/>
        <v>-0.45999999999912689</v>
      </c>
      <c r="L249" s="612">
        <f>VLOOKUP(A249,'BS Gr'!A:A,1,FALSE)</f>
        <v>101443</v>
      </c>
      <c r="M249" s="612">
        <f t="shared" si="21"/>
        <v>1</v>
      </c>
      <c r="N249" s="613">
        <f t="shared" si="23"/>
        <v>0</v>
      </c>
      <c r="O249" s="613">
        <f t="shared" si="26"/>
        <v>0</v>
      </c>
      <c r="P249" s="613">
        <v>17496.54</v>
      </c>
      <c r="Q249" s="613">
        <f t="shared" si="27"/>
        <v>-17497</v>
      </c>
      <c r="R249" s="1514"/>
      <c r="S249" s="1617" t="e">
        <f>SUMIF('[105]TB for financial'!$A:$A,A249,'[105]TB for financial'!$E:$E)</f>
        <v>#VALUE!</v>
      </c>
      <c r="T249" s="613"/>
    </row>
    <row r="250" spans="1:20">
      <c r="A250" s="608">
        <v>101444</v>
      </c>
      <c r="B250" s="609" t="s">
        <v>1203</v>
      </c>
      <c r="C250" s="610">
        <f t="shared" si="22"/>
        <v>0</v>
      </c>
      <c r="D250" s="611">
        <v>0</v>
      </c>
      <c r="E250" s="610">
        <f>SUMIF('Entries 24-25'!$B:$B,A:A,'Entries 24-25'!$D:$D)-SUMIF('Entries 24-25'!$B:$B,A:A,'Entries 24-25'!$E:$E)+SUMIF('IND AS entries 24-25'!$B:$B,A:A,'IND AS entries 24-25'!$D:$D)-SUMIF('IND AS entries 24-25'!$B:$B,A:A,'IND AS entries 24-25'!$E:$E)</f>
        <v>0</v>
      </c>
      <c r="F250" s="611">
        <f t="shared" si="24"/>
        <v>0</v>
      </c>
      <c r="G250" s="610"/>
      <c r="H250" s="610">
        <v>0</v>
      </c>
      <c r="I250" s="611">
        <v>0</v>
      </c>
      <c r="J250" s="610">
        <v>0</v>
      </c>
      <c r="K250" s="611">
        <f t="shared" si="25"/>
        <v>0</v>
      </c>
      <c r="L250" s="612">
        <f>VLOOKUP(A250,'BS Gr'!A:A,1,FALSE)</f>
        <v>101444</v>
      </c>
      <c r="M250" s="612">
        <f t="shared" si="21"/>
        <v>1</v>
      </c>
      <c r="N250" s="613">
        <f t="shared" si="23"/>
        <v>0</v>
      </c>
      <c r="O250" s="613">
        <f t="shared" si="26"/>
        <v>0</v>
      </c>
      <c r="P250" s="613">
        <v>0</v>
      </c>
      <c r="Q250" s="613">
        <f t="shared" si="27"/>
        <v>0</v>
      </c>
      <c r="R250" s="1514"/>
      <c r="S250" s="1617" t="e">
        <f>SUMIF('[105]TB for financial'!$A:$A,A250,'[105]TB for financial'!$E:$E)</f>
        <v>#VALUE!</v>
      </c>
      <c r="T250" s="613"/>
    </row>
    <row r="251" spans="1:20">
      <c r="A251" s="608">
        <v>101445</v>
      </c>
      <c r="B251" s="609" t="s">
        <v>1204</v>
      </c>
      <c r="C251" s="610">
        <f t="shared" si="22"/>
        <v>0</v>
      </c>
      <c r="D251" s="611">
        <v>0</v>
      </c>
      <c r="E251" s="610">
        <f>SUMIF('Entries 24-25'!$B:$B,A:A,'Entries 24-25'!$D:$D)-SUMIF('Entries 24-25'!$B:$B,A:A,'Entries 24-25'!$E:$E)+SUMIF('IND AS entries 24-25'!$B:$B,A:A,'IND AS entries 24-25'!$D:$D)-SUMIF('IND AS entries 24-25'!$B:$B,A:A,'IND AS entries 24-25'!$E:$E)</f>
        <v>0</v>
      </c>
      <c r="F251" s="611">
        <f t="shared" si="24"/>
        <v>0</v>
      </c>
      <c r="G251" s="610"/>
      <c r="H251" s="610">
        <v>0</v>
      </c>
      <c r="I251" s="611">
        <v>0</v>
      </c>
      <c r="J251" s="610">
        <v>0</v>
      </c>
      <c r="K251" s="611">
        <f t="shared" si="25"/>
        <v>0</v>
      </c>
      <c r="L251" s="612">
        <f>VLOOKUP(A251,'BS Gr'!A:A,1,FALSE)</f>
        <v>101445</v>
      </c>
      <c r="M251" s="612">
        <f t="shared" si="21"/>
        <v>1</v>
      </c>
      <c r="N251" s="613">
        <f t="shared" si="23"/>
        <v>0</v>
      </c>
      <c r="O251" s="613">
        <f t="shared" si="26"/>
        <v>0</v>
      </c>
      <c r="P251" s="613">
        <v>0</v>
      </c>
      <c r="Q251" s="613">
        <f t="shared" si="27"/>
        <v>0</v>
      </c>
      <c r="R251" s="1514"/>
      <c r="S251" s="1617" t="e">
        <f>SUMIF('[105]TB for financial'!$A:$A,A251,'[105]TB for financial'!$E:$E)</f>
        <v>#VALUE!</v>
      </c>
      <c r="T251" s="613"/>
    </row>
    <row r="252" spans="1:20">
      <c r="A252" s="608">
        <v>101475</v>
      </c>
      <c r="B252" s="609" t="s">
        <v>1205</v>
      </c>
      <c r="C252" s="610">
        <f t="shared" si="22"/>
        <v>0</v>
      </c>
      <c r="D252" s="611">
        <v>0</v>
      </c>
      <c r="E252" s="610">
        <f>SUMIF('Entries 24-25'!$B:$B,A:A,'Entries 24-25'!$D:$D)-SUMIF('Entries 24-25'!$B:$B,A:A,'Entries 24-25'!$E:$E)+SUMIF('IND AS entries 24-25'!$B:$B,A:A,'IND AS entries 24-25'!$D:$D)-SUMIF('IND AS entries 24-25'!$B:$B,A:A,'IND AS entries 24-25'!$E:$E)</f>
        <v>0</v>
      </c>
      <c r="F252" s="611">
        <f t="shared" si="24"/>
        <v>0</v>
      </c>
      <c r="G252" s="610"/>
      <c r="H252" s="610">
        <v>0</v>
      </c>
      <c r="I252" s="611">
        <v>0</v>
      </c>
      <c r="J252" s="610">
        <v>0</v>
      </c>
      <c r="K252" s="611">
        <f t="shared" si="25"/>
        <v>0</v>
      </c>
      <c r="L252" s="612">
        <f>VLOOKUP(A252,'BS Gr'!A:A,1,FALSE)</f>
        <v>101475</v>
      </c>
      <c r="M252" s="612">
        <f t="shared" si="21"/>
        <v>1</v>
      </c>
      <c r="N252" s="613">
        <f t="shared" si="23"/>
        <v>0</v>
      </c>
      <c r="O252" s="613">
        <f t="shared" si="26"/>
        <v>0</v>
      </c>
      <c r="P252" s="613">
        <v>204621.13</v>
      </c>
      <c r="Q252" s="613">
        <f t="shared" si="27"/>
        <v>-204621.13</v>
      </c>
      <c r="R252" s="1514"/>
      <c r="S252" s="1617" t="e">
        <f>SUMIF('[105]TB for financial'!$A:$A,A252,'[105]TB for financial'!$E:$E)</f>
        <v>#VALUE!</v>
      </c>
      <c r="T252" s="613"/>
    </row>
    <row r="253" spans="1:20">
      <c r="A253" s="608">
        <v>101495</v>
      </c>
      <c r="B253" s="609" t="s">
        <v>1206</v>
      </c>
      <c r="C253" s="610">
        <f t="shared" si="22"/>
        <v>0</v>
      </c>
      <c r="D253" s="611">
        <v>0</v>
      </c>
      <c r="E253" s="610">
        <f>SUMIF('Entries 24-25'!$B:$B,A:A,'Entries 24-25'!$D:$D)-SUMIF('Entries 24-25'!$B:$B,A:A,'Entries 24-25'!$E:$E)+SUMIF('IND AS entries 24-25'!$B:$B,A:A,'IND AS entries 24-25'!$D:$D)-SUMIF('IND AS entries 24-25'!$B:$B,A:A,'IND AS entries 24-25'!$E:$E)</f>
        <v>0</v>
      </c>
      <c r="F253" s="611">
        <f t="shared" si="24"/>
        <v>0</v>
      </c>
      <c r="G253" s="610"/>
      <c r="H253" s="610">
        <v>0</v>
      </c>
      <c r="I253" s="611">
        <v>0</v>
      </c>
      <c r="J253" s="610">
        <v>0</v>
      </c>
      <c r="K253" s="611">
        <f t="shared" si="25"/>
        <v>0</v>
      </c>
      <c r="L253" s="612">
        <f>VLOOKUP(A253,'BS Gr'!A:A,1,FALSE)</f>
        <v>101495</v>
      </c>
      <c r="M253" s="612">
        <f t="shared" si="21"/>
        <v>1</v>
      </c>
      <c r="N253" s="613">
        <f t="shared" si="23"/>
        <v>0</v>
      </c>
      <c r="O253" s="613">
        <f t="shared" si="26"/>
        <v>0</v>
      </c>
      <c r="P253" s="613">
        <v>0</v>
      </c>
      <c r="Q253" s="613">
        <f t="shared" si="27"/>
        <v>0</v>
      </c>
      <c r="R253" s="1514"/>
      <c r="S253" s="1617" t="e">
        <f>SUMIF('[105]TB for financial'!$A:$A,A253,'[105]TB for financial'!$E:$E)</f>
        <v>#VALUE!</v>
      </c>
      <c r="T253" s="613"/>
    </row>
    <row r="254" spans="1:20">
      <c r="A254" s="608">
        <v>101701</v>
      </c>
      <c r="B254" s="609" t="s">
        <v>1207</v>
      </c>
      <c r="C254" s="610">
        <f t="shared" si="22"/>
        <v>0</v>
      </c>
      <c r="D254" s="611">
        <v>0</v>
      </c>
      <c r="E254" s="610">
        <f>SUMIF('Entries 24-25'!$B:$B,A:A,'Entries 24-25'!$D:$D)-SUMIF('Entries 24-25'!$B:$B,A:A,'Entries 24-25'!$E:$E)+SUMIF('IND AS entries 24-25'!$B:$B,A:A,'IND AS entries 24-25'!$D:$D)-SUMIF('IND AS entries 24-25'!$B:$B,A:A,'IND AS entries 24-25'!$E:$E)</f>
        <v>0</v>
      </c>
      <c r="F254" s="611">
        <f t="shared" si="24"/>
        <v>0</v>
      </c>
      <c r="G254" s="610"/>
      <c r="H254" s="610">
        <v>0</v>
      </c>
      <c r="I254" s="611">
        <v>0</v>
      </c>
      <c r="J254" s="610">
        <v>0</v>
      </c>
      <c r="K254" s="611">
        <f t="shared" si="25"/>
        <v>0</v>
      </c>
      <c r="L254" s="612">
        <f>VLOOKUP(A254,'BS Gr'!A:A,1,FALSE)</f>
        <v>101701</v>
      </c>
      <c r="M254" s="612">
        <f t="shared" si="21"/>
        <v>1</v>
      </c>
      <c r="N254" s="613">
        <f t="shared" si="23"/>
        <v>0</v>
      </c>
      <c r="O254" s="613">
        <f t="shared" si="26"/>
        <v>0</v>
      </c>
      <c r="P254" s="613"/>
      <c r="Q254" s="613"/>
      <c r="R254" s="1514"/>
      <c r="S254" s="1617" t="e">
        <f>SUMIF('[105]TB for financial'!$A:$A,A254,'[105]TB for financial'!$E:$E)</f>
        <v>#VALUE!</v>
      </c>
      <c r="T254" s="613"/>
    </row>
    <row r="255" spans="1:20">
      <c r="A255" s="608">
        <v>101702</v>
      </c>
      <c r="B255" s="609" t="s">
        <v>1208</v>
      </c>
      <c r="C255" s="610">
        <f t="shared" si="22"/>
        <v>0</v>
      </c>
      <c r="D255" s="611">
        <v>0</v>
      </c>
      <c r="E255" s="610">
        <f>SUMIF('Entries 24-25'!$B:$B,A:A,'Entries 24-25'!$D:$D)-SUMIF('Entries 24-25'!$B:$B,A:A,'Entries 24-25'!$E:$E)+SUMIF('IND AS entries 24-25'!$B:$B,A:A,'IND AS entries 24-25'!$D:$D)-SUMIF('IND AS entries 24-25'!$B:$B,A:A,'IND AS entries 24-25'!$E:$E)</f>
        <v>0</v>
      </c>
      <c r="F255" s="611">
        <f t="shared" si="24"/>
        <v>0</v>
      </c>
      <c r="G255" s="610"/>
      <c r="H255" s="610">
        <v>0</v>
      </c>
      <c r="I255" s="611">
        <v>0</v>
      </c>
      <c r="J255" s="610">
        <v>0</v>
      </c>
      <c r="K255" s="611">
        <f t="shared" si="25"/>
        <v>0</v>
      </c>
      <c r="L255" s="612">
        <f>VLOOKUP(A255,'BS Gr'!A:A,1,FALSE)</f>
        <v>101702</v>
      </c>
      <c r="M255" s="612">
        <f t="shared" si="21"/>
        <v>1</v>
      </c>
      <c r="N255" s="613">
        <f t="shared" si="23"/>
        <v>0</v>
      </c>
      <c r="O255" s="613">
        <f t="shared" si="26"/>
        <v>0</v>
      </c>
      <c r="P255" s="613"/>
      <c r="Q255" s="613"/>
      <c r="R255" s="1514"/>
      <c r="S255" s="1617" t="e">
        <f>SUMIF('[105]TB for financial'!$A:$A,A255,'[105]TB for financial'!$E:$E)</f>
        <v>#VALUE!</v>
      </c>
      <c r="T255" s="613"/>
    </row>
    <row r="256" spans="1:20">
      <c r="A256" s="608">
        <v>101703</v>
      </c>
      <c r="B256" s="609" t="s">
        <v>1209</v>
      </c>
      <c r="C256" s="610">
        <f t="shared" si="22"/>
        <v>0</v>
      </c>
      <c r="D256" s="611">
        <v>0</v>
      </c>
      <c r="E256" s="610">
        <f>SUMIF('Entries 24-25'!$B:$B,A:A,'Entries 24-25'!$D:$D)-SUMIF('Entries 24-25'!$B:$B,A:A,'Entries 24-25'!$E:$E)+SUMIF('IND AS entries 24-25'!$B:$B,A:A,'IND AS entries 24-25'!$D:$D)-SUMIF('IND AS entries 24-25'!$B:$B,A:A,'IND AS entries 24-25'!$E:$E)</f>
        <v>0</v>
      </c>
      <c r="F256" s="611">
        <f t="shared" si="24"/>
        <v>0</v>
      </c>
      <c r="G256" s="610"/>
      <c r="H256" s="610">
        <v>0</v>
      </c>
      <c r="I256" s="611">
        <v>0</v>
      </c>
      <c r="J256" s="610">
        <v>0</v>
      </c>
      <c r="K256" s="611">
        <f t="shared" si="25"/>
        <v>0</v>
      </c>
      <c r="L256" s="612">
        <f>VLOOKUP(A256,'BS Gr'!A:A,1,FALSE)</f>
        <v>101703</v>
      </c>
      <c r="M256" s="612">
        <f t="shared" si="21"/>
        <v>1</v>
      </c>
      <c r="N256" s="613">
        <f t="shared" si="23"/>
        <v>0</v>
      </c>
      <c r="O256" s="613">
        <f t="shared" si="26"/>
        <v>0</v>
      </c>
      <c r="P256" s="613"/>
      <c r="Q256" s="613"/>
      <c r="R256" s="1514"/>
      <c r="S256" s="1617" t="e">
        <f>SUMIF('[105]TB for financial'!$A:$A,A256,'[105]TB for financial'!$E:$E)</f>
        <v>#VALUE!</v>
      </c>
      <c r="T256" s="613"/>
    </row>
    <row r="257" spans="1:20">
      <c r="A257" s="608">
        <v>101704</v>
      </c>
      <c r="B257" s="609" t="s">
        <v>1210</v>
      </c>
      <c r="C257" s="610">
        <f t="shared" si="22"/>
        <v>1</v>
      </c>
      <c r="D257" s="611">
        <v>0</v>
      </c>
      <c r="E257" s="610">
        <f>SUMIF('Entries 24-25'!$B:$B,A:A,'Entries 24-25'!$D:$D)-SUMIF('Entries 24-25'!$B:$B,A:A,'Entries 24-25'!$E:$E)+SUMIF('IND AS entries 24-25'!$B:$B,A:A,'IND AS entries 24-25'!$D:$D)-SUMIF('IND AS entries 24-25'!$B:$B,A:A,'IND AS entries 24-25'!$E:$E)</f>
        <v>0</v>
      </c>
      <c r="F257" s="611">
        <f t="shared" si="24"/>
        <v>1</v>
      </c>
      <c r="G257" s="610"/>
      <c r="H257" s="610">
        <v>1</v>
      </c>
      <c r="I257" s="611">
        <v>0</v>
      </c>
      <c r="J257" s="610">
        <v>0</v>
      </c>
      <c r="K257" s="611">
        <f t="shared" si="25"/>
        <v>1</v>
      </c>
      <c r="L257" s="612">
        <f>VLOOKUP(A257,'BS Gr'!A:A,1,FALSE)</f>
        <v>101704</v>
      </c>
      <c r="M257" s="612">
        <f t="shared" si="21"/>
        <v>1</v>
      </c>
      <c r="N257" s="613">
        <f t="shared" si="23"/>
        <v>0</v>
      </c>
      <c r="O257" s="613">
        <f t="shared" si="26"/>
        <v>0</v>
      </c>
      <c r="P257" s="613"/>
      <c r="Q257" s="613"/>
      <c r="R257" s="1514"/>
      <c r="S257" s="1617" t="e">
        <f>SUMIF('[105]TB for financial'!$A:$A,A257,'[105]TB for financial'!$E:$E)</f>
        <v>#VALUE!</v>
      </c>
      <c r="T257" s="613"/>
    </row>
    <row r="258" spans="1:20">
      <c r="A258" s="608">
        <v>101705</v>
      </c>
      <c r="B258" s="609" t="s">
        <v>1211</v>
      </c>
      <c r="C258" s="610">
        <f t="shared" si="22"/>
        <v>1</v>
      </c>
      <c r="D258" s="611">
        <v>0</v>
      </c>
      <c r="E258" s="610">
        <f>SUMIF('Entries 24-25'!$B:$B,A:A,'Entries 24-25'!$D:$D)-SUMIF('Entries 24-25'!$B:$B,A:A,'Entries 24-25'!$E:$E)+SUMIF('IND AS entries 24-25'!$B:$B,A:A,'IND AS entries 24-25'!$D:$D)-SUMIF('IND AS entries 24-25'!$B:$B,A:A,'IND AS entries 24-25'!$E:$E)</f>
        <v>0</v>
      </c>
      <c r="F258" s="611">
        <f t="shared" si="24"/>
        <v>1</v>
      </c>
      <c r="G258" s="610"/>
      <c r="H258" s="610">
        <v>1</v>
      </c>
      <c r="I258" s="611">
        <v>0</v>
      </c>
      <c r="J258" s="610">
        <v>0</v>
      </c>
      <c r="K258" s="611">
        <f t="shared" si="25"/>
        <v>1</v>
      </c>
      <c r="L258" s="612">
        <f>VLOOKUP(A258,'BS Gr'!A:A,1,FALSE)</f>
        <v>101705</v>
      </c>
      <c r="M258" s="612">
        <f t="shared" si="21"/>
        <v>1</v>
      </c>
      <c r="N258" s="613">
        <f t="shared" si="23"/>
        <v>0</v>
      </c>
      <c r="O258" s="613">
        <f t="shared" si="26"/>
        <v>0</v>
      </c>
      <c r="P258" s="613"/>
      <c r="Q258" s="613"/>
      <c r="R258" s="1514"/>
      <c r="S258" s="1617" t="e">
        <f>SUMIF('[105]TB for financial'!$A:$A,A258,'[105]TB for financial'!$E:$E)</f>
        <v>#VALUE!</v>
      </c>
      <c r="T258" s="613"/>
    </row>
    <row r="259" spans="1:20">
      <c r="A259" s="608">
        <v>101741</v>
      </c>
      <c r="B259" s="615" t="s">
        <v>1212</v>
      </c>
      <c r="C259" s="610">
        <f t="shared" si="22"/>
        <v>0</v>
      </c>
      <c r="D259" s="611">
        <v>0</v>
      </c>
      <c r="E259" s="610">
        <f>SUMIF('Entries 24-25'!$B:$B,A:A,'Entries 24-25'!$D:$D)-SUMIF('Entries 24-25'!$B:$B,A:A,'Entries 24-25'!$E:$E)+SUMIF('IND AS entries 24-25'!$B:$B,A:A,'IND AS entries 24-25'!$D:$D)-SUMIF('IND AS entries 24-25'!$B:$B,A:A,'IND AS entries 24-25'!$E:$E)</f>
        <v>0</v>
      </c>
      <c r="F259" s="611">
        <f t="shared" si="24"/>
        <v>0</v>
      </c>
      <c r="G259" s="610"/>
      <c r="H259" s="610">
        <v>0</v>
      </c>
      <c r="I259" s="611">
        <v>0</v>
      </c>
      <c r="J259" s="610">
        <v>0</v>
      </c>
      <c r="K259" s="611">
        <f t="shared" si="25"/>
        <v>0</v>
      </c>
      <c r="L259" s="612" t="e">
        <f>VLOOKUP(A259,'BS Gr'!A:A,1,FALSE)</f>
        <v>#N/A</v>
      </c>
      <c r="M259" s="612">
        <f t="shared" si="21"/>
        <v>1</v>
      </c>
      <c r="N259" s="613">
        <f t="shared" si="23"/>
        <v>0</v>
      </c>
      <c r="O259" s="613">
        <f t="shared" si="26"/>
        <v>0</v>
      </c>
      <c r="P259" s="613">
        <v>0</v>
      </c>
      <c r="Q259" s="613">
        <f t="shared" si="27"/>
        <v>0</v>
      </c>
      <c r="R259" s="1514"/>
      <c r="S259" s="1617" t="e">
        <f>SUMIF('[105]TB for financial'!$A:$A,A259,'[105]TB for financial'!$E:$E)</f>
        <v>#VALUE!</v>
      </c>
      <c r="T259" s="613"/>
    </row>
    <row r="260" spans="1:20">
      <c r="A260" s="608">
        <v>101750</v>
      </c>
      <c r="B260" s="615" t="s">
        <v>1803</v>
      </c>
      <c r="C260" s="610">
        <f t="shared" si="22"/>
        <v>0</v>
      </c>
      <c r="D260" s="611">
        <v>0</v>
      </c>
      <c r="E260" s="610">
        <f>SUMIF('Entries 24-25'!$B:$B,A:A,'Entries 24-25'!$D:$D)-SUMIF('Entries 24-25'!$B:$B,A:A,'Entries 24-25'!$E:$E)+SUMIF('IND AS entries 24-25'!$B:$B,A:A,'IND AS entries 24-25'!$D:$D)-SUMIF('IND AS entries 24-25'!$B:$B,A:A,'IND AS entries 24-25'!$E:$E)</f>
        <v>0</v>
      </c>
      <c r="F260" s="611">
        <f t="shared" si="24"/>
        <v>0</v>
      </c>
      <c r="G260" s="610"/>
      <c r="H260" s="610">
        <v>0</v>
      </c>
      <c r="I260" s="611">
        <v>0</v>
      </c>
      <c r="J260" s="610">
        <v>0</v>
      </c>
      <c r="K260" s="611">
        <f t="shared" si="25"/>
        <v>0</v>
      </c>
      <c r="L260" s="612">
        <f>VLOOKUP(A260,'BS Gr'!A:A,1,FALSE)</f>
        <v>101750</v>
      </c>
      <c r="M260" s="612">
        <f t="shared" si="21"/>
        <v>1</v>
      </c>
      <c r="N260" s="613">
        <f t="shared" si="23"/>
        <v>0</v>
      </c>
      <c r="O260" s="613">
        <f t="shared" si="26"/>
        <v>0</v>
      </c>
      <c r="P260" s="613"/>
      <c r="Q260" s="613"/>
      <c r="R260" s="1514"/>
      <c r="S260" s="1617" t="e">
        <f>SUMIF('[105]TB for financial'!$A:$A,A260,'[105]TB for financial'!$E:$E)</f>
        <v>#VALUE!</v>
      </c>
      <c r="T260" s="613"/>
    </row>
    <row r="261" spans="1:20">
      <c r="A261" s="608">
        <v>101760</v>
      </c>
      <c r="B261" s="615" t="s">
        <v>1803</v>
      </c>
      <c r="C261" s="610">
        <f t="shared" si="22"/>
        <v>0</v>
      </c>
      <c r="D261" s="611">
        <v>0</v>
      </c>
      <c r="E261" s="610">
        <f>SUMIF('Entries 24-25'!$B:$B,A:A,'Entries 24-25'!$D:$D)-SUMIF('Entries 24-25'!$B:$B,A:A,'Entries 24-25'!$E:$E)+SUMIF('IND AS entries 24-25'!$B:$B,A:A,'IND AS entries 24-25'!$D:$D)-SUMIF('IND AS entries 24-25'!$B:$B,A:A,'IND AS entries 24-25'!$E:$E)</f>
        <v>0</v>
      </c>
      <c r="F261" s="611">
        <f t="shared" si="24"/>
        <v>0</v>
      </c>
      <c r="G261" s="610"/>
      <c r="H261" s="610">
        <v>0</v>
      </c>
      <c r="I261" s="611">
        <v>0</v>
      </c>
      <c r="J261" s="610">
        <v>0</v>
      </c>
      <c r="K261" s="611">
        <f t="shared" si="25"/>
        <v>0</v>
      </c>
      <c r="L261" s="612">
        <f>VLOOKUP(A261,'BS Gr'!A:A,1,FALSE)</f>
        <v>101760</v>
      </c>
      <c r="M261" s="612">
        <f t="shared" ref="M261:M324" si="28">COUNTIF(A:A,A261)</f>
        <v>1</v>
      </c>
      <c r="N261" s="613">
        <f t="shared" si="23"/>
        <v>0</v>
      </c>
      <c r="O261" s="613">
        <f t="shared" si="26"/>
        <v>0</v>
      </c>
      <c r="P261" s="613"/>
      <c r="Q261" s="613"/>
      <c r="R261" s="1514"/>
      <c r="S261" s="1617" t="e">
        <f>SUMIF('[105]TB for financial'!$A:$A,A261,'[105]TB for financial'!$E:$E)</f>
        <v>#VALUE!</v>
      </c>
      <c r="T261" s="613"/>
    </row>
    <row r="262" spans="1:20">
      <c r="A262" s="608">
        <v>101751</v>
      </c>
      <c r="B262" s="615" t="s">
        <v>1213</v>
      </c>
      <c r="C262" s="610">
        <f t="shared" ref="C262:C325" si="29">K262</f>
        <v>0</v>
      </c>
      <c r="D262" s="611">
        <v>0</v>
      </c>
      <c r="E262" s="610">
        <f>SUMIF('Entries 24-25'!$B:$B,A:A,'Entries 24-25'!$D:$D)-SUMIF('Entries 24-25'!$B:$B,A:A,'Entries 24-25'!$E:$E)+SUMIF('IND AS entries 24-25'!$B:$B,A:A,'IND AS entries 24-25'!$D:$D)-SUMIF('IND AS entries 24-25'!$B:$B,A:A,'IND AS entries 24-25'!$E:$E)</f>
        <v>0</v>
      </c>
      <c r="F262" s="611">
        <f t="shared" si="24"/>
        <v>0</v>
      </c>
      <c r="G262" s="610"/>
      <c r="H262" s="610">
        <v>0</v>
      </c>
      <c r="I262" s="611">
        <v>0</v>
      </c>
      <c r="J262" s="610">
        <v>0</v>
      </c>
      <c r="K262" s="611">
        <f t="shared" si="25"/>
        <v>0</v>
      </c>
      <c r="L262" s="612">
        <f>VLOOKUP(A262,'BS Gr'!A:A,1,FALSE)</f>
        <v>101751</v>
      </c>
      <c r="M262" s="612">
        <f t="shared" si="28"/>
        <v>1</v>
      </c>
      <c r="N262" s="613">
        <f t="shared" ref="N262:N325" si="30">C262-K262</f>
        <v>0</v>
      </c>
      <c r="O262" s="613">
        <f t="shared" si="26"/>
        <v>0</v>
      </c>
      <c r="P262" s="613">
        <v>0</v>
      </c>
      <c r="Q262" s="613">
        <f t="shared" si="27"/>
        <v>0</v>
      </c>
      <c r="R262" s="1514"/>
      <c r="S262" s="1617" t="e">
        <f>SUMIF('[105]TB for financial'!$A:$A,A262,'[105]TB for financial'!$E:$E)</f>
        <v>#VALUE!</v>
      </c>
      <c r="T262" s="613"/>
    </row>
    <row r="263" spans="1:20">
      <c r="A263" s="608">
        <v>101780</v>
      </c>
      <c r="B263" s="609" t="s">
        <v>1214</v>
      </c>
      <c r="C263" s="610">
        <f t="shared" si="29"/>
        <v>4.4299999863142148E-3</v>
      </c>
      <c r="D263" s="611">
        <v>0</v>
      </c>
      <c r="E263" s="610">
        <f>SUMIF('Entries 24-25'!$B:$B,A:A,'Entries 24-25'!$D:$D)-SUMIF('Entries 24-25'!$B:$B,A:A,'Entries 24-25'!$E:$E)+SUMIF('IND AS entries 24-25'!$B:$B,A:A,'IND AS entries 24-25'!$D:$D)-SUMIF('IND AS entries 24-25'!$B:$B,A:A,'IND AS entries 24-25'!$E:$E)</f>
        <v>0</v>
      </c>
      <c r="F263" s="611">
        <f t="shared" si="24"/>
        <v>4.4299999863142148E-3</v>
      </c>
      <c r="G263" s="610"/>
      <c r="H263" s="610">
        <v>4.4299999863142148E-3</v>
      </c>
      <c r="I263" s="611">
        <v>0</v>
      </c>
      <c r="J263" s="610">
        <v>0</v>
      </c>
      <c r="K263" s="611">
        <f t="shared" si="25"/>
        <v>4.4299999863142148E-3</v>
      </c>
      <c r="L263" s="612">
        <f>VLOOKUP(A263,'BS Gr'!A:A,1,FALSE)</f>
        <v>101780</v>
      </c>
      <c r="M263" s="612">
        <f t="shared" si="28"/>
        <v>1</v>
      </c>
      <c r="N263" s="613">
        <f t="shared" si="30"/>
        <v>0</v>
      </c>
      <c r="O263" s="613">
        <f t="shared" si="26"/>
        <v>0</v>
      </c>
      <c r="P263" s="613">
        <v>102741.07442999999</v>
      </c>
      <c r="Q263" s="613">
        <f t="shared" si="27"/>
        <v>-102741.07</v>
      </c>
      <c r="R263" s="1514"/>
      <c r="S263" s="1617" t="e">
        <f>SUMIF('[105]TB for financial'!$A:$A,A263,'[105]TB for financial'!$E:$E)</f>
        <v>#VALUE!</v>
      </c>
      <c r="T263" s="613"/>
    </row>
    <row r="264" spans="1:20">
      <c r="A264" s="608">
        <v>101785</v>
      </c>
      <c r="B264" s="609" t="s">
        <v>1215</v>
      </c>
      <c r="C264" s="610">
        <f t="shared" si="29"/>
        <v>0</v>
      </c>
      <c r="D264" s="611">
        <v>0</v>
      </c>
      <c r="E264" s="610">
        <f>SUMIF('Entries 24-25'!$B:$B,A:A,'Entries 24-25'!$D:$D)-SUMIF('Entries 24-25'!$B:$B,A:A,'Entries 24-25'!$E:$E)+SUMIF('IND AS entries 24-25'!$B:$B,A:A,'IND AS entries 24-25'!$D:$D)-SUMIF('IND AS entries 24-25'!$B:$B,A:A,'IND AS entries 24-25'!$E:$E)</f>
        <v>0</v>
      </c>
      <c r="F264" s="611">
        <f t="shared" ref="F264:F327" si="31">SUM(C264:E264)</f>
        <v>0</v>
      </c>
      <c r="G264" s="610"/>
      <c r="H264" s="610">
        <v>0</v>
      </c>
      <c r="I264" s="611">
        <v>0</v>
      </c>
      <c r="J264" s="610">
        <v>0</v>
      </c>
      <c r="K264" s="611">
        <f t="shared" ref="K264:K327" si="32">SUM(H264:J264)</f>
        <v>0</v>
      </c>
      <c r="L264" s="612">
        <f>VLOOKUP(A264,'BS Gr'!A:A,1,FALSE)</f>
        <v>101785</v>
      </c>
      <c r="M264" s="612">
        <f t="shared" si="28"/>
        <v>1</v>
      </c>
      <c r="N264" s="613">
        <f t="shared" si="30"/>
        <v>0</v>
      </c>
      <c r="O264" s="613">
        <f t="shared" si="26"/>
        <v>0</v>
      </c>
      <c r="P264" s="613">
        <v>0</v>
      </c>
      <c r="Q264" s="613">
        <f t="shared" si="27"/>
        <v>0</v>
      </c>
      <c r="R264" s="1514"/>
      <c r="S264" s="1617" t="e">
        <f>SUMIF('[105]TB for financial'!$A:$A,A264,'[105]TB for financial'!$E:$E)</f>
        <v>#VALUE!</v>
      </c>
      <c r="T264" s="613"/>
    </row>
    <row r="265" spans="1:20">
      <c r="A265" s="608">
        <v>101788</v>
      </c>
      <c r="B265" s="609" t="s">
        <v>1216</v>
      </c>
      <c r="C265" s="610">
        <f t="shared" si="29"/>
        <v>-5.1999999996041879E-3</v>
      </c>
      <c r="D265" s="611">
        <v>0</v>
      </c>
      <c r="E265" s="610">
        <f>SUMIF('Entries 24-25'!$B:$B,A:A,'Entries 24-25'!$D:$D)-SUMIF('Entries 24-25'!$B:$B,A:A,'Entries 24-25'!$E:$E)+SUMIF('IND AS entries 24-25'!$B:$B,A:A,'IND AS entries 24-25'!$D:$D)-SUMIF('IND AS entries 24-25'!$B:$B,A:A,'IND AS entries 24-25'!$E:$E)</f>
        <v>0</v>
      </c>
      <c r="F265" s="611">
        <f t="shared" si="31"/>
        <v>-5.1999999996041879E-3</v>
      </c>
      <c r="G265" s="610"/>
      <c r="H265" s="610">
        <v>-5.1999999996041879E-3</v>
      </c>
      <c r="I265" s="611">
        <v>0</v>
      </c>
      <c r="J265" s="610">
        <v>0</v>
      </c>
      <c r="K265" s="611">
        <f t="shared" si="32"/>
        <v>-5.1999999996041879E-3</v>
      </c>
      <c r="L265" s="612">
        <f>VLOOKUP(A265,'BS Gr'!A:A,1,FALSE)</f>
        <v>101788</v>
      </c>
      <c r="M265" s="612">
        <f t="shared" si="28"/>
        <v>1</v>
      </c>
      <c r="N265" s="613">
        <f t="shared" si="30"/>
        <v>0</v>
      </c>
      <c r="O265" s="613">
        <f t="shared" si="26"/>
        <v>0</v>
      </c>
      <c r="P265" s="613">
        <v>-5.1999999996041879E-3</v>
      </c>
      <c r="Q265" s="613">
        <f t="shared" si="27"/>
        <v>0</v>
      </c>
      <c r="R265" s="1514"/>
      <c r="S265" s="1617" t="e">
        <f>SUMIF('[105]TB for financial'!$A:$A,A265,'[105]TB for financial'!$E:$E)</f>
        <v>#VALUE!</v>
      </c>
      <c r="T265" s="613"/>
    </row>
    <row r="266" spans="1:20">
      <c r="A266" s="608">
        <v>101789</v>
      </c>
      <c r="B266" s="609" t="s">
        <v>938</v>
      </c>
      <c r="C266" s="610">
        <f t="shared" si="29"/>
        <v>0</v>
      </c>
      <c r="D266" s="611">
        <v>0</v>
      </c>
      <c r="E266" s="610">
        <f>SUMIF('Entries 24-25'!$B:$B,A:A,'Entries 24-25'!$D:$D)-SUMIF('Entries 24-25'!$B:$B,A:A,'Entries 24-25'!$E:$E)+SUMIF('IND AS entries 24-25'!$B:$B,A:A,'IND AS entries 24-25'!$D:$D)-SUMIF('IND AS entries 24-25'!$B:$B,A:A,'IND AS entries 24-25'!$E:$E)</f>
        <v>0</v>
      </c>
      <c r="F266" s="611">
        <f t="shared" si="31"/>
        <v>0</v>
      </c>
      <c r="G266" s="610"/>
      <c r="H266" s="610">
        <v>0</v>
      </c>
      <c r="I266" s="611">
        <v>0</v>
      </c>
      <c r="J266" s="610">
        <v>0</v>
      </c>
      <c r="K266" s="611">
        <f t="shared" si="32"/>
        <v>0</v>
      </c>
      <c r="L266" s="612">
        <f>VLOOKUP(A266,'BS Gr'!A:A,1,FALSE)</f>
        <v>101789</v>
      </c>
      <c r="M266" s="612">
        <f t="shared" si="28"/>
        <v>1</v>
      </c>
      <c r="N266" s="613">
        <f t="shared" si="30"/>
        <v>0</v>
      </c>
      <c r="O266" s="613">
        <f t="shared" si="26"/>
        <v>0</v>
      </c>
      <c r="P266" s="613">
        <v>0</v>
      </c>
      <c r="Q266" s="613">
        <f t="shared" si="27"/>
        <v>0</v>
      </c>
      <c r="R266" s="1514"/>
      <c r="S266" s="1617" t="e">
        <f>SUMIF('[105]TB for financial'!$A:$A,A266,'[105]TB for financial'!$E:$E)</f>
        <v>#VALUE!</v>
      </c>
      <c r="T266" s="613"/>
    </row>
    <row r="267" spans="1:20">
      <c r="A267" s="608">
        <v>101790</v>
      </c>
      <c r="B267" s="609" t="s">
        <v>1217</v>
      </c>
      <c r="C267" s="610">
        <f t="shared" si="29"/>
        <v>-4.9404799938201904E-3</v>
      </c>
      <c r="D267" s="611">
        <v>0</v>
      </c>
      <c r="E267" s="610">
        <f>SUMIF('Entries 24-25'!$B:$B,A:A,'Entries 24-25'!$D:$D)-SUMIF('Entries 24-25'!$B:$B,A:A,'Entries 24-25'!$E:$E)+SUMIF('IND AS entries 24-25'!$B:$B,A:A,'IND AS entries 24-25'!$D:$D)-SUMIF('IND AS entries 24-25'!$B:$B,A:A,'IND AS entries 24-25'!$E:$E)</f>
        <v>0</v>
      </c>
      <c r="F267" s="611">
        <f t="shared" si="31"/>
        <v>-4.9404799938201904E-3</v>
      </c>
      <c r="G267" s="610"/>
      <c r="H267" s="610">
        <v>-4.9404799938201904E-3</v>
      </c>
      <c r="I267" s="611">
        <v>0</v>
      </c>
      <c r="J267" s="610">
        <v>0</v>
      </c>
      <c r="K267" s="611">
        <f t="shared" si="32"/>
        <v>-4.9404799938201904E-3</v>
      </c>
      <c r="L267" s="612">
        <f>VLOOKUP(A267,'BS Gr'!A:A,1,FALSE)</f>
        <v>101790</v>
      </c>
      <c r="M267" s="612">
        <f t="shared" si="28"/>
        <v>1</v>
      </c>
      <c r="N267" s="613">
        <f t="shared" si="30"/>
        <v>0</v>
      </c>
      <c r="O267" s="613">
        <f t="shared" si="26"/>
        <v>0</v>
      </c>
      <c r="P267" s="613">
        <v>-4.9404799938201904E-3</v>
      </c>
      <c r="Q267" s="613">
        <f t="shared" si="27"/>
        <v>0</v>
      </c>
      <c r="R267" s="1514"/>
      <c r="S267" s="1617" t="e">
        <f>SUMIF('[105]TB for financial'!$A:$A,A267,'[105]TB for financial'!$E:$E)</f>
        <v>#VALUE!</v>
      </c>
      <c r="T267" s="613"/>
    </row>
    <row r="268" spans="1:20">
      <c r="A268" s="608">
        <v>101791</v>
      </c>
      <c r="B268" s="609" t="s">
        <v>1218</v>
      </c>
      <c r="C268" s="610">
        <f t="shared" si="29"/>
        <v>0</v>
      </c>
      <c r="D268" s="611">
        <v>0</v>
      </c>
      <c r="E268" s="610">
        <f>SUMIF('Entries 24-25'!$B:$B,A:A,'Entries 24-25'!$D:$D)-SUMIF('Entries 24-25'!$B:$B,A:A,'Entries 24-25'!$E:$E)+SUMIF('IND AS entries 24-25'!$B:$B,A:A,'IND AS entries 24-25'!$D:$D)-SUMIF('IND AS entries 24-25'!$B:$B,A:A,'IND AS entries 24-25'!$E:$E)</f>
        <v>0</v>
      </c>
      <c r="F268" s="611">
        <f t="shared" si="31"/>
        <v>0</v>
      </c>
      <c r="G268" s="610"/>
      <c r="H268" s="610">
        <v>0</v>
      </c>
      <c r="I268" s="611">
        <v>0</v>
      </c>
      <c r="J268" s="610">
        <v>0</v>
      </c>
      <c r="K268" s="611">
        <f t="shared" si="32"/>
        <v>0</v>
      </c>
      <c r="L268" s="612">
        <f>VLOOKUP(A268,'BS Gr'!A:A,1,FALSE)</f>
        <v>101791</v>
      </c>
      <c r="M268" s="612">
        <f t="shared" si="28"/>
        <v>1</v>
      </c>
      <c r="N268" s="613">
        <f t="shared" si="30"/>
        <v>0</v>
      </c>
      <c r="O268" s="613">
        <f t="shared" si="26"/>
        <v>0</v>
      </c>
      <c r="P268" s="613">
        <v>0</v>
      </c>
      <c r="Q268" s="613">
        <f t="shared" si="27"/>
        <v>0</v>
      </c>
      <c r="R268" s="1514"/>
      <c r="S268" s="1617" t="e">
        <f>SUMIF('[105]TB for financial'!$A:$A,A268,'[105]TB for financial'!$E:$E)</f>
        <v>#VALUE!</v>
      </c>
      <c r="T268" s="613"/>
    </row>
    <row r="269" spans="1:20">
      <c r="A269" s="608">
        <v>101792</v>
      </c>
      <c r="B269" s="609" t="s">
        <v>1219</v>
      </c>
      <c r="C269" s="610">
        <f t="shared" si="29"/>
        <v>0</v>
      </c>
      <c r="D269" s="611">
        <v>0</v>
      </c>
      <c r="E269" s="610">
        <f>SUMIF('Entries 24-25'!$B:$B,A:A,'Entries 24-25'!$D:$D)-SUMIF('Entries 24-25'!$B:$B,A:A,'Entries 24-25'!$E:$E)+SUMIF('IND AS entries 24-25'!$B:$B,A:A,'IND AS entries 24-25'!$D:$D)-SUMIF('IND AS entries 24-25'!$B:$B,A:A,'IND AS entries 24-25'!$E:$E)</f>
        <v>0</v>
      </c>
      <c r="F269" s="611">
        <f t="shared" si="31"/>
        <v>0</v>
      </c>
      <c r="G269" s="610"/>
      <c r="H269" s="610">
        <v>0</v>
      </c>
      <c r="I269" s="611">
        <v>0</v>
      </c>
      <c r="J269" s="610">
        <v>0</v>
      </c>
      <c r="K269" s="611">
        <f t="shared" si="32"/>
        <v>0</v>
      </c>
      <c r="L269" s="612">
        <f>VLOOKUP(A269,'BS Gr'!A:A,1,FALSE)</f>
        <v>101792</v>
      </c>
      <c r="M269" s="612">
        <f t="shared" si="28"/>
        <v>1</v>
      </c>
      <c r="N269" s="613">
        <f t="shared" si="30"/>
        <v>0</v>
      </c>
      <c r="O269" s="613">
        <f t="shared" si="26"/>
        <v>0</v>
      </c>
      <c r="P269" s="613">
        <v>0</v>
      </c>
      <c r="Q269" s="613">
        <f t="shared" si="27"/>
        <v>0</v>
      </c>
      <c r="R269" s="1514"/>
      <c r="S269" s="1617" t="e">
        <f>SUMIF('[105]TB for financial'!$A:$A,A269,'[105]TB for financial'!$E:$E)</f>
        <v>#VALUE!</v>
      </c>
      <c r="T269" s="613"/>
    </row>
    <row r="270" spans="1:20">
      <c r="A270" s="608">
        <v>101365</v>
      </c>
      <c r="B270" s="609" t="s">
        <v>1220</v>
      </c>
      <c r="C270" s="610">
        <f t="shared" si="29"/>
        <v>0</v>
      </c>
      <c r="D270" s="611">
        <v>0</v>
      </c>
      <c r="E270" s="610">
        <f>SUMIF('Entries 24-25'!$B:$B,A:A,'Entries 24-25'!$D:$D)-SUMIF('Entries 24-25'!$B:$B,A:A,'Entries 24-25'!$E:$E)+SUMIF('IND AS entries 24-25'!$B:$B,A:A,'IND AS entries 24-25'!$D:$D)-SUMIF('IND AS entries 24-25'!$B:$B,A:A,'IND AS entries 24-25'!$E:$E)</f>
        <v>0</v>
      </c>
      <c r="F270" s="611">
        <f t="shared" si="31"/>
        <v>0</v>
      </c>
      <c r="G270" s="610"/>
      <c r="H270" s="610">
        <v>0</v>
      </c>
      <c r="I270" s="611">
        <v>0</v>
      </c>
      <c r="J270" s="610">
        <v>0</v>
      </c>
      <c r="K270" s="611">
        <f t="shared" si="32"/>
        <v>0</v>
      </c>
      <c r="L270" s="612">
        <f>VLOOKUP(A270,'BS Gr'!A:A,1,FALSE)</f>
        <v>101365</v>
      </c>
      <c r="M270" s="612">
        <f t="shared" si="28"/>
        <v>1</v>
      </c>
      <c r="N270" s="613">
        <f t="shared" si="30"/>
        <v>0</v>
      </c>
      <c r="O270" s="613">
        <f t="shared" si="26"/>
        <v>0</v>
      </c>
      <c r="P270" s="613">
        <v>0</v>
      </c>
      <c r="Q270" s="613">
        <f t="shared" si="27"/>
        <v>0</v>
      </c>
      <c r="R270" s="1514"/>
      <c r="S270" s="1617" t="e">
        <f>SUMIF('[105]TB for financial'!$A:$A,A270,'[105]TB for financial'!$E:$E)</f>
        <v>#VALUE!</v>
      </c>
      <c r="T270" s="613"/>
    </row>
    <row r="271" spans="1:20">
      <c r="A271" s="608">
        <v>101793</v>
      </c>
      <c r="B271" s="609" t="s">
        <v>1221</v>
      </c>
      <c r="C271" s="610">
        <f t="shared" si="29"/>
        <v>0</v>
      </c>
      <c r="D271" s="611">
        <v>0</v>
      </c>
      <c r="E271" s="610">
        <f>SUMIF('Entries 24-25'!$B:$B,A:A,'Entries 24-25'!$D:$D)-SUMIF('Entries 24-25'!$B:$B,A:A,'Entries 24-25'!$E:$E)+SUMIF('IND AS entries 24-25'!$B:$B,A:A,'IND AS entries 24-25'!$D:$D)-SUMIF('IND AS entries 24-25'!$B:$B,A:A,'IND AS entries 24-25'!$E:$E)</f>
        <v>0</v>
      </c>
      <c r="F271" s="611">
        <f t="shared" si="31"/>
        <v>0</v>
      </c>
      <c r="G271" s="610"/>
      <c r="H271" s="610">
        <v>0</v>
      </c>
      <c r="I271" s="611">
        <v>0</v>
      </c>
      <c r="J271" s="610">
        <v>0</v>
      </c>
      <c r="K271" s="611">
        <f t="shared" si="32"/>
        <v>0</v>
      </c>
      <c r="L271" s="612">
        <f>VLOOKUP(A271,'BS Gr'!A:A,1,FALSE)</f>
        <v>101793</v>
      </c>
      <c r="M271" s="612">
        <f t="shared" si="28"/>
        <v>1</v>
      </c>
      <c r="N271" s="613">
        <f t="shared" si="30"/>
        <v>0</v>
      </c>
      <c r="O271" s="613">
        <f t="shared" si="26"/>
        <v>0</v>
      </c>
      <c r="P271" s="613">
        <v>6220514.3000000007</v>
      </c>
      <c r="Q271" s="613">
        <f t="shared" si="27"/>
        <v>-6220514.3000000007</v>
      </c>
      <c r="R271" s="1514"/>
      <c r="S271" s="1617" t="e">
        <f>SUMIF('[105]TB for financial'!$A:$A,A271,'[105]TB for financial'!$E:$E)</f>
        <v>#VALUE!</v>
      </c>
      <c r="T271" s="613"/>
    </row>
    <row r="272" spans="1:20">
      <c r="A272" s="608">
        <v>101794</v>
      </c>
      <c r="B272" s="609" t="s">
        <v>1222</v>
      </c>
      <c r="C272" s="610">
        <f t="shared" si="29"/>
        <v>0</v>
      </c>
      <c r="D272" s="611">
        <v>0</v>
      </c>
      <c r="E272" s="610">
        <f>SUMIF('Entries 24-25'!$B:$B,A:A,'Entries 24-25'!$D:$D)-SUMIF('Entries 24-25'!$B:$B,A:A,'Entries 24-25'!$E:$E)+SUMIF('IND AS entries 24-25'!$B:$B,A:A,'IND AS entries 24-25'!$D:$D)-SUMIF('IND AS entries 24-25'!$B:$B,A:A,'IND AS entries 24-25'!$E:$E)</f>
        <v>0</v>
      </c>
      <c r="F272" s="611">
        <f t="shared" si="31"/>
        <v>0</v>
      </c>
      <c r="G272" s="610"/>
      <c r="H272" s="610">
        <v>0</v>
      </c>
      <c r="I272" s="611">
        <v>0</v>
      </c>
      <c r="J272" s="610">
        <v>0</v>
      </c>
      <c r="K272" s="611">
        <f t="shared" si="32"/>
        <v>0</v>
      </c>
      <c r="L272" s="612">
        <f>VLOOKUP(A272,'BS Gr'!A:A,1,FALSE)</f>
        <v>101794</v>
      </c>
      <c r="M272" s="612">
        <f t="shared" si="28"/>
        <v>1</v>
      </c>
      <c r="N272" s="613">
        <f t="shared" si="30"/>
        <v>0</v>
      </c>
      <c r="O272" s="613">
        <f t="shared" si="26"/>
        <v>0</v>
      </c>
      <c r="P272" s="613">
        <v>0</v>
      </c>
      <c r="Q272" s="613">
        <f t="shared" si="27"/>
        <v>0</v>
      </c>
      <c r="R272" s="1514"/>
      <c r="S272" s="1617" t="e">
        <f>SUMIF('[105]TB for financial'!$A:$A,A272,'[105]TB for financial'!$E:$E)</f>
        <v>#VALUE!</v>
      </c>
      <c r="T272" s="613"/>
    </row>
    <row r="273" spans="1:20">
      <c r="A273" s="608">
        <v>101795</v>
      </c>
      <c r="B273" s="609" t="s">
        <v>1223</v>
      </c>
      <c r="C273" s="610">
        <f t="shared" si="29"/>
        <v>0</v>
      </c>
      <c r="D273" s="611">
        <v>0</v>
      </c>
      <c r="E273" s="610">
        <f>SUMIF('Entries 24-25'!$B:$B,A:A,'Entries 24-25'!$D:$D)-SUMIF('Entries 24-25'!$B:$B,A:A,'Entries 24-25'!$E:$E)+SUMIF('IND AS entries 24-25'!$B:$B,A:A,'IND AS entries 24-25'!$D:$D)-SUMIF('IND AS entries 24-25'!$B:$B,A:A,'IND AS entries 24-25'!$E:$E)</f>
        <v>0</v>
      </c>
      <c r="F273" s="611">
        <f t="shared" si="31"/>
        <v>0</v>
      </c>
      <c r="G273" s="610"/>
      <c r="H273" s="610">
        <v>0</v>
      </c>
      <c r="I273" s="611">
        <v>0</v>
      </c>
      <c r="J273" s="610">
        <v>0</v>
      </c>
      <c r="K273" s="611">
        <f t="shared" si="32"/>
        <v>0</v>
      </c>
      <c r="L273" s="612">
        <f>VLOOKUP(A273,'BS Gr'!A:A,1,FALSE)</f>
        <v>101795</v>
      </c>
      <c r="M273" s="612">
        <f t="shared" si="28"/>
        <v>1</v>
      </c>
      <c r="N273" s="613">
        <f t="shared" si="30"/>
        <v>0</v>
      </c>
      <c r="O273" s="613">
        <f t="shared" si="26"/>
        <v>0</v>
      </c>
      <c r="P273" s="613">
        <v>0</v>
      </c>
      <c r="Q273" s="613">
        <f t="shared" ref="Q273:Q341" si="33">+K273-P273</f>
        <v>0</v>
      </c>
      <c r="R273" s="1514"/>
      <c r="S273" s="1617" t="e">
        <f>SUMIF('[105]TB for financial'!$A:$A,A273,'[105]TB for financial'!$E:$E)</f>
        <v>#VALUE!</v>
      </c>
      <c r="T273" s="613"/>
    </row>
    <row r="274" spans="1:20">
      <c r="A274" s="608">
        <v>101796</v>
      </c>
      <c r="B274" s="609" t="s">
        <v>1224</v>
      </c>
      <c r="C274" s="610">
        <f t="shared" si="29"/>
        <v>0</v>
      </c>
      <c r="D274" s="611">
        <v>0</v>
      </c>
      <c r="E274" s="610">
        <f>SUMIF('Entries 24-25'!$B:$B,A:A,'Entries 24-25'!$D:$D)-SUMIF('Entries 24-25'!$B:$B,A:A,'Entries 24-25'!$E:$E)+SUMIF('IND AS entries 24-25'!$B:$B,A:A,'IND AS entries 24-25'!$D:$D)-SUMIF('IND AS entries 24-25'!$B:$B,A:A,'IND AS entries 24-25'!$E:$E)</f>
        <v>0</v>
      </c>
      <c r="F274" s="611">
        <f t="shared" si="31"/>
        <v>0</v>
      </c>
      <c r="G274" s="610"/>
      <c r="H274" s="610">
        <v>0</v>
      </c>
      <c r="I274" s="611">
        <v>0</v>
      </c>
      <c r="J274" s="610">
        <v>0</v>
      </c>
      <c r="K274" s="611">
        <f t="shared" si="32"/>
        <v>0</v>
      </c>
      <c r="L274" s="612">
        <f>VLOOKUP(A274,'BS Gr'!A:A,1,FALSE)</f>
        <v>101796</v>
      </c>
      <c r="M274" s="612">
        <f t="shared" si="28"/>
        <v>1</v>
      </c>
      <c r="N274" s="613">
        <f t="shared" si="30"/>
        <v>0</v>
      </c>
      <c r="O274" s="613">
        <f t="shared" si="26"/>
        <v>0</v>
      </c>
      <c r="P274" s="613">
        <v>399960</v>
      </c>
      <c r="Q274" s="613">
        <f t="shared" si="33"/>
        <v>-399960</v>
      </c>
      <c r="R274" s="1514"/>
      <c r="S274" s="1617" t="e">
        <f>SUMIF('[105]TB for financial'!$A:$A,A274,'[105]TB for financial'!$E:$E)</f>
        <v>#VALUE!</v>
      </c>
      <c r="T274" s="613"/>
    </row>
    <row r="275" spans="1:20">
      <c r="A275" s="608">
        <v>101797</v>
      </c>
      <c r="B275" s="609" t="s">
        <v>1225</v>
      </c>
      <c r="C275" s="610">
        <f t="shared" si="29"/>
        <v>0</v>
      </c>
      <c r="D275" s="611">
        <v>0</v>
      </c>
      <c r="E275" s="610">
        <f>SUMIF('Entries 24-25'!$B:$B,A:A,'Entries 24-25'!$D:$D)-SUMIF('Entries 24-25'!$B:$B,A:A,'Entries 24-25'!$E:$E)+SUMIF('IND AS entries 24-25'!$B:$B,A:A,'IND AS entries 24-25'!$D:$D)-SUMIF('IND AS entries 24-25'!$B:$B,A:A,'IND AS entries 24-25'!$E:$E)</f>
        <v>0</v>
      </c>
      <c r="F275" s="611">
        <f t="shared" si="31"/>
        <v>0</v>
      </c>
      <c r="G275" s="610"/>
      <c r="H275" s="610">
        <v>0</v>
      </c>
      <c r="I275" s="611">
        <v>0</v>
      </c>
      <c r="J275" s="610">
        <v>0</v>
      </c>
      <c r="K275" s="611">
        <f t="shared" si="32"/>
        <v>0</v>
      </c>
      <c r="L275" s="612">
        <f>VLOOKUP(A275,'BS Gr'!A:A,1,FALSE)</f>
        <v>101797</v>
      </c>
      <c r="M275" s="612">
        <f t="shared" si="28"/>
        <v>1</v>
      </c>
      <c r="N275" s="613">
        <f t="shared" si="30"/>
        <v>0</v>
      </c>
      <c r="O275" s="613">
        <f t="shared" si="26"/>
        <v>0</v>
      </c>
      <c r="P275" s="613">
        <v>0</v>
      </c>
      <c r="Q275" s="613">
        <f t="shared" si="33"/>
        <v>0</v>
      </c>
      <c r="R275" s="1514"/>
      <c r="S275" s="1617" t="e">
        <f>SUMIF('[105]TB for financial'!$A:$A,A275,'[105]TB for financial'!$E:$E)</f>
        <v>#VALUE!</v>
      </c>
      <c r="T275" s="613"/>
    </row>
    <row r="276" spans="1:20">
      <c r="A276" s="608">
        <v>101798</v>
      </c>
      <c r="B276" s="609" t="s">
        <v>621</v>
      </c>
      <c r="C276" s="610">
        <f t="shared" si="29"/>
        <v>0</v>
      </c>
      <c r="D276" s="611">
        <v>0</v>
      </c>
      <c r="E276" s="610">
        <f>SUMIF('Entries 24-25'!$B:$B,A:A,'Entries 24-25'!$D:$D)-SUMIF('Entries 24-25'!$B:$B,A:A,'Entries 24-25'!$E:$E)+SUMIF('IND AS entries 24-25'!$B:$B,A:A,'IND AS entries 24-25'!$D:$D)-SUMIF('IND AS entries 24-25'!$B:$B,A:A,'IND AS entries 24-25'!$E:$E)</f>
        <v>0</v>
      </c>
      <c r="F276" s="611">
        <f t="shared" si="31"/>
        <v>0</v>
      </c>
      <c r="G276" s="610"/>
      <c r="H276" s="610">
        <v>0</v>
      </c>
      <c r="I276" s="611">
        <v>0</v>
      </c>
      <c r="J276" s="610">
        <v>0</v>
      </c>
      <c r="K276" s="611">
        <f t="shared" si="32"/>
        <v>0</v>
      </c>
      <c r="L276" s="612">
        <f>VLOOKUP(A276,'BS Gr'!A:A,1,FALSE)</f>
        <v>101798</v>
      </c>
      <c r="M276" s="612">
        <f t="shared" si="28"/>
        <v>1</v>
      </c>
      <c r="N276" s="613">
        <f t="shared" si="30"/>
        <v>0</v>
      </c>
      <c r="O276" s="613">
        <f t="shared" si="26"/>
        <v>0</v>
      </c>
      <c r="P276" s="613">
        <v>8099779.4593531191</v>
      </c>
      <c r="Q276" s="613">
        <f t="shared" si="33"/>
        <v>-8099779.4593531191</v>
      </c>
      <c r="R276" s="1514"/>
      <c r="S276" s="1617" t="e">
        <f>SUMIF('[105]TB for financial'!$A:$A,A276,'[105]TB for financial'!$E:$E)</f>
        <v>#VALUE!</v>
      </c>
      <c r="T276" s="613"/>
    </row>
    <row r="277" spans="1:20">
      <c r="A277" s="608">
        <v>101799</v>
      </c>
      <c r="B277" s="609" t="s">
        <v>1226</v>
      </c>
      <c r="C277" s="610">
        <f t="shared" si="29"/>
        <v>2.4000000012165401E-3</v>
      </c>
      <c r="D277" s="611">
        <v>0</v>
      </c>
      <c r="E277" s="610">
        <f>SUMIF('Entries 24-25'!$B:$B,A:A,'Entries 24-25'!$D:$D)-SUMIF('Entries 24-25'!$B:$B,A:A,'Entries 24-25'!$E:$E)+SUMIF('IND AS entries 24-25'!$B:$B,A:A,'IND AS entries 24-25'!$D:$D)-SUMIF('IND AS entries 24-25'!$B:$B,A:A,'IND AS entries 24-25'!$E:$E)</f>
        <v>0</v>
      </c>
      <c r="F277" s="611">
        <f t="shared" si="31"/>
        <v>2.4000000012165401E-3</v>
      </c>
      <c r="G277" s="610"/>
      <c r="H277" s="610">
        <v>2.4000000012165401E-3</v>
      </c>
      <c r="I277" s="611">
        <v>0</v>
      </c>
      <c r="J277" s="610">
        <v>0</v>
      </c>
      <c r="K277" s="611">
        <f t="shared" si="32"/>
        <v>2.4000000012165401E-3</v>
      </c>
      <c r="L277" s="612">
        <f>VLOOKUP(A277,'BS Gr'!A:A,1,FALSE)</f>
        <v>101799</v>
      </c>
      <c r="M277" s="612">
        <f t="shared" si="28"/>
        <v>1</v>
      </c>
      <c r="N277" s="613">
        <f t="shared" si="30"/>
        <v>0</v>
      </c>
      <c r="O277" s="613">
        <f t="shared" si="26"/>
        <v>0</v>
      </c>
      <c r="P277" s="613">
        <v>2.4000000012165401E-3</v>
      </c>
      <c r="Q277" s="613">
        <f t="shared" si="33"/>
        <v>0</v>
      </c>
      <c r="R277" s="1514"/>
      <c r="S277" s="1617" t="e">
        <f>SUMIF('[105]TB for financial'!$A:$A,A277,'[105]TB for financial'!$E:$E)</f>
        <v>#VALUE!</v>
      </c>
      <c r="T277" s="613"/>
    </row>
    <row r="278" spans="1:20">
      <c r="A278" s="608">
        <v>101800</v>
      </c>
      <c r="B278" s="609" t="s">
        <v>1227</v>
      </c>
      <c r="C278" s="610">
        <f t="shared" si="29"/>
        <v>0</v>
      </c>
      <c r="D278" s="611">
        <v>0</v>
      </c>
      <c r="E278" s="610">
        <f>SUMIF('Entries 24-25'!$B:$B,A:A,'Entries 24-25'!$D:$D)-SUMIF('Entries 24-25'!$B:$B,A:A,'Entries 24-25'!$E:$E)+SUMIF('IND AS entries 24-25'!$B:$B,A:A,'IND AS entries 24-25'!$D:$D)-SUMIF('IND AS entries 24-25'!$B:$B,A:A,'IND AS entries 24-25'!$E:$E)</f>
        <v>0</v>
      </c>
      <c r="F278" s="611">
        <f t="shared" si="31"/>
        <v>0</v>
      </c>
      <c r="G278" s="610"/>
      <c r="H278" s="610">
        <v>0</v>
      </c>
      <c r="I278" s="611">
        <v>0</v>
      </c>
      <c r="J278" s="610">
        <v>0</v>
      </c>
      <c r="K278" s="611">
        <f t="shared" si="32"/>
        <v>0</v>
      </c>
      <c r="L278" s="612">
        <f>VLOOKUP(A278,'BS Gr'!A:A,1,FALSE)</f>
        <v>101800</v>
      </c>
      <c r="M278" s="612">
        <f t="shared" si="28"/>
        <v>1</v>
      </c>
      <c r="N278" s="613">
        <f t="shared" si="30"/>
        <v>0</v>
      </c>
      <c r="O278" s="613">
        <f t="shared" si="26"/>
        <v>0</v>
      </c>
      <c r="P278" s="613">
        <v>0</v>
      </c>
      <c r="Q278" s="613">
        <f t="shared" si="33"/>
        <v>0</v>
      </c>
      <c r="R278" s="1514"/>
      <c r="S278" s="1617" t="e">
        <f>SUMIF('[105]TB for financial'!$A:$A,A278,'[105]TB for financial'!$E:$E)</f>
        <v>#VALUE!</v>
      </c>
      <c r="T278" s="613"/>
    </row>
    <row r="279" spans="1:20">
      <c r="A279" s="608">
        <v>101801</v>
      </c>
      <c r="B279" s="609" t="s">
        <v>1228</v>
      </c>
      <c r="C279" s="610">
        <f t="shared" si="29"/>
        <v>0.15219999942928553</v>
      </c>
      <c r="D279" s="611">
        <v>0</v>
      </c>
      <c r="E279" s="610">
        <f>SUMIF('Entries 24-25'!$B:$B,A:A,'Entries 24-25'!$D:$D)-SUMIF('Entries 24-25'!$B:$B,A:A,'Entries 24-25'!$E:$E)+SUMIF('IND AS entries 24-25'!$B:$B,A:A,'IND AS entries 24-25'!$D:$D)-SUMIF('IND AS entries 24-25'!$B:$B,A:A,'IND AS entries 24-25'!$E:$E)</f>
        <v>0</v>
      </c>
      <c r="F279" s="611">
        <f t="shared" si="31"/>
        <v>0.15219999942928553</v>
      </c>
      <c r="G279" s="610"/>
      <c r="H279" s="610">
        <v>0.15219999942928553</v>
      </c>
      <c r="I279" s="611">
        <v>0</v>
      </c>
      <c r="J279" s="610">
        <v>0</v>
      </c>
      <c r="K279" s="611">
        <f t="shared" si="32"/>
        <v>0.15219999942928553</v>
      </c>
      <c r="L279" s="612">
        <f>VLOOKUP(A279,'BS Gr'!A:A,1,FALSE)</f>
        <v>101801</v>
      </c>
      <c r="M279" s="612">
        <f t="shared" si="28"/>
        <v>1</v>
      </c>
      <c r="N279" s="613">
        <f t="shared" si="30"/>
        <v>0</v>
      </c>
      <c r="O279" s="613">
        <f t="shared" si="26"/>
        <v>0</v>
      </c>
      <c r="P279" s="613">
        <v>4629952.8221999994</v>
      </c>
      <c r="Q279" s="613">
        <f t="shared" si="33"/>
        <v>-4629952.67</v>
      </c>
      <c r="R279" s="1514"/>
      <c r="S279" s="1617" t="e">
        <f>SUMIF('[105]TB for financial'!$A:$A,A279,'[105]TB for financial'!$E:$E)</f>
        <v>#VALUE!</v>
      </c>
      <c r="T279" s="613"/>
    </row>
    <row r="280" spans="1:20">
      <c r="A280" s="608">
        <v>101802</v>
      </c>
      <c r="B280" s="609" t="s">
        <v>1229</v>
      </c>
      <c r="C280" s="610">
        <f t="shared" si="29"/>
        <v>0</v>
      </c>
      <c r="D280" s="611">
        <v>0</v>
      </c>
      <c r="E280" s="610">
        <f>SUMIF('Entries 24-25'!$B:$B,A:A,'Entries 24-25'!$D:$D)-SUMIF('Entries 24-25'!$B:$B,A:A,'Entries 24-25'!$E:$E)+SUMIF('IND AS entries 24-25'!$B:$B,A:A,'IND AS entries 24-25'!$D:$D)-SUMIF('IND AS entries 24-25'!$B:$B,A:A,'IND AS entries 24-25'!$E:$E)</f>
        <v>0</v>
      </c>
      <c r="F280" s="611">
        <f t="shared" si="31"/>
        <v>0</v>
      </c>
      <c r="G280" s="610"/>
      <c r="H280" s="610">
        <v>0</v>
      </c>
      <c r="I280" s="611">
        <v>0</v>
      </c>
      <c r="J280" s="610">
        <v>0</v>
      </c>
      <c r="K280" s="611">
        <f t="shared" si="32"/>
        <v>0</v>
      </c>
      <c r="L280" s="612">
        <f>VLOOKUP(A280,'BS Gr'!A:A,1,FALSE)</f>
        <v>101802</v>
      </c>
      <c r="M280" s="612">
        <f t="shared" si="28"/>
        <v>1</v>
      </c>
      <c r="N280" s="613">
        <f t="shared" si="30"/>
        <v>0</v>
      </c>
      <c r="O280" s="613">
        <f t="shared" si="26"/>
        <v>0</v>
      </c>
      <c r="P280" s="613">
        <v>0</v>
      </c>
      <c r="Q280" s="613">
        <f t="shared" si="33"/>
        <v>0</v>
      </c>
      <c r="R280" s="1514"/>
      <c r="S280" s="1617" t="e">
        <f>SUMIF('[105]TB for financial'!$A:$A,A280,'[105]TB for financial'!$E:$E)</f>
        <v>#VALUE!</v>
      </c>
      <c r="T280" s="613"/>
    </row>
    <row r="281" spans="1:20">
      <c r="A281" s="608">
        <v>101803</v>
      </c>
      <c r="B281" s="615" t="s">
        <v>1230</v>
      </c>
      <c r="C281" s="610">
        <f t="shared" si="29"/>
        <v>0</v>
      </c>
      <c r="D281" s="611">
        <v>0</v>
      </c>
      <c r="E281" s="610">
        <f>SUMIF('Entries 24-25'!$B:$B,A:A,'Entries 24-25'!$D:$D)-SUMIF('Entries 24-25'!$B:$B,A:A,'Entries 24-25'!$E:$E)+SUMIF('IND AS entries 24-25'!$B:$B,A:A,'IND AS entries 24-25'!$D:$D)-SUMIF('IND AS entries 24-25'!$B:$B,A:A,'IND AS entries 24-25'!$E:$E)</f>
        <v>0</v>
      </c>
      <c r="F281" s="611">
        <f t="shared" si="31"/>
        <v>0</v>
      </c>
      <c r="G281" s="610"/>
      <c r="H281" s="610">
        <v>0</v>
      </c>
      <c r="I281" s="611">
        <v>0</v>
      </c>
      <c r="J281" s="610">
        <v>0</v>
      </c>
      <c r="K281" s="611">
        <f t="shared" si="32"/>
        <v>0</v>
      </c>
      <c r="L281" s="612">
        <f>VLOOKUP(A281,'BS Gr'!A:A,1,FALSE)</f>
        <v>101803</v>
      </c>
      <c r="M281" s="612">
        <f t="shared" si="28"/>
        <v>1</v>
      </c>
      <c r="N281" s="613">
        <f t="shared" si="30"/>
        <v>0</v>
      </c>
      <c r="O281" s="613">
        <f t="shared" ref="O281:O354" si="34">C281-K281</f>
        <v>0</v>
      </c>
      <c r="P281" s="613">
        <v>223</v>
      </c>
      <c r="Q281" s="613">
        <f t="shared" si="33"/>
        <v>-223</v>
      </c>
      <c r="R281" s="1514"/>
      <c r="S281" s="1617" t="e">
        <f>SUMIF('[105]TB for financial'!$A:$A,A281,'[105]TB for financial'!$E:$E)</f>
        <v>#VALUE!</v>
      </c>
      <c r="T281" s="613"/>
    </row>
    <row r="282" spans="1:20">
      <c r="A282" s="608">
        <v>101804</v>
      </c>
      <c r="B282" s="615" t="s">
        <v>1231</v>
      </c>
      <c r="C282" s="610">
        <f t="shared" si="29"/>
        <v>0</v>
      </c>
      <c r="D282" s="611">
        <v>0</v>
      </c>
      <c r="E282" s="610">
        <f>SUMIF('Entries 24-25'!$B:$B,A:A,'Entries 24-25'!$D:$D)-SUMIF('Entries 24-25'!$B:$B,A:A,'Entries 24-25'!$E:$E)+SUMIF('IND AS entries 24-25'!$B:$B,A:A,'IND AS entries 24-25'!$D:$D)-SUMIF('IND AS entries 24-25'!$B:$B,A:A,'IND AS entries 24-25'!$E:$E)</f>
        <v>0</v>
      </c>
      <c r="F282" s="611">
        <f t="shared" si="31"/>
        <v>0</v>
      </c>
      <c r="G282" s="610"/>
      <c r="H282" s="610">
        <v>0</v>
      </c>
      <c r="I282" s="611">
        <v>0</v>
      </c>
      <c r="J282" s="610">
        <v>0</v>
      </c>
      <c r="K282" s="611">
        <f t="shared" si="32"/>
        <v>0</v>
      </c>
      <c r="L282" s="612">
        <f>VLOOKUP(A282,'BS Gr'!A:A,1,FALSE)</f>
        <v>101804</v>
      </c>
      <c r="M282" s="612">
        <f t="shared" si="28"/>
        <v>1</v>
      </c>
      <c r="N282" s="613">
        <f t="shared" si="30"/>
        <v>0</v>
      </c>
      <c r="O282" s="613">
        <f t="shared" si="34"/>
        <v>0</v>
      </c>
      <c r="P282" s="613">
        <v>0</v>
      </c>
      <c r="Q282" s="613">
        <f t="shared" si="33"/>
        <v>0</v>
      </c>
      <c r="R282" s="1514"/>
      <c r="S282" s="1617" t="e">
        <f>SUMIF('[105]TB for financial'!$A:$A,A282,'[105]TB for financial'!$E:$E)</f>
        <v>#VALUE!</v>
      </c>
      <c r="T282" s="613"/>
    </row>
    <row r="283" spans="1:20">
      <c r="A283" s="608">
        <v>101806</v>
      </c>
      <c r="B283" s="615" t="s">
        <v>1232</v>
      </c>
      <c r="C283" s="610">
        <f t="shared" si="29"/>
        <v>0</v>
      </c>
      <c r="D283" s="611">
        <v>0</v>
      </c>
      <c r="E283" s="610">
        <f>SUMIF('Entries 24-25'!$B:$B,A:A,'Entries 24-25'!$D:$D)-SUMIF('Entries 24-25'!$B:$B,A:A,'Entries 24-25'!$E:$E)+SUMIF('IND AS entries 24-25'!$B:$B,A:A,'IND AS entries 24-25'!$D:$D)-SUMIF('IND AS entries 24-25'!$B:$B,A:A,'IND AS entries 24-25'!$E:$E)</f>
        <v>0</v>
      </c>
      <c r="F283" s="611">
        <f t="shared" si="31"/>
        <v>0</v>
      </c>
      <c r="G283" s="610"/>
      <c r="H283" s="610">
        <v>0</v>
      </c>
      <c r="I283" s="611">
        <v>0</v>
      </c>
      <c r="J283" s="610">
        <v>0</v>
      </c>
      <c r="K283" s="611">
        <f t="shared" si="32"/>
        <v>0</v>
      </c>
      <c r="L283" s="612">
        <f>VLOOKUP(A283,'BS Gr'!A:A,1,FALSE)</f>
        <v>101806</v>
      </c>
      <c r="M283" s="612">
        <f t="shared" si="28"/>
        <v>1</v>
      </c>
      <c r="N283" s="613">
        <f t="shared" si="30"/>
        <v>0</v>
      </c>
      <c r="O283" s="613">
        <f t="shared" si="34"/>
        <v>0</v>
      </c>
      <c r="P283" s="613">
        <v>0</v>
      </c>
      <c r="Q283" s="613">
        <f t="shared" si="33"/>
        <v>0</v>
      </c>
      <c r="R283" s="1514"/>
      <c r="S283" s="1617" t="e">
        <f>SUMIF('[105]TB for financial'!$A:$A,A283,'[105]TB for financial'!$E:$E)</f>
        <v>#VALUE!</v>
      </c>
      <c r="T283" s="613"/>
    </row>
    <row r="284" spans="1:20">
      <c r="A284" s="608">
        <v>101807</v>
      </c>
      <c r="B284" s="615" t="s">
        <v>1233</v>
      </c>
      <c r="C284" s="610">
        <f t="shared" si="29"/>
        <v>0</v>
      </c>
      <c r="D284" s="611">
        <v>0</v>
      </c>
      <c r="E284" s="610">
        <f>SUMIF('Entries 24-25'!$B:$B,A:A,'Entries 24-25'!$D:$D)-SUMIF('Entries 24-25'!$B:$B,A:A,'Entries 24-25'!$E:$E)+SUMIF('IND AS entries 24-25'!$B:$B,A:A,'IND AS entries 24-25'!$D:$D)-SUMIF('IND AS entries 24-25'!$B:$B,A:A,'IND AS entries 24-25'!$E:$E)</f>
        <v>0</v>
      </c>
      <c r="F284" s="611">
        <f t="shared" si="31"/>
        <v>0</v>
      </c>
      <c r="G284" s="610"/>
      <c r="H284" s="610">
        <v>0</v>
      </c>
      <c r="I284" s="611">
        <v>0</v>
      </c>
      <c r="J284" s="610">
        <v>0</v>
      </c>
      <c r="K284" s="611">
        <f t="shared" si="32"/>
        <v>0</v>
      </c>
      <c r="L284" s="612">
        <f>VLOOKUP(A284,'BS Gr'!A:A,1,FALSE)</f>
        <v>101807</v>
      </c>
      <c r="M284" s="612">
        <f t="shared" si="28"/>
        <v>1</v>
      </c>
      <c r="N284" s="613">
        <f t="shared" si="30"/>
        <v>0</v>
      </c>
      <c r="O284" s="613">
        <f t="shared" si="34"/>
        <v>0</v>
      </c>
      <c r="P284" s="613">
        <v>17606.68</v>
      </c>
      <c r="Q284" s="613">
        <f t="shared" si="33"/>
        <v>-17606.68</v>
      </c>
      <c r="R284" s="1514"/>
      <c r="S284" s="1617" t="e">
        <f>SUMIF('[105]TB for financial'!$A:$A,A284,'[105]TB for financial'!$E:$E)</f>
        <v>#VALUE!</v>
      </c>
      <c r="T284" s="613"/>
    </row>
    <row r="285" spans="1:20">
      <c r="A285" s="608">
        <v>101808</v>
      </c>
      <c r="B285" s="615" t="s">
        <v>1234</v>
      </c>
      <c r="C285" s="610">
        <f t="shared" si="29"/>
        <v>0</v>
      </c>
      <c r="D285" s="611">
        <v>0</v>
      </c>
      <c r="E285" s="610">
        <f>SUMIF('Entries 24-25'!$B:$B,A:A,'Entries 24-25'!$D:$D)-SUMIF('Entries 24-25'!$B:$B,A:A,'Entries 24-25'!$E:$E)+SUMIF('IND AS entries 24-25'!$B:$B,A:A,'IND AS entries 24-25'!$D:$D)-SUMIF('IND AS entries 24-25'!$B:$B,A:A,'IND AS entries 24-25'!$E:$E)</f>
        <v>0</v>
      </c>
      <c r="F285" s="611">
        <f t="shared" si="31"/>
        <v>0</v>
      </c>
      <c r="G285" s="610"/>
      <c r="H285" s="610">
        <v>0</v>
      </c>
      <c r="I285" s="611">
        <v>0</v>
      </c>
      <c r="J285" s="610">
        <v>0</v>
      </c>
      <c r="K285" s="611">
        <f t="shared" si="32"/>
        <v>0</v>
      </c>
      <c r="L285" s="612">
        <f>VLOOKUP(A285,'BS Gr'!A:A,1,FALSE)</f>
        <v>101808</v>
      </c>
      <c r="M285" s="612">
        <f t="shared" si="28"/>
        <v>1</v>
      </c>
      <c r="N285" s="613">
        <f t="shared" si="30"/>
        <v>0</v>
      </c>
      <c r="O285" s="613">
        <f t="shared" si="34"/>
        <v>0</v>
      </c>
      <c r="P285" s="613">
        <v>-399960</v>
      </c>
      <c r="Q285" s="613">
        <f t="shared" si="33"/>
        <v>399960</v>
      </c>
      <c r="R285" s="1514"/>
      <c r="S285" s="1617" t="e">
        <f>SUMIF('[105]TB for financial'!$A:$A,A285,'[105]TB for financial'!$E:$E)</f>
        <v>#VALUE!</v>
      </c>
      <c r="T285" s="613"/>
    </row>
    <row r="286" spans="1:20">
      <c r="A286" s="608">
        <v>101809</v>
      </c>
      <c r="B286" s="615" t="s">
        <v>1235</v>
      </c>
      <c r="C286" s="610">
        <f t="shared" si="29"/>
        <v>0</v>
      </c>
      <c r="D286" s="611">
        <v>0</v>
      </c>
      <c r="E286" s="610">
        <f>SUMIF('Entries 24-25'!$B:$B,A:A,'Entries 24-25'!$D:$D)-SUMIF('Entries 24-25'!$B:$B,A:A,'Entries 24-25'!$E:$E)+SUMIF('IND AS entries 24-25'!$B:$B,A:A,'IND AS entries 24-25'!$D:$D)-SUMIF('IND AS entries 24-25'!$B:$B,A:A,'IND AS entries 24-25'!$E:$E)</f>
        <v>0</v>
      </c>
      <c r="F286" s="611">
        <f t="shared" si="31"/>
        <v>0</v>
      </c>
      <c r="G286" s="610"/>
      <c r="H286" s="610">
        <v>0</v>
      </c>
      <c r="I286" s="611">
        <v>0</v>
      </c>
      <c r="J286" s="610">
        <v>0</v>
      </c>
      <c r="K286" s="611">
        <f t="shared" si="32"/>
        <v>0</v>
      </c>
      <c r="L286" s="612">
        <f>VLOOKUP(A286,'BS Gr'!A:A,1,FALSE)</f>
        <v>101809</v>
      </c>
      <c r="M286" s="612">
        <f t="shared" si="28"/>
        <v>1</v>
      </c>
      <c r="N286" s="613">
        <f t="shared" si="30"/>
        <v>0</v>
      </c>
      <c r="O286" s="613">
        <f t="shared" si="34"/>
        <v>0</v>
      </c>
      <c r="P286" s="613">
        <v>0</v>
      </c>
      <c r="Q286" s="613">
        <f t="shared" si="33"/>
        <v>0</v>
      </c>
      <c r="R286" s="1514"/>
      <c r="S286" s="1617" t="e">
        <f>SUMIF('[105]TB for financial'!$A:$A,A286,'[105]TB for financial'!$E:$E)</f>
        <v>#VALUE!</v>
      </c>
      <c r="T286" s="613"/>
    </row>
    <row r="287" spans="1:20">
      <c r="A287" s="608">
        <v>101811</v>
      </c>
      <c r="B287" s="609" t="s">
        <v>1236</v>
      </c>
      <c r="C287" s="610">
        <f t="shared" si="29"/>
        <v>0</v>
      </c>
      <c r="D287" s="611">
        <v>0</v>
      </c>
      <c r="E287" s="610">
        <f>SUMIF('Entries 24-25'!$B:$B,A:A,'Entries 24-25'!$D:$D)-SUMIF('Entries 24-25'!$B:$B,A:A,'Entries 24-25'!$E:$E)+SUMIF('IND AS entries 24-25'!$B:$B,A:A,'IND AS entries 24-25'!$D:$D)-SUMIF('IND AS entries 24-25'!$B:$B,A:A,'IND AS entries 24-25'!$E:$E)</f>
        <v>0</v>
      </c>
      <c r="F287" s="611">
        <f t="shared" si="31"/>
        <v>0</v>
      </c>
      <c r="G287" s="610"/>
      <c r="H287" s="610">
        <v>0</v>
      </c>
      <c r="I287" s="611">
        <v>0</v>
      </c>
      <c r="J287" s="610">
        <v>0</v>
      </c>
      <c r="K287" s="611">
        <f t="shared" si="32"/>
        <v>0</v>
      </c>
      <c r="L287" s="612">
        <f>VLOOKUP(A287,'BS Gr'!A:A,1,FALSE)</f>
        <v>101811</v>
      </c>
      <c r="M287" s="612">
        <f t="shared" si="28"/>
        <v>1</v>
      </c>
      <c r="N287" s="613">
        <f t="shared" si="30"/>
        <v>0</v>
      </c>
      <c r="O287" s="613">
        <f t="shared" si="34"/>
        <v>0</v>
      </c>
      <c r="P287" s="613">
        <v>0</v>
      </c>
      <c r="Q287" s="613">
        <f t="shared" si="33"/>
        <v>0</v>
      </c>
      <c r="R287" s="1514"/>
      <c r="S287" s="1617" t="e">
        <f>SUMIF('[105]TB for financial'!$A:$A,A287,'[105]TB for financial'!$E:$E)</f>
        <v>#VALUE!</v>
      </c>
      <c r="T287" s="613"/>
    </row>
    <row r="288" spans="1:20">
      <c r="A288" s="608">
        <v>101812</v>
      </c>
      <c r="B288" s="609" t="s">
        <v>1237</v>
      </c>
      <c r="C288" s="610">
        <f t="shared" si="29"/>
        <v>0</v>
      </c>
      <c r="D288" s="611">
        <v>0</v>
      </c>
      <c r="E288" s="610">
        <f>SUMIF('Entries 24-25'!$B:$B,A:A,'Entries 24-25'!$D:$D)-SUMIF('Entries 24-25'!$B:$B,A:A,'Entries 24-25'!$E:$E)+SUMIF('IND AS entries 24-25'!$B:$B,A:A,'IND AS entries 24-25'!$D:$D)-SUMIF('IND AS entries 24-25'!$B:$B,A:A,'IND AS entries 24-25'!$E:$E)</f>
        <v>0</v>
      </c>
      <c r="F288" s="611">
        <f t="shared" si="31"/>
        <v>0</v>
      </c>
      <c r="G288" s="610"/>
      <c r="H288" s="610">
        <v>0</v>
      </c>
      <c r="I288" s="611">
        <v>0</v>
      </c>
      <c r="J288" s="610">
        <v>0</v>
      </c>
      <c r="K288" s="611">
        <f t="shared" si="32"/>
        <v>0</v>
      </c>
      <c r="L288" s="612">
        <f>VLOOKUP(A288,'BS Gr'!A:A,1,FALSE)</f>
        <v>101812</v>
      </c>
      <c r="M288" s="612">
        <f t="shared" si="28"/>
        <v>1</v>
      </c>
      <c r="N288" s="613">
        <f t="shared" si="30"/>
        <v>0</v>
      </c>
      <c r="O288" s="613">
        <f t="shared" si="34"/>
        <v>0</v>
      </c>
      <c r="P288" s="613">
        <v>0</v>
      </c>
      <c r="Q288" s="613">
        <f t="shared" si="33"/>
        <v>0</v>
      </c>
      <c r="R288" s="1514"/>
      <c r="S288" s="1617" t="e">
        <f>SUMIF('[105]TB for financial'!$A:$A,A288,'[105]TB for financial'!$E:$E)</f>
        <v>#VALUE!</v>
      </c>
      <c r="T288" s="613"/>
    </row>
    <row r="289" spans="1:20">
      <c r="A289" s="608">
        <v>101813</v>
      </c>
      <c r="B289" s="609" t="s">
        <v>1238</v>
      </c>
      <c r="C289" s="610">
        <f t="shared" si="29"/>
        <v>0</v>
      </c>
      <c r="D289" s="611">
        <v>0</v>
      </c>
      <c r="E289" s="610">
        <f>SUMIF('Entries 24-25'!$B:$B,A:A,'Entries 24-25'!$D:$D)-SUMIF('Entries 24-25'!$B:$B,A:A,'Entries 24-25'!$E:$E)+SUMIF('IND AS entries 24-25'!$B:$B,A:A,'IND AS entries 24-25'!$D:$D)-SUMIF('IND AS entries 24-25'!$B:$B,A:A,'IND AS entries 24-25'!$E:$E)</f>
        <v>0</v>
      </c>
      <c r="F289" s="611">
        <f t="shared" si="31"/>
        <v>0</v>
      </c>
      <c r="G289" s="610"/>
      <c r="H289" s="610">
        <v>0</v>
      </c>
      <c r="I289" s="611">
        <v>0</v>
      </c>
      <c r="J289" s="610">
        <v>0</v>
      </c>
      <c r="K289" s="611">
        <f t="shared" si="32"/>
        <v>0</v>
      </c>
      <c r="L289" s="612">
        <f>VLOOKUP(A289,'BS Gr'!A:A,1,FALSE)</f>
        <v>101813</v>
      </c>
      <c r="M289" s="612">
        <f t="shared" si="28"/>
        <v>1</v>
      </c>
      <c r="N289" s="613">
        <f t="shared" si="30"/>
        <v>0</v>
      </c>
      <c r="O289" s="613">
        <f t="shared" si="34"/>
        <v>0</v>
      </c>
      <c r="P289" s="613">
        <v>0</v>
      </c>
      <c r="Q289" s="613">
        <f t="shared" si="33"/>
        <v>0</v>
      </c>
      <c r="R289" s="1514"/>
      <c r="S289" s="1617" t="e">
        <f>SUMIF('[105]TB for financial'!$A:$A,A289,'[105]TB for financial'!$E:$E)</f>
        <v>#VALUE!</v>
      </c>
      <c r="T289" s="613"/>
    </row>
    <row r="290" spans="1:20">
      <c r="A290" s="608">
        <v>101814</v>
      </c>
      <c r="B290" s="609" t="s">
        <v>1239</v>
      </c>
      <c r="C290" s="610">
        <f t="shared" si="29"/>
        <v>0</v>
      </c>
      <c r="D290" s="611">
        <v>0</v>
      </c>
      <c r="E290" s="610">
        <f>SUMIF('Entries 24-25'!$B:$B,A:A,'Entries 24-25'!$D:$D)-SUMIF('Entries 24-25'!$B:$B,A:A,'Entries 24-25'!$E:$E)+SUMIF('IND AS entries 24-25'!$B:$B,A:A,'IND AS entries 24-25'!$D:$D)-SUMIF('IND AS entries 24-25'!$B:$B,A:A,'IND AS entries 24-25'!$E:$E)</f>
        <v>0</v>
      </c>
      <c r="F290" s="611">
        <f t="shared" si="31"/>
        <v>0</v>
      </c>
      <c r="G290" s="610"/>
      <c r="H290" s="610">
        <v>0</v>
      </c>
      <c r="I290" s="611">
        <v>0</v>
      </c>
      <c r="J290" s="610">
        <v>0</v>
      </c>
      <c r="K290" s="611">
        <f t="shared" si="32"/>
        <v>0</v>
      </c>
      <c r="L290" s="612">
        <f>VLOOKUP(A290,'BS Gr'!A:A,1,FALSE)</f>
        <v>101814</v>
      </c>
      <c r="M290" s="612">
        <f t="shared" si="28"/>
        <v>1</v>
      </c>
      <c r="N290" s="613">
        <f t="shared" si="30"/>
        <v>0</v>
      </c>
      <c r="O290" s="613">
        <f t="shared" si="34"/>
        <v>0</v>
      </c>
      <c r="P290" s="613">
        <v>0</v>
      </c>
      <c r="Q290" s="613">
        <f t="shared" si="33"/>
        <v>0</v>
      </c>
      <c r="R290" s="1514"/>
      <c r="S290" s="1617" t="e">
        <f>SUMIF('[105]TB for financial'!$A:$A,A290,'[105]TB for financial'!$E:$E)</f>
        <v>#VALUE!</v>
      </c>
      <c r="T290" s="613"/>
    </row>
    <row r="291" spans="1:20">
      <c r="A291" s="608">
        <v>101815</v>
      </c>
      <c r="B291" s="609" t="s">
        <v>1240</v>
      </c>
      <c r="C291" s="610">
        <f t="shared" si="29"/>
        <v>0</v>
      </c>
      <c r="D291" s="611">
        <v>0</v>
      </c>
      <c r="E291" s="610">
        <f>SUMIF('Entries 24-25'!$B:$B,A:A,'Entries 24-25'!$D:$D)-SUMIF('Entries 24-25'!$B:$B,A:A,'Entries 24-25'!$E:$E)+SUMIF('IND AS entries 24-25'!$B:$B,A:A,'IND AS entries 24-25'!$D:$D)-SUMIF('IND AS entries 24-25'!$B:$B,A:A,'IND AS entries 24-25'!$E:$E)</f>
        <v>0</v>
      </c>
      <c r="F291" s="611">
        <f t="shared" si="31"/>
        <v>0</v>
      </c>
      <c r="G291" s="610"/>
      <c r="H291" s="610">
        <v>0</v>
      </c>
      <c r="I291" s="611">
        <v>0</v>
      </c>
      <c r="J291" s="610">
        <v>0</v>
      </c>
      <c r="K291" s="611">
        <f t="shared" si="32"/>
        <v>0</v>
      </c>
      <c r="L291" s="612">
        <f>VLOOKUP(A291,'BS Gr'!A:A,1,FALSE)</f>
        <v>101815</v>
      </c>
      <c r="M291" s="612">
        <f t="shared" si="28"/>
        <v>1</v>
      </c>
      <c r="N291" s="613">
        <f t="shared" si="30"/>
        <v>0</v>
      </c>
      <c r="O291" s="613">
        <f t="shared" si="34"/>
        <v>0</v>
      </c>
      <c r="P291" s="613">
        <v>0</v>
      </c>
      <c r="Q291" s="613">
        <f t="shared" si="33"/>
        <v>0</v>
      </c>
      <c r="R291" s="1514"/>
      <c r="S291" s="1617" t="e">
        <f>SUMIF('[105]TB for financial'!$A:$A,A291,'[105]TB for financial'!$E:$E)</f>
        <v>#VALUE!</v>
      </c>
      <c r="T291" s="613"/>
    </row>
    <row r="292" spans="1:20">
      <c r="A292" s="608">
        <v>101816</v>
      </c>
      <c r="B292" s="609" t="s">
        <v>1241</v>
      </c>
      <c r="C292" s="610">
        <f t="shared" si="29"/>
        <v>0</v>
      </c>
      <c r="D292" s="611">
        <v>0</v>
      </c>
      <c r="E292" s="610">
        <f>SUMIF('Entries 24-25'!$B:$B,A:A,'Entries 24-25'!$D:$D)-SUMIF('Entries 24-25'!$B:$B,A:A,'Entries 24-25'!$E:$E)+SUMIF('IND AS entries 24-25'!$B:$B,A:A,'IND AS entries 24-25'!$D:$D)-SUMIF('IND AS entries 24-25'!$B:$B,A:A,'IND AS entries 24-25'!$E:$E)</f>
        <v>0</v>
      </c>
      <c r="F292" s="611">
        <f t="shared" si="31"/>
        <v>0</v>
      </c>
      <c r="G292" s="610"/>
      <c r="H292" s="610">
        <v>0</v>
      </c>
      <c r="I292" s="611">
        <v>0</v>
      </c>
      <c r="J292" s="610">
        <v>0</v>
      </c>
      <c r="K292" s="611">
        <f t="shared" si="32"/>
        <v>0</v>
      </c>
      <c r="L292" s="612">
        <f>VLOOKUP(A292,'BS Gr'!A:A,1,FALSE)</f>
        <v>101816</v>
      </c>
      <c r="M292" s="612">
        <f t="shared" si="28"/>
        <v>1</v>
      </c>
      <c r="N292" s="613">
        <f t="shared" si="30"/>
        <v>0</v>
      </c>
      <c r="O292" s="613">
        <f t="shared" si="34"/>
        <v>0</v>
      </c>
      <c r="P292" s="613">
        <v>17047470</v>
      </c>
      <c r="Q292" s="613">
        <f t="shared" si="33"/>
        <v>-17047470</v>
      </c>
      <c r="R292" s="1514"/>
      <c r="S292" s="1617" t="e">
        <f>SUMIF('[105]TB for financial'!$A:$A,A292,'[105]TB for financial'!$E:$E)</f>
        <v>#VALUE!</v>
      </c>
      <c r="T292" s="613"/>
    </row>
    <row r="293" spans="1:20">
      <c r="A293" s="608">
        <v>101861</v>
      </c>
      <c r="B293" s="609" t="s">
        <v>2285</v>
      </c>
      <c r="C293" s="610">
        <f t="shared" si="29"/>
        <v>0</v>
      </c>
      <c r="D293" s="611">
        <v>0</v>
      </c>
      <c r="E293" s="610">
        <f>SUMIF('Entries 24-25'!$B:$B,A:A,'Entries 24-25'!$D:$D)-SUMIF('Entries 24-25'!$B:$B,A:A,'Entries 24-25'!$E:$E)+SUMIF('IND AS entries 24-25'!$B:$B,A:A,'IND AS entries 24-25'!$D:$D)-SUMIF('IND AS entries 24-25'!$B:$B,A:A,'IND AS entries 24-25'!$E:$E)</f>
        <v>0</v>
      </c>
      <c r="F293" s="611">
        <f t="shared" si="31"/>
        <v>0</v>
      </c>
      <c r="G293" s="610"/>
      <c r="H293" s="610">
        <v>0</v>
      </c>
      <c r="I293" s="611">
        <v>0</v>
      </c>
      <c r="J293" s="610">
        <v>0</v>
      </c>
      <c r="K293" s="611">
        <f t="shared" si="32"/>
        <v>0</v>
      </c>
      <c r="L293" s="612">
        <f>VLOOKUP(A293,'BS Gr'!A:A,1,FALSE)</f>
        <v>101861</v>
      </c>
      <c r="M293" s="612">
        <f t="shared" si="28"/>
        <v>1</v>
      </c>
      <c r="N293" s="613">
        <f t="shared" si="30"/>
        <v>0</v>
      </c>
      <c r="O293" s="613">
        <f t="shared" si="34"/>
        <v>0</v>
      </c>
      <c r="P293" s="613"/>
      <c r="Q293" s="613"/>
      <c r="R293" s="1514"/>
      <c r="S293" s="1617" t="e">
        <f>SUMIF('[105]TB for financial'!$A:$A,A293,'[105]TB for financial'!$E:$E)</f>
        <v>#VALUE!</v>
      </c>
      <c r="T293" s="613"/>
    </row>
    <row r="294" spans="1:20">
      <c r="A294" s="608">
        <v>101872</v>
      </c>
      <c r="B294" s="609" t="s">
        <v>1242</v>
      </c>
      <c r="C294" s="610">
        <f t="shared" si="29"/>
        <v>0</v>
      </c>
      <c r="D294" s="611">
        <v>0</v>
      </c>
      <c r="E294" s="610">
        <f>SUMIF('Entries 24-25'!$B:$B,A:A,'Entries 24-25'!$D:$D)-SUMIF('Entries 24-25'!$B:$B,A:A,'Entries 24-25'!$E:$E)+SUMIF('IND AS entries 24-25'!$B:$B,A:A,'IND AS entries 24-25'!$D:$D)-SUMIF('IND AS entries 24-25'!$B:$B,A:A,'IND AS entries 24-25'!$E:$E)</f>
        <v>0</v>
      </c>
      <c r="F294" s="611">
        <f t="shared" si="31"/>
        <v>0</v>
      </c>
      <c r="G294" s="610"/>
      <c r="H294" s="610">
        <v>0</v>
      </c>
      <c r="I294" s="611">
        <v>0</v>
      </c>
      <c r="J294" s="610">
        <v>0</v>
      </c>
      <c r="K294" s="611">
        <f t="shared" si="32"/>
        <v>0</v>
      </c>
      <c r="L294" s="612">
        <f>VLOOKUP(A294,'BS Gr'!A:A,1,FALSE)</f>
        <v>101872</v>
      </c>
      <c r="M294" s="612">
        <f t="shared" si="28"/>
        <v>1</v>
      </c>
      <c r="N294" s="613">
        <f t="shared" si="30"/>
        <v>0</v>
      </c>
      <c r="O294" s="613">
        <f t="shared" si="34"/>
        <v>0</v>
      </c>
      <c r="P294" s="613"/>
      <c r="Q294" s="613"/>
      <c r="R294" s="1514"/>
      <c r="S294" s="1617" t="e">
        <f>SUMIF('[105]TB for financial'!$A:$A,A294,'[105]TB for financial'!$E:$E)</f>
        <v>#VALUE!</v>
      </c>
      <c r="T294" s="613"/>
    </row>
    <row r="295" spans="1:20">
      <c r="A295" s="608">
        <v>101817</v>
      </c>
      <c r="B295" s="609" t="s">
        <v>1243</v>
      </c>
      <c r="C295" s="610">
        <f t="shared" si="29"/>
        <v>0</v>
      </c>
      <c r="D295" s="611">
        <v>0</v>
      </c>
      <c r="E295" s="610">
        <f>SUMIF('Entries 24-25'!$B:$B,A:A,'Entries 24-25'!$D:$D)-SUMIF('Entries 24-25'!$B:$B,A:A,'Entries 24-25'!$E:$E)+SUMIF('IND AS entries 24-25'!$B:$B,A:A,'IND AS entries 24-25'!$D:$D)-SUMIF('IND AS entries 24-25'!$B:$B,A:A,'IND AS entries 24-25'!$E:$E)</f>
        <v>0</v>
      </c>
      <c r="F295" s="611">
        <f t="shared" si="31"/>
        <v>0</v>
      </c>
      <c r="G295" s="610"/>
      <c r="H295" s="610">
        <v>0</v>
      </c>
      <c r="I295" s="611">
        <v>0</v>
      </c>
      <c r="J295" s="610">
        <v>0</v>
      </c>
      <c r="K295" s="611">
        <f t="shared" si="32"/>
        <v>0</v>
      </c>
      <c r="L295" s="612">
        <f>VLOOKUP(A295,'BS Gr'!A:A,1,FALSE)</f>
        <v>101817</v>
      </c>
      <c r="M295" s="612">
        <f t="shared" si="28"/>
        <v>1</v>
      </c>
      <c r="N295" s="613">
        <f t="shared" si="30"/>
        <v>0</v>
      </c>
      <c r="O295" s="613">
        <f t="shared" si="34"/>
        <v>0</v>
      </c>
      <c r="P295" s="613">
        <v>0</v>
      </c>
      <c r="Q295" s="613">
        <f t="shared" si="33"/>
        <v>0</v>
      </c>
      <c r="R295" s="1514"/>
      <c r="S295" s="1617" t="e">
        <f>SUMIF('[105]TB for financial'!$A:$A,A295,'[105]TB for financial'!$E:$E)</f>
        <v>#VALUE!</v>
      </c>
      <c r="T295" s="613"/>
    </row>
    <row r="296" spans="1:20">
      <c r="A296" s="608">
        <v>101818</v>
      </c>
      <c r="B296" s="609" t="s">
        <v>1244</v>
      </c>
      <c r="C296" s="610">
        <f t="shared" si="29"/>
        <v>0</v>
      </c>
      <c r="D296" s="611">
        <v>0</v>
      </c>
      <c r="E296" s="610">
        <f>SUMIF('Entries 24-25'!$B:$B,A:A,'Entries 24-25'!$D:$D)-SUMIF('Entries 24-25'!$B:$B,A:A,'Entries 24-25'!$E:$E)+SUMIF('IND AS entries 24-25'!$B:$B,A:A,'IND AS entries 24-25'!$D:$D)-SUMIF('IND AS entries 24-25'!$B:$B,A:A,'IND AS entries 24-25'!$E:$E)</f>
        <v>0</v>
      </c>
      <c r="F296" s="611">
        <f t="shared" si="31"/>
        <v>0</v>
      </c>
      <c r="G296" s="610"/>
      <c r="H296" s="610">
        <v>0</v>
      </c>
      <c r="I296" s="611">
        <v>0</v>
      </c>
      <c r="J296" s="610">
        <v>0</v>
      </c>
      <c r="K296" s="611">
        <f t="shared" si="32"/>
        <v>0</v>
      </c>
      <c r="L296" s="612">
        <f>VLOOKUP(A296,'BS Gr'!A:A,1,FALSE)</f>
        <v>101818</v>
      </c>
      <c r="M296" s="612">
        <f t="shared" si="28"/>
        <v>1</v>
      </c>
      <c r="N296" s="613">
        <f t="shared" si="30"/>
        <v>0</v>
      </c>
      <c r="O296" s="613">
        <f t="shared" si="34"/>
        <v>0</v>
      </c>
      <c r="P296" s="613">
        <v>0</v>
      </c>
      <c r="Q296" s="613">
        <f t="shared" si="33"/>
        <v>0</v>
      </c>
      <c r="R296" s="1514"/>
      <c r="S296" s="1617" t="e">
        <f>SUMIF('[105]TB for financial'!$A:$A,A296,'[105]TB for financial'!$E:$E)</f>
        <v>#VALUE!</v>
      </c>
      <c r="T296" s="613"/>
    </row>
    <row r="297" spans="1:20">
      <c r="A297" s="608">
        <v>101819</v>
      </c>
      <c r="B297" s="609" t="s">
        <v>1245</v>
      </c>
      <c r="C297" s="610">
        <f t="shared" si="29"/>
        <v>0</v>
      </c>
      <c r="D297" s="611">
        <v>0</v>
      </c>
      <c r="E297" s="610">
        <f>SUMIF('Entries 24-25'!$B:$B,A:A,'Entries 24-25'!$D:$D)-SUMIF('Entries 24-25'!$B:$B,A:A,'Entries 24-25'!$E:$E)+SUMIF('IND AS entries 24-25'!$B:$B,A:A,'IND AS entries 24-25'!$D:$D)-SUMIF('IND AS entries 24-25'!$B:$B,A:A,'IND AS entries 24-25'!$E:$E)</f>
        <v>0</v>
      </c>
      <c r="F297" s="611">
        <f t="shared" si="31"/>
        <v>0</v>
      </c>
      <c r="G297" s="610"/>
      <c r="H297" s="610">
        <v>0</v>
      </c>
      <c r="I297" s="611">
        <v>0</v>
      </c>
      <c r="J297" s="610">
        <v>0</v>
      </c>
      <c r="K297" s="611">
        <f t="shared" si="32"/>
        <v>0</v>
      </c>
      <c r="L297" s="612">
        <f>VLOOKUP(A297,'BS Gr'!A:A,1,FALSE)</f>
        <v>101819</v>
      </c>
      <c r="M297" s="612">
        <f t="shared" si="28"/>
        <v>1</v>
      </c>
      <c r="N297" s="613">
        <f t="shared" si="30"/>
        <v>0</v>
      </c>
      <c r="O297" s="613">
        <f t="shared" si="34"/>
        <v>0</v>
      </c>
      <c r="P297" s="613">
        <v>0</v>
      </c>
      <c r="Q297" s="613">
        <f t="shared" si="33"/>
        <v>0</v>
      </c>
      <c r="R297" s="1514"/>
      <c r="S297" s="1617" t="e">
        <f>SUMIF('[105]TB for financial'!$A:$A,A297,'[105]TB for financial'!$E:$E)</f>
        <v>#VALUE!</v>
      </c>
      <c r="T297" s="613"/>
    </row>
    <row r="298" spans="1:20">
      <c r="A298" s="608">
        <v>101820</v>
      </c>
      <c r="B298" s="609" t="s">
        <v>1246</v>
      </c>
      <c r="C298" s="610">
        <f t="shared" si="29"/>
        <v>0</v>
      </c>
      <c r="D298" s="611">
        <v>0</v>
      </c>
      <c r="E298" s="610">
        <f>SUMIF('Entries 24-25'!$B:$B,A:A,'Entries 24-25'!$D:$D)-SUMIF('Entries 24-25'!$B:$B,A:A,'Entries 24-25'!$E:$E)+SUMIF('IND AS entries 24-25'!$B:$B,A:A,'IND AS entries 24-25'!$D:$D)-SUMIF('IND AS entries 24-25'!$B:$B,A:A,'IND AS entries 24-25'!$E:$E)</f>
        <v>0</v>
      </c>
      <c r="F298" s="611">
        <f t="shared" si="31"/>
        <v>0</v>
      </c>
      <c r="G298" s="610"/>
      <c r="H298" s="610">
        <v>0</v>
      </c>
      <c r="I298" s="611">
        <v>0</v>
      </c>
      <c r="J298" s="610">
        <v>0</v>
      </c>
      <c r="K298" s="611">
        <f t="shared" si="32"/>
        <v>0</v>
      </c>
      <c r="L298" s="612">
        <f>VLOOKUP(A298,'BS Gr'!A:A,1,FALSE)</f>
        <v>101820</v>
      </c>
      <c r="M298" s="612">
        <f t="shared" si="28"/>
        <v>1</v>
      </c>
      <c r="N298" s="613">
        <f t="shared" si="30"/>
        <v>0</v>
      </c>
      <c r="O298" s="613">
        <f t="shared" si="34"/>
        <v>0</v>
      </c>
      <c r="P298" s="613">
        <v>0</v>
      </c>
      <c r="Q298" s="613">
        <f t="shared" si="33"/>
        <v>0</v>
      </c>
      <c r="R298" s="1514"/>
      <c r="S298" s="1617" t="e">
        <f>SUMIF('[105]TB for financial'!$A:$A,A298,'[105]TB for financial'!$E:$E)</f>
        <v>#VALUE!</v>
      </c>
      <c r="T298" s="613"/>
    </row>
    <row r="299" spans="1:20">
      <c r="A299" s="608">
        <v>101821</v>
      </c>
      <c r="B299" s="609" t="s">
        <v>1247</v>
      </c>
      <c r="C299" s="610">
        <f t="shared" si="29"/>
        <v>0</v>
      </c>
      <c r="D299" s="611">
        <v>0</v>
      </c>
      <c r="E299" s="610">
        <f>SUMIF('Entries 24-25'!$B:$B,A:A,'Entries 24-25'!$D:$D)-SUMIF('Entries 24-25'!$B:$B,A:A,'Entries 24-25'!$E:$E)+SUMIF('IND AS entries 24-25'!$B:$B,A:A,'IND AS entries 24-25'!$D:$D)-SUMIF('IND AS entries 24-25'!$B:$B,A:A,'IND AS entries 24-25'!$E:$E)</f>
        <v>0</v>
      </c>
      <c r="F299" s="611">
        <f t="shared" si="31"/>
        <v>0</v>
      </c>
      <c r="G299" s="610"/>
      <c r="H299" s="610">
        <v>0</v>
      </c>
      <c r="I299" s="611">
        <v>0</v>
      </c>
      <c r="J299" s="610">
        <v>0</v>
      </c>
      <c r="K299" s="611">
        <f t="shared" si="32"/>
        <v>0</v>
      </c>
      <c r="L299" s="612">
        <f>VLOOKUP(A299,'BS Gr'!A:A,1,FALSE)</f>
        <v>101821</v>
      </c>
      <c r="M299" s="612">
        <f t="shared" si="28"/>
        <v>1</v>
      </c>
      <c r="N299" s="613">
        <f t="shared" si="30"/>
        <v>0</v>
      </c>
      <c r="O299" s="613">
        <f t="shared" si="34"/>
        <v>0</v>
      </c>
      <c r="P299" s="613">
        <v>0</v>
      </c>
      <c r="Q299" s="613">
        <f t="shared" si="33"/>
        <v>0</v>
      </c>
      <c r="R299" s="1514"/>
      <c r="S299" s="1617" t="e">
        <f>SUMIF('[105]TB for financial'!$A:$A,A299,'[105]TB for financial'!$E:$E)</f>
        <v>#VALUE!</v>
      </c>
      <c r="T299" s="613"/>
    </row>
    <row r="300" spans="1:20">
      <c r="A300" s="608">
        <v>101822</v>
      </c>
      <c r="B300" s="609" t="s">
        <v>1248</v>
      </c>
      <c r="C300" s="610">
        <f t="shared" si="29"/>
        <v>0</v>
      </c>
      <c r="D300" s="611">
        <v>0</v>
      </c>
      <c r="E300" s="610">
        <f>SUMIF('Entries 24-25'!$B:$B,A:A,'Entries 24-25'!$D:$D)-SUMIF('Entries 24-25'!$B:$B,A:A,'Entries 24-25'!$E:$E)+SUMIF('IND AS entries 24-25'!$B:$B,A:A,'IND AS entries 24-25'!$D:$D)-SUMIF('IND AS entries 24-25'!$B:$B,A:A,'IND AS entries 24-25'!$E:$E)</f>
        <v>0</v>
      </c>
      <c r="F300" s="611">
        <f t="shared" si="31"/>
        <v>0</v>
      </c>
      <c r="G300" s="610"/>
      <c r="H300" s="610">
        <v>0</v>
      </c>
      <c r="I300" s="611">
        <v>0</v>
      </c>
      <c r="J300" s="610">
        <v>0</v>
      </c>
      <c r="K300" s="611">
        <f t="shared" si="32"/>
        <v>0</v>
      </c>
      <c r="L300" s="612">
        <f>VLOOKUP(A300,'BS Gr'!A:A,1,FALSE)</f>
        <v>101822</v>
      </c>
      <c r="M300" s="612">
        <f t="shared" si="28"/>
        <v>1</v>
      </c>
      <c r="N300" s="613">
        <f t="shared" si="30"/>
        <v>0</v>
      </c>
      <c r="O300" s="613">
        <f t="shared" si="34"/>
        <v>0</v>
      </c>
      <c r="P300" s="613">
        <v>0</v>
      </c>
      <c r="Q300" s="613">
        <f t="shared" si="33"/>
        <v>0</v>
      </c>
      <c r="R300" s="1514"/>
      <c r="S300" s="1617" t="e">
        <f>SUMIF('[105]TB for financial'!$A:$A,A300,'[105]TB for financial'!$E:$E)</f>
        <v>#VALUE!</v>
      </c>
      <c r="T300" s="613"/>
    </row>
    <row r="301" spans="1:20">
      <c r="A301" s="608">
        <v>101823</v>
      </c>
      <c r="B301" s="609" t="s">
        <v>1249</v>
      </c>
      <c r="C301" s="610">
        <f t="shared" si="29"/>
        <v>0</v>
      </c>
      <c r="D301" s="611">
        <v>0</v>
      </c>
      <c r="E301" s="610">
        <f>SUMIF('Entries 24-25'!$B:$B,A:A,'Entries 24-25'!$D:$D)-SUMIF('Entries 24-25'!$B:$B,A:A,'Entries 24-25'!$E:$E)+SUMIF('IND AS entries 24-25'!$B:$B,A:A,'IND AS entries 24-25'!$D:$D)-SUMIF('IND AS entries 24-25'!$B:$B,A:A,'IND AS entries 24-25'!$E:$E)</f>
        <v>0</v>
      </c>
      <c r="F301" s="611">
        <f t="shared" si="31"/>
        <v>0</v>
      </c>
      <c r="G301" s="610"/>
      <c r="H301" s="610">
        <v>0</v>
      </c>
      <c r="I301" s="611">
        <v>0</v>
      </c>
      <c r="J301" s="610">
        <v>0</v>
      </c>
      <c r="K301" s="611">
        <f t="shared" si="32"/>
        <v>0</v>
      </c>
      <c r="L301" s="612">
        <f>VLOOKUP(A301,'BS Gr'!A:A,1,FALSE)</f>
        <v>101823</v>
      </c>
      <c r="M301" s="612">
        <f t="shared" si="28"/>
        <v>1</v>
      </c>
      <c r="N301" s="613">
        <f t="shared" si="30"/>
        <v>0</v>
      </c>
      <c r="O301" s="613">
        <f t="shared" si="34"/>
        <v>0</v>
      </c>
      <c r="P301" s="613">
        <v>0</v>
      </c>
      <c r="Q301" s="613">
        <f t="shared" si="33"/>
        <v>0</v>
      </c>
      <c r="R301" s="1514"/>
      <c r="S301" s="1617" t="e">
        <f>SUMIF('[105]TB for financial'!$A:$A,A301,'[105]TB for financial'!$E:$E)</f>
        <v>#VALUE!</v>
      </c>
      <c r="T301" s="613"/>
    </row>
    <row r="302" spans="1:20">
      <c r="A302" s="608">
        <v>101824</v>
      </c>
      <c r="B302" s="609" t="s">
        <v>1250</v>
      </c>
      <c r="C302" s="610">
        <f t="shared" si="29"/>
        <v>0</v>
      </c>
      <c r="D302" s="611">
        <v>0</v>
      </c>
      <c r="E302" s="610">
        <f>SUMIF('Entries 24-25'!$B:$B,A:A,'Entries 24-25'!$D:$D)-SUMIF('Entries 24-25'!$B:$B,A:A,'Entries 24-25'!$E:$E)+SUMIF('IND AS entries 24-25'!$B:$B,A:A,'IND AS entries 24-25'!$D:$D)-SUMIF('IND AS entries 24-25'!$B:$B,A:A,'IND AS entries 24-25'!$E:$E)</f>
        <v>0</v>
      </c>
      <c r="F302" s="611">
        <f t="shared" si="31"/>
        <v>0</v>
      </c>
      <c r="G302" s="610"/>
      <c r="H302" s="610">
        <v>0</v>
      </c>
      <c r="I302" s="611">
        <v>0</v>
      </c>
      <c r="J302" s="610">
        <v>0</v>
      </c>
      <c r="K302" s="611">
        <f t="shared" si="32"/>
        <v>0</v>
      </c>
      <c r="L302" s="612">
        <f>VLOOKUP(A302,'BS Gr'!A:A,1,FALSE)</f>
        <v>101824</v>
      </c>
      <c r="M302" s="612">
        <f t="shared" si="28"/>
        <v>1</v>
      </c>
      <c r="N302" s="613">
        <f t="shared" si="30"/>
        <v>0</v>
      </c>
      <c r="O302" s="613">
        <f t="shared" si="34"/>
        <v>0</v>
      </c>
      <c r="P302" s="613">
        <v>0</v>
      </c>
      <c r="Q302" s="613">
        <f t="shared" si="33"/>
        <v>0</v>
      </c>
      <c r="R302" s="1514"/>
      <c r="S302" s="1617" t="e">
        <f>SUMIF('[105]TB for financial'!$A:$A,A302,'[105]TB for financial'!$E:$E)</f>
        <v>#VALUE!</v>
      </c>
      <c r="T302" s="613"/>
    </row>
    <row r="303" spans="1:20">
      <c r="A303" s="608">
        <v>101825</v>
      </c>
      <c r="B303" s="609" t="s">
        <v>1251</v>
      </c>
      <c r="C303" s="610">
        <f t="shared" si="29"/>
        <v>0</v>
      </c>
      <c r="D303" s="611">
        <v>0</v>
      </c>
      <c r="E303" s="610">
        <f>SUMIF('Entries 24-25'!$B:$B,A:A,'Entries 24-25'!$D:$D)-SUMIF('Entries 24-25'!$B:$B,A:A,'Entries 24-25'!$E:$E)+SUMIF('IND AS entries 24-25'!$B:$B,A:A,'IND AS entries 24-25'!$D:$D)-SUMIF('IND AS entries 24-25'!$B:$B,A:A,'IND AS entries 24-25'!$E:$E)</f>
        <v>0</v>
      </c>
      <c r="F303" s="611">
        <f t="shared" si="31"/>
        <v>0</v>
      </c>
      <c r="G303" s="610"/>
      <c r="H303" s="610">
        <v>0</v>
      </c>
      <c r="I303" s="611">
        <v>0</v>
      </c>
      <c r="J303" s="610">
        <v>0</v>
      </c>
      <c r="K303" s="611">
        <f t="shared" si="32"/>
        <v>0</v>
      </c>
      <c r="L303" s="612">
        <f>VLOOKUP(A303,'BS Gr'!A:A,1,FALSE)</f>
        <v>101825</v>
      </c>
      <c r="M303" s="612">
        <f t="shared" si="28"/>
        <v>1</v>
      </c>
      <c r="N303" s="613">
        <f t="shared" si="30"/>
        <v>0</v>
      </c>
      <c r="O303" s="613">
        <f t="shared" si="34"/>
        <v>0</v>
      </c>
      <c r="P303" s="613">
        <v>0</v>
      </c>
      <c r="Q303" s="613">
        <f t="shared" si="33"/>
        <v>0</v>
      </c>
      <c r="R303" s="1514"/>
      <c r="S303" s="1617" t="e">
        <f>SUMIF('[105]TB for financial'!$A:$A,A303,'[105]TB for financial'!$E:$E)</f>
        <v>#VALUE!</v>
      </c>
      <c r="T303" s="613"/>
    </row>
    <row r="304" spans="1:20">
      <c r="A304" s="608">
        <v>101826</v>
      </c>
      <c r="B304" s="609" t="s">
        <v>1252</v>
      </c>
      <c r="C304" s="610">
        <f t="shared" si="29"/>
        <v>0</v>
      </c>
      <c r="D304" s="611">
        <v>0</v>
      </c>
      <c r="E304" s="610">
        <f>SUMIF('Entries 24-25'!$B:$B,A:A,'Entries 24-25'!$D:$D)-SUMIF('Entries 24-25'!$B:$B,A:A,'Entries 24-25'!$E:$E)+SUMIF('IND AS entries 24-25'!$B:$B,A:A,'IND AS entries 24-25'!$D:$D)-SUMIF('IND AS entries 24-25'!$B:$B,A:A,'IND AS entries 24-25'!$E:$E)</f>
        <v>0</v>
      </c>
      <c r="F304" s="611">
        <f t="shared" si="31"/>
        <v>0</v>
      </c>
      <c r="G304" s="610"/>
      <c r="H304" s="610">
        <v>0</v>
      </c>
      <c r="I304" s="611">
        <v>0</v>
      </c>
      <c r="J304" s="610">
        <v>0</v>
      </c>
      <c r="K304" s="611">
        <f t="shared" si="32"/>
        <v>0</v>
      </c>
      <c r="L304" s="612">
        <f>VLOOKUP(A304,'BS Gr'!A:A,1,FALSE)</f>
        <v>101826</v>
      </c>
      <c r="M304" s="612">
        <f t="shared" si="28"/>
        <v>1</v>
      </c>
      <c r="N304" s="613">
        <f t="shared" si="30"/>
        <v>0</v>
      </c>
      <c r="O304" s="613">
        <f t="shared" si="34"/>
        <v>0</v>
      </c>
      <c r="P304" s="613">
        <v>15000</v>
      </c>
      <c r="Q304" s="613">
        <f t="shared" si="33"/>
        <v>-15000</v>
      </c>
      <c r="R304" s="1514"/>
      <c r="S304" s="1617" t="e">
        <f>SUMIF('[105]TB for financial'!$A:$A,A304,'[105]TB for financial'!$E:$E)</f>
        <v>#VALUE!</v>
      </c>
      <c r="T304" s="613"/>
    </row>
    <row r="305" spans="1:20">
      <c r="A305" s="608">
        <v>101827</v>
      </c>
      <c r="B305" s="609" t="s">
        <v>1253</v>
      </c>
      <c r="C305" s="610">
        <f t="shared" si="29"/>
        <v>0</v>
      </c>
      <c r="D305" s="611">
        <v>0</v>
      </c>
      <c r="E305" s="610">
        <f>SUMIF('Entries 24-25'!$B:$B,A:A,'Entries 24-25'!$D:$D)-SUMIF('Entries 24-25'!$B:$B,A:A,'Entries 24-25'!$E:$E)+SUMIF('IND AS entries 24-25'!$B:$B,A:A,'IND AS entries 24-25'!$D:$D)-SUMIF('IND AS entries 24-25'!$B:$B,A:A,'IND AS entries 24-25'!$E:$E)</f>
        <v>0</v>
      </c>
      <c r="F305" s="611">
        <f t="shared" si="31"/>
        <v>0</v>
      </c>
      <c r="G305" s="610"/>
      <c r="H305" s="610">
        <v>0</v>
      </c>
      <c r="I305" s="611">
        <v>0</v>
      </c>
      <c r="J305" s="610">
        <v>0</v>
      </c>
      <c r="K305" s="611">
        <f t="shared" si="32"/>
        <v>0</v>
      </c>
      <c r="L305" s="612">
        <f>VLOOKUP(A305,'BS Gr'!A:A,1,FALSE)</f>
        <v>101827</v>
      </c>
      <c r="M305" s="612">
        <f t="shared" si="28"/>
        <v>1</v>
      </c>
      <c r="N305" s="613">
        <f t="shared" si="30"/>
        <v>0</v>
      </c>
      <c r="O305" s="613">
        <f t="shared" si="34"/>
        <v>0</v>
      </c>
      <c r="P305" s="613">
        <v>0</v>
      </c>
      <c r="Q305" s="613">
        <f t="shared" si="33"/>
        <v>0</v>
      </c>
      <c r="R305" s="1514"/>
      <c r="S305" s="1617" t="e">
        <f>SUMIF('[105]TB for financial'!$A:$A,A305,'[105]TB for financial'!$E:$E)</f>
        <v>#VALUE!</v>
      </c>
      <c r="T305" s="613"/>
    </row>
    <row r="306" spans="1:20">
      <c r="A306" s="608">
        <v>101828</v>
      </c>
      <c r="B306" s="609" t="s">
        <v>1254</v>
      </c>
      <c r="C306" s="610">
        <f t="shared" si="29"/>
        <v>0</v>
      </c>
      <c r="D306" s="611">
        <v>0</v>
      </c>
      <c r="E306" s="610">
        <f>SUMIF('Entries 24-25'!$B:$B,A:A,'Entries 24-25'!$D:$D)-SUMIF('Entries 24-25'!$B:$B,A:A,'Entries 24-25'!$E:$E)+SUMIF('IND AS entries 24-25'!$B:$B,A:A,'IND AS entries 24-25'!$D:$D)-SUMIF('IND AS entries 24-25'!$B:$B,A:A,'IND AS entries 24-25'!$E:$E)</f>
        <v>0</v>
      </c>
      <c r="F306" s="611">
        <f t="shared" si="31"/>
        <v>0</v>
      </c>
      <c r="G306" s="610"/>
      <c r="H306" s="610">
        <v>0</v>
      </c>
      <c r="I306" s="611">
        <v>0</v>
      </c>
      <c r="J306" s="610">
        <v>0</v>
      </c>
      <c r="K306" s="611">
        <f t="shared" si="32"/>
        <v>0</v>
      </c>
      <c r="L306" s="612">
        <f>VLOOKUP(A306,'BS Gr'!A:A,1,FALSE)</f>
        <v>101828</v>
      </c>
      <c r="M306" s="612">
        <f t="shared" si="28"/>
        <v>1</v>
      </c>
      <c r="N306" s="613">
        <f t="shared" si="30"/>
        <v>0</v>
      </c>
      <c r="O306" s="613">
        <f t="shared" si="34"/>
        <v>0</v>
      </c>
      <c r="P306" s="613">
        <v>0</v>
      </c>
      <c r="Q306" s="613">
        <f t="shared" si="33"/>
        <v>0</v>
      </c>
      <c r="R306" s="1514"/>
      <c r="S306" s="1617" t="e">
        <f>SUMIF('[105]TB for financial'!$A:$A,A306,'[105]TB for financial'!$E:$E)</f>
        <v>#VALUE!</v>
      </c>
      <c r="T306" s="613"/>
    </row>
    <row r="307" spans="1:20">
      <c r="A307" s="608">
        <v>101829</v>
      </c>
      <c r="B307" s="609" t="s">
        <v>1255</v>
      </c>
      <c r="C307" s="610">
        <f t="shared" si="29"/>
        <v>0</v>
      </c>
      <c r="D307" s="611">
        <v>0</v>
      </c>
      <c r="E307" s="610">
        <f>SUMIF('Entries 24-25'!$B:$B,A:A,'Entries 24-25'!$D:$D)-SUMIF('Entries 24-25'!$B:$B,A:A,'Entries 24-25'!$E:$E)+SUMIF('IND AS entries 24-25'!$B:$B,A:A,'IND AS entries 24-25'!$D:$D)-SUMIF('IND AS entries 24-25'!$B:$B,A:A,'IND AS entries 24-25'!$E:$E)</f>
        <v>0</v>
      </c>
      <c r="F307" s="611">
        <f t="shared" si="31"/>
        <v>0</v>
      </c>
      <c r="G307" s="610"/>
      <c r="H307" s="610">
        <v>0</v>
      </c>
      <c r="I307" s="611">
        <v>0</v>
      </c>
      <c r="J307" s="610">
        <v>0</v>
      </c>
      <c r="K307" s="611">
        <f t="shared" si="32"/>
        <v>0</v>
      </c>
      <c r="L307" s="612">
        <f>VLOOKUP(A307,'BS Gr'!A:A,1,FALSE)</f>
        <v>101829</v>
      </c>
      <c r="M307" s="612">
        <f t="shared" si="28"/>
        <v>1</v>
      </c>
      <c r="N307" s="613">
        <f t="shared" si="30"/>
        <v>0</v>
      </c>
      <c r="O307" s="613">
        <f t="shared" si="34"/>
        <v>0</v>
      </c>
      <c r="P307" s="613">
        <v>0</v>
      </c>
      <c r="Q307" s="613">
        <f t="shared" si="33"/>
        <v>0</v>
      </c>
      <c r="R307" s="1514"/>
      <c r="S307" s="1617" t="e">
        <f>SUMIF('[105]TB for financial'!$A:$A,A307,'[105]TB for financial'!$E:$E)</f>
        <v>#VALUE!</v>
      </c>
      <c r="T307" s="613"/>
    </row>
    <row r="308" spans="1:20">
      <c r="A308" s="608">
        <v>101830</v>
      </c>
      <c r="B308" s="609" t="s">
        <v>1256</v>
      </c>
      <c r="C308" s="610">
        <f t="shared" si="29"/>
        <v>0</v>
      </c>
      <c r="D308" s="611">
        <v>0</v>
      </c>
      <c r="E308" s="610">
        <f>SUMIF('Entries 24-25'!$B:$B,A:A,'Entries 24-25'!$D:$D)-SUMIF('Entries 24-25'!$B:$B,A:A,'Entries 24-25'!$E:$E)+SUMIF('IND AS entries 24-25'!$B:$B,A:A,'IND AS entries 24-25'!$D:$D)-SUMIF('IND AS entries 24-25'!$B:$B,A:A,'IND AS entries 24-25'!$E:$E)</f>
        <v>0</v>
      </c>
      <c r="F308" s="611">
        <f t="shared" si="31"/>
        <v>0</v>
      </c>
      <c r="G308" s="610"/>
      <c r="H308" s="610">
        <v>0</v>
      </c>
      <c r="I308" s="611">
        <v>0</v>
      </c>
      <c r="J308" s="610">
        <v>0</v>
      </c>
      <c r="K308" s="611">
        <f t="shared" si="32"/>
        <v>0</v>
      </c>
      <c r="L308" s="612">
        <f>VLOOKUP(A308,'BS Gr'!A:A,1,FALSE)</f>
        <v>101830</v>
      </c>
      <c r="M308" s="612">
        <f t="shared" si="28"/>
        <v>1</v>
      </c>
      <c r="N308" s="613">
        <f t="shared" si="30"/>
        <v>0</v>
      </c>
      <c r="O308" s="613">
        <f t="shared" si="34"/>
        <v>0</v>
      </c>
      <c r="P308" s="613">
        <v>0</v>
      </c>
      <c r="Q308" s="613">
        <f t="shared" si="33"/>
        <v>0</v>
      </c>
      <c r="R308" s="1514"/>
      <c r="S308" s="1617" t="e">
        <f>SUMIF('[105]TB for financial'!$A:$A,A308,'[105]TB for financial'!$E:$E)</f>
        <v>#VALUE!</v>
      </c>
      <c r="T308" s="613"/>
    </row>
    <row r="309" spans="1:20">
      <c r="A309" s="608">
        <v>101831</v>
      </c>
      <c r="B309" s="609" t="s">
        <v>1257</v>
      </c>
      <c r="C309" s="610">
        <f t="shared" si="29"/>
        <v>0</v>
      </c>
      <c r="D309" s="611">
        <v>0</v>
      </c>
      <c r="E309" s="610">
        <f>SUMIF('Entries 24-25'!$B:$B,A:A,'Entries 24-25'!$D:$D)-SUMIF('Entries 24-25'!$B:$B,A:A,'Entries 24-25'!$E:$E)+SUMIF('IND AS entries 24-25'!$B:$B,A:A,'IND AS entries 24-25'!$D:$D)-SUMIF('IND AS entries 24-25'!$B:$B,A:A,'IND AS entries 24-25'!$E:$E)</f>
        <v>0</v>
      </c>
      <c r="F309" s="611">
        <f t="shared" si="31"/>
        <v>0</v>
      </c>
      <c r="G309" s="610"/>
      <c r="H309" s="610">
        <v>0</v>
      </c>
      <c r="I309" s="611">
        <v>0</v>
      </c>
      <c r="J309" s="610">
        <v>0</v>
      </c>
      <c r="K309" s="611">
        <f t="shared" si="32"/>
        <v>0</v>
      </c>
      <c r="L309" s="612">
        <f>VLOOKUP(A309,'BS Gr'!A:A,1,FALSE)</f>
        <v>101831</v>
      </c>
      <c r="M309" s="612">
        <f t="shared" si="28"/>
        <v>1</v>
      </c>
      <c r="N309" s="613">
        <f t="shared" si="30"/>
        <v>0</v>
      </c>
      <c r="O309" s="613">
        <f t="shared" si="34"/>
        <v>0</v>
      </c>
      <c r="P309" s="613">
        <v>0</v>
      </c>
      <c r="Q309" s="613">
        <f t="shared" si="33"/>
        <v>0</v>
      </c>
      <c r="R309" s="1514"/>
      <c r="S309" s="1617" t="e">
        <f>SUMIF('[105]TB for financial'!$A:$A,A309,'[105]TB for financial'!$E:$E)</f>
        <v>#VALUE!</v>
      </c>
      <c r="T309" s="613"/>
    </row>
    <row r="310" spans="1:20">
      <c r="A310" s="608">
        <v>101832</v>
      </c>
      <c r="B310" s="609" t="s">
        <v>1258</v>
      </c>
      <c r="C310" s="610">
        <f t="shared" si="29"/>
        <v>0</v>
      </c>
      <c r="D310" s="611">
        <v>0</v>
      </c>
      <c r="E310" s="610">
        <f>SUMIF('Entries 24-25'!$B:$B,A:A,'Entries 24-25'!$D:$D)-SUMIF('Entries 24-25'!$B:$B,A:A,'Entries 24-25'!$E:$E)+SUMIF('IND AS entries 24-25'!$B:$B,A:A,'IND AS entries 24-25'!$D:$D)-SUMIF('IND AS entries 24-25'!$B:$B,A:A,'IND AS entries 24-25'!$E:$E)</f>
        <v>0</v>
      </c>
      <c r="F310" s="611">
        <f t="shared" si="31"/>
        <v>0</v>
      </c>
      <c r="G310" s="610"/>
      <c r="H310" s="610">
        <v>0</v>
      </c>
      <c r="I310" s="611">
        <v>0</v>
      </c>
      <c r="J310" s="610">
        <v>0</v>
      </c>
      <c r="K310" s="611">
        <f t="shared" si="32"/>
        <v>0</v>
      </c>
      <c r="L310" s="612">
        <f>VLOOKUP(A310,'BS Gr'!A:A,1,FALSE)</f>
        <v>101832</v>
      </c>
      <c r="M310" s="612">
        <f t="shared" si="28"/>
        <v>1</v>
      </c>
      <c r="N310" s="613">
        <f t="shared" si="30"/>
        <v>0</v>
      </c>
      <c r="O310" s="613">
        <f t="shared" si="34"/>
        <v>0</v>
      </c>
      <c r="P310" s="613">
        <v>0</v>
      </c>
      <c r="Q310" s="613">
        <f t="shared" si="33"/>
        <v>0</v>
      </c>
      <c r="R310" s="1514"/>
      <c r="S310" s="1617" t="e">
        <f>SUMIF('[105]TB for financial'!$A:$A,A310,'[105]TB for financial'!$E:$E)</f>
        <v>#VALUE!</v>
      </c>
      <c r="T310" s="613"/>
    </row>
    <row r="311" spans="1:20">
      <c r="A311" s="608">
        <v>101833</v>
      </c>
      <c r="B311" s="609" t="s">
        <v>1259</v>
      </c>
      <c r="C311" s="610">
        <f t="shared" si="29"/>
        <v>0</v>
      </c>
      <c r="D311" s="611">
        <v>0</v>
      </c>
      <c r="E311" s="610">
        <f>SUMIF('Entries 24-25'!$B:$B,A:A,'Entries 24-25'!$D:$D)-SUMIF('Entries 24-25'!$B:$B,A:A,'Entries 24-25'!$E:$E)+SUMIF('IND AS entries 24-25'!$B:$B,A:A,'IND AS entries 24-25'!$D:$D)-SUMIF('IND AS entries 24-25'!$B:$B,A:A,'IND AS entries 24-25'!$E:$E)</f>
        <v>0</v>
      </c>
      <c r="F311" s="611">
        <f t="shared" si="31"/>
        <v>0</v>
      </c>
      <c r="G311" s="610"/>
      <c r="H311" s="610">
        <v>0</v>
      </c>
      <c r="I311" s="611">
        <v>0</v>
      </c>
      <c r="J311" s="610">
        <v>0</v>
      </c>
      <c r="K311" s="611">
        <f t="shared" si="32"/>
        <v>0</v>
      </c>
      <c r="L311" s="612">
        <f>VLOOKUP(A311,'BS Gr'!A:A,1,FALSE)</f>
        <v>101833</v>
      </c>
      <c r="M311" s="612">
        <f t="shared" si="28"/>
        <v>1</v>
      </c>
      <c r="N311" s="613">
        <f t="shared" si="30"/>
        <v>0</v>
      </c>
      <c r="O311" s="613">
        <f t="shared" si="34"/>
        <v>0</v>
      </c>
      <c r="P311" s="613">
        <v>0</v>
      </c>
      <c r="Q311" s="613">
        <f t="shared" si="33"/>
        <v>0</v>
      </c>
      <c r="R311" s="1514"/>
      <c r="S311" s="1617" t="e">
        <f>SUMIF('[105]TB for financial'!$A:$A,A311,'[105]TB for financial'!$E:$E)</f>
        <v>#VALUE!</v>
      </c>
      <c r="T311" s="613"/>
    </row>
    <row r="312" spans="1:20">
      <c r="A312" s="608">
        <v>101834</v>
      </c>
      <c r="B312" s="609" t="s">
        <v>1260</v>
      </c>
      <c r="C312" s="610">
        <f t="shared" si="29"/>
        <v>0</v>
      </c>
      <c r="D312" s="611">
        <v>0</v>
      </c>
      <c r="E312" s="610">
        <f>SUMIF('Entries 24-25'!$B:$B,A:A,'Entries 24-25'!$D:$D)-SUMIF('Entries 24-25'!$B:$B,A:A,'Entries 24-25'!$E:$E)+SUMIF('IND AS entries 24-25'!$B:$B,A:A,'IND AS entries 24-25'!$D:$D)-SUMIF('IND AS entries 24-25'!$B:$B,A:A,'IND AS entries 24-25'!$E:$E)</f>
        <v>0</v>
      </c>
      <c r="F312" s="611">
        <f t="shared" si="31"/>
        <v>0</v>
      </c>
      <c r="G312" s="610"/>
      <c r="H312" s="610">
        <v>0</v>
      </c>
      <c r="I312" s="611">
        <v>0</v>
      </c>
      <c r="J312" s="610">
        <v>0</v>
      </c>
      <c r="K312" s="611">
        <f t="shared" si="32"/>
        <v>0</v>
      </c>
      <c r="L312" s="612">
        <f>VLOOKUP(A312,'BS Gr'!A:A,1,FALSE)</f>
        <v>101834</v>
      </c>
      <c r="M312" s="612">
        <f t="shared" si="28"/>
        <v>1</v>
      </c>
      <c r="N312" s="613">
        <f t="shared" si="30"/>
        <v>0</v>
      </c>
      <c r="O312" s="613">
        <f t="shared" si="34"/>
        <v>0</v>
      </c>
      <c r="P312" s="613">
        <v>0</v>
      </c>
      <c r="Q312" s="613">
        <f t="shared" si="33"/>
        <v>0</v>
      </c>
      <c r="R312" s="1514"/>
      <c r="S312" s="1617" t="e">
        <f>SUMIF('[105]TB for financial'!$A:$A,A312,'[105]TB for financial'!$E:$E)</f>
        <v>#VALUE!</v>
      </c>
      <c r="T312" s="613"/>
    </row>
    <row r="313" spans="1:20">
      <c r="A313" s="608">
        <v>101835</v>
      </c>
      <c r="B313" s="609" t="s">
        <v>1261</v>
      </c>
      <c r="C313" s="610">
        <f t="shared" si="29"/>
        <v>0</v>
      </c>
      <c r="D313" s="611">
        <v>0</v>
      </c>
      <c r="E313" s="610">
        <f>SUMIF('Entries 24-25'!$B:$B,A:A,'Entries 24-25'!$D:$D)-SUMIF('Entries 24-25'!$B:$B,A:A,'Entries 24-25'!$E:$E)+SUMIF('IND AS entries 24-25'!$B:$B,A:A,'IND AS entries 24-25'!$D:$D)-SUMIF('IND AS entries 24-25'!$B:$B,A:A,'IND AS entries 24-25'!$E:$E)</f>
        <v>0</v>
      </c>
      <c r="F313" s="611">
        <f t="shared" si="31"/>
        <v>0</v>
      </c>
      <c r="G313" s="610"/>
      <c r="H313" s="610">
        <v>0</v>
      </c>
      <c r="I313" s="611">
        <v>0</v>
      </c>
      <c r="J313" s="610">
        <v>0</v>
      </c>
      <c r="K313" s="611">
        <f t="shared" si="32"/>
        <v>0</v>
      </c>
      <c r="L313" s="612">
        <f>VLOOKUP(A313,'BS Gr'!A:A,1,FALSE)</f>
        <v>101835</v>
      </c>
      <c r="M313" s="612">
        <f t="shared" si="28"/>
        <v>1</v>
      </c>
      <c r="N313" s="613">
        <f t="shared" si="30"/>
        <v>0</v>
      </c>
      <c r="O313" s="613">
        <f t="shared" si="34"/>
        <v>0</v>
      </c>
      <c r="P313" s="613">
        <v>151855.72</v>
      </c>
      <c r="Q313" s="613">
        <f t="shared" si="33"/>
        <v>-151855.72</v>
      </c>
      <c r="R313" s="1514"/>
      <c r="S313" s="1617" t="e">
        <f>SUMIF('[105]TB for financial'!$A:$A,A313,'[105]TB for financial'!$E:$E)</f>
        <v>#VALUE!</v>
      </c>
      <c r="T313" s="613"/>
    </row>
    <row r="314" spans="1:20">
      <c r="A314" s="608">
        <v>101836</v>
      </c>
      <c r="B314" s="609" t="s">
        <v>1262</v>
      </c>
      <c r="C314" s="610">
        <f t="shared" si="29"/>
        <v>0</v>
      </c>
      <c r="D314" s="611">
        <v>0</v>
      </c>
      <c r="E314" s="610">
        <f>SUMIF('Entries 24-25'!$B:$B,A:A,'Entries 24-25'!$D:$D)-SUMIF('Entries 24-25'!$B:$B,A:A,'Entries 24-25'!$E:$E)+SUMIF('IND AS entries 24-25'!$B:$B,A:A,'IND AS entries 24-25'!$D:$D)-SUMIF('IND AS entries 24-25'!$B:$B,A:A,'IND AS entries 24-25'!$E:$E)</f>
        <v>0</v>
      </c>
      <c r="F314" s="611">
        <f t="shared" si="31"/>
        <v>0</v>
      </c>
      <c r="G314" s="610"/>
      <c r="H314" s="610">
        <v>0</v>
      </c>
      <c r="I314" s="611">
        <v>0</v>
      </c>
      <c r="J314" s="610">
        <v>0</v>
      </c>
      <c r="K314" s="611">
        <f t="shared" si="32"/>
        <v>0</v>
      </c>
      <c r="L314" s="612">
        <f>VLOOKUP(A314,'BS Gr'!A:A,1,FALSE)</f>
        <v>101836</v>
      </c>
      <c r="M314" s="612">
        <f t="shared" si="28"/>
        <v>1</v>
      </c>
      <c r="N314" s="613">
        <f t="shared" si="30"/>
        <v>0</v>
      </c>
      <c r="O314" s="613">
        <f t="shared" si="34"/>
        <v>0</v>
      </c>
      <c r="P314" s="613">
        <v>127844.39999999991</v>
      </c>
      <c r="Q314" s="613">
        <f t="shared" si="33"/>
        <v>-127844.39999999991</v>
      </c>
      <c r="R314" s="1514"/>
      <c r="S314" s="1617" t="e">
        <f>SUMIF('[105]TB for financial'!$A:$A,A314,'[105]TB for financial'!$E:$E)</f>
        <v>#VALUE!</v>
      </c>
      <c r="T314" s="613"/>
    </row>
    <row r="315" spans="1:20">
      <c r="A315" s="608">
        <v>101837</v>
      </c>
      <c r="B315" s="609" t="s">
        <v>1263</v>
      </c>
      <c r="C315" s="610">
        <f t="shared" si="29"/>
        <v>0</v>
      </c>
      <c r="D315" s="611">
        <v>0</v>
      </c>
      <c r="E315" s="610">
        <f>SUMIF('Entries 24-25'!$B:$B,A:A,'Entries 24-25'!$D:$D)-SUMIF('Entries 24-25'!$B:$B,A:A,'Entries 24-25'!$E:$E)+SUMIF('IND AS entries 24-25'!$B:$B,A:A,'IND AS entries 24-25'!$D:$D)-SUMIF('IND AS entries 24-25'!$B:$B,A:A,'IND AS entries 24-25'!$E:$E)</f>
        <v>0</v>
      </c>
      <c r="F315" s="611">
        <f t="shared" si="31"/>
        <v>0</v>
      </c>
      <c r="G315" s="610"/>
      <c r="H315" s="610">
        <v>0</v>
      </c>
      <c r="I315" s="611">
        <v>0</v>
      </c>
      <c r="J315" s="610">
        <v>0</v>
      </c>
      <c r="K315" s="611">
        <f t="shared" si="32"/>
        <v>0</v>
      </c>
      <c r="L315" s="612">
        <f>VLOOKUP(A315,'BS Gr'!A:A,1,FALSE)</f>
        <v>101837</v>
      </c>
      <c r="M315" s="612">
        <f t="shared" si="28"/>
        <v>1</v>
      </c>
      <c r="N315" s="613">
        <f t="shared" si="30"/>
        <v>0</v>
      </c>
      <c r="O315" s="613">
        <f t="shared" si="34"/>
        <v>0</v>
      </c>
      <c r="P315" s="613">
        <v>0</v>
      </c>
      <c r="Q315" s="613">
        <f t="shared" si="33"/>
        <v>0</v>
      </c>
      <c r="R315" s="1514"/>
      <c r="S315" s="1617" t="e">
        <f>SUMIF('[105]TB for financial'!$A:$A,A315,'[105]TB for financial'!$E:$E)</f>
        <v>#VALUE!</v>
      </c>
      <c r="T315" s="613"/>
    </row>
    <row r="316" spans="1:20">
      <c r="A316" s="608">
        <v>101838</v>
      </c>
      <c r="B316" s="609" t="s">
        <v>1264</v>
      </c>
      <c r="C316" s="610">
        <f t="shared" si="29"/>
        <v>0</v>
      </c>
      <c r="D316" s="611">
        <v>0</v>
      </c>
      <c r="E316" s="610">
        <f>SUMIF('Entries 24-25'!$B:$B,A:A,'Entries 24-25'!$D:$D)-SUMIF('Entries 24-25'!$B:$B,A:A,'Entries 24-25'!$E:$E)+SUMIF('IND AS entries 24-25'!$B:$B,A:A,'IND AS entries 24-25'!$D:$D)-SUMIF('IND AS entries 24-25'!$B:$B,A:A,'IND AS entries 24-25'!$E:$E)</f>
        <v>0</v>
      </c>
      <c r="F316" s="611">
        <f t="shared" si="31"/>
        <v>0</v>
      </c>
      <c r="G316" s="610"/>
      <c r="H316" s="610">
        <v>0</v>
      </c>
      <c r="I316" s="611">
        <v>0</v>
      </c>
      <c r="J316" s="610">
        <v>0</v>
      </c>
      <c r="K316" s="611">
        <f t="shared" si="32"/>
        <v>0</v>
      </c>
      <c r="L316" s="612">
        <f>VLOOKUP(A316,'BS Gr'!A:A,1,FALSE)</f>
        <v>101838</v>
      </c>
      <c r="M316" s="612">
        <f t="shared" si="28"/>
        <v>1</v>
      </c>
      <c r="N316" s="613">
        <f t="shared" si="30"/>
        <v>0</v>
      </c>
      <c r="O316" s="613">
        <f t="shared" si="34"/>
        <v>0</v>
      </c>
      <c r="P316" s="613">
        <v>0</v>
      </c>
      <c r="Q316" s="613">
        <f t="shared" si="33"/>
        <v>0</v>
      </c>
      <c r="R316" s="1514"/>
      <c r="S316" s="1617" t="e">
        <f>SUMIF('[105]TB for financial'!$A:$A,A316,'[105]TB for financial'!$E:$E)</f>
        <v>#VALUE!</v>
      </c>
      <c r="T316" s="613"/>
    </row>
    <row r="317" spans="1:20">
      <c r="A317" s="608">
        <v>101839</v>
      </c>
      <c r="B317" s="615" t="s">
        <v>1265</v>
      </c>
      <c r="C317" s="610">
        <f t="shared" si="29"/>
        <v>0</v>
      </c>
      <c r="D317" s="611">
        <v>0</v>
      </c>
      <c r="E317" s="610">
        <f>SUMIF('Entries 24-25'!$B:$B,A:A,'Entries 24-25'!$D:$D)-SUMIF('Entries 24-25'!$B:$B,A:A,'Entries 24-25'!$E:$E)+SUMIF('IND AS entries 24-25'!$B:$B,A:A,'IND AS entries 24-25'!$D:$D)-SUMIF('IND AS entries 24-25'!$B:$B,A:A,'IND AS entries 24-25'!$E:$E)</f>
        <v>0</v>
      </c>
      <c r="F317" s="611">
        <f t="shared" si="31"/>
        <v>0</v>
      </c>
      <c r="G317" s="610"/>
      <c r="H317" s="610">
        <v>0</v>
      </c>
      <c r="I317" s="611">
        <v>0</v>
      </c>
      <c r="J317" s="610">
        <v>0</v>
      </c>
      <c r="K317" s="611">
        <f t="shared" si="32"/>
        <v>0</v>
      </c>
      <c r="L317" s="612">
        <f>VLOOKUP(A317,'BS Gr'!A:A,1,FALSE)</f>
        <v>101839</v>
      </c>
      <c r="M317" s="612">
        <f t="shared" si="28"/>
        <v>1</v>
      </c>
      <c r="N317" s="613">
        <f t="shared" si="30"/>
        <v>0</v>
      </c>
      <c r="O317" s="613">
        <f t="shared" si="34"/>
        <v>0</v>
      </c>
      <c r="P317" s="613">
        <v>0</v>
      </c>
      <c r="Q317" s="613">
        <f t="shared" si="33"/>
        <v>0</v>
      </c>
      <c r="R317" s="1514"/>
      <c r="S317" s="1617" t="e">
        <f>SUMIF('[105]TB for financial'!$A:$A,A317,'[105]TB for financial'!$E:$E)</f>
        <v>#VALUE!</v>
      </c>
      <c r="T317" s="613"/>
    </row>
    <row r="318" spans="1:20">
      <c r="A318" s="608">
        <v>101843</v>
      </c>
      <c r="B318" s="615" t="s">
        <v>1804</v>
      </c>
      <c r="C318" s="610">
        <f t="shared" si="29"/>
        <v>0</v>
      </c>
      <c r="D318" s="611">
        <v>0</v>
      </c>
      <c r="E318" s="610">
        <f>SUMIF('Entries 24-25'!$B:$B,A:A,'Entries 24-25'!$D:$D)-SUMIF('Entries 24-25'!$B:$B,A:A,'Entries 24-25'!$E:$E)+SUMIF('IND AS entries 24-25'!$B:$B,A:A,'IND AS entries 24-25'!$D:$D)-SUMIF('IND AS entries 24-25'!$B:$B,A:A,'IND AS entries 24-25'!$E:$E)</f>
        <v>0</v>
      </c>
      <c r="F318" s="611">
        <f t="shared" si="31"/>
        <v>0</v>
      </c>
      <c r="G318" s="610"/>
      <c r="H318" s="610">
        <v>0</v>
      </c>
      <c r="I318" s="611">
        <v>0</v>
      </c>
      <c r="J318" s="610">
        <v>0</v>
      </c>
      <c r="K318" s="611">
        <f t="shared" si="32"/>
        <v>0</v>
      </c>
      <c r="L318" s="612">
        <f>VLOOKUP(A318,'BS Gr'!A:A,1,FALSE)</f>
        <v>101843</v>
      </c>
      <c r="M318" s="612">
        <f t="shared" si="28"/>
        <v>1</v>
      </c>
      <c r="N318" s="613">
        <f t="shared" si="30"/>
        <v>0</v>
      </c>
      <c r="O318" s="613">
        <f t="shared" si="34"/>
        <v>0</v>
      </c>
      <c r="P318" s="613"/>
      <c r="Q318" s="613"/>
      <c r="R318" s="1514"/>
      <c r="S318" s="1617" t="e">
        <f>SUMIF('[105]TB for financial'!$A:$A,A318,'[105]TB for financial'!$E:$E)</f>
        <v>#VALUE!</v>
      </c>
      <c r="T318" s="613"/>
    </row>
    <row r="319" spans="1:20">
      <c r="A319" s="608">
        <v>101848</v>
      </c>
      <c r="B319" s="615" t="s">
        <v>1805</v>
      </c>
      <c r="C319" s="610">
        <f t="shared" si="29"/>
        <v>0</v>
      </c>
      <c r="D319" s="611">
        <v>0</v>
      </c>
      <c r="E319" s="610">
        <f>SUMIF('Entries 24-25'!$B:$B,A:A,'Entries 24-25'!$D:$D)-SUMIF('Entries 24-25'!$B:$B,A:A,'Entries 24-25'!$E:$E)+SUMIF('IND AS entries 24-25'!$B:$B,A:A,'IND AS entries 24-25'!$D:$D)-SUMIF('IND AS entries 24-25'!$B:$B,A:A,'IND AS entries 24-25'!$E:$E)</f>
        <v>0</v>
      </c>
      <c r="F319" s="611">
        <f t="shared" si="31"/>
        <v>0</v>
      </c>
      <c r="G319" s="610"/>
      <c r="H319" s="610">
        <v>0</v>
      </c>
      <c r="I319" s="611">
        <v>0</v>
      </c>
      <c r="J319" s="610">
        <v>0</v>
      </c>
      <c r="K319" s="611">
        <f t="shared" si="32"/>
        <v>0</v>
      </c>
      <c r="L319" s="612">
        <f>VLOOKUP(A319,'BS Gr'!A:A,1,FALSE)</f>
        <v>101848</v>
      </c>
      <c r="M319" s="612">
        <f t="shared" si="28"/>
        <v>1</v>
      </c>
      <c r="N319" s="613">
        <f t="shared" si="30"/>
        <v>0</v>
      </c>
      <c r="O319" s="613">
        <f t="shared" si="34"/>
        <v>0</v>
      </c>
      <c r="P319" s="613"/>
      <c r="Q319" s="613"/>
      <c r="R319" s="1514"/>
      <c r="S319" s="1617" t="e">
        <f>SUMIF('[105]TB for financial'!$A:$A,A319,'[105]TB for financial'!$E:$E)</f>
        <v>#VALUE!</v>
      </c>
      <c r="T319" s="613"/>
    </row>
    <row r="320" spans="1:20">
      <c r="A320" s="608">
        <v>101850</v>
      </c>
      <c r="B320" s="609" t="s">
        <v>1266</v>
      </c>
      <c r="C320" s="610">
        <f t="shared" si="29"/>
        <v>0</v>
      </c>
      <c r="D320" s="611">
        <v>0</v>
      </c>
      <c r="E320" s="610">
        <f>SUMIF('Entries 24-25'!$B:$B,A:A,'Entries 24-25'!$D:$D)-SUMIF('Entries 24-25'!$B:$B,A:A,'Entries 24-25'!$E:$E)+SUMIF('IND AS entries 24-25'!$B:$B,A:A,'IND AS entries 24-25'!$D:$D)-SUMIF('IND AS entries 24-25'!$B:$B,A:A,'IND AS entries 24-25'!$E:$E)</f>
        <v>0</v>
      </c>
      <c r="F320" s="611">
        <f t="shared" si="31"/>
        <v>0</v>
      </c>
      <c r="G320" s="610"/>
      <c r="H320" s="610">
        <v>0</v>
      </c>
      <c r="I320" s="611">
        <v>0</v>
      </c>
      <c r="J320" s="610">
        <v>0</v>
      </c>
      <c r="K320" s="611">
        <f t="shared" si="32"/>
        <v>0</v>
      </c>
      <c r="L320" s="612">
        <f>VLOOKUP(A320,'BS Gr'!A:A,1,FALSE)</f>
        <v>101850</v>
      </c>
      <c r="M320" s="612">
        <f t="shared" si="28"/>
        <v>1</v>
      </c>
      <c r="N320" s="613">
        <f t="shared" si="30"/>
        <v>0</v>
      </c>
      <c r="O320" s="613">
        <f t="shared" si="34"/>
        <v>0</v>
      </c>
      <c r="P320" s="613">
        <v>0</v>
      </c>
      <c r="Q320" s="613">
        <f t="shared" si="33"/>
        <v>0</v>
      </c>
      <c r="R320" s="1514"/>
      <c r="S320" s="1617" t="e">
        <f>SUMIF('[105]TB for financial'!$A:$A,A320,'[105]TB for financial'!$E:$E)</f>
        <v>#VALUE!</v>
      </c>
      <c r="T320" s="613"/>
    </row>
    <row r="321" spans="1:20">
      <c r="A321" s="608">
        <v>101851</v>
      </c>
      <c r="B321" s="609" t="s">
        <v>575</v>
      </c>
      <c r="C321" s="610">
        <f t="shared" si="29"/>
        <v>0</v>
      </c>
      <c r="D321" s="611">
        <v>0</v>
      </c>
      <c r="E321" s="610">
        <f>SUMIF('Entries 24-25'!$B:$B,A:A,'Entries 24-25'!$D:$D)-SUMIF('Entries 24-25'!$B:$B,A:A,'Entries 24-25'!$E:$E)+SUMIF('IND AS entries 24-25'!$B:$B,A:A,'IND AS entries 24-25'!$D:$D)-SUMIF('IND AS entries 24-25'!$B:$B,A:A,'IND AS entries 24-25'!$E:$E)</f>
        <v>0</v>
      </c>
      <c r="F321" s="611">
        <f t="shared" si="31"/>
        <v>0</v>
      </c>
      <c r="G321" s="610"/>
      <c r="H321" s="610">
        <v>0</v>
      </c>
      <c r="I321" s="611">
        <v>0</v>
      </c>
      <c r="J321" s="610">
        <v>0</v>
      </c>
      <c r="K321" s="611">
        <f t="shared" si="32"/>
        <v>0</v>
      </c>
      <c r="L321" s="612">
        <f>VLOOKUP(A321,'BS Gr'!A:A,1,FALSE)</f>
        <v>101851</v>
      </c>
      <c r="M321" s="612">
        <f t="shared" si="28"/>
        <v>1</v>
      </c>
      <c r="N321" s="613">
        <f t="shared" si="30"/>
        <v>0</v>
      </c>
      <c r="O321" s="613">
        <f t="shared" si="34"/>
        <v>0</v>
      </c>
      <c r="P321" s="613">
        <v>0</v>
      </c>
      <c r="Q321" s="613">
        <f t="shared" si="33"/>
        <v>0</v>
      </c>
      <c r="R321" s="1514"/>
      <c r="S321" s="1617" t="e">
        <f>SUMIF('[105]TB for financial'!$A:$A,A321,'[105]TB for financial'!$E:$E)</f>
        <v>#VALUE!</v>
      </c>
      <c r="T321" s="613"/>
    </row>
    <row r="322" spans="1:20">
      <c r="A322" s="616">
        <v>101852</v>
      </c>
      <c r="B322" s="609" t="s">
        <v>1267</v>
      </c>
      <c r="C322" s="610">
        <f t="shared" si="29"/>
        <v>0</v>
      </c>
      <c r="D322" s="611">
        <v>0</v>
      </c>
      <c r="E322" s="610">
        <f>SUMIF('Entries 24-25'!$B:$B,A:A,'Entries 24-25'!$D:$D)-SUMIF('Entries 24-25'!$B:$B,A:A,'Entries 24-25'!$E:$E)+SUMIF('IND AS entries 24-25'!$B:$B,A:A,'IND AS entries 24-25'!$D:$D)-SUMIF('IND AS entries 24-25'!$B:$B,A:A,'IND AS entries 24-25'!$E:$E)</f>
        <v>0</v>
      </c>
      <c r="F322" s="611">
        <f t="shared" si="31"/>
        <v>0</v>
      </c>
      <c r="G322" s="610"/>
      <c r="H322" s="610">
        <v>0</v>
      </c>
      <c r="I322" s="611">
        <v>0</v>
      </c>
      <c r="J322" s="610">
        <v>0</v>
      </c>
      <c r="K322" s="611">
        <f t="shared" si="32"/>
        <v>0</v>
      </c>
      <c r="L322" s="612">
        <f>VLOOKUP(A322,'BS Gr'!A:A,1,FALSE)</f>
        <v>101852</v>
      </c>
      <c r="M322" s="612">
        <f t="shared" si="28"/>
        <v>1</v>
      </c>
      <c r="N322" s="613">
        <f t="shared" si="30"/>
        <v>0</v>
      </c>
      <c r="O322" s="613">
        <f t="shared" si="34"/>
        <v>0</v>
      </c>
      <c r="P322" s="613">
        <v>0</v>
      </c>
      <c r="Q322" s="613">
        <f t="shared" si="33"/>
        <v>0</v>
      </c>
      <c r="R322" s="1514"/>
      <c r="S322" s="1617" t="e">
        <f>SUMIF('[105]TB for financial'!$A:$A,A322,'[105]TB for financial'!$E:$E)</f>
        <v>#VALUE!</v>
      </c>
      <c r="T322" s="613"/>
    </row>
    <row r="323" spans="1:20">
      <c r="A323" s="616">
        <v>101853</v>
      </c>
      <c r="B323" s="609" t="s">
        <v>1268</v>
      </c>
      <c r="C323" s="610">
        <f t="shared" si="29"/>
        <v>0</v>
      </c>
      <c r="D323" s="611">
        <v>0</v>
      </c>
      <c r="E323" s="610">
        <f>SUMIF('Entries 24-25'!$B:$B,A:A,'Entries 24-25'!$D:$D)-SUMIF('Entries 24-25'!$B:$B,A:A,'Entries 24-25'!$E:$E)+SUMIF('IND AS entries 24-25'!$B:$B,A:A,'IND AS entries 24-25'!$D:$D)-SUMIF('IND AS entries 24-25'!$B:$B,A:A,'IND AS entries 24-25'!$E:$E)</f>
        <v>0</v>
      </c>
      <c r="F323" s="611">
        <f t="shared" si="31"/>
        <v>0</v>
      </c>
      <c r="G323" s="610"/>
      <c r="H323" s="610">
        <v>0</v>
      </c>
      <c r="I323" s="611">
        <v>0</v>
      </c>
      <c r="J323" s="610">
        <v>0</v>
      </c>
      <c r="K323" s="611">
        <f t="shared" si="32"/>
        <v>0</v>
      </c>
      <c r="L323" s="612">
        <f>VLOOKUP(A323,'BS Gr'!A:A,1,FALSE)</f>
        <v>101853</v>
      </c>
      <c r="M323" s="612">
        <f t="shared" si="28"/>
        <v>1</v>
      </c>
      <c r="N323" s="613">
        <f t="shared" si="30"/>
        <v>0</v>
      </c>
      <c r="O323" s="613">
        <f t="shared" si="34"/>
        <v>0</v>
      </c>
      <c r="P323" s="613">
        <v>0</v>
      </c>
      <c r="Q323" s="613">
        <f t="shared" si="33"/>
        <v>0</v>
      </c>
      <c r="R323" s="1514"/>
      <c r="S323" s="1617" t="e">
        <f>SUMIF('[105]TB for financial'!$A:$A,A323,'[105]TB for financial'!$E:$E)</f>
        <v>#VALUE!</v>
      </c>
      <c r="T323" s="613"/>
    </row>
    <row r="324" spans="1:20">
      <c r="A324" s="616">
        <v>101858</v>
      </c>
      <c r="B324" s="609" t="s">
        <v>2200</v>
      </c>
      <c r="C324" s="610">
        <f t="shared" si="29"/>
        <v>0</v>
      </c>
      <c r="D324" s="611">
        <v>0</v>
      </c>
      <c r="E324" s="610">
        <f>SUMIF('Entries 24-25'!$B:$B,A:A,'Entries 24-25'!$D:$D)-SUMIF('Entries 24-25'!$B:$B,A:A,'Entries 24-25'!$E:$E)+SUMIF('IND AS entries 24-25'!$B:$B,A:A,'IND AS entries 24-25'!$D:$D)-SUMIF('IND AS entries 24-25'!$B:$B,A:A,'IND AS entries 24-25'!$E:$E)</f>
        <v>0</v>
      </c>
      <c r="F324" s="611">
        <f t="shared" si="31"/>
        <v>0</v>
      </c>
      <c r="G324" s="610"/>
      <c r="H324" s="610">
        <v>0</v>
      </c>
      <c r="I324" s="611">
        <v>0</v>
      </c>
      <c r="J324" s="610">
        <v>0</v>
      </c>
      <c r="K324" s="611">
        <f t="shared" si="32"/>
        <v>0</v>
      </c>
      <c r="L324" s="612">
        <f>VLOOKUP(A324,'BS Gr'!A:A,1,FALSE)</f>
        <v>101858</v>
      </c>
      <c r="M324" s="612">
        <f t="shared" si="28"/>
        <v>1</v>
      </c>
      <c r="N324" s="613">
        <f t="shared" si="30"/>
        <v>0</v>
      </c>
      <c r="O324" s="613">
        <f t="shared" si="34"/>
        <v>0</v>
      </c>
      <c r="P324" s="613"/>
      <c r="Q324" s="613"/>
      <c r="R324" s="1514"/>
      <c r="S324" s="1617" t="e">
        <f>SUMIF('[105]TB for financial'!$A:$A,A324,'[105]TB for financial'!$E:$E)</f>
        <v>#VALUE!</v>
      </c>
      <c r="T324" s="613"/>
    </row>
    <row r="325" spans="1:20">
      <c r="A325" s="608">
        <v>110020</v>
      </c>
      <c r="B325" s="609" t="s">
        <v>1269</v>
      </c>
      <c r="C325" s="610">
        <f t="shared" si="29"/>
        <v>0</v>
      </c>
      <c r="D325" s="611">
        <v>0</v>
      </c>
      <c r="E325" s="610">
        <f>SUMIF('Entries 24-25'!$B:$B,A:A,'Entries 24-25'!$D:$D)-SUMIF('Entries 24-25'!$B:$B,A:A,'Entries 24-25'!$E:$E)+SUMIF('IND AS entries 24-25'!$B:$B,A:A,'IND AS entries 24-25'!$D:$D)-SUMIF('IND AS entries 24-25'!$B:$B,A:A,'IND AS entries 24-25'!$E:$E)</f>
        <v>0</v>
      </c>
      <c r="F325" s="611">
        <f t="shared" si="31"/>
        <v>0</v>
      </c>
      <c r="G325" s="610"/>
      <c r="H325" s="610">
        <v>0</v>
      </c>
      <c r="I325" s="611">
        <v>0</v>
      </c>
      <c r="J325" s="610">
        <v>0</v>
      </c>
      <c r="K325" s="611">
        <f t="shared" si="32"/>
        <v>0</v>
      </c>
      <c r="L325" s="612">
        <f>VLOOKUP(A325,'BS Gr'!A:A,1,FALSE)</f>
        <v>110020</v>
      </c>
      <c r="M325" s="612">
        <f t="shared" ref="M325:M388" si="35">COUNTIF(A:A,A325)</f>
        <v>1</v>
      </c>
      <c r="N325" s="613">
        <f t="shared" si="30"/>
        <v>0</v>
      </c>
      <c r="O325" s="613">
        <f t="shared" si="34"/>
        <v>0</v>
      </c>
      <c r="P325" s="613">
        <v>0</v>
      </c>
      <c r="Q325" s="613">
        <f t="shared" si="33"/>
        <v>0</v>
      </c>
      <c r="R325" s="1514"/>
      <c r="S325" s="1617" t="e">
        <f>SUMIF('[105]TB for financial'!$A:$A,A325,'[105]TB for financial'!$E:$E)</f>
        <v>#VALUE!</v>
      </c>
      <c r="T325" s="613"/>
    </row>
    <row r="326" spans="1:20">
      <c r="A326" s="608">
        <v>110025</v>
      </c>
      <c r="B326" s="609" t="s">
        <v>586</v>
      </c>
      <c r="C326" s="610">
        <f t="shared" ref="C326:C389" si="36">K326</f>
        <v>0</v>
      </c>
      <c r="D326" s="611">
        <v>0</v>
      </c>
      <c r="E326" s="610">
        <f>SUMIF('Entries 24-25'!$B:$B,A:A,'Entries 24-25'!$D:$D)-SUMIF('Entries 24-25'!$B:$B,A:A,'Entries 24-25'!$E:$E)+SUMIF('IND AS entries 24-25'!$B:$B,A:A,'IND AS entries 24-25'!$D:$D)-SUMIF('IND AS entries 24-25'!$B:$B,A:A,'IND AS entries 24-25'!$E:$E)</f>
        <v>0</v>
      </c>
      <c r="F326" s="611">
        <f t="shared" si="31"/>
        <v>0</v>
      </c>
      <c r="G326" s="610"/>
      <c r="H326" s="610">
        <v>0</v>
      </c>
      <c r="I326" s="611">
        <v>0</v>
      </c>
      <c r="J326" s="610">
        <v>0</v>
      </c>
      <c r="K326" s="611">
        <f t="shared" si="32"/>
        <v>0</v>
      </c>
      <c r="L326" s="612">
        <f>VLOOKUP(A326,'BS Gr'!A:A,1,FALSE)</f>
        <v>110025</v>
      </c>
      <c r="M326" s="612">
        <f t="shared" si="35"/>
        <v>1</v>
      </c>
      <c r="N326" s="613">
        <f t="shared" ref="N326:N389" si="37">C326-K326</f>
        <v>0</v>
      </c>
      <c r="O326" s="613">
        <f t="shared" si="34"/>
        <v>0</v>
      </c>
      <c r="P326" s="613">
        <v>0</v>
      </c>
      <c r="Q326" s="613">
        <f t="shared" si="33"/>
        <v>0</v>
      </c>
      <c r="R326" s="1514"/>
      <c r="S326" s="1617" t="e">
        <f>SUMIF('[105]TB for financial'!$A:$A,A326,'[105]TB for financial'!$E:$E)</f>
        <v>#VALUE!</v>
      </c>
      <c r="T326" s="613"/>
    </row>
    <row r="327" spans="1:20">
      <c r="A327" s="608">
        <v>110030</v>
      </c>
      <c r="B327" s="609" t="s">
        <v>1270</v>
      </c>
      <c r="C327" s="610">
        <f t="shared" si="36"/>
        <v>0</v>
      </c>
      <c r="D327" s="611">
        <v>0</v>
      </c>
      <c r="E327" s="610">
        <f>SUMIF('Entries 24-25'!$B:$B,A:A,'Entries 24-25'!$D:$D)-SUMIF('Entries 24-25'!$B:$B,A:A,'Entries 24-25'!$E:$E)+SUMIF('IND AS entries 24-25'!$B:$B,A:A,'IND AS entries 24-25'!$D:$D)-SUMIF('IND AS entries 24-25'!$B:$B,A:A,'IND AS entries 24-25'!$E:$E)</f>
        <v>0</v>
      </c>
      <c r="F327" s="611">
        <f t="shared" si="31"/>
        <v>0</v>
      </c>
      <c r="G327" s="610"/>
      <c r="H327" s="610">
        <v>0</v>
      </c>
      <c r="I327" s="611">
        <v>0</v>
      </c>
      <c r="J327" s="610">
        <v>0</v>
      </c>
      <c r="K327" s="611">
        <f t="shared" si="32"/>
        <v>0</v>
      </c>
      <c r="L327" s="612">
        <f>VLOOKUP(A327,'BS Gr'!A:A,1,FALSE)</f>
        <v>110030</v>
      </c>
      <c r="M327" s="612">
        <f t="shared" si="35"/>
        <v>1</v>
      </c>
      <c r="N327" s="613">
        <f t="shared" si="37"/>
        <v>0</v>
      </c>
      <c r="O327" s="613">
        <f t="shared" si="34"/>
        <v>0</v>
      </c>
      <c r="P327" s="613">
        <v>13485280</v>
      </c>
      <c r="Q327" s="613">
        <f t="shared" si="33"/>
        <v>-13485280</v>
      </c>
      <c r="R327" s="1514"/>
      <c r="S327" s="1617" t="e">
        <f>SUMIF('[105]TB for financial'!$A:$A,A327,'[105]TB for financial'!$E:$E)</f>
        <v>#VALUE!</v>
      </c>
      <c r="T327" s="613"/>
    </row>
    <row r="328" spans="1:20">
      <c r="A328" s="608">
        <v>110031</v>
      </c>
      <c r="B328" s="609" t="s">
        <v>1271</v>
      </c>
      <c r="C328" s="610">
        <f t="shared" si="36"/>
        <v>0</v>
      </c>
      <c r="D328" s="611">
        <v>0</v>
      </c>
      <c r="E328" s="610">
        <f>SUMIF('Entries 24-25'!$B:$B,A:A,'Entries 24-25'!$D:$D)-SUMIF('Entries 24-25'!$B:$B,A:A,'Entries 24-25'!$E:$E)+SUMIF('IND AS entries 24-25'!$B:$B,A:A,'IND AS entries 24-25'!$D:$D)-SUMIF('IND AS entries 24-25'!$B:$B,A:A,'IND AS entries 24-25'!$E:$E)</f>
        <v>0</v>
      </c>
      <c r="F328" s="611">
        <f t="shared" ref="F328:F391" si="38">SUM(C328:E328)</f>
        <v>0</v>
      </c>
      <c r="G328" s="610"/>
      <c r="H328" s="610">
        <v>0</v>
      </c>
      <c r="I328" s="611">
        <v>0</v>
      </c>
      <c r="J328" s="610">
        <v>0</v>
      </c>
      <c r="K328" s="611">
        <f t="shared" ref="K328:K391" si="39">SUM(H328:J328)</f>
        <v>0</v>
      </c>
      <c r="L328" s="612">
        <f>VLOOKUP(A328,'BS Gr'!A:A,1,FALSE)</f>
        <v>110031</v>
      </c>
      <c r="M328" s="612">
        <f t="shared" si="35"/>
        <v>1</v>
      </c>
      <c r="N328" s="613">
        <f t="shared" si="37"/>
        <v>0</v>
      </c>
      <c r="O328" s="613">
        <f t="shared" si="34"/>
        <v>0</v>
      </c>
      <c r="P328" s="613">
        <v>0</v>
      </c>
      <c r="Q328" s="613">
        <f t="shared" si="33"/>
        <v>0</v>
      </c>
      <c r="R328" s="1514"/>
      <c r="S328" s="1617" t="e">
        <f>SUMIF('[105]TB for financial'!$A:$A,A328,'[105]TB for financial'!$E:$E)</f>
        <v>#VALUE!</v>
      </c>
      <c r="T328" s="613"/>
    </row>
    <row r="329" spans="1:20">
      <c r="A329" s="608">
        <v>110035</v>
      </c>
      <c r="B329" s="609" t="s">
        <v>1272</v>
      </c>
      <c r="C329" s="610">
        <f t="shared" si="36"/>
        <v>0</v>
      </c>
      <c r="D329" s="611">
        <v>0</v>
      </c>
      <c r="E329" s="610">
        <f>SUMIF('Entries 24-25'!$B:$B,A:A,'Entries 24-25'!$D:$D)-SUMIF('Entries 24-25'!$B:$B,A:A,'Entries 24-25'!$E:$E)+SUMIF('IND AS entries 24-25'!$B:$B,A:A,'IND AS entries 24-25'!$D:$D)-SUMIF('IND AS entries 24-25'!$B:$B,A:A,'IND AS entries 24-25'!$E:$E)</f>
        <v>0</v>
      </c>
      <c r="F329" s="611">
        <f t="shared" si="38"/>
        <v>0</v>
      </c>
      <c r="G329" s="610"/>
      <c r="H329" s="610">
        <v>0</v>
      </c>
      <c r="I329" s="611">
        <v>0</v>
      </c>
      <c r="J329" s="610">
        <v>0</v>
      </c>
      <c r="K329" s="611">
        <f t="shared" si="39"/>
        <v>0</v>
      </c>
      <c r="L329" s="612">
        <f>VLOOKUP(A329,'BS Gr'!A:A,1,FALSE)</f>
        <v>110035</v>
      </c>
      <c r="M329" s="612">
        <f t="shared" si="35"/>
        <v>1</v>
      </c>
      <c r="N329" s="613">
        <f t="shared" si="37"/>
        <v>0</v>
      </c>
      <c r="O329" s="613">
        <f t="shared" si="34"/>
        <v>0</v>
      </c>
      <c r="P329" s="613">
        <v>0</v>
      </c>
      <c r="Q329" s="613">
        <f t="shared" si="33"/>
        <v>0</v>
      </c>
      <c r="R329" s="1514"/>
      <c r="S329" s="1617" t="e">
        <f>SUMIF('[105]TB for financial'!$A:$A,A329,'[105]TB for financial'!$E:$E)</f>
        <v>#VALUE!</v>
      </c>
      <c r="T329" s="613"/>
    </row>
    <row r="330" spans="1:20">
      <c r="A330" s="608">
        <v>110040</v>
      </c>
      <c r="B330" s="609" t="s">
        <v>946</v>
      </c>
      <c r="C330" s="610">
        <f t="shared" si="36"/>
        <v>0</v>
      </c>
      <c r="D330" s="611">
        <v>0</v>
      </c>
      <c r="E330" s="610">
        <f>SUMIF('Entries 24-25'!$B:$B,A:A,'Entries 24-25'!$D:$D)-SUMIF('Entries 24-25'!$B:$B,A:A,'Entries 24-25'!$E:$E)+SUMIF('IND AS entries 24-25'!$B:$B,A:A,'IND AS entries 24-25'!$D:$D)-SUMIF('IND AS entries 24-25'!$B:$B,A:A,'IND AS entries 24-25'!$E:$E)</f>
        <v>0</v>
      </c>
      <c r="F330" s="611">
        <f t="shared" si="38"/>
        <v>0</v>
      </c>
      <c r="G330" s="610"/>
      <c r="H330" s="610">
        <v>0</v>
      </c>
      <c r="I330" s="611">
        <v>0</v>
      </c>
      <c r="J330" s="610">
        <v>0</v>
      </c>
      <c r="K330" s="611">
        <f t="shared" si="39"/>
        <v>0</v>
      </c>
      <c r="L330" s="612">
        <f>VLOOKUP(A330,'BS Gr'!A:A,1,FALSE)</f>
        <v>110040</v>
      </c>
      <c r="M330" s="612">
        <f t="shared" si="35"/>
        <v>1</v>
      </c>
      <c r="N330" s="613">
        <f t="shared" si="37"/>
        <v>0</v>
      </c>
      <c r="O330" s="613">
        <f t="shared" si="34"/>
        <v>0</v>
      </c>
      <c r="P330" s="613">
        <v>0</v>
      </c>
      <c r="Q330" s="613">
        <f t="shared" si="33"/>
        <v>0</v>
      </c>
      <c r="R330" s="1514"/>
      <c r="S330" s="1617" t="e">
        <f>SUMIF('[105]TB for financial'!$A:$A,A330,'[105]TB for financial'!$E:$E)</f>
        <v>#VALUE!</v>
      </c>
      <c r="T330" s="613"/>
    </row>
    <row r="331" spans="1:20">
      <c r="A331" s="608">
        <v>110050</v>
      </c>
      <c r="B331" s="609" t="s">
        <v>1273</v>
      </c>
      <c r="C331" s="610">
        <f t="shared" si="36"/>
        <v>0</v>
      </c>
      <c r="D331" s="611">
        <v>0</v>
      </c>
      <c r="E331" s="610">
        <f>SUMIF('Entries 24-25'!$B:$B,A:A,'Entries 24-25'!$D:$D)-SUMIF('Entries 24-25'!$B:$B,A:A,'Entries 24-25'!$E:$E)+SUMIF('IND AS entries 24-25'!$B:$B,A:A,'IND AS entries 24-25'!$D:$D)-SUMIF('IND AS entries 24-25'!$B:$B,A:A,'IND AS entries 24-25'!$E:$E)</f>
        <v>0</v>
      </c>
      <c r="F331" s="611">
        <f t="shared" si="38"/>
        <v>0</v>
      </c>
      <c r="G331" s="610"/>
      <c r="H331" s="610">
        <v>0</v>
      </c>
      <c r="I331" s="611">
        <v>0</v>
      </c>
      <c r="J331" s="610">
        <v>0</v>
      </c>
      <c r="K331" s="611">
        <f t="shared" si="39"/>
        <v>0</v>
      </c>
      <c r="L331" s="612">
        <f>VLOOKUP(A331,'BS Gr'!A:A,1,FALSE)</f>
        <v>110050</v>
      </c>
      <c r="M331" s="612">
        <f t="shared" si="35"/>
        <v>1</v>
      </c>
      <c r="N331" s="613">
        <f t="shared" si="37"/>
        <v>0</v>
      </c>
      <c r="O331" s="613">
        <f t="shared" si="34"/>
        <v>0</v>
      </c>
      <c r="P331" s="613">
        <v>0</v>
      </c>
      <c r="Q331" s="613">
        <f t="shared" si="33"/>
        <v>0</v>
      </c>
      <c r="R331" s="1514"/>
      <c r="S331" s="1617" t="e">
        <f>SUMIF('[105]TB for financial'!$A:$A,A331,'[105]TB for financial'!$E:$E)</f>
        <v>#VALUE!</v>
      </c>
      <c r="T331" s="613"/>
    </row>
    <row r="332" spans="1:20">
      <c r="A332" s="608">
        <v>110055</v>
      </c>
      <c r="B332" s="609" t="s">
        <v>1274</v>
      </c>
      <c r="C332" s="610">
        <f t="shared" si="36"/>
        <v>0</v>
      </c>
      <c r="D332" s="611">
        <v>0</v>
      </c>
      <c r="E332" s="610">
        <f>SUMIF('Entries 24-25'!$B:$B,A:A,'Entries 24-25'!$D:$D)-SUMIF('Entries 24-25'!$B:$B,A:A,'Entries 24-25'!$E:$E)+SUMIF('IND AS entries 24-25'!$B:$B,A:A,'IND AS entries 24-25'!$D:$D)-SUMIF('IND AS entries 24-25'!$B:$B,A:A,'IND AS entries 24-25'!$E:$E)</f>
        <v>0</v>
      </c>
      <c r="F332" s="611">
        <f t="shared" si="38"/>
        <v>0</v>
      </c>
      <c r="G332" s="610"/>
      <c r="H332" s="610">
        <v>0</v>
      </c>
      <c r="I332" s="611">
        <v>0</v>
      </c>
      <c r="J332" s="610">
        <v>0</v>
      </c>
      <c r="K332" s="611">
        <f t="shared" si="39"/>
        <v>0</v>
      </c>
      <c r="L332" s="612">
        <f>VLOOKUP(A332,'BS Gr'!A:A,1,FALSE)</f>
        <v>110055</v>
      </c>
      <c r="M332" s="612">
        <f t="shared" si="35"/>
        <v>1</v>
      </c>
      <c r="N332" s="613">
        <f t="shared" si="37"/>
        <v>0</v>
      </c>
      <c r="O332" s="613">
        <f t="shared" si="34"/>
        <v>0</v>
      </c>
      <c r="P332" s="613">
        <v>0</v>
      </c>
      <c r="Q332" s="613">
        <f t="shared" si="33"/>
        <v>0</v>
      </c>
      <c r="R332" s="1514"/>
      <c r="S332" s="1617" t="e">
        <f>SUMIF('[105]TB for financial'!$A:$A,A332,'[105]TB for financial'!$E:$E)</f>
        <v>#VALUE!</v>
      </c>
      <c r="T332" s="613"/>
    </row>
    <row r="333" spans="1:20">
      <c r="A333" s="608">
        <v>110060</v>
      </c>
      <c r="B333" s="609" t="s">
        <v>1275</v>
      </c>
      <c r="C333" s="610">
        <f t="shared" si="36"/>
        <v>0</v>
      </c>
      <c r="D333" s="611">
        <v>0</v>
      </c>
      <c r="E333" s="610">
        <f>SUMIF('Entries 24-25'!$B:$B,A:A,'Entries 24-25'!$D:$D)-SUMIF('Entries 24-25'!$B:$B,A:A,'Entries 24-25'!$E:$E)+SUMIF('IND AS entries 24-25'!$B:$B,A:A,'IND AS entries 24-25'!$D:$D)-SUMIF('IND AS entries 24-25'!$B:$B,A:A,'IND AS entries 24-25'!$E:$E)</f>
        <v>0</v>
      </c>
      <c r="F333" s="611">
        <f t="shared" si="38"/>
        <v>0</v>
      </c>
      <c r="G333" s="610"/>
      <c r="H333" s="610">
        <v>0</v>
      </c>
      <c r="I333" s="611">
        <v>0</v>
      </c>
      <c r="J333" s="610">
        <v>0</v>
      </c>
      <c r="K333" s="611">
        <f t="shared" si="39"/>
        <v>0</v>
      </c>
      <c r="L333" s="612">
        <f>VLOOKUP(A333,'BS Gr'!A:A,1,FALSE)</f>
        <v>110060</v>
      </c>
      <c r="M333" s="612">
        <f t="shared" si="35"/>
        <v>1</v>
      </c>
      <c r="N333" s="613">
        <f t="shared" si="37"/>
        <v>0</v>
      </c>
      <c r="O333" s="613">
        <f t="shared" si="34"/>
        <v>0</v>
      </c>
      <c r="P333" s="613">
        <v>0</v>
      </c>
      <c r="Q333" s="613">
        <f t="shared" si="33"/>
        <v>0</v>
      </c>
      <c r="R333" s="1514"/>
      <c r="S333" s="1617" t="e">
        <f>SUMIF('[105]TB for financial'!$A:$A,A333,'[105]TB for financial'!$E:$E)</f>
        <v>#VALUE!</v>
      </c>
      <c r="T333" s="613"/>
    </row>
    <row r="334" spans="1:20">
      <c r="A334" s="608">
        <v>110061</v>
      </c>
      <c r="B334" s="609" t="s">
        <v>1276</v>
      </c>
      <c r="C334" s="610">
        <f t="shared" si="36"/>
        <v>0</v>
      </c>
      <c r="D334" s="611">
        <v>0</v>
      </c>
      <c r="E334" s="610">
        <f>SUMIF('Entries 24-25'!$B:$B,A:A,'Entries 24-25'!$D:$D)-SUMIF('Entries 24-25'!$B:$B,A:A,'Entries 24-25'!$E:$E)+SUMIF('IND AS entries 24-25'!$B:$B,A:A,'IND AS entries 24-25'!$D:$D)-SUMIF('IND AS entries 24-25'!$B:$B,A:A,'IND AS entries 24-25'!$E:$E)</f>
        <v>0</v>
      </c>
      <c r="F334" s="611">
        <f t="shared" si="38"/>
        <v>0</v>
      </c>
      <c r="G334" s="610"/>
      <c r="H334" s="610">
        <v>0</v>
      </c>
      <c r="I334" s="611">
        <v>0</v>
      </c>
      <c r="J334" s="610">
        <v>0</v>
      </c>
      <c r="K334" s="611">
        <f t="shared" si="39"/>
        <v>0</v>
      </c>
      <c r="L334" s="612">
        <f>VLOOKUP(A334,'BS Gr'!A:A,1,FALSE)</f>
        <v>110061</v>
      </c>
      <c r="M334" s="612">
        <f t="shared" si="35"/>
        <v>1</v>
      </c>
      <c r="N334" s="613">
        <f t="shared" si="37"/>
        <v>0</v>
      </c>
      <c r="O334" s="613">
        <f t="shared" si="34"/>
        <v>0</v>
      </c>
      <c r="P334" s="613">
        <v>0</v>
      </c>
      <c r="Q334" s="613">
        <f t="shared" si="33"/>
        <v>0</v>
      </c>
      <c r="R334" s="1514"/>
      <c r="S334" s="1617" t="e">
        <f>SUMIF('[105]TB for financial'!$A:$A,A334,'[105]TB for financial'!$E:$E)</f>
        <v>#VALUE!</v>
      </c>
      <c r="T334" s="613"/>
    </row>
    <row r="335" spans="1:20">
      <c r="A335" s="608">
        <v>110062</v>
      </c>
      <c r="B335" s="609" t="s">
        <v>1277</v>
      </c>
      <c r="C335" s="610">
        <f t="shared" si="36"/>
        <v>0</v>
      </c>
      <c r="D335" s="611">
        <v>0</v>
      </c>
      <c r="E335" s="610">
        <f>SUMIF('Entries 24-25'!$B:$B,A:A,'Entries 24-25'!$D:$D)-SUMIF('Entries 24-25'!$B:$B,A:A,'Entries 24-25'!$E:$E)+SUMIF('IND AS entries 24-25'!$B:$B,A:A,'IND AS entries 24-25'!$D:$D)-SUMIF('IND AS entries 24-25'!$B:$B,A:A,'IND AS entries 24-25'!$E:$E)</f>
        <v>0</v>
      </c>
      <c r="F335" s="611">
        <f t="shared" si="38"/>
        <v>0</v>
      </c>
      <c r="G335" s="610"/>
      <c r="H335" s="610">
        <v>0</v>
      </c>
      <c r="I335" s="611">
        <v>0</v>
      </c>
      <c r="J335" s="610">
        <v>0</v>
      </c>
      <c r="K335" s="611">
        <f t="shared" si="39"/>
        <v>0</v>
      </c>
      <c r="L335" s="612">
        <f>VLOOKUP(A335,'BS Gr'!A:A,1,FALSE)</f>
        <v>110062</v>
      </c>
      <c r="M335" s="612">
        <f t="shared" si="35"/>
        <v>1</v>
      </c>
      <c r="N335" s="613">
        <f t="shared" si="37"/>
        <v>0</v>
      </c>
      <c r="O335" s="613">
        <f t="shared" si="34"/>
        <v>0</v>
      </c>
      <c r="P335" s="613">
        <v>0</v>
      </c>
      <c r="Q335" s="613">
        <f t="shared" si="33"/>
        <v>0</v>
      </c>
      <c r="R335" s="1514"/>
      <c r="S335" s="1617" t="e">
        <f>SUMIF('[105]TB for financial'!$A:$A,A335,'[105]TB for financial'!$E:$E)</f>
        <v>#VALUE!</v>
      </c>
      <c r="T335" s="613"/>
    </row>
    <row r="336" spans="1:20">
      <c r="A336" s="608">
        <v>110063</v>
      </c>
      <c r="B336" s="609" t="s">
        <v>1278</v>
      </c>
      <c r="C336" s="610">
        <f t="shared" si="36"/>
        <v>0</v>
      </c>
      <c r="D336" s="611">
        <v>0</v>
      </c>
      <c r="E336" s="610">
        <f>SUMIF('Entries 24-25'!$B:$B,A:A,'Entries 24-25'!$D:$D)-SUMIF('Entries 24-25'!$B:$B,A:A,'Entries 24-25'!$E:$E)+SUMIF('IND AS entries 24-25'!$B:$B,A:A,'IND AS entries 24-25'!$D:$D)-SUMIF('IND AS entries 24-25'!$B:$B,A:A,'IND AS entries 24-25'!$E:$E)</f>
        <v>0</v>
      </c>
      <c r="F336" s="611">
        <f t="shared" si="38"/>
        <v>0</v>
      </c>
      <c r="G336" s="610"/>
      <c r="H336" s="610">
        <v>0</v>
      </c>
      <c r="I336" s="611">
        <v>0</v>
      </c>
      <c r="J336" s="610">
        <v>0</v>
      </c>
      <c r="K336" s="611">
        <f t="shared" si="39"/>
        <v>0</v>
      </c>
      <c r="L336" s="612">
        <f>VLOOKUP(A336,'BS Gr'!A:A,1,FALSE)</f>
        <v>110063</v>
      </c>
      <c r="M336" s="612">
        <f t="shared" si="35"/>
        <v>1</v>
      </c>
      <c r="N336" s="613">
        <f t="shared" si="37"/>
        <v>0</v>
      </c>
      <c r="O336" s="613">
        <f t="shared" si="34"/>
        <v>0</v>
      </c>
      <c r="P336" s="613">
        <v>0</v>
      </c>
      <c r="Q336" s="613">
        <f t="shared" si="33"/>
        <v>0</v>
      </c>
      <c r="R336" s="1514"/>
      <c r="S336" s="1617" t="e">
        <f>SUMIF('[105]TB for financial'!$A:$A,A336,'[105]TB for financial'!$E:$E)</f>
        <v>#VALUE!</v>
      </c>
      <c r="T336" s="613"/>
    </row>
    <row r="337" spans="1:20">
      <c r="A337" s="608">
        <v>110064</v>
      </c>
      <c r="B337" s="609" t="s">
        <v>1279</v>
      </c>
      <c r="C337" s="610">
        <f t="shared" si="36"/>
        <v>0</v>
      </c>
      <c r="D337" s="611">
        <v>0</v>
      </c>
      <c r="E337" s="610">
        <f>SUMIF('Entries 24-25'!$B:$B,A:A,'Entries 24-25'!$D:$D)-SUMIF('Entries 24-25'!$B:$B,A:A,'Entries 24-25'!$E:$E)+SUMIF('IND AS entries 24-25'!$B:$B,A:A,'IND AS entries 24-25'!$D:$D)-SUMIF('IND AS entries 24-25'!$B:$B,A:A,'IND AS entries 24-25'!$E:$E)</f>
        <v>0</v>
      </c>
      <c r="F337" s="611">
        <f t="shared" si="38"/>
        <v>0</v>
      </c>
      <c r="G337" s="610"/>
      <c r="H337" s="610">
        <v>0</v>
      </c>
      <c r="I337" s="611">
        <v>0</v>
      </c>
      <c r="J337" s="610">
        <v>0</v>
      </c>
      <c r="K337" s="611">
        <f t="shared" si="39"/>
        <v>0</v>
      </c>
      <c r="L337" s="612">
        <f>VLOOKUP(A337,'BS Gr'!A:A,1,FALSE)</f>
        <v>110064</v>
      </c>
      <c r="M337" s="612">
        <f t="shared" si="35"/>
        <v>1</v>
      </c>
      <c r="N337" s="613">
        <f t="shared" si="37"/>
        <v>0</v>
      </c>
      <c r="O337" s="613">
        <f t="shared" si="34"/>
        <v>0</v>
      </c>
      <c r="P337" s="613">
        <v>72924</v>
      </c>
      <c r="Q337" s="613">
        <f t="shared" si="33"/>
        <v>-72924</v>
      </c>
      <c r="R337" s="1514"/>
      <c r="S337" s="1617" t="e">
        <f>SUMIF('[105]TB for financial'!$A:$A,A337,'[105]TB for financial'!$E:$E)</f>
        <v>#VALUE!</v>
      </c>
      <c r="T337" s="613"/>
    </row>
    <row r="338" spans="1:20">
      <c r="A338" s="608">
        <v>110065</v>
      </c>
      <c r="B338" s="609" t="s">
        <v>1280</v>
      </c>
      <c r="C338" s="610">
        <f t="shared" si="36"/>
        <v>0</v>
      </c>
      <c r="D338" s="611">
        <v>0</v>
      </c>
      <c r="E338" s="610">
        <f>SUMIF('Entries 24-25'!$B:$B,A:A,'Entries 24-25'!$D:$D)-SUMIF('Entries 24-25'!$B:$B,A:A,'Entries 24-25'!$E:$E)+SUMIF('IND AS entries 24-25'!$B:$B,A:A,'IND AS entries 24-25'!$D:$D)-SUMIF('IND AS entries 24-25'!$B:$B,A:A,'IND AS entries 24-25'!$E:$E)</f>
        <v>0</v>
      </c>
      <c r="F338" s="611">
        <f t="shared" si="38"/>
        <v>0</v>
      </c>
      <c r="G338" s="610"/>
      <c r="H338" s="610">
        <v>0</v>
      </c>
      <c r="I338" s="611">
        <v>0</v>
      </c>
      <c r="J338" s="610">
        <v>0</v>
      </c>
      <c r="K338" s="611">
        <f t="shared" si="39"/>
        <v>0</v>
      </c>
      <c r="L338" s="612">
        <f>VLOOKUP(A338,'BS Gr'!A:A,1,FALSE)</f>
        <v>110065</v>
      </c>
      <c r="M338" s="612">
        <f t="shared" si="35"/>
        <v>1</v>
      </c>
      <c r="N338" s="613">
        <f t="shared" si="37"/>
        <v>0</v>
      </c>
      <c r="O338" s="613">
        <f t="shared" si="34"/>
        <v>0</v>
      </c>
      <c r="P338" s="613">
        <v>0</v>
      </c>
      <c r="Q338" s="613">
        <f t="shared" si="33"/>
        <v>0</v>
      </c>
      <c r="R338" s="1514"/>
      <c r="S338" s="1617" t="e">
        <f>SUMIF('[105]TB for financial'!$A:$A,A338,'[105]TB for financial'!$E:$E)</f>
        <v>#VALUE!</v>
      </c>
      <c r="T338" s="613"/>
    </row>
    <row r="339" spans="1:20">
      <c r="A339" s="608">
        <v>110066</v>
      </c>
      <c r="B339" s="609" t="s">
        <v>1281</v>
      </c>
      <c r="C339" s="610">
        <f t="shared" si="36"/>
        <v>0</v>
      </c>
      <c r="D339" s="611">
        <v>0</v>
      </c>
      <c r="E339" s="610">
        <f>SUMIF('Entries 24-25'!$B:$B,A:A,'Entries 24-25'!$D:$D)-SUMIF('Entries 24-25'!$B:$B,A:A,'Entries 24-25'!$E:$E)+SUMIF('IND AS entries 24-25'!$B:$B,A:A,'IND AS entries 24-25'!$D:$D)-SUMIF('IND AS entries 24-25'!$B:$B,A:A,'IND AS entries 24-25'!$E:$E)</f>
        <v>0</v>
      </c>
      <c r="F339" s="611">
        <f t="shared" si="38"/>
        <v>0</v>
      </c>
      <c r="G339" s="610"/>
      <c r="H339" s="610">
        <v>0</v>
      </c>
      <c r="I339" s="611">
        <v>0</v>
      </c>
      <c r="J339" s="610">
        <v>0</v>
      </c>
      <c r="K339" s="611">
        <f t="shared" si="39"/>
        <v>0</v>
      </c>
      <c r="L339" s="612">
        <f>VLOOKUP(A339,'BS Gr'!A:A,1,FALSE)</f>
        <v>110066</v>
      </c>
      <c r="M339" s="612">
        <f t="shared" si="35"/>
        <v>1</v>
      </c>
      <c r="N339" s="613">
        <f t="shared" si="37"/>
        <v>0</v>
      </c>
      <c r="O339" s="613">
        <f t="shared" si="34"/>
        <v>0</v>
      </c>
      <c r="P339" s="613">
        <v>0</v>
      </c>
      <c r="Q339" s="613">
        <f t="shared" si="33"/>
        <v>0</v>
      </c>
      <c r="R339" s="1514"/>
      <c r="S339" s="1617" t="e">
        <f>SUMIF('[105]TB for financial'!$A:$A,A339,'[105]TB for financial'!$E:$E)</f>
        <v>#VALUE!</v>
      </c>
      <c r="T339" s="613"/>
    </row>
    <row r="340" spans="1:20">
      <c r="A340" s="608">
        <v>110067</v>
      </c>
      <c r="B340" s="609" t="s">
        <v>1282</v>
      </c>
      <c r="C340" s="610">
        <f t="shared" si="36"/>
        <v>0</v>
      </c>
      <c r="D340" s="611">
        <v>0</v>
      </c>
      <c r="E340" s="610">
        <f>SUMIF('Entries 24-25'!$B:$B,A:A,'Entries 24-25'!$D:$D)-SUMIF('Entries 24-25'!$B:$B,A:A,'Entries 24-25'!$E:$E)+SUMIF('IND AS entries 24-25'!$B:$B,A:A,'IND AS entries 24-25'!$D:$D)-SUMIF('IND AS entries 24-25'!$B:$B,A:A,'IND AS entries 24-25'!$E:$E)</f>
        <v>0</v>
      </c>
      <c r="F340" s="611">
        <f t="shared" si="38"/>
        <v>0</v>
      </c>
      <c r="G340" s="610"/>
      <c r="H340" s="610">
        <v>0</v>
      </c>
      <c r="I340" s="611">
        <v>0</v>
      </c>
      <c r="J340" s="610">
        <v>0</v>
      </c>
      <c r="K340" s="611">
        <f t="shared" si="39"/>
        <v>0</v>
      </c>
      <c r="L340" s="612">
        <f>VLOOKUP(A340,'BS Gr'!A:A,1,FALSE)</f>
        <v>110067</v>
      </c>
      <c r="M340" s="612">
        <f t="shared" si="35"/>
        <v>1</v>
      </c>
      <c r="N340" s="613">
        <f t="shared" si="37"/>
        <v>0</v>
      </c>
      <c r="O340" s="613">
        <f t="shared" si="34"/>
        <v>0</v>
      </c>
      <c r="P340" s="613">
        <v>0</v>
      </c>
      <c r="Q340" s="613">
        <f t="shared" si="33"/>
        <v>0</v>
      </c>
      <c r="R340" s="1514"/>
      <c r="S340" s="1617" t="e">
        <f>SUMIF('[105]TB for financial'!$A:$A,A340,'[105]TB for financial'!$E:$E)</f>
        <v>#VALUE!</v>
      </c>
      <c r="T340" s="613"/>
    </row>
    <row r="341" spans="1:20">
      <c r="A341" s="608">
        <v>110068</v>
      </c>
      <c r="B341" s="609" t="s">
        <v>1283</v>
      </c>
      <c r="C341" s="610">
        <f t="shared" si="36"/>
        <v>0</v>
      </c>
      <c r="D341" s="611">
        <v>0</v>
      </c>
      <c r="E341" s="610">
        <f>SUMIF('Entries 24-25'!$B:$B,A:A,'Entries 24-25'!$D:$D)-SUMIF('Entries 24-25'!$B:$B,A:A,'Entries 24-25'!$E:$E)+SUMIF('IND AS entries 24-25'!$B:$B,A:A,'IND AS entries 24-25'!$D:$D)-SUMIF('IND AS entries 24-25'!$B:$B,A:A,'IND AS entries 24-25'!$E:$E)</f>
        <v>0</v>
      </c>
      <c r="F341" s="611">
        <f t="shared" si="38"/>
        <v>0</v>
      </c>
      <c r="G341" s="610"/>
      <c r="H341" s="610">
        <v>0</v>
      </c>
      <c r="I341" s="611">
        <v>0</v>
      </c>
      <c r="J341" s="610">
        <v>0</v>
      </c>
      <c r="K341" s="611">
        <f t="shared" si="39"/>
        <v>0</v>
      </c>
      <c r="L341" s="612">
        <f>VLOOKUP(A341,'BS Gr'!A:A,1,FALSE)</f>
        <v>110068</v>
      </c>
      <c r="M341" s="612">
        <f t="shared" si="35"/>
        <v>1</v>
      </c>
      <c r="N341" s="613">
        <f t="shared" si="37"/>
        <v>0</v>
      </c>
      <c r="O341" s="613">
        <f t="shared" si="34"/>
        <v>0</v>
      </c>
      <c r="P341" s="613">
        <v>0</v>
      </c>
      <c r="Q341" s="613">
        <f t="shared" si="33"/>
        <v>0</v>
      </c>
      <c r="R341" s="1514"/>
      <c r="S341" s="1617" t="e">
        <f>SUMIF('[105]TB for financial'!$A:$A,A341,'[105]TB for financial'!$E:$E)</f>
        <v>#VALUE!</v>
      </c>
      <c r="T341" s="613"/>
    </row>
    <row r="342" spans="1:20">
      <c r="A342" s="608">
        <v>110070</v>
      </c>
      <c r="B342" s="609" t="s">
        <v>1284</v>
      </c>
      <c r="C342" s="610">
        <f t="shared" si="36"/>
        <v>0.48000000044703484</v>
      </c>
      <c r="D342" s="611">
        <v>0</v>
      </c>
      <c r="E342" s="610">
        <f>SUMIF('Entries 24-25'!$B:$B,A:A,'Entries 24-25'!$D:$D)-SUMIF('Entries 24-25'!$B:$B,A:A,'Entries 24-25'!$E:$E)+SUMIF('IND AS entries 24-25'!$B:$B,A:A,'IND AS entries 24-25'!$D:$D)-SUMIF('IND AS entries 24-25'!$B:$B,A:A,'IND AS entries 24-25'!$E:$E)</f>
        <v>0</v>
      </c>
      <c r="F342" s="611">
        <f t="shared" si="38"/>
        <v>0.48000000044703484</v>
      </c>
      <c r="G342" s="610"/>
      <c r="H342" s="610">
        <v>0.48000000044703484</v>
      </c>
      <c r="I342" s="611">
        <v>0</v>
      </c>
      <c r="J342" s="610">
        <v>0</v>
      </c>
      <c r="K342" s="611">
        <f t="shared" si="39"/>
        <v>0.48000000044703484</v>
      </c>
      <c r="L342" s="612">
        <f>VLOOKUP(A342,'BS Gr'!A:A,1,FALSE)</f>
        <v>110070</v>
      </c>
      <c r="M342" s="612">
        <f t="shared" si="35"/>
        <v>1</v>
      </c>
      <c r="N342" s="613">
        <f t="shared" si="37"/>
        <v>0</v>
      </c>
      <c r="O342" s="613">
        <f t="shared" si="34"/>
        <v>0</v>
      </c>
      <c r="P342" s="613">
        <v>6846730.4800000004</v>
      </c>
      <c r="Q342" s="613">
        <f t="shared" ref="Q342:Q405" si="40">+K342-P342</f>
        <v>-6846730</v>
      </c>
      <c r="R342" s="1514"/>
      <c r="S342" s="1617" t="e">
        <f>SUMIF('[105]TB for financial'!$A:$A,A342,'[105]TB for financial'!$E:$E)</f>
        <v>#VALUE!</v>
      </c>
      <c r="T342" s="613"/>
    </row>
    <row r="343" spans="1:20">
      <c r="A343" s="608">
        <v>110080</v>
      </c>
      <c r="B343" s="609" t="s">
        <v>1285</v>
      </c>
      <c r="C343" s="610">
        <f t="shared" si="36"/>
        <v>0</v>
      </c>
      <c r="D343" s="611">
        <v>0</v>
      </c>
      <c r="E343" s="610">
        <f>SUMIF('Entries 24-25'!$B:$B,A:A,'Entries 24-25'!$D:$D)-SUMIF('Entries 24-25'!$B:$B,A:A,'Entries 24-25'!$E:$E)+SUMIF('IND AS entries 24-25'!$B:$B,A:A,'IND AS entries 24-25'!$D:$D)-SUMIF('IND AS entries 24-25'!$B:$B,A:A,'IND AS entries 24-25'!$E:$E)</f>
        <v>0</v>
      </c>
      <c r="F343" s="611">
        <f t="shared" si="38"/>
        <v>0</v>
      </c>
      <c r="G343" s="610"/>
      <c r="H343" s="610">
        <v>0</v>
      </c>
      <c r="I343" s="611">
        <v>0</v>
      </c>
      <c r="J343" s="610">
        <v>0</v>
      </c>
      <c r="K343" s="611">
        <f t="shared" si="39"/>
        <v>0</v>
      </c>
      <c r="L343" s="612">
        <f>VLOOKUP(A343,'BS Gr'!A:A,1,FALSE)</f>
        <v>110080</v>
      </c>
      <c r="M343" s="612">
        <f t="shared" si="35"/>
        <v>1</v>
      </c>
      <c r="N343" s="613">
        <f t="shared" si="37"/>
        <v>0</v>
      </c>
      <c r="O343" s="613">
        <f t="shared" si="34"/>
        <v>0</v>
      </c>
      <c r="P343" s="613">
        <v>0</v>
      </c>
      <c r="Q343" s="613">
        <f t="shared" si="40"/>
        <v>0</v>
      </c>
      <c r="R343" s="1514"/>
      <c r="S343" s="1617" t="e">
        <f>SUMIF('[105]TB for financial'!$A:$A,A343,'[105]TB for financial'!$E:$E)</f>
        <v>#VALUE!</v>
      </c>
      <c r="T343" s="613"/>
    </row>
    <row r="344" spans="1:20">
      <c r="A344" s="608">
        <v>110085</v>
      </c>
      <c r="B344" s="609" t="s">
        <v>1286</v>
      </c>
      <c r="C344" s="610">
        <f t="shared" si="36"/>
        <v>0</v>
      </c>
      <c r="D344" s="611">
        <v>0</v>
      </c>
      <c r="E344" s="610">
        <f>SUMIF('Entries 24-25'!$B:$B,A:A,'Entries 24-25'!$D:$D)-SUMIF('Entries 24-25'!$B:$B,A:A,'Entries 24-25'!$E:$E)+SUMIF('IND AS entries 24-25'!$B:$B,A:A,'IND AS entries 24-25'!$D:$D)-SUMIF('IND AS entries 24-25'!$B:$B,A:A,'IND AS entries 24-25'!$E:$E)</f>
        <v>0</v>
      </c>
      <c r="F344" s="611">
        <f t="shared" si="38"/>
        <v>0</v>
      </c>
      <c r="G344" s="610"/>
      <c r="H344" s="610">
        <v>0</v>
      </c>
      <c r="I344" s="611">
        <v>0</v>
      </c>
      <c r="J344" s="610">
        <v>0</v>
      </c>
      <c r="K344" s="611">
        <f t="shared" si="39"/>
        <v>0</v>
      </c>
      <c r="L344" s="612">
        <f>VLOOKUP(A344,'BS Gr'!A:A,1,FALSE)</f>
        <v>110085</v>
      </c>
      <c r="M344" s="612">
        <f t="shared" si="35"/>
        <v>1</v>
      </c>
      <c r="N344" s="613">
        <f t="shared" si="37"/>
        <v>0</v>
      </c>
      <c r="O344" s="613">
        <f t="shared" si="34"/>
        <v>0</v>
      </c>
      <c r="P344" s="613">
        <v>0</v>
      </c>
      <c r="Q344" s="613">
        <f t="shared" si="40"/>
        <v>0</v>
      </c>
      <c r="R344" s="1514"/>
      <c r="S344" s="1617" t="e">
        <f>SUMIF('[105]TB for financial'!$A:$A,A344,'[105]TB for financial'!$E:$E)</f>
        <v>#VALUE!</v>
      </c>
      <c r="T344" s="613"/>
    </row>
    <row r="345" spans="1:20">
      <c r="A345" s="608">
        <v>110089</v>
      </c>
      <c r="B345" s="609" t="s">
        <v>1287</v>
      </c>
      <c r="C345" s="610">
        <f t="shared" si="36"/>
        <v>0</v>
      </c>
      <c r="D345" s="611">
        <v>0</v>
      </c>
      <c r="E345" s="610">
        <f>SUMIF('Entries 24-25'!$B:$B,A:A,'Entries 24-25'!$D:$D)-SUMIF('Entries 24-25'!$B:$B,A:A,'Entries 24-25'!$E:$E)+SUMIF('IND AS entries 24-25'!$B:$B,A:A,'IND AS entries 24-25'!$D:$D)-SUMIF('IND AS entries 24-25'!$B:$B,A:A,'IND AS entries 24-25'!$E:$E)</f>
        <v>0</v>
      </c>
      <c r="F345" s="611">
        <f t="shared" si="38"/>
        <v>0</v>
      </c>
      <c r="G345" s="610"/>
      <c r="H345" s="610">
        <v>0</v>
      </c>
      <c r="I345" s="611">
        <v>0</v>
      </c>
      <c r="J345" s="610">
        <v>0</v>
      </c>
      <c r="K345" s="611">
        <f t="shared" si="39"/>
        <v>0</v>
      </c>
      <c r="L345" s="612">
        <f>VLOOKUP(A345,'BS Gr'!A:A,1,FALSE)</f>
        <v>110089</v>
      </c>
      <c r="M345" s="612">
        <f t="shared" si="35"/>
        <v>1</v>
      </c>
      <c r="N345" s="613">
        <f t="shared" si="37"/>
        <v>0</v>
      </c>
      <c r="O345" s="613">
        <f t="shared" si="34"/>
        <v>0</v>
      </c>
      <c r="P345" s="613">
        <v>0</v>
      </c>
      <c r="Q345" s="613">
        <f t="shared" si="40"/>
        <v>0</v>
      </c>
      <c r="R345" s="1514"/>
      <c r="S345" s="1617" t="e">
        <f>SUMIF('[105]TB for financial'!$A:$A,A345,'[105]TB for financial'!$E:$E)</f>
        <v>#VALUE!</v>
      </c>
      <c r="T345" s="613"/>
    </row>
    <row r="346" spans="1:20">
      <c r="A346" s="608">
        <v>110090</v>
      </c>
      <c r="B346" s="609" t="s">
        <v>1288</v>
      </c>
      <c r="C346" s="610">
        <f t="shared" si="36"/>
        <v>0</v>
      </c>
      <c r="D346" s="611">
        <v>0</v>
      </c>
      <c r="E346" s="610">
        <f>SUMIF('Entries 24-25'!$B:$B,A:A,'Entries 24-25'!$D:$D)-SUMIF('Entries 24-25'!$B:$B,A:A,'Entries 24-25'!$E:$E)+SUMIF('IND AS entries 24-25'!$B:$B,A:A,'IND AS entries 24-25'!$D:$D)-SUMIF('IND AS entries 24-25'!$B:$B,A:A,'IND AS entries 24-25'!$E:$E)</f>
        <v>0</v>
      </c>
      <c r="F346" s="611">
        <f t="shared" si="38"/>
        <v>0</v>
      </c>
      <c r="G346" s="610"/>
      <c r="H346" s="610">
        <v>0</v>
      </c>
      <c r="I346" s="611">
        <v>0</v>
      </c>
      <c r="J346" s="610">
        <v>0</v>
      </c>
      <c r="K346" s="611">
        <f t="shared" si="39"/>
        <v>0</v>
      </c>
      <c r="L346" s="612">
        <f>VLOOKUP(A346,'BS Gr'!A:A,1,FALSE)</f>
        <v>110090</v>
      </c>
      <c r="M346" s="612">
        <f t="shared" si="35"/>
        <v>1</v>
      </c>
      <c r="N346" s="613">
        <f t="shared" si="37"/>
        <v>0</v>
      </c>
      <c r="O346" s="613">
        <f t="shared" si="34"/>
        <v>0</v>
      </c>
      <c r="P346" s="613">
        <v>0</v>
      </c>
      <c r="Q346" s="613">
        <f t="shared" si="40"/>
        <v>0</v>
      </c>
      <c r="R346" s="1514"/>
      <c r="S346" s="1617" t="e">
        <f>SUMIF('[105]TB for financial'!$A:$A,A346,'[105]TB for financial'!$E:$E)</f>
        <v>#VALUE!</v>
      </c>
      <c r="T346" s="613"/>
    </row>
    <row r="347" spans="1:20">
      <c r="A347" s="608">
        <v>110091</v>
      </c>
      <c r="B347" s="609" t="s">
        <v>1289</v>
      </c>
      <c r="C347" s="610">
        <f t="shared" si="36"/>
        <v>0</v>
      </c>
      <c r="D347" s="611">
        <v>0</v>
      </c>
      <c r="E347" s="610">
        <f>SUMIF('Entries 24-25'!$B:$B,A:A,'Entries 24-25'!$D:$D)-SUMIF('Entries 24-25'!$B:$B,A:A,'Entries 24-25'!$E:$E)+SUMIF('IND AS entries 24-25'!$B:$B,A:A,'IND AS entries 24-25'!$D:$D)-SUMIF('IND AS entries 24-25'!$B:$B,A:A,'IND AS entries 24-25'!$E:$E)</f>
        <v>0</v>
      </c>
      <c r="F347" s="611">
        <f t="shared" si="38"/>
        <v>0</v>
      </c>
      <c r="G347" s="610"/>
      <c r="H347" s="610">
        <v>0</v>
      </c>
      <c r="I347" s="611">
        <v>0</v>
      </c>
      <c r="J347" s="610">
        <v>0</v>
      </c>
      <c r="K347" s="611">
        <f t="shared" si="39"/>
        <v>0</v>
      </c>
      <c r="L347" s="612">
        <f>VLOOKUP(A347,'BS Gr'!A:A,1,FALSE)</f>
        <v>110091</v>
      </c>
      <c r="M347" s="612">
        <f t="shared" si="35"/>
        <v>1</v>
      </c>
      <c r="N347" s="613">
        <f t="shared" si="37"/>
        <v>0</v>
      </c>
      <c r="O347" s="613">
        <f t="shared" si="34"/>
        <v>0</v>
      </c>
      <c r="P347" s="613">
        <v>0</v>
      </c>
      <c r="Q347" s="613">
        <f t="shared" si="40"/>
        <v>0</v>
      </c>
      <c r="R347" s="1514"/>
      <c r="S347" s="1617" t="e">
        <f>SUMIF('[105]TB for financial'!$A:$A,A347,'[105]TB for financial'!$E:$E)</f>
        <v>#VALUE!</v>
      </c>
      <c r="T347" s="613"/>
    </row>
    <row r="348" spans="1:20">
      <c r="A348" s="608">
        <v>110092</v>
      </c>
      <c r="B348" s="609" t="s">
        <v>1290</v>
      </c>
      <c r="C348" s="610">
        <f t="shared" si="36"/>
        <v>0</v>
      </c>
      <c r="D348" s="611">
        <v>0</v>
      </c>
      <c r="E348" s="610">
        <f>SUMIF('Entries 24-25'!$B:$B,A:A,'Entries 24-25'!$D:$D)-SUMIF('Entries 24-25'!$B:$B,A:A,'Entries 24-25'!$E:$E)+SUMIF('IND AS entries 24-25'!$B:$B,A:A,'IND AS entries 24-25'!$D:$D)-SUMIF('IND AS entries 24-25'!$B:$B,A:A,'IND AS entries 24-25'!$E:$E)</f>
        <v>0</v>
      </c>
      <c r="F348" s="611">
        <f t="shared" si="38"/>
        <v>0</v>
      </c>
      <c r="G348" s="610"/>
      <c r="H348" s="610">
        <v>0</v>
      </c>
      <c r="I348" s="611">
        <v>0</v>
      </c>
      <c r="J348" s="610">
        <v>0</v>
      </c>
      <c r="K348" s="611">
        <f t="shared" si="39"/>
        <v>0</v>
      </c>
      <c r="L348" s="612">
        <f>VLOOKUP(A348,'BS Gr'!A:A,1,FALSE)</f>
        <v>110092</v>
      </c>
      <c r="M348" s="612">
        <f t="shared" si="35"/>
        <v>1</v>
      </c>
      <c r="N348" s="613">
        <f t="shared" si="37"/>
        <v>0</v>
      </c>
      <c r="O348" s="613">
        <f t="shared" si="34"/>
        <v>0</v>
      </c>
      <c r="P348" s="613">
        <v>0</v>
      </c>
      <c r="Q348" s="613">
        <f t="shared" si="40"/>
        <v>0</v>
      </c>
      <c r="R348" s="1514"/>
      <c r="S348" s="1617" t="e">
        <f>SUMIF('[105]TB for financial'!$A:$A,A348,'[105]TB for financial'!$E:$E)</f>
        <v>#VALUE!</v>
      </c>
      <c r="T348" s="613"/>
    </row>
    <row r="349" spans="1:20">
      <c r="A349" s="608">
        <v>110093</v>
      </c>
      <c r="B349" s="609" t="s">
        <v>1291</v>
      </c>
      <c r="C349" s="610">
        <f t="shared" si="36"/>
        <v>0</v>
      </c>
      <c r="D349" s="611">
        <v>0</v>
      </c>
      <c r="E349" s="610">
        <f>SUMIF('Entries 24-25'!$B:$B,A:A,'Entries 24-25'!$D:$D)-SUMIF('Entries 24-25'!$B:$B,A:A,'Entries 24-25'!$E:$E)+SUMIF('IND AS entries 24-25'!$B:$B,A:A,'IND AS entries 24-25'!$D:$D)-SUMIF('IND AS entries 24-25'!$B:$B,A:A,'IND AS entries 24-25'!$E:$E)</f>
        <v>0</v>
      </c>
      <c r="F349" s="611">
        <f t="shared" si="38"/>
        <v>0</v>
      </c>
      <c r="G349" s="610"/>
      <c r="H349" s="610">
        <v>0</v>
      </c>
      <c r="I349" s="611">
        <v>0</v>
      </c>
      <c r="J349" s="610">
        <v>0</v>
      </c>
      <c r="K349" s="611">
        <f t="shared" si="39"/>
        <v>0</v>
      </c>
      <c r="L349" s="612">
        <f>VLOOKUP(A349,'BS Gr'!A:A,1,FALSE)</f>
        <v>110093</v>
      </c>
      <c r="M349" s="612">
        <f t="shared" si="35"/>
        <v>1</v>
      </c>
      <c r="N349" s="613">
        <f t="shared" si="37"/>
        <v>0</v>
      </c>
      <c r="O349" s="613">
        <f t="shared" si="34"/>
        <v>0</v>
      </c>
      <c r="P349" s="613">
        <v>0</v>
      </c>
      <c r="Q349" s="613">
        <f t="shared" si="40"/>
        <v>0</v>
      </c>
      <c r="R349" s="1514"/>
      <c r="S349" s="1617" t="e">
        <f>SUMIF('[105]TB for financial'!$A:$A,A349,'[105]TB for financial'!$E:$E)</f>
        <v>#VALUE!</v>
      </c>
      <c r="T349" s="613"/>
    </row>
    <row r="350" spans="1:20">
      <c r="A350" s="608">
        <v>110094</v>
      </c>
      <c r="B350" s="609" t="s">
        <v>1292</v>
      </c>
      <c r="C350" s="610">
        <f t="shared" si="36"/>
        <v>0</v>
      </c>
      <c r="D350" s="611">
        <v>0</v>
      </c>
      <c r="E350" s="610">
        <f>SUMIF('Entries 24-25'!$B:$B,A:A,'Entries 24-25'!$D:$D)-SUMIF('Entries 24-25'!$B:$B,A:A,'Entries 24-25'!$E:$E)+SUMIF('IND AS entries 24-25'!$B:$B,A:A,'IND AS entries 24-25'!$D:$D)-SUMIF('IND AS entries 24-25'!$B:$B,A:A,'IND AS entries 24-25'!$E:$E)</f>
        <v>0</v>
      </c>
      <c r="F350" s="611">
        <f t="shared" si="38"/>
        <v>0</v>
      </c>
      <c r="G350" s="610"/>
      <c r="H350" s="610">
        <v>0</v>
      </c>
      <c r="I350" s="611">
        <v>0</v>
      </c>
      <c r="J350" s="610">
        <v>0</v>
      </c>
      <c r="K350" s="611">
        <f t="shared" si="39"/>
        <v>0</v>
      </c>
      <c r="L350" s="612">
        <f>VLOOKUP(A350,'BS Gr'!A:A,1,FALSE)</f>
        <v>110094</v>
      </c>
      <c r="M350" s="612">
        <f t="shared" si="35"/>
        <v>1</v>
      </c>
      <c r="N350" s="613">
        <f t="shared" si="37"/>
        <v>0</v>
      </c>
      <c r="O350" s="613">
        <f t="shared" si="34"/>
        <v>0</v>
      </c>
      <c r="P350" s="613">
        <v>0</v>
      </c>
      <c r="Q350" s="613">
        <f t="shared" si="40"/>
        <v>0</v>
      </c>
      <c r="R350" s="1514"/>
      <c r="S350" s="1617" t="e">
        <f>SUMIF('[105]TB for financial'!$A:$A,A350,'[105]TB for financial'!$E:$E)</f>
        <v>#VALUE!</v>
      </c>
      <c r="T350" s="613"/>
    </row>
    <row r="351" spans="1:20">
      <c r="A351" s="608">
        <v>110095</v>
      </c>
      <c r="B351" s="609" t="s">
        <v>1293</v>
      </c>
      <c r="C351" s="610">
        <f t="shared" si="36"/>
        <v>0</v>
      </c>
      <c r="D351" s="611">
        <v>0</v>
      </c>
      <c r="E351" s="610">
        <f>SUMIF('Entries 24-25'!$B:$B,A:A,'Entries 24-25'!$D:$D)-SUMIF('Entries 24-25'!$B:$B,A:A,'Entries 24-25'!$E:$E)+SUMIF('IND AS entries 24-25'!$B:$B,A:A,'IND AS entries 24-25'!$D:$D)-SUMIF('IND AS entries 24-25'!$B:$B,A:A,'IND AS entries 24-25'!$E:$E)</f>
        <v>0</v>
      </c>
      <c r="F351" s="611">
        <f t="shared" si="38"/>
        <v>0</v>
      </c>
      <c r="G351" s="610"/>
      <c r="H351" s="610">
        <v>0</v>
      </c>
      <c r="I351" s="611">
        <v>0</v>
      </c>
      <c r="J351" s="610">
        <v>0</v>
      </c>
      <c r="K351" s="611">
        <f t="shared" si="39"/>
        <v>0</v>
      </c>
      <c r="L351" s="612">
        <f>VLOOKUP(A351,'BS Gr'!A:A,1,FALSE)</f>
        <v>110095</v>
      </c>
      <c r="M351" s="612">
        <f t="shared" si="35"/>
        <v>1</v>
      </c>
      <c r="N351" s="613">
        <f t="shared" si="37"/>
        <v>0</v>
      </c>
      <c r="O351" s="613">
        <f t="shared" si="34"/>
        <v>0</v>
      </c>
      <c r="P351" s="613">
        <v>0</v>
      </c>
      <c r="Q351" s="613">
        <f t="shared" si="40"/>
        <v>0</v>
      </c>
      <c r="R351" s="1514"/>
      <c r="S351" s="1617" t="e">
        <f>SUMIF('[105]TB for financial'!$A:$A,A351,'[105]TB for financial'!$E:$E)</f>
        <v>#VALUE!</v>
      </c>
      <c r="T351" s="613"/>
    </row>
    <row r="352" spans="1:20">
      <c r="A352" s="608">
        <v>110096</v>
      </c>
      <c r="B352" s="609" t="s">
        <v>1294</v>
      </c>
      <c r="C352" s="610">
        <f t="shared" si="36"/>
        <v>0</v>
      </c>
      <c r="D352" s="611">
        <v>0</v>
      </c>
      <c r="E352" s="610">
        <f>SUMIF('Entries 24-25'!$B:$B,A:A,'Entries 24-25'!$D:$D)-SUMIF('Entries 24-25'!$B:$B,A:A,'Entries 24-25'!$E:$E)+SUMIF('IND AS entries 24-25'!$B:$B,A:A,'IND AS entries 24-25'!$D:$D)-SUMIF('IND AS entries 24-25'!$B:$B,A:A,'IND AS entries 24-25'!$E:$E)</f>
        <v>0</v>
      </c>
      <c r="F352" s="611">
        <f t="shared" si="38"/>
        <v>0</v>
      </c>
      <c r="G352" s="610"/>
      <c r="H352" s="610">
        <v>0</v>
      </c>
      <c r="I352" s="611">
        <v>0</v>
      </c>
      <c r="J352" s="610">
        <v>0</v>
      </c>
      <c r="K352" s="611">
        <f t="shared" si="39"/>
        <v>0</v>
      </c>
      <c r="L352" s="612">
        <f>VLOOKUP(A352,'BS Gr'!A:A,1,FALSE)</f>
        <v>110096</v>
      </c>
      <c r="M352" s="612">
        <f t="shared" si="35"/>
        <v>1</v>
      </c>
      <c r="N352" s="613">
        <f t="shared" si="37"/>
        <v>0</v>
      </c>
      <c r="O352" s="613">
        <f t="shared" si="34"/>
        <v>0</v>
      </c>
      <c r="P352" s="613">
        <v>0</v>
      </c>
      <c r="Q352" s="613">
        <f t="shared" si="40"/>
        <v>0</v>
      </c>
      <c r="R352" s="1514"/>
      <c r="S352" s="1617" t="e">
        <f>SUMIF('[105]TB for financial'!$A:$A,A352,'[105]TB for financial'!$E:$E)</f>
        <v>#VALUE!</v>
      </c>
      <c r="T352" s="613"/>
    </row>
    <row r="353" spans="1:20">
      <c r="A353" s="608">
        <v>110097</v>
      </c>
      <c r="B353" s="609" t="s">
        <v>1295</v>
      </c>
      <c r="C353" s="610">
        <f t="shared" si="36"/>
        <v>0</v>
      </c>
      <c r="D353" s="611">
        <v>0</v>
      </c>
      <c r="E353" s="610">
        <f>SUMIF('Entries 24-25'!$B:$B,A:A,'Entries 24-25'!$D:$D)-SUMIF('Entries 24-25'!$B:$B,A:A,'Entries 24-25'!$E:$E)+SUMIF('IND AS entries 24-25'!$B:$B,A:A,'IND AS entries 24-25'!$D:$D)-SUMIF('IND AS entries 24-25'!$B:$B,A:A,'IND AS entries 24-25'!$E:$E)</f>
        <v>0</v>
      </c>
      <c r="F353" s="611">
        <f t="shared" si="38"/>
        <v>0</v>
      </c>
      <c r="G353" s="610"/>
      <c r="H353" s="610">
        <v>0</v>
      </c>
      <c r="I353" s="611">
        <v>0</v>
      </c>
      <c r="J353" s="610">
        <v>0</v>
      </c>
      <c r="K353" s="611">
        <f t="shared" si="39"/>
        <v>0</v>
      </c>
      <c r="L353" s="612">
        <f>VLOOKUP(A353,'BS Gr'!A:A,1,FALSE)</f>
        <v>110097</v>
      </c>
      <c r="M353" s="612">
        <f t="shared" si="35"/>
        <v>1</v>
      </c>
      <c r="N353" s="613">
        <f t="shared" si="37"/>
        <v>0</v>
      </c>
      <c r="O353" s="613">
        <f t="shared" si="34"/>
        <v>0</v>
      </c>
      <c r="P353" s="613">
        <v>0</v>
      </c>
      <c r="Q353" s="613">
        <f t="shared" si="40"/>
        <v>0</v>
      </c>
      <c r="R353" s="1514"/>
      <c r="S353" s="1617" t="e">
        <f>SUMIF('[105]TB for financial'!$A:$A,A353,'[105]TB for financial'!$E:$E)</f>
        <v>#VALUE!</v>
      </c>
      <c r="T353" s="613"/>
    </row>
    <row r="354" spans="1:20">
      <c r="A354" s="608">
        <v>110099</v>
      </c>
      <c r="B354" s="609" t="s">
        <v>1296</v>
      </c>
      <c r="C354" s="610">
        <f t="shared" si="36"/>
        <v>0</v>
      </c>
      <c r="D354" s="611">
        <v>0</v>
      </c>
      <c r="E354" s="610">
        <f>SUMIF('Entries 24-25'!$B:$B,A:A,'Entries 24-25'!$D:$D)-SUMIF('Entries 24-25'!$B:$B,A:A,'Entries 24-25'!$E:$E)+SUMIF('IND AS entries 24-25'!$B:$B,A:A,'IND AS entries 24-25'!$D:$D)-SUMIF('IND AS entries 24-25'!$B:$B,A:A,'IND AS entries 24-25'!$E:$E)</f>
        <v>0</v>
      </c>
      <c r="F354" s="611">
        <f t="shared" si="38"/>
        <v>0</v>
      </c>
      <c r="G354" s="610"/>
      <c r="H354" s="610">
        <v>0</v>
      </c>
      <c r="I354" s="611">
        <v>0</v>
      </c>
      <c r="J354" s="610">
        <v>0</v>
      </c>
      <c r="K354" s="611">
        <f t="shared" si="39"/>
        <v>0</v>
      </c>
      <c r="L354" s="612">
        <f>VLOOKUP(A354,'BS Gr'!A:A,1,FALSE)</f>
        <v>110099</v>
      </c>
      <c r="M354" s="612">
        <f t="shared" si="35"/>
        <v>1</v>
      </c>
      <c r="N354" s="613">
        <f t="shared" si="37"/>
        <v>0</v>
      </c>
      <c r="O354" s="613">
        <f t="shared" si="34"/>
        <v>0</v>
      </c>
      <c r="P354" s="613">
        <v>0</v>
      </c>
      <c r="Q354" s="613">
        <f t="shared" si="40"/>
        <v>0</v>
      </c>
      <c r="R354" s="1514"/>
      <c r="S354" s="1617" t="e">
        <f>SUMIF('[105]TB for financial'!$A:$A,A354,'[105]TB for financial'!$E:$E)</f>
        <v>#VALUE!</v>
      </c>
      <c r="T354" s="613"/>
    </row>
    <row r="355" spans="1:20">
      <c r="A355" s="608">
        <v>110098</v>
      </c>
      <c r="B355" s="609" t="s">
        <v>1297</v>
      </c>
      <c r="C355" s="610">
        <f t="shared" si="36"/>
        <v>0</v>
      </c>
      <c r="D355" s="611">
        <v>0</v>
      </c>
      <c r="E355" s="610">
        <f>SUMIF('Entries 24-25'!$B:$B,A:A,'Entries 24-25'!$D:$D)-SUMIF('Entries 24-25'!$B:$B,A:A,'Entries 24-25'!$E:$E)+SUMIF('IND AS entries 24-25'!$B:$B,A:A,'IND AS entries 24-25'!$D:$D)-SUMIF('IND AS entries 24-25'!$B:$B,A:A,'IND AS entries 24-25'!$E:$E)</f>
        <v>0</v>
      </c>
      <c r="F355" s="611">
        <f t="shared" si="38"/>
        <v>0</v>
      </c>
      <c r="G355" s="610"/>
      <c r="H355" s="610">
        <v>0</v>
      </c>
      <c r="I355" s="611">
        <v>0</v>
      </c>
      <c r="J355" s="610">
        <v>0</v>
      </c>
      <c r="K355" s="611">
        <f t="shared" si="39"/>
        <v>0</v>
      </c>
      <c r="L355" s="612">
        <f>VLOOKUP(A355,'BS Gr'!A:A,1,FALSE)</f>
        <v>110098</v>
      </c>
      <c r="M355" s="612">
        <f t="shared" si="35"/>
        <v>1</v>
      </c>
      <c r="N355" s="613">
        <f t="shared" si="37"/>
        <v>0</v>
      </c>
      <c r="O355" s="613">
        <f t="shared" ref="O355:O420" si="41">C355-K355</f>
        <v>0</v>
      </c>
      <c r="P355" s="613">
        <v>0</v>
      </c>
      <c r="Q355" s="613">
        <f t="shared" si="40"/>
        <v>0</v>
      </c>
      <c r="R355" s="1514"/>
      <c r="S355" s="1617" t="e">
        <f>SUMIF('[105]TB for financial'!$A:$A,A355,'[105]TB for financial'!$E:$E)</f>
        <v>#VALUE!</v>
      </c>
      <c r="T355" s="613"/>
    </row>
    <row r="356" spans="1:20">
      <c r="A356" s="608">
        <v>110120</v>
      </c>
      <c r="B356" s="609" t="s">
        <v>1298</v>
      </c>
      <c r="C356" s="610">
        <f t="shared" si="36"/>
        <v>0</v>
      </c>
      <c r="D356" s="611">
        <v>0</v>
      </c>
      <c r="E356" s="610">
        <f>SUMIF('Entries 24-25'!$B:$B,A:A,'Entries 24-25'!$D:$D)-SUMIF('Entries 24-25'!$B:$B,A:A,'Entries 24-25'!$E:$E)+SUMIF('IND AS entries 24-25'!$B:$B,A:A,'IND AS entries 24-25'!$D:$D)-SUMIF('IND AS entries 24-25'!$B:$B,A:A,'IND AS entries 24-25'!$E:$E)</f>
        <v>0</v>
      </c>
      <c r="F356" s="611">
        <f t="shared" si="38"/>
        <v>0</v>
      </c>
      <c r="G356" s="610"/>
      <c r="H356" s="610">
        <v>0</v>
      </c>
      <c r="I356" s="611">
        <v>0</v>
      </c>
      <c r="J356" s="610">
        <v>0</v>
      </c>
      <c r="K356" s="611">
        <f t="shared" si="39"/>
        <v>0</v>
      </c>
      <c r="L356" s="612">
        <f>VLOOKUP(A356,'BS Gr'!A:A,1,FALSE)</f>
        <v>110120</v>
      </c>
      <c r="M356" s="612">
        <f t="shared" si="35"/>
        <v>1</v>
      </c>
      <c r="N356" s="613">
        <f t="shared" si="37"/>
        <v>0</v>
      </c>
      <c r="O356" s="613">
        <f t="shared" si="41"/>
        <v>0</v>
      </c>
      <c r="P356" s="613">
        <v>0</v>
      </c>
      <c r="Q356" s="613">
        <f t="shared" si="40"/>
        <v>0</v>
      </c>
      <c r="R356" s="1514"/>
      <c r="S356" s="1617" t="e">
        <f>SUMIF('[105]TB for financial'!$A:$A,A356,'[105]TB for financial'!$E:$E)</f>
        <v>#VALUE!</v>
      </c>
      <c r="T356" s="613"/>
    </row>
    <row r="357" spans="1:20">
      <c r="A357" s="608">
        <v>110125</v>
      </c>
      <c r="B357" s="609" t="s">
        <v>1299</v>
      </c>
      <c r="C357" s="610">
        <f t="shared" si="36"/>
        <v>0</v>
      </c>
      <c r="D357" s="611">
        <v>0</v>
      </c>
      <c r="E357" s="610">
        <f>SUMIF('Entries 24-25'!$B:$B,A:A,'Entries 24-25'!$D:$D)-SUMIF('Entries 24-25'!$B:$B,A:A,'Entries 24-25'!$E:$E)+SUMIF('IND AS entries 24-25'!$B:$B,A:A,'IND AS entries 24-25'!$D:$D)-SUMIF('IND AS entries 24-25'!$B:$B,A:A,'IND AS entries 24-25'!$E:$E)</f>
        <v>0</v>
      </c>
      <c r="F357" s="611">
        <f t="shared" si="38"/>
        <v>0</v>
      </c>
      <c r="G357" s="610"/>
      <c r="H357" s="610">
        <v>0</v>
      </c>
      <c r="I357" s="611">
        <v>0</v>
      </c>
      <c r="J357" s="610">
        <v>0</v>
      </c>
      <c r="K357" s="611">
        <f t="shared" si="39"/>
        <v>0</v>
      </c>
      <c r="L357" s="612">
        <f>VLOOKUP(A357,'BS Gr'!A:A,1,FALSE)</f>
        <v>110125</v>
      </c>
      <c r="M357" s="612">
        <f t="shared" si="35"/>
        <v>1</v>
      </c>
      <c r="N357" s="613">
        <f t="shared" si="37"/>
        <v>0</v>
      </c>
      <c r="O357" s="613">
        <f t="shared" si="41"/>
        <v>0</v>
      </c>
      <c r="P357" s="613">
        <v>0</v>
      </c>
      <c r="Q357" s="613">
        <f t="shared" si="40"/>
        <v>0</v>
      </c>
      <c r="R357" s="1514"/>
      <c r="S357" s="1617" t="e">
        <f>SUMIF('[105]TB for financial'!$A:$A,A357,'[105]TB for financial'!$E:$E)</f>
        <v>#VALUE!</v>
      </c>
      <c r="T357" s="613"/>
    </row>
    <row r="358" spans="1:20">
      <c r="A358" s="608">
        <v>110130</v>
      </c>
      <c r="B358" s="609" t="s">
        <v>1300</v>
      </c>
      <c r="C358" s="610">
        <f t="shared" si="36"/>
        <v>0.37000000104308128</v>
      </c>
      <c r="D358" s="611">
        <v>0</v>
      </c>
      <c r="E358" s="610">
        <f>SUMIF('Entries 24-25'!$B:$B,A:A,'Entries 24-25'!$D:$D)-SUMIF('Entries 24-25'!$B:$B,A:A,'Entries 24-25'!$E:$E)+SUMIF('IND AS entries 24-25'!$B:$B,A:A,'IND AS entries 24-25'!$D:$D)-SUMIF('IND AS entries 24-25'!$B:$B,A:A,'IND AS entries 24-25'!$E:$E)</f>
        <v>0</v>
      </c>
      <c r="F358" s="611">
        <f t="shared" si="38"/>
        <v>0.37000000104308128</v>
      </c>
      <c r="G358" s="610"/>
      <c r="H358" s="610">
        <v>0.37000000104308128</v>
      </c>
      <c r="I358" s="611">
        <v>0</v>
      </c>
      <c r="J358" s="610">
        <v>0</v>
      </c>
      <c r="K358" s="611">
        <f t="shared" si="39"/>
        <v>0.37000000104308128</v>
      </c>
      <c r="L358" s="612">
        <f>VLOOKUP(A358,'BS Gr'!A:A,1,FALSE)</f>
        <v>110130</v>
      </c>
      <c r="M358" s="612">
        <f t="shared" si="35"/>
        <v>1</v>
      </c>
      <c r="N358" s="613">
        <f t="shared" si="37"/>
        <v>0</v>
      </c>
      <c r="O358" s="613">
        <f t="shared" si="41"/>
        <v>0</v>
      </c>
      <c r="P358" s="613">
        <v>-13485280.629999999</v>
      </c>
      <c r="Q358" s="613">
        <f t="shared" si="40"/>
        <v>13485281</v>
      </c>
      <c r="R358" s="1514"/>
      <c r="S358" s="1617" t="e">
        <f>SUMIF('[105]TB for financial'!$A:$A,A358,'[105]TB for financial'!$E:$E)</f>
        <v>#VALUE!</v>
      </c>
      <c r="T358" s="613"/>
    </row>
    <row r="359" spans="1:20">
      <c r="A359" s="608">
        <v>110135</v>
      </c>
      <c r="B359" s="609" t="s">
        <v>1301</v>
      </c>
      <c r="C359" s="610">
        <f t="shared" si="36"/>
        <v>0</v>
      </c>
      <c r="D359" s="611">
        <v>0</v>
      </c>
      <c r="E359" s="610">
        <f>SUMIF('Entries 24-25'!$B:$B,A:A,'Entries 24-25'!$D:$D)-SUMIF('Entries 24-25'!$B:$B,A:A,'Entries 24-25'!$E:$E)+SUMIF('IND AS entries 24-25'!$B:$B,A:A,'IND AS entries 24-25'!$D:$D)-SUMIF('IND AS entries 24-25'!$B:$B,A:A,'IND AS entries 24-25'!$E:$E)</f>
        <v>0</v>
      </c>
      <c r="F359" s="611">
        <f t="shared" si="38"/>
        <v>0</v>
      </c>
      <c r="G359" s="610"/>
      <c r="H359" s="610">
        <v>0</v>
      </c>
      <c r="I359" s="611">
        <v>0</v>
      </c>
      <c r="J359" s="610">
        <v>0</v>
      </c>
      <c r="K359" s="611">
        <f t="shared" si="39"/>
        <v>0</v>
      </c>
      <c r="L359" s="612">
        <f>VLOOKUP(A359,'BS Gr'!A:A,1,FALSE)</f>
        <v>110135</v>
      </c>
      <c r="M359" s="612">
        <f t="shared" si="35"/>
        <v>1</v>
      </c>
      <c r="N359" s="613">
        <f t="shared" si="37"/>
        <v>0</v>
      </c>
      <c r="O359" s="613">
        <f t="shared" si="41"/>
        <v>0</v>
      </c>
      <c r="P359" s="613">
        <v>0</v>
      </c>
      <c r="Q359" s="613">
        <f t="shared" si="40"/>
        <v>0</v>
      </c>
      <c r="R359" s="1514"/>
      <c r="S359" s="1617" t="e">
        <f>SUMIF('[105]TB for financial'!$A:$A,A359,'[105]TB for financial'!$E:$E)</f>
        <v>#VALUE!</v>
      </c>
      <c r="T359" s="613"/>
    </row>
    <row r="360" spans="1:20">
      <c r="A360" s="608">
        <v>110140</v>
      </c>
      <c r="B360" s="609" t="s">
        <v>1302</v>
      </c>
      <c r="C360" s="610">
        <f t="shared" si="36"/>
        <v>0</v>
      </c>
      <c r="D360" s="611">
        <v>0</v>
      </c>
      <c r="E360" s="610">
        <f>SUMIF('Entries 24-25'!$B:$B,A:A,'Entries 24-25'!$D:$D)-SUMIF('Entries 24-25'!$B:$B,A:A,'Entries 24-25'!$E:$E)+SUMIF('IND AS entries 24-25'!$B:$B,A:A,'IND AS entries 24-25'!$D:$D)-SUMIF('IND AS entries 24-25'!$B:$B,A:A,'IND AS entries 24-25'!$E:$E)</f>
        <v>0</v>
      </c>
      <c r="F360" s="611">
        <f t="shared" si="38"/>
        <v>0</v>
      </c>
      <c r="G360" s="610"/>
      <c r="H360" s="610">
        <v>0</v>
      </c>
      <c r="I360" s="611">
        <v>0</v>
      </c>
      <c r="J360" s="610">
        <v>0</v>
      </c>
      <c r="K360" s="611">
        <f t="shared" si="39"/>
        <v>0</v>
      </c>
      <c r="L360" s="612">
        <f>VLOOKUP(A360,'BS Gr'!A:A,1,FALSE)</f>
        <v>110140</v>
      </c>
      <c r="M360" s="612">
        <f t="shared" si="35"/>
        <v>1</v>
      </c>
      <c r="N360" s="613">
        <f t="shared" si="37"/>
        <v>0</v>
      </c>
      <c r="O360" s="613">
        <f t="shared" si="41"/>
        <v>0</v>
      </c>
      <c r="P360" s="613">
        <v>0</v>
      </c>
      <c r="Q360" s="613">
        <f t="shared" si="40"/>
        <v>0</v>
      </c>
      <c r="R360" s="1514"/>
      <c r="S360" s="1617" t="e">
        <f>SUMIF('[105]TB for financial'!$A:$A,A360,'[105]TB for financial'!$E:$E)</f>
        <v>#VALUE!</v>
      </c>
      <c r="T360" s="613"/>
    </row>
    <row r="361" spans="1:20">
      <c r="A361" s="608">
        <v>110150</v>
      </c>
      <c r="B361" s="609" t="s">
        <v>1303</v>
      </c>
      <c r="C361" s="610">
        <f t="shared" si="36"/>
        <v>0</v>
      </c>
      <c r="D361" s="611">
        <v>0</v>
      </c>
      <c r="E361" s="610">
        <f>SUMIF('Entries 24-25'!$B:$B,A:A,'Entries 24-25'!$D:$D)-SUMIF('Entries 24-25'!$B:$B,A:A,'Entries 24-25'!$E:$E)+SUMIF('IND AS entries 24-25'!$B:$B,A:A,'IND AS entries 24-25'!$D:$D)-SUMIF('IND AS entries 24-25'!$B:$B,A:A,'IND AS entries 24-25'!$E:$E)</f>
        <v>0</v>
      </c>
      <c r="F361" s="611">
        <f t="shared" si="38"/>
        <v>0</v>
      </c>
      <c r="G361" s="610"/>
      <c r="H361" s="610">
        <v>0</v>
      </c>
      <c r="I361" s="611">
        <v>0</v>
      </c>
      <c r="J361" s="610">
        <v>0</v>
      </c>
      <c r="K361" s="611">
        <f t="shared" si="39"/>
        <v>0</v>
      </c>
      <c r="L361" s="612">
        <f>VLOOKUP(A361,'BS Gr'!A:A,1,FALSE)</f>
        <v>110150</v>
      </c>
      <c r="M361" s="612">
        <f t="shared" si="35"/>
        <v>1</v>
      </c>
      <c r="N361" s="613">
        <f t="shared" si="37"/>
        <v>0</v>
      </c>
      <c r="O361" s="613">
        <f t="shared" si="41"/>
        <v>0</v>
      </c>
      <c r="P361" s="613">
        <v>0</v>
      </c>
      <c r="Q361" s="613">
        <f t="shared" si="40"/>
        <v>0</v>
      </c>
      <c r="R361" s="1514"/>
      <c r="S361" s="1617" t="e">
        <f>SUMIF('[105]TB for financial'!$A:$A,A361,'[105]TB for financial'!$E:$E)</f>
        <v>#VALUE!</v>
      </c>
      <c r="T361" s="613"/>
    </row>
    <row r="362" spans="1:20">
      <c r="A362" s="608">
        <v>110155</v>
      </c>
      <c r="B362" s="609" t="s">
        <v>1304</v>
      </c>
      <c r="C362" s="610">
        <f t="shared" si="36"/>
        <v>0</v>
      </c>
      <c r="D362" s="611">
        <v>0</v>
      </c>
      <c r="E362" s="610">
        <f>SUMIF('Entries 24-25'!$B:$B,A:A,'Entries 24-25'!$D:$D)-SUMIF('Entries 24-25'!$B:$B,A:A,'Entries 24-25'!$E:$E)+SUMIF('IND AS entries 24-25'!$B:$B,A:A,'IND AS entries 24-25'!$D:$D)-SUMIF('IND AS entries 24-25'!$B:$B,A:A,'IND AS entries 24-25'!$E:$E)</f>
        <v>0</v>
      </c>
      <c r="F362" s="611">
        <f t="shared" si="38"/>
        <v>0</v>
      </c>
      <c r="G362" s="610"/>
      <c r="H362" s="610">
        <v>0</v>
      </c>
      <c r="I362" s="611">
        <v>0</v>
      </c>
      <c r="J362" s="610">
        <v>0</v>
      </c>
      <c r="K362" s="611">
        <f t="shared" si="39"/>
        <v>0</v>
      </c>
      <c r="L362" s="612">
        <f>VLOOKUP(A362,'BS Gr'!A:A,1,FALSE)</f>
        <v>110155</v>
      </c>
      <c r="M362" s="612">
        <f t="shared" si="35"/>
        <v>1</v>
      </c>
      <c r="N362" s="613">
        <f t="shared" si="37"/>
        <v>0</v>
      </c>
      <c r="O362" s="613">
        <f t="shared" si="41"/>
        <v>0</v>
      </c>
      <c r="P362" s="613">
        <v>0</v>
      </c>
      <c r="Q362" s="613">
        <f t="shared" si="40"/>
        <v>0</v>
      </c>
      <c r="R362" s="1514"/>
      <c r="S362" s="1617" t="e">
        <f>SUMIF('[105]TB for financial'!$A:$A,A362,'[105]TB for financial'!$E:$E)</f>
        <v>#VALUE!</v>
      </c>
      <c r="T362" s="613"/>
    </row>
    <row r="363" spans="1:20">
      <c r="A363" s="608">
        <v>110160</v>
      </c>
      <c r="B363" s="609" t="s">
        <v>1305</v>
      </c>
      <c r="C363" s="610">
        <f t="shared" si="36"/>
        <v>0</v>
      </c>
      <c r="D363" s="611">
        <v>0</v>
      </c>
      <c r="E363" s="610">
        <f>SUMIF('Entries 24-25'!$B:$B,A:A,'Entries 24-25'!$D:$D)-SUMIF('Entries 24-25'!$B:$B,A:A,'Entries 24-25'!$E:$E)+SUMIF('IND AS entries 24-25'!$B:$B,A:A,'IND AS entries 24-25'!$D:$D)-SUMIF('IND AS entries 24-25'!$B:$B,A:A,'IND AS entries 24-25'!$E:$E)</f>
        <v>0</v>
      </c>
      <c r="F363" s="611">
        <f t="shared" si="38"/>
        <v>0</v>
      </c>
      <c r="G363" s="610"/>
      <c r="H363" s="610">
        <v>0</v>
      </c>
      <c r="I363" s="611">
        <v>0</v>
      </c>
      <c r="J363" s="610">
        <v>0</v>
      </c>
      <c r="K363" s="611">
        <f t="shared" si="39"/>
        <v>0</v>
      </c>
      <c r="L363" s="612">
        <f>VLOOKUP(A363,'BS Gr'!A:A,1,FALSE)</f>
        <v>110160</v>
      </c>
      <c r="M363" s="612">
        <f t="shared" si="35"/>
        <v>1</v>
      </c>
      <c r="N363" s="613">
        <f t="shared" si="37"/>
        <v>0</v>
      </c>
      <c r="O363" s="613">
        <f t="shared" si="41"/>
        <v>0</v>
      </c>
      <c r="P363" s="613">
        <v>0</v>
      </c>
      <c r="Q363" s="613">
        <f t="shared" si="40"/>
        <v>0</v>
      </c>
      <c r="R363" s="1514"/>
      <c r="S363" s="1617" t="e">
        <f>SUMIF('[105]TB for financial'!$A:$A,A363,'[105]TB for financial'!$E:$E)</f>
        <v>#VALUE!</v>
      </c>
      <c r="T363" s="613"/>
    </row>
    <row r="364" spans="1:20">
      <c r="A364" s="608">
        <v>110161</v>
      </c>
      <c r="B364" s="609" t="s">
        <v>1306</v>
      </c>
      <c r="C364" s="610">
        <f t="shared" si="36"/>
        <v>0</v>
      </c>
      <c r="D364" s="611">
        <v>0</v>
      </c>
      <c r="E364" s="610">
        <f>SUMIF('Entries 24-25'!$B:$B,A:A,'Entries 24-25'!$D:$D)-SUMIF('Entries 24-25'!$B:$B,A:A,'Entries 24-25'!$E:$E)+SUMIF('IND AS entries 24-25'!$B:$B,A:A,'IND AS entries 24-25'!$D:$D)-SUMIF('IND AS entries 24-25'!$B:$B,A:A,'IND AS entries 24-25'!$E:$E)</f>
        <v>0</v>
      </c>
      <c r="F364" s="611">
        <f t="shared" si="38"/>
        <v>0</v>
      </c>
      <c r="G364" s="610"/>
      <c r="H364" s="610">
        <v>0</v>
      </c>
      <c r="I364" s="611">
        <v>0</v>
      </c>
      <c r="J364" s="610">
        <v>0</v>
      </c>
      <c r="K364" s="611">
        <f t="shared" si="39"/>
        <v>0</v>
      </c>
      <c r="L364" s="612">
        <f>VLOOKUP(A364,'BS Gr'!A:A,1,FALSE)</f>
        <v>110161</v>
      </c>
      <c r="M364" s="612">
        <f t="shared" si="35"/>
        <v>1</v>
      </c>
      <c r="N364" s="613">
        <f t="shared" si="37"/>
        <v>0</v>
      </c>
      <c r="O364" s="613">
        <f t="shared" si="41"/>
        <v>0</v>
      </c>
      <c r="P364" s="613">
        <v>0</v>
      </c>
      <c r="Q364" s="613">
        <f t="shared" si="40"/>
        <v>0</v>
      </c>
      <c r="R364" s="1514"/>
      <c r="S364" s="1617" t="e">
        <f>SUMIF('[105]TB for financial'!$A:$A,A364,'[105]TB for financial'!$E:$E)</f>
        <v>#VALUE!</v>
      </c>
      <c r="T364" s="613"/>
    </row>
    <row r="365" spans="1:20">
      <c r="A365" s="608">
        <v>110162</v>
      </c>
      <c r="B365" s="609" t="s">
        <v>1307</v>
      </c>
      <c r="C365" s="610">
        <f t="shared" si="36"/>
        <v>0</v>
      </c>
      <c r="D365" s="611">
        <v>0</v>
      </c>
      <c r="E365" s="610">
        <f>SUMIF('Entries 24-25'!$B:$B,A:A,'Entries 24-25'!$D:$D)-SUMIF('Entries 24-25'!$B:$B,A:A,'Entries 24-25'!$E:$E)+SUMIF('IND AS entries 24-25'!$B:$B,A:A,'IND AS entries 24-25'!$D:$D)-SUMIF('IND AS entries 24-25'!$B:$B,A:A,'IND AS entries 24-25'!$E:$E)</f>
        <v>0</v>
      </c>
      <c r="F365" s="611">
        <f t="shared" si="38"/>
        <v>0</v>
      </c>
      <c r="G365" s="610"/>
      <c r="H365" s="610">
        <v>0</v>
      </c>
      <c r="I365" s="611">
        <v>0</v>
      </c>
      <c r="J365" s="610">
        <v>0</v>
      </c>
      <c r="K365" s="611">
        <f t="shared" si="39"/>
        <v>0</v>
      </c>
      <c r="L365" s="612">
        <f>VLOOKUP(A365,'BS Gr'!A:A,1,FALSE)</f>
        <v>110162</v>
      </c>
      <c r="M365" s="612">
        <f t="shared" si="35"/>
        <v>1</v>
      </c>
      <c r="N365" s="613">
        <f t="shared" si="37"/>
        <v>0</v>
      </c>
      <c r="O365" s="613">
        <f t="shared" si="41"/>
        <v>0</v>
      </c>
      <c r="P365" s="613">
        <v>0</v>
      </c>
      <c r="Q365" s="613">
        <f t="shared" si="40"/>
        <v>0</v>
      </c>
      <c r="R365" s="1514"/>
      <c r="S365" s="1617" t="e">
        <f>SUMIF('[105]TB for financial'!$A:$A,A365,'[105]TB for financial'!$E:$E)</f>
        <v>#VALUE!</v>
      </c>
      <c r="T365" s="613"/>
    </row>
    <row r="366" spans="1:20">
      <c r="A366" s="608">
        <v>110163</v>
      </c>
      <c r="B366" s="609" t="s">
        <v>1308</v>
      </c>
      <c r="C366" s="610">
        <f t="shared" si="36"/>
        <v>0</v>
      </c>
      <c r="D366" s="611">
        <v>0</v>
      </c>
      <c r="E366" s="610">
        <f>SUMIF('Entries 24-25'!$B:$B,A:A,'Entries 24-25'!$D:$D)-SUMIF('Entries 24-25'!$B:$B,A:A,'Entries 24-25'!$E:$E)+SUMIF('IND AS entries 24-25'!$B:$B,A:A,'IND AS entries 24-25'!$D:$D)-SUMIF('IND AS entries 24-25'!$B:$B,A:A,'IND AS entries 24-25'!$E:$E)</f>
        <v>0</v>
      </c>
      <c r="F366" s="611">
        <f t="shared" si="38"/>
        <v>0</v>
      </c>
      <c r="G366" s="610"/>
      <c r="H366" s="610">
        <v>0</v>
      </c>
      <c r="I366" s="611">
        <v>0</v>
      </c>
      <c r="J366" s="610">
        <v>0</v>
      </c>
      <c r="K366" s="611">
        <f t="shared" si="39"/>
        <v>0</v>
      </c>
      <c r="L366" s="612">
        <f>VLOOKUP(A366,'BS Gr'!A:A,1,FALSE)</f>
        <v>110163</v>
      </c>
      <c r="M366" s="612">
        <f t="shared" si="35"/>
        <v>1</v>
      </c>
      <c r="N366" s="613">
        <f t="shared" si="37"/>
        <v>0</v>
      </c>
      <c r="O366" s="613">
        <f t="shared" si="41"/>
        <v>0</v>
      </c>
      <c r="P366" s="613">
        <v>0</v>
      </c>
      <c r="Q366" s="613">
        <f t="shared" si="40"/>
        <v>0</v>
      </c>
      <c r="R366" s="1514"/>
      <c r="S366" s="1617" t="e">
        <f>SUMIF('[105]TB for financial'!$A:$A,A366,'[105]TB for financial'!$E:$E)</f>
        <v>#VALUE!</v>
      </c>
      <c r="T366" s="613"/>
    </row>
    <row r="367" spans="1:20">
      <c r="A367" s="608">
        <v>110164</v>
      </c>
      <c r="B367" s="609" t="s">
        <v>1309</v>
      </c>
      <c r="C367" s="610">
        <f t="shared" si="36"/>
        <v>-0.12825534246803727</v>
      </c>
      <c r="D367" s="611">
        <v>0</v>
      </c>
      <c r="E367" s="610">
        <f>SUMIF('Entries 24-25'!$B:$B,A:A,'Entries 24-25'!$D:$D)-SUMIF('Entries 24-25'!$B:$B,A:A,'Entries 24-25'!$E:$E)+SUMIF('IND AS entries 24-25'!$B:$B,A:A,'IND AS entries 24-25'!$D:$D)-SUMIF('IND AS entries 24-25'!$B:$B,A:A,'IND AS entries 24-25'!$E:$E)</f>
        <v>0</v>
      </c>
      <c r="F367" s="611">
        <f t="shared" si="38"/>
        <v>-0.12825534246803727</v>
      </c>
      <c r="G367" s="610"/>
      <c r="H367" s="610">
        <v>-0.12825534246803727</v>
      </c>
      <c r="I367" s="611">
        <v>0</v>
      </c>
      <c r="J367" s="610">
        <v>0</v>
      </c>
      <c r="K367" s="611">
        <f t="shared" si="39"/>
        <v>-0.12825534246803727</v>
      </c>
      <c r="L367" s="612">
        <f>VLOOKUP(A367,'BS Gr'!A:A,1,FALSE)</f>
        <v>110164</v>
      </c>
      <c r="M367" s="612">
        <f t="shared" si="35"/>
        <v>1</v>
      </c>
      <c r="N367" s="613">
        <f t="shared" si="37"/>
        <v>0</v>
      </c>
      <c r="O367" s="613">
        <f t="shared" si="41"/>
        <v>0</v>
      </c>
      <c r="P367" s="613">
        <v>-49137.228255342467</v>
      </c>
      <c r="Q367" s="613">
        <f t="shared" si="40"/>
        <v>49137.1</v>
      </c>
      <c r="R367" s="1514"/>
      <c r="S367" s="1617" t="e">
        <f>SUMIF('[105]TB for financial'!$A:$A,A367,'[105]TB for financial'!$E:$E)</f>
        <v>#VALUE!</v>
      </c>
      <c r="T367" s="613"/>
    </row>
    <row r="368" spans="1:20">
      <c r="A368" s="608">
        <v>110165</v>
      </c>
      <c r="B368" s="609" t="s">
        <v>956</v>
      </c>
      <c r="C368" s="610">
        <f t="shared" si="36"/>
        <v>0</v>
      </c>
      <c r="D368" s="611">
        <v>0</v>
      </c>
      <c r="E368" s="610">
        <f>SUMIF('Entries 24-25'!$B:$B,A:A,'Entries 24-25'!$D:$D)-SUMIF('Entries 24-25'!$B:$B,A:A,'Entries 24-25'!$E:$E)+SUMIF('IND AS entries 24-25'!$B:$B,A:A,'IND AS entries 24-25'!$D:$D)-SUMIF('IND AS entries 24-25'!$B:$B,A:A,'IND AS entries 24-25'!$E:$E)</f>
        <v>0</v>
      </c>
      <c r="F368" s="611">
        <f t="shared" si="38"/>
        <v>0</v>
      </c>
      <c r="G368" s="610"/>
      <c r="H368" s="610">
        <v>0</v>
      </c>
      <c r="I368" s="611">
        <v>0</v>
      </c>
      <c r="J368" s="610">
        <v>0</v>
      </c>
      <c r="K368" s="611">
        <f t="shared" si="39"/>
        <v>0</v>
      </c>
      <c r="L368" s="612">
        <f>VLOOKUP(A368,'BS Gr'!A:A,1,FALSE)</f>
        <v>110165</v>
      </c>
      <c r="M368" s="612">
        <f t="shared" si="35"/>
        <v>1</v>
      </c>
      <c r="N368" s="613">
        <f t="shared" si="37"/>
        <v>0</v>
      </c>
      <c r="O368" s="613">
        <f t="shared" si="41"/>
        <v>0</v>
      </c>
      <c r="P368" s="613">
        <v>0</v>
      </c>
      <c r="Q368" s="613">
        <f t="shared" si="40"/>
        <v>0</v>
      </c>
      <c r="R368" s="1514"/>
      <c r="S368" s="1617" t="e">
        <f>SUMIF('[105]TB for financial'!$A:$A,A368,'[105]TB for financial'!$E:$E)</f>
        <v>#VALUE!</v>
      </c>
      <c r="T368" s="613"/>
    </row>
    <row r="369" spans="1:20">
      <c r="A369" s="608">
        <v>110170</v>
      </c>
      <c r="B369" s="609" t="s">
        <v>1310</v>
      </c>
      <c r="C369" s="610">
        <f t="shared" si="36"/>
        <v>0</v>
      </c>
      <c r="D369" s="611">
        <v>0</v>
      </c>
      <c r="E369" s="610">
        <f>SUMIF('Entries 24-25'!$B:$B,A:A,'Entries 24-25'!$D:$D)-SUMIF('Entries 24-25'!$B:$B,A:A,'Entries 24-25'!$E:$E)+SUMIF('IND AS entries 24-25'!$B:$B,A:A,'IND AS entries 24-25'!$D:$D)-SUMIF('IND AS entries 24-25'!$B:$B,A:A,'IND AS entries 24-25'!$E:$E)</f>
        <v>0</v>
      </c>
      <c r="F369" s="611">
        <f t="shared" si="38"/>
        <v>0</v>
      </c>
      <c r="G369" s="610"/>
      <c r="H369" s="610">
        <v>0</v>
      </c>
      <c r="I369" s="611">
        <v>0</v>
      </c>
      <c r="J369" s="610">
        <v>0</v>
      </c>
      <c r="K369" s="611">
        <f t="shared" si="39"/>
        <v>0</v>
      </c>
      <c r="L369" s="612">
        <f>VLOOKUP(A369,'BS Gr'!A:A,1,FALSE)</f>
        <v>110170</v>
      </c>
      <c r="M369" s="612">
        <f t="shared" si="35"/>
        <v>1</v>
      </c>
      <c r="N369" s="613">
        <f t="shared" si="37"/>
        <v>0</v>
      </c>
      <c r="O369" s="613">
        <f t="shared" si="41"/>
        <v>0</v>
      </c>
      <c r="P369" s="613">
        <v>-6842145.7786301365</v>
      </c>
      <c r="Q369" s="613">
        <f t="shared" si="40"/>
        <v>6842145.7786301365</v>
      </c>
      <c r="R369" s="1514"/>
      <c r="S369" s="1617" t="e">
        <f>SUMIF('[105]TB for financial'!$A:$A,A369,'[105]TB for financial'!$E:$E)</f>
        <v>#VALUE!</v>
      </c>
      <c r="T369" s="613"/>
    </row>
    <row r="370" spans="1:20">
      <c r="A370" s="608">
        <v>110175</v>
      </c>
      <c r="B370" s="609" t="s">
        <v>1311</v>
      </c>
      <c r="C370" s="610">
        <f t="shared" si="36"/>
        <v>0</v>
      </c>
      <c r="D370" s="611">
        <v>0</v>
      </c>
      <c r="E370" s="610">
        <f>SUMIF('Entries 24-25'!$B:$B,A:A,'Entries 24-25'!$D:$D)-SUMIF('Entries 24-25'!$B:$B,A:A,'Entries 24-25'!$E:$E)+SUMIF('IND AS entries 24-25'!$B:$B,A:A,'IND AS entries 24-25'!$D:$D)-SUMIF('IND AS entries 24-25'!$B:$B,A:A,'IND AS entries 24-25'!$E:$E)</f>
        <v>0</v>
      </c>
      <c r="F370" s="611">
        <f t="shared" si="38"/>
        <v>0</v>
      </c>
      <c r="G370" s="610"/>
      <c r="H370" s="610">
        <v>0</v>
      </c>
      <c r="I370" s="611">
        <v>0</v>
      </c>
      <c r="J370" s="610">
        <v>0</v>
      </c>
      <c r="K370" s="611">
        <f t="shared" si="39"/>
        <v>0</v>
      </c>
      <c r="L370" s="612">
        <f>VLOOKUP(A370,'BS Gr'!A:A,1,FALSE)</f>
        <v>110175</v>
      </c>
      <c r="M370" s="612">
        <f t="shared" si="35"/>
        <v>1</v>
      </c>
      <c r="N370" s="613">
        <f t="shared" si="37"/>
        <v>0</v>
      </c>
      <c r="O370" s="613">
        <f t="shared" si="41"/>
        <v>0</v>
      </c>
      <c r="P370" s="613">
        <v>0</v>
      </c>
      <c r="Q370" s="613">
        <f t="shared" si="40"/>
        <v>0</v>
      </c>
      <c r="R370" s="1514"/>
      <c r="S370" s="1617" t="e">
        <f>SUMIF('[105]TB for financial'!$A:$A,A370,'[105]TB for financial'!$E:$E)</f>
        <v>#VALUE!</v>
      </c>
      <c r="T370" s="613"/>
    </row>
    <row r="371" spans="1:20">
      <c r="A371" s="608">
        <v>110180</v>
      </c>
      <c r="B371" s="609" t="s">
        <v>1312</v>
      </c>
      <c r="C371" s="610">
        <f t="shared" si="36"/>
        <v>0</v>
      </c>
      <c r="D371" s="611">
        <v>0</v>
      </c>
      <c r="E371" s="610">
        <f>SUMIF('Entries 24-25'!$B:$B,A:A,'Entries 24-25'!$D:$D)-SUMIF('Entries 24-25'!$B:$B,A:A,'Entries 24-25'!$E:$E)+SUMIF('IND AS entries 24-25'!$B:$B,A:A,'IND AS entries 24-25'!$D:$D)-SUMIF('IND AS entries 24-25'!$B:$B,A:A,'IND AS entries 24-25'!$E:$E)</f>
        <v>0</v>
      </c>
      <c r="F371" s="611">
        <f t="shared" si="38"/>
        <v>0</v>
      </c>
      <c r="G371" s="610"/>
      <c r="H371" s="610">
        <v>0</v>
      </c>
      <c r="I371" s="611">
        <v>0</v>
      </c>
      <c r="J371" s="610">
        <v>0</v>
      </c>
      <c r="K371" s="611">
        <f t="shared" si="39"/>
        <v>0</v>
      </c>
      <c r="L371" s="612">
        <f>VLOOKUP(A371,'BS Gr'!A:A,1,FALSE)</f>
        <v>110180</v>
      </c>
      <c r="M371" s="612">
        <f t="shared" si="35"/>
        <v>1</v>
      </c>
      <c r="N371" s="613">
        <f t="shared" si="37"/>
        <v>0</v>
      </c>
      <c r="O371" s="613">
        <f t="shared" si="41"/>
        <v>0</v>
      </c>
      <c r="P371" s="613">
        <v>0</v>
      </c>
      <c r="Q371" s="613">
        <f t="shared" si="40"/>
        <v>0</v>
      </c>
      <c r="R371" s="1514"/>
      <c r="S371" s="1617" t="e">
        <f>SUMIF('[105]TB for financial'!$A:$A,A371,'[105]TB for financial'!$E:$E)</f>
        <v>#VALUE!</v>
      </c>
      <c r="T371" s="613"/>
    </row>
    <row r="372" spans="1:20">
      <c r="A372" s="608">
        <v>110190</v>
      </c>
      <c r="B372" s="609" t="s">
        <v>1313</v>
      </c>
      <c r="C372" s="610">
        <f t="shared" si="36"/>
        <v>0</v>
      </c>
      <c r="D372" s="611">
        <v>0</v>
      </c>
      <c r="E372" s="610">
        <f>SUMIF('Entries 24-25'!$B:$B,A:A,'Entries 24-25'!$D:$D)-SUMIF('Entries 24-25'!$B:$B,A:A,'Entries 24-25'!$E:$E)+SUMIF('IND AS entries 24-25'!$B:$B,A:A,'IND AS entries 24-25'!$D:$D)-SUMIF('IND AS entries 24-25'!$B:$B,A:A,'IND AS entries 24-25'!$E:$E)</f>
        <v>0</v>
      </c>
      <c r="F372" s="611">
        <f t="shared" si="38"/>
        <v>0</v>
      </c>
      <c r="G372" s="610"/>
      <c r="H372" s="610">
        <v>0</v>
      </c>
      <c r="I372" s="611">
        <v>0</v>
      </c>
      <c r="J372" s="610">
        <v>0</v>
      </c>
      <c r="K372" s="611">
        <f t="shared" si="39"/>
        <v>0</v>
      </c>
      <c r="L372" s="612">
        <f>VLOOKUP(A372,'BS Gr'!A:A,1,FALSE)</f>
        <v>110190</v>
      </c>
      <c r="M372" s="612">
        <f t="shared" si="35"/>
        <v>1</v>
      </c>
      <c r="N372" s="613">
        <f t="shared" si="37"/>
        <v>0</v>
      </c>
      <c r="O372" s="613">
        <f t="shared" si="41"/>
        <v>0</v>
      </c>
      <c r="P372" s="613">
        <v>0</v>
      </c>
      <c r="Q372" s="613">
        <f t="shared" si="40"/>
        <v>0</v>
      </c>
      <c r="R372" s="1514"/>
      <c r="S372" s="1617" t="e">
        <f>SUMIF('[105]TB for financial'!$A:$A,A372,'[105]TB for financial'!$E:$E)</f>
        <v>#VALUE!</v>
      </c>
      <c r="T372" s="613"/>
    </row>
    <row r="373" spans="1:20">
      <c r="A373" s="608">
        <v>110195</v>
      </c>
      <c r="B373" s="609" t="s">
        <v>1314</v>
      </c>
      <c r="C373" s="610">
        <f t="shared" si="36"/>
        <v>0</v>
      </c>
      <c r="D373" s="611">
        <v>0</v>
      </c>
      <c r="E373" s="610">
        <f>SUMIF('Entries 24-25'!$B:$B,A:A,'Entries 24-25'!$D:$D)-SUMIF('Entries 24-25'!$B:$B,A:A,'Entries 24-25'!$E:$E)+SUMIF('IND AS entries 24-25'!$B:$B,A:A,'IND AS entries 24-25'!$D:$D)-SUMIF('IND AS entries 24-25'!$B:$B,A:A,'IND AS entries 24-25'!$E:$E)</f>
        <v>0</v>
      </c>
      <c r="F373" s="611">
        <f t="shared" si="38"/>
        <v>0</v>
      </c>
      <c r="G373" s="610"/>
      <c r="H373" s="610">
        <v>0</v>
      </c>
      <c r="I373" s="611">
        <v>0</v>
      </c>
      <c r="J373" s="610">
        <v>0</v>
      </c>
      <c r="K373" s="611">
        <f t="shared" si="39"/>
        <v>0</v>
      </c>
      <c r="L373" s="612">
        <f>VLOOKUP(A373,'BS Gr'!A:A,1,FALSE)</f>
        <v>110195</v>
      </c>
      <c r="M373" s="612">
        <f t="shared" si="35"/>
        <v>1</v>
      </c>
      <c r="N373" s="613">
        <f t="shared" si="37"/>
        <v>0</v>
      </c>
      <c r="O373" s="613">
        <f t="shared" si="41"/>
        <v>0</v>
      </c>
      <c r="P373" s="613">
        <v>0</v>
      </c>
      <c r="Q373" s="613">
        <f t="shared" si="40"/>
        <v>0</v>
      </c>
      <c r="R373" s="1514"/>
      <c r="S373" s="1617" t="e">
        <f>SUMIF('[105]TB for financial'!$A:$A,A373,'[105]TB for financial'!$E:$E)</f>
        <v>#VALUE!</v>
      </c>
      <c r="T373" s="613"/>
    </row>
    <row r="374" spans="1:20">
      <c r="A374" s="608">
        <v>110510</v>
      </c>
      <c r="B374" s="609" t="s">
        <v>1315</v>
      </c>
      <c r="C374" s="610">
        <f t="shared" si="36"/>
        <v>0</v>
      </c>
      <c r="D374" s="611">
        <v>0</v>
      </c>
      <c r="E374" s="610">
        <f>SUMIF('Entries 24-25'!$B:$B,A:A,'Entries 24-25'!$D:$D)-SUMIF('Entries 24-25'!$B:$B,A:A,'Entries 24-25'!$E:$E)+SUMIF('IND AS entries 24-25'!$B:$B,A:A,'IND AS entries 24-25'!$D:$D)-SUMIF('IND AS entries 24-25'!$B:$B,A:A,'IND AS entries 24-25'!$E:$E)</f>
        <v>0</v>
      </c>
      <c r="F374" s="611">
        <f t="shared" si="38"/>
        <v>0</v>
      </c>
      <c r="G374" s="610"/>
      <c r="H374" s="610">
        <v>0</v>
      </c>
      <c r="I374" s="611">
        <v>0</v>
      </c>
      <c r="J374" s="610">
        <v>0</v>
      </c>
      <c r="K374" s="611">
        <f t="shared" si="39"/>
        <v>0</v>
      </c>
      <c r="L374" s="612">
        <f>VLOOKUP(A374,'BS Gr'!A:A,1,FALSE)</f>
        <v>110510</v>
      </c>
      <c r="M374" s="612">
        <f t="shared" si="35"/>
        <v>1</v>
      </c>
      <c r="N374" s="613">
        <f t="shared" si="37"/>
        <v>0</v>
      </c>
      <c r="O374" s="613">
        <f t="shared" si="41"/>
        <v>0</v>
      </c>
      <c r="P374" s="613">
        <v>0</v>
      </c>
      <c r="Q374" s="613">
        <f t="shared" si="40"/>
        <v>0</v>
      </c>
      <c r="R374" s="1514"/>
      <c r="S374" s="1617" t="e">
        <f>SUMIF('[105]TB for financial'!$A:$A,A374,'[105]TB for financial'!$E:$E)</f>
        <v>#VALUE!</v>
      </c>
      <c r="T374" s="613"/>
    </row>
    <row r="375" spans="1:20">
      <c r="A375" s="608">
        <v>110520</v>
      </c>
      <c r="B375" s="609" t="s">
        <v>1316</v>
      </c>
      <c r="C375" s="610">
        <f t="shared" si="36"/>
        <v>0</v>
      </c>
      <c r="D375" s="611">
        <v>0</v>
      </c>
      <c r="E375" s="610">
        <f>SUMIF('Entries 24-25'!$B:$B,A:A,'Entries 24-25'!$D:$D)-SUMIF('Entries 24-25'!$B:$B,A:A,'Entries 24-25'!$E:$E)+SUMIF('IND AS entries 24-25'!$B:$B,A:A,'IND AS entries 24-25'!$D:$D)-SUMIF('IND AS entries 24-25'!$B:$B,A:A,'IND AS entries 24-25'!$E:$E)</f>
        <v>0</v>
      </c>
      <c r="F375" s="611">
        <f t="shared" si="38"/>
        <v>0</v>
      </c>
      <c r="G375" s="610"/>
      <c r="H375" s="610">
        <v>0</v>
      </c>
      <c r="I375" s="611">
        <v>0</v>
      </c>
      <c r="J375" s="610">
        <v>0</v>
      </c>
      <c r="K375" s="611">
        <f t="shared" si="39"/>
        <v>0</v>
      </c>
      <c r="L375" s="612">
        <f>VLOOKUP(A375,'BS Gr'!A:A,1,FALSE)</f>
        <v>110520</v>
      </c>
      <c r="M375" s="612">
        <f t="shared" si="35"/>
        <v>1</v>
      </c>
      <c r="N375" s="613">
        <f t="shared" si="37"/>
        <v>0</v>
      </c>
      <c r="O375" s="613">
        <f t="shared" si="41"/>
        <v>0</v>
      </c>
      <c r="P375" s="613">
        <v>0</v>
      </c>
      <c r="Q375" s="613">
        <f t="shared" si="40"/>
        <v>0</v>
      </c>
      <c r="R375" s="1514"/>
      <c r="S375" s="1617" t="e">
        <f>SUMIF('[105]TB for financial'!$A:$A,A375,'[105]TB for financial'!$E:$E)</f>
        <v>#VALUE!</v>
      </c>
      <c r="T375" s="613"/>
    </row>
    <row r="376" spans="1:20">
      <c r="A376" s="608">
        <v>110530</v>
      </c>
      <c r="B376" s="609" t="s">
        <v>1317</v>
      </c>
      <c r="C376" s="610">
        <f t="shared" si="36"/>
        <v>0</v>
      </c>
      <c r="D376" s="611">
        <v>0</v>
      </c>
      <c r="E376" s="610">
        <f>SUMIF('Entries 24-25'!$B:$B,A:A,'Entries 24-25'!$D:$D)-SUMIF('Entries 24-25'!$B:$B,A:A,'Entries 24-25'!$E:$E)+SUMIF('IND AS entries 24-25'!$B:$B,A:A,'IND AS entries 24-25'!$D:$D)-SUMIF('IND AS entries 24-25'!$B:$B,A:A,'IND AS entries 24-25'!$E:$E)</f>
        <v>0</v>
      </c>
      <c r="F376" s="611">
        <f t="shared" si="38"/>
        <v>0</v>
      </c>
      <c r="G376" s="610"/>
      <c r="H376" s="610">
        <v>0</v>
      </c>
      <c r="I376" s="611">
        <v>0</v>
      </c>
      <c r="J376" s="610">
        <v>0</v>
      </c>
      <c r="K376" s="611">
        <f t="shared" si="39"/>
        <v>0</v>
      </c>
      <c r="L376" s="612">
        <f>VLOOKUP(A376,'BS Gr'!A:A,1,FALSE)</f>
        <v>110530</v>
      </c>
      <c r="M376" s="612">
        <f t="shared" si="35"/>
        <v>1</v>
      </c>
      <c r="N376" s="613">
        <f t="shared" si="37"/>
        <v>0</v>
      </c>
      <c r="O376" s="613">
        <f t="shared" si="41"/>
        <v>0</v>
      </c>
      <c r="P376" s="613">
        <v>0</v>
      </c>
      <c r="Q376" s="613">
        <f t="shared" si="40"/>
        <v>0</v>
      </c>
      <c r="R376" s="1514"/>
      <c r="S376" s="1617" t="e">
        <f>SUMIF('[105]TB for financial'!$A:$A,A376,'[105]TB for financial'!$E:$E)</f>
        <v>#VALUE!</v>
      </c>
      <c r="T376" s="613"/>
    </row>
    <row r="377" spans="1:20">
      <c r="A377" s="608">
        <v>110540</v>
      </c>
      <c r="B377" s="609" t="s">
        <v>1318</v>
      </c>
      <c r="C377" s="610">
        <f t="shared" si="36"/>
        <v>0</v>
      </c>
      <c r="D377" s="611">
        <v>0</v>
      </c>
      <c r="E377" s="610">
        <f>SUMIF('Entries 24-25'!$B:$B,A:A,'Entries 24-25'!$D:$D)-SUMIF('Entries 24-25'!$B:$B,A:A,'Entries 24-25'!$E:$E)+SUMIF('IND AS entries 24-25'!$B:$B,A:A,'IND AS entries 24-25'!$D:$D)-SUMIF('IND AS entries 24-25'!$B:$B,A:A,'IND AS entries 24-25'!$E:$E)</f>
        <v>0</v>
      </c>
      <c r="F377" s="611">
        <f t="shared" si="38"/>
        <v>0</v>
      </c>
      <c r="G377" s="610"/>
      <c r="H377" s="610">
        <v>0</v>
      </c>
      <c r="I377" s="611">
        <v>0</v>
      </c>
      <c r="J377" s="610">
        <v>0</v>
      </c>
      <c r="K377" s="611">
        <f t="shared" si="39"/>
        <v>0</v>
      </c>
      <c r="L377" s="612">
        <f>VLOOKUP(A377,'BS Gr'!A:A,1,FALSE)</f>
        <v>110540</v>
      </c>
      <c r="M377" s="612">
        <f t="shared" si="35"/>
        <v>1</v>
      </c>
      <c r="N377" s="613">
        <f t="shared" si="37"/>
        <v>0</v>
      </c>
      <c r="O377" s="613">
        <f t="shared" si="41"/>
        <v>0</v>
      </c>
      <c r="P377" s="613">
        <v>0</v>
      </c>
      <c r="Q377" s="613">
        <f t="shared" si="40"/>
        <v>0</v>
      </c>
      <c r="R377" s="1514"/>
      <c r="S377" s="1617" t="e">
        <f>SUMIF('[105]TB for financial'!$A:$A,A377,'[105]TB for financial'!$E:$E)</f>
        <v>#VALUE!</v>
      </c>
      <c r="T377" s="613"/>
    </row>
    <row r="378" spans="1:20">
      <c r="A378" s="608">
        <v>110550</v>
      </c>
      <c r="B378" s="609" t="s">
        <v>1319</v>
      </c>
      <c r="C378" s="610">
        <f t="shared" si="36"/>
        <v>0</v>
      </c>
      <c r="D378" s="611">
        <v>0</v>
      </c>
      <c r="E378" s="610">
        <f>SUMIF('Entries 24-25'!$B:$B,A:A,'Entries 24-25'!$D:$D)-SUMIF('Entries 24-25'!$B:$B,A:A,'Entries 24-25'!$E:$E)+SUMIF('IND AS entries 24-25'!$B:$B,A:A,'IND AS entries 24-25'!$D:$D)-SUMIF('IND AS entries 24-25'!$B:$B,A:A,'IND AS entries 24-25'!$E:$E)</f>
        <v>0</v>
      </c>
      <c r="F378" s="611">
        <f t="shared" si="38"/>
        <v>0</v>
      </c>
      <c r="G378" s="610"/>
      <c r="H378" s="610">
        <v>0</v>
      </c>
      <c r="I378" s="611">
        <v>0</v>
      </c>
      <c r="J378" s="610">
        <v>0</v>
      </c>
      <c r="K378" s="611">
        <f t="shared" si="39"/>
        <v>0</v>
      </c>
      <c r="L378" s="612">
        <f>VLOOKUP(A378,'BS Gr'!A:A,1,FALSE)</f>
        <v>110550</v>
      </c>
      <c r="M378" s="612">
        <f t="shared" si="35"/>
        <v>1</v>
      </c>
      <c r="N378" s="613">
        <f t="shared" si="37"/>
        <v>0</v>
      </c>
      <c r="O378" s="613">
        <f t="shared" si="41"/>
        <v>0</v>
      </c>
      <c r="P378" s="613">
        <v>0</v>
      </c>
      <c r="Q378" s="613">
        <f t="shared" si="40"/>
        <v>0</v>
      </c>
      <c r="R378" s="1514"/>
      <c r="S378" s="1617" t="e">
        <f>SUMIF('[105]TB for financial'!$A:$A,A378,'[105]TB for financial'!$E:$E)</f>
        <v>#VALUE!</v>
      </c>
      <c r="T378" s="613"/>
    </row>
    <row r="379" spans="1:20">
      <c r="A379" s="608">
        <v>110560</v>
      </c>
      <c r="B379" s="609" t="s">
        <v>1320</v>
      </c>
      <c r="C379" s="610">
        <f t="shared" si="36"/>
        <v>0</v>
      </c>
      <c r="D379" s="611">
        <v>0</v>
      </c>
      <c r="E379" s="610">
        <f>SUMIF('Entries 24-25'!$B:$B,A:A,'Entries 24-25'!$D:$D)-SUMIF('Entries 24-25'!$B:$B,A:A,'Entries 24-25'!$E:$E)+SUMIF('IND AS entries 24-25'!$B:$B,A:A,'IND AS entries 24-25'!$D:$D)-SUMIF('IND AS entries 24-25'!$B:$B,A:A,'IND AS entries 24-25'!$E:$E)</f>
        <v>0</v>
      </c>
      <c r="F379" s="611">
        <f t="shared" si="38"/>
        <v>0</v>
      </c>
      <c r="G379" s="610"/>
      <c r="H379" s="610">
        <v>0</v>
      </c>
      <c r="I379" s="611">
        <v>0</v>
      </c>
      <c r="J379" s="610">
        <v>0</v>
      </c>
      <c r="K379" s="611">
        <f t="shared" si="39"/>
        <v>0</v>
      </c>
      <c r="L379" s="612">
        <f>VLOOKUP(A379,'BS Gr'!A:A,1,FALSE)</f>
        <v>110560</v>
      </c>
      <c r="M379" s="612">
        <f t="shared" si="35"/>
        <v>1</v>
      </c>
      <c r="N379" s="613">
        <f t="shared" si="37"/>
        <v>0</v>
      </c>
      <c r="O379" s="613">
        <f t="shared" si="41"/>
        <v>0</v>
      </c>
      <c r="P379" s="613">
        <v>0</v>
      </c>
      <c r="Q379" s="613">
        <f t="shared" si="40"/>
        <v>0</v>
      </c>
      <c r="R379" s="1514"/>
      <c r="S379" s="1617" t="e">
        <f>SUMIF('[105]TB for financial'!$A:$A,A379,'[105]TB for financial'!$E:$E)</f>
        <v>#VALUE!</v>
      </c>
      <c r="T379" s="613"/>
    </row>
    <row r="380" spans="1:20">
      <c r="A380" s="608">
        <v>110570</v>
      </c>
      <c r="B380" s="609" t="s">
        <v>1321</v>
      </c>
      <c r="C380" s="610">
        <f t="shared" si="36"/>
        <v>0</v>
      </c>
      <c r="D380" s="611">
        <v>0</v>
      </c>
      <c r="E380" s="610">
        <f>SUMIF('Entries 24-25'!$B:$B,A:A,'Entries 24-25'!$D:$D)-SUMIF('Entries 24-25'!$B:$B,A:A,'Entries 24-25'!$E:$E)+SUMIF('IND AS entries 24-25'!$B:$B,A:A,'IND AS entries 24-25'!$D:$D)-SUMIF('IND AS entries 24-25'!$B:$B,A:A,'IND AS entries 24-25'!$E:$E)</f>
        <v>0</v>
      </c>
      <c r="F380" s="611">
        <f t="shared" si="38"/>
        <v>0</v>
      </c>
      <c r="G380" s="610"/>
      <c r="H380" s="610">
        <v>0</v>
      </c>
      <c r="I380" s="611">
        <v>0</v>
      </c>
      <c r="J380" s="610">
        <v>0</v>
      </c>
      <c r="K380" s="611">
        <f t="shared" si="39"/>
        <v>0</v>
      </c>
      <c r="L380" s="612">
        <f>VLOOKUP(A380,'BS Gr'!A:A,1,FALSE)</f>
        <v>110570</v>
      </c>
      <c r="M380" s="612">
        <f t="shared" si="35"/>
        <v>1</v>
      </c>
      <c r="N380" s="613">
        <f t="shared" si="37"/>
        <v>0</v>
      </c>
      <c r="O380" s="613">
        <f t="shared" si="41"/>
        <v>0</v>
      </c>
      <c r="P380" s="613">
        <v>0</v>
      </c>
      <c r="Q380" s="613">
        <f t="shared" si="40"/>
        <v>0</v>
      </c>
      <c r="R380" s="1514"/>
      <c r="S380" s="1617" t="e">
        <f>SUMIF('[105]TB for financial'!$A:$A,A380,'[105]TB for financial'!$E:$E)</f>
        <v>#VALUE!</v>
      </c>
      <c r="T380" s="613"/>
    </row>
    <row r="381" spans="1:20">
      <c r="A381" s="608">
        <v>110580</v>
      </c>
      <c r="B381" s="609" t="s">
        <v>1322</v>
      </c>
      <c r="C381" s="610">
        <f t="shared" si="36"/>
        <v>0</v>
      </c>
      <c r="D381" s="611">
        <v>0</v>
      </c>
      <c r="E381" s="610">
        <f>SUMIF('Entries 24-25'!$B:$B,A:A,'Entries 24-25'!$D:$D)-SUMIF('Entries 24-25'!$B:$B,A:A,'Entries 24-25'!$E:$E)+SUMIF('IND AS entries 24-25'!$B:$B,A:A,'IND AS entries 24-25'!$D:$D)-SUMIF('IND AS entries 24-25'!$B:$B,A:A,'IND AS entries 24-25'!$E:$E)</f>
        <v>0</v>
      </c>
      <c r="F381" s="611">
        <f t="shared" si="38"/>
        <v>0</v>
      </c>
      <c r="G381" s="610"/>
      <c r="H381" s="610">
        <v>0</v>
      </c>
      <c r="I381" s="611">
        <v>0</v>
      </c>
      <c r="J381" s="610">
        <v>0</v>
      </c>
      <c r="K381" s="611">
        <f t="shared" si="39"/>
        <v>0</v>
      </c>
      <c r="L381" s="612">
        <f>VLOOKUP(A381,'BS Gr'!A:A,1,FALSE)</f>
        <v>110580</v>
      </c>
      <c r="M381" s="612">
        <f t="shared" si="35"/>
        <v>1</v>
      </c>
      <c r="N381" s="613">
        <f t="shared" si="37"/>
        <v>0</v>
      </c>
      <c r="O381" s="613">
        <f t="shared" si="41"/>
        <v>0</v>
      </c>
      <c r="P381" s="613">
        <v>0</v>
      </c>
      <c r="Q381" s="613">
        <f t="shared" si="40"/>
        <v>0</v>
      </c>
      <c r="R381" s="1514"/>
      <c r="S381" s="1617" t="e">
        <f>SUMIF('[105]TB for financial'!$A:$A,A381,'[105]TB for financial'!$E:$E)</f>
        <v>#VALUE!</v>
      </c>
      <c r="T381" s="613"/>
    </row>
    <row r="382" spans="1:20">
      <c r="A382" s="608">
        <v>110590</v>
      </c>
      <c r="B382" s="609" t="s">
        <v>1323</v>
      </c>
      <c r="C382" s="610">
        <f t="shared" si="36"/>
        <v>0</v>
      </c>
      <c r="D382" s="611">
        <v>0</v>
      </c>
      <c r="E382" s="610">
        <f>SUMIF('Entries 24-25'!$B:$B,A:A,'Entries 24-25'!$D:$D)-SUMIF('Entries 24-25'!$B:$B,A:A,'Entries 24-25'!$E:$E)+SUMIF('IND AS entries 24-25'!$B:$B,A:A,'IND AS entries 24-25'!$D:$D)-SUMIF('IND AS entries 24-25'!$B:$B,A:A,'IND AS entries 24-25'!$E:$E)</f>
        <v>0</v>
      </c>
      <c r="F382" s="611">
        <f t="shared" si="38"/>
        <v>0</v>
      </c>
      <c r="G382" s="610"/>
      <c r="H382" s="610">
        <v>0</v>
      </c>
      <c r="I382" s="611">
        <v>0</v>
      </c>
      <c r="J382" s="610">
        <v>0</v>
      </c>
      <c r="K382" s="611">
        <f t="shared" si="39"/>
        <v>0</v>
      </c>
      <c r="L382" s="612">
        <f>VLOOKUP(A382,'BS Gr'!A:A,1,FALSE)</f>
        <v>110590</v>
      </c>
      <c r="M382" s="612">
        <f t="shared" si="35"/>
        <v>1</v>
      </c>
      <c r="N382" s="613">
        <f t="shared" si="37"/>
        <v>0</v>
      </c>
      <c r="O382" s="613">
        <f t="shared" si="41"/>
        <v>0</v>
      </c>
      <c r="P382" s="613">
        <v>0</v>
      </c>
      <c r="Q382" s="613">
        <f t="shared" si="40"/>
        <v>0</v>
      </c>
      <c r="R382" s="1514"/>
      <c r="S382" s="1617" t="e">
        <f>SUMIF('[105]TB for financial'!$A:$A,A382,'[105]TB for financial'!$E:$E)</f>
        <v>#VALUE!</v>
      </c>
      <c r="T382" s="613"/>
    </row>
    <row r="383" spans="1:20">
      <c r="A383" s="608">
        <v>110591</v>
      </c>
      <c r="B383" s="609" t="s">
        <v>1324</v>
      </c>
      <c r="C383" s="610">
        <f t="shared" si="36"/>
        <v>0</v>
      </c>
      <c r="D383" s="611">
        <v>0</v>
      </c>
      <c r="E383" s="610">
        <f>SUMIF('Entries 24-25'!$B:$B,A:A,'Entries 24-25'!$D:$D)-SUMIF('Entries 24-25'!$B:$B,A:A,'Entries 24-25'!$E:$E)+SUMIF('IND AS entries 24-25'!$B:$B,A:A,'IND AS entries 24-25'!$D:$D)-SUMIF('IND AS entries 24-25'!$B:$B,A:A,'IND AS entries 24-25'!$E:$E)</f>
        <v>0</v>
      </c>
      <c r="F383" s="611">
        <f t="shared" si="38"/>
        <v>0</v>
      </c>
      <c r="G383" s="610"/>
      <c r="H383" s="610">
        <v>0</v>
      </c>
      <c r="I383" s="611">
        <v>0</v>
      </c>
      <c r="J383" s="610">
        <v>0</v>
      </c>
      <c r="K383" s="611">
        <f t="shared" si="39"/>
        <v>0</v>
      </c>
      <c r="L383" s="612">
        <f>VLOOKUP(A383,'BS Gr'!A:A,1,FALSE)</f>
        <v>110591</v>
      </c>
      <c r="M383" s="612">
        <f t="shared" si="35"/>
        <v>1</v>
      </c>
      <c r="N383" s="613">
        <f t="shared" si="37"/>
        <v>0</v>
      </c>
      <c r="O383" s="613">
        <f t="shared" si="41"/>
        <v>0</v>
      </c>
      <c r="P383" s="613">
        <v>0</v>
      </c>
      <c r="Q383" s="613">
        <f t="shared" si="40"/>
        <v>0</v>
      </c>
      <c r="R383" s="1514"/>
      <c r="S383" s="1617" t="e">
        <f>SUMIF('[105]TB for financial'!$A:$A,A383,'[105]TB for financial'!$E:$E)</f>
        <v>#VALUE!</v>
      </c>
      <c r="T383" s="613"/>
    </row>
    <row r="384" spans="1:20">
      <c r="A384" s="608">
        <v>110592</v>
      </c>
      <c r="B384" s="609" t="s">
        <v>1325</v>
      </c>
      <c r="C384" s="610">
        <f t="shared" si="36"/>
        <v>0</v>
      </c>
      <c r="D384" s="611">
        <v>0</v>
      </c>
      <c r="E384" s="610">
        <f>SUMIF('Entries 24-25'!$B:$B,A:A,'Entries 24-25'!$D:$D)-SUMIF('Entries 24-25'!$B:$B,A:A,'Entries 24-25'!$E:$E)+SUMIF('IND AS entries 24-25'!$B:$B,A:A,'IND AS entries 24-25'!$D:$D)-SUMIF('IND AS entries 24-25'!$B:$B,A:A,'IND AS entries 24-25'!$E:$E)</f>
        <v>0</v>
      </c>
      <c r="F384" s="611">
        <f t="shared" si="38"/>
        <v>0</v>
      </c>
      <c r="G384" s="610"/>
      <c r="H384" s="610">
        <v>0</v>
      </c>
      <c r="I384" s="611">
        <v>0</v>
      </c>
      <c r="J384" s="610">
        <v>0</v>
      </c>
      <c r="K384" s="611">
        <f t="shared" si="39"/>
        <v>0</v>
      </c>
      <c r="L384" s="612">
        <f>VLOOKUP(A384,'BS Gr'!A:A,1,FALSE)</f>
        <v>110592</v>
      </c>
      <c r="M384" s="612">
        <f t="shared" si="35"/>
        <v>1</v>
      </c>
      <c r="N384" s="613">
        <f t="shared" si="37"/>
        <v>0</v>
      </c>
      <c r="O384" s="613">
        <f t="shared" si="41"/>
        <v>0</v>
      </c>
      <c r="P384" s="613">
        <v>0</v>
      </c>
      <c r="Q384" s="613">
        <f t="shared" si="40"/>
        <v>0</v>
      </c>
      <c r="R384" s="1514"/>
      <c r="S384" s="1617" t="e">
        <f>SUMIF('[105]TB for financial'!$A:$A,A384,'[105]TB for financial'!$E:$E)</f>
        <v>#VALUE!</v>
      </c>
      <c r="T384" s="613"/>
    </row>
    <row r="385" spans="1:20">
      <c r="A385" s="608">
        <v>110593</v>
      </c>
      <c r="B385" s="609" t="s">
        <v>1326</v>
      </c>
      <c r="C385" s="610">
        <f t="shared" si="36"/>
        <v>0</v>
      </c>
      <c r="D385" s="611">
        <v>0</v>
      </c>
      <c r="E385" s="610">
        <f>SUMIF('Entries 24-25'!$B:$B,A:A,'Entries 24-25'!$D:$D)-SUMIF('Entries 24-25'!$B:$B,A:A,'Entries 24-25'!$E:$E)+SUMIF('IND AS entries 24-25'!$B:$B,A:A,'IND AS entries 24-25'!$D:$D)-SUMIF('IND AS entries 24-25'!$B:$B,A:A,'IND AS entries 24-25'!$E:$E)</f>
        <v>0</v>
      </c>
      <c r="F385" s="611">
        <f t="shared" si="38"/>
        <v>0</v>
      </c>
      <c r="G385" s="610"/>
      <c r="H385" s="610">
        <v>0</v>
      </c>
      <c r="I385" s="611">
        <v>0</v>
      </c>
      <c r="J385" s="610">
        <v>0</v>
      </c>
      <c r="K385" s="611">
        <f t="shared" si="39"/>
        <v>0</v>
      </c>
      <c r="L385" s="612">
        <f>VLOOKUP(A385,'BS Gr'!A:A,1,FALSE)</f>
        <v>110593</v>
      </c>
      <c r="M385" s="612">
        <f t="shared" si="35"/>
        <v>1</v>
      </c>
      <c r="N385" s="613">
        <f t="shared" si="37"/>
        <v>0</v>
      </c>
      <c r="O385" s="613">
        <f t="shared" si="41"/>
        <v>0</v>
      </c>
      <c r="P385" s="613">
        <v>0</v>
      </c>
      <c r="Q385" s="613">
        <f t="shared" si="40"/>
        <v>0</v>
      </c>
      <c r="R385" s="1514"/>
      <c r="S385" s="1617" t="e">
        <f>SUMIF('[105]TB for financial'!$A:$A,A385,'[105]TB for financial'!$E:$E)</f>
        <v>#VALUE!</v>
      </c>
      <c r="T385" s="613"/>
    </row>
    <row r="386" spans="1:20">
      <c r="A386" s="608">
        <v>110594</v>
      </c>
      <c r="B386" s="609" t="s">
        <v>1327</v>
      </c>
      <c r="C386" s="610">
        <f t="shared" si="36"/>
        <v>0</v>
      </c>
      <c r="D386" s="611">
        <v>0</v>
      </c>
      <c r="E386" s="610">
        <f>SUMIF('Entries 24-25'!$B:$B,A:A,'Entries 24-25'!$D:$D)-SUMIF('Entries 24-25'!$B:$B,A:A,'Entries 24-25'!$E:$E)+SUMIF('IND AS entries 24-25'!$B:$B,A:A,'IND AS entries 24-25'!$D:$D)-SUMIF('IND AS entries 24-25'!$B:$B,A:A,'IND AS entries 24-25'!$E:$E)</f>
        <v>0</v>
      </c>
      <c r="F386" s="611">
        <f t="shared" si="38"/>
        <v>0</v>
      </c>
      <c r="G386" s="610"/>
      <c r="H386" s="610">
        <v>0</v>
      </c>
      <c r="I386" s="611">
        <v>0</v>
      </c>
      <c r="J386" s="610">
        <v>0</v>
      </c>
      <c r="K386" s="611">
        <f t="shared" si="39"/>
        <v>0</v>
      </c>
      <c r="L386" s="612">
        <f>VLOOKUP(A386,'BS Gr'!A:A,1,FALSE)</f>
        <v>110594</v>
      </c>
      <c r="M386" s="612">
        <f t="shared" si="35"/>
        <v>1</v>
      </c>
      <c r="N386" s="613">
        <f t="shared" si="37"/>
        <v>0</v>
      </c>
      <c r="O386" s="613">
        <f t="shared" si="41"/>
        <v>0</v>
      </c>
      <c r="P386" s="613">
        <v>0</v>
      </c>
      <c r="Q386" s="613">
        <f t="shared" si="40"/>
        <v>0</v>
      </c>
      <c r="R386" s="1514"/>
      <c r="S386" s="1617" t="e">
        <f>SUMIF('[105]TB for financial'!$A:$A,A386,'[105]TB for financial'!$E:$E)</f>
        <v>#VALUE!</v>
      </c>
      <c r="T386" s="613"/>
    </row>
    <row r="387" spans="1:20">
      <c r="A387" s="608">
        <v>110595</v>
      </c>
      <c r="B387" s="609" t="s">
        <v>1328</v>
      </c>
      <c r="C387" s="610">
        <f t="shared" si="36"/>
        <v>0</v>
      </c>
      <c r="D387" s="611">
        <v>0</v>
      </c>
      <c r="E387" s="610">
        <f>SUMIF('Entries 24-25'!$B:$B,A:A,'Entries 24-25'!$D:$D)-SUMIF('Entries 24-25'!$B:$B,A:A,'Entries 24-25'!$E:$E)+SUMIF('IND AS entries 24-25'!$B:$B,A:A,'IND AS entries 24-25'!$D:$D)-SUMIF('IND AS entries 24-25'!$B:$B,A:A,'IND AS entries 24-25'!$E:$E)</f>
        <v>0</v>
      </c>
      <c r="F387" s="611">
        <f t="shared" si="38"/>
        <v>0</v>
      </c>
      <c r="G387" s="610"/>
      <c r="H387" s="610">
        <v>0</v>
      </c>
      <c r="I387" s="611">
        <v>0</v>
      </c>
      <c r="J387" s="610">
        <v>0</v>
      </c>
      <c r="K387" s="611">
        <f t="shared" si="39"/>
        <v>0</v>
      </c>
      <c r="L387" s="612">
        <f>VLOOKUP(A387,'BS Gr'!A:A,1,FALSE)</f>
        <v>110595</v>
      </c>
      <c r="M387" s="612">
        <f t="shared" si="35"/>
        <v>1</v>
      </c>
      <c r="N387" s="613">
        <f t="shared" si="37"/>
        <v>0</v>
      </c>
      <c r="O387" s="613">
        <f t="shared" si="41"/>
        <v>0</v>
      </c>
      <c r="P387" s="613">
        <v>0</v>
      </c>
      <c r="Q387" s="613">
        <f t="shared" si="40"/>
        <v>0</v>
      </c>
      <c r="R387" s="1514"/>
      <c r="S387" s="1617" t="e">
        <f>SUMIF('[105]TB for financial'!$A:$A,A387,'[105]TB for financial'!$E:$E)</f>
        <v>#VALUE!</v>
      </c>
      <c r="T387" s="613"/>
    </row>
    <row r="388" spans="1:20">
      <c r="A388" s="608">
        <v>110610</v>
      </c>
      <c r="B388" s="609" t="s">
        <v>1329</v>
      </c>
      <c r="C388" s="610">
        <f t="shared" si="36"/>
        <v>0</v>
      </c>
      <c r="D388" s="611">
        <v>0</v>
      </c>
      <c r="E388" s="610">
        <f>SUMIF('Entries 24-25'!$B:$B,A:A,'Entries 24-25'!$D:$D)-SUMIF('Entries 24-25'!$B:$B,A:A,'Entries 24-25'!$E:$E)+SUMIF('IND AS entries 24-25'!$B:$B,A:A,'IND AS entries 24-25'!$D:$D)-SUMIF('IND AS entries 24-25'!$B:$B,A:A,'IND AS entries 24-25'!$E:$E)</f>
        <v>0</v>
      </c>
      <c r="F388" s="611">
        <f t="shared" si="38"/>
        <v>0</v>
      </c>
      <c r="G388" s="610"/>
      <c r="H388" s="610">
        <v>0</v>
      </c>
      <c r="I388" s="611">
        <v>0</v>
      </c>
      <c r="J388" s="610">
        <v>0</v>
      </c>
      <c r="K388" s="611">
        <f t="shared" si="39"/>
        <v>0</v>
      </c>
      <c r="L388" s="612">
        <f>VLOOKUP(A388,'BS Gr'!A:A,1,FALSE)</f>
        <v>110610</v>
      </c>
      <c r="M388" s="612">
        <f t="shared" si="35"/>
        <v>1</v>
      </c>
      <c r="N388" s="613">
        <f t="shared" si="37"/>
        <v>0</v>
      </c>
      <c r="O388" s="613">
        <f t="shared" si="41"/>
        <v>0</v>
      </c>
      <c r="P388" s="613">
        <v>652430.61658799998</v>
      </c>
      <c r="Q388" s="613">
        <f t="shared" si="40"/>
        <v>-652430.61658799998</v>
      </c>
      <c r="R388" s="1514"/>
      <c r="S388" s="1617" t="e">
        <f>SUMIF('[105]TB for financial'!$A:$A,A388,'[105]TB for financial'!$E:$E)</f>
        <v>#VALUE!</v>
      </c>
      <c r="T388" s="613"/>
    </row>
    <row r="389" spans="1:20">
      <c r="A389" s="608">
        <v>120101</v>
      </c>
      <c r="B389" s="609" t="s">
        <v>1330</v>
      </c>
      <c r="C389" s="610">
        <f t="shared" si="36"/>
        <v>0</v>
      </c>
      <c r="D389" s="611">
        <v>0</v>
      </c>
      <c r="E389" s="610">
        <f>SUMIF('Entries 24-25'!$B:$B,A:A,'Entries 24-25'!$D:$D)-SUMIF('Entries 24-25'!$B:$B,A:A,'Entries 24-25'!$E:$E)+SUMIF('IND AS entries 24-25'!$B:$B,A:A,'IND AS entries 24-25'!$D:$D)-SUMIF('IND AS entries 24-25'!$B:$B,A:A,'IND AS entries 24-25'!$E:$E)</f>
        <v>0</v>
      </c>
      <c r="F389" s="611">
        <f t="shared" si="38"/>
        <v>0</v>
      </c>
      <c r="G389" s="610"/>
      <c r="H389" s="610">
        <v>0</v>
      </c>
      <c r="I389" s="611">
        <v>0</v>
      </c>
      <c r="J389" s="610">
        <v>0</v>
      </c>
      <c r="K389" s="611">
        <f t="shared" si="39"/>
        <v>0</v>
      </c>
      <c r="L389" s="612">
        <f>VLOOKUP(A389,'BS Gr'!A:A,1,FALSE)</f>
        <v>120101</v>
      </c>
      <c r="M389" s="612">
        <f t="shared" ref="M389:M452" si="42">COUNTIF(A:A,A389)</f>
        <v>1</v>
      </c>
      <c r="N389" s="613">
        <f t="shared" si="37"/>
        <v>0</v>
      </c>
      <c r="O389" s="613">
        <f t="shared" si="41"/>
        <v>0</v>
      </c>
      <c r="P389" s="613">
        <v>0</v>
      </c>
      <c r="Q389" s="613">
        <f t="shared" si="40"/>
        <v>0</v>
      </c>
      <c r="R389" s="1514"/>
      <c r="S389" s="1617" t="e">
        <f>SUMIF('[105]TB for financial'!$A:$A,A389,'[105]TB for financial'!$E:$E)</f>
        <v>#VALUE!</v>
      </c>
      <c r="T389" s="613"/>
    </row>
    <row r="390" spans="1:20">
      <c r="A390" s="608">
        <v>120201</v>
      </c>
      <c r="B390" s="609" t="s">
        <v>1331</v>
      </c>
      <c r="C390" s="610">
        <f t="shared" ref="C390:C453" si="43">K390</f>
        <v>0</v>
      </c>
      <c r="D390" s="611">
        <v>0</v>
      </c>
      <c r="E390" s="610">
        <f>SUMIF('Entries 24-25'!$B:$B,A:A,'Entries 24-25'!$D:$D)-SUMIF('Entries 24-25'!$B:$B,A:A,'Entries 24-25'!$E:$E)+SUMIF('IND AS entries 24-25'!$B:$B,A:A,'IND AS entries 24-25'!$D:$D)-SUMIF('IND AS entries 24-25'!$B:$B,A:A,'IND AS entries 24-25'!$E:$E)</f>
        <v>0</v>
      </c>
      <c r="F390" s="611">
        <f t="shared" si="38"/>
        <v>0</v>
      </c>
      <c r="G390" s="610"/>
      <c r="H390" s="610">
        <v>0</v>
      </c>
      <c r="I390" s="611">
        <v>0</v>
      </c>
      <c r="J390" s="610">
        <v>0</v>
      </c>
      <c r="K390" s="611">
        <f t="shared" si="39"/>
        <v>0</v>
      </c>
      <c r="L390" s="612">
        <f>VLOOKUP(A390,'BS Gr'!A:A,1,FALSE)</f>
        <v>120201</v>
      </c>
      <c r="M390" s="612">
        <f t="shared" si="42"/>
        <v>1</v>
      </c>
      <c r="N390" s="613">
        <f t="shared" ref="N390:N453" si="44">C390-K390</f>
        <v>0</v>
      </c>
      <c r="O390" s="613">
        <f t="shared" si="41"/>
        <v>0</v>
      </c>
      <c r="P390" s="613">
        <v>0</v>
      </c>
      <c r="Q390" s="613">
        <f t="shared" si="40"/>
        <v>0</v>
      </c>
      <c r="R390" s="1514"/>
      <c r="S390" s="1617" t="e">
        <f>SUMIF('[105]TB for financial'!$A:$A,A390,'[105]TB for financial'!$E:$E)</f>
        <v>#VALUE!</v>
      </c>
      <c r="T390" s="613"/>
    </row>
    <row r="391" spans="1:20">
      <c r="A391" s="608">
        <v>200010</v>
      </c>
      <c r="B391" s="609" t="s">
        <v>1332</v>
      </c>
      <c r="C391" s="610">
        <f t="shared" si="43"/>
        <v>0</v>
      </c>
      <c r="D391" s="611">
        <v>0</v>
      </c>
      <c r="E391" s="610">
        <f>SUMIF('Entries 24-25'!$B:$B,A:A,'Entries 24-25'!$D:$D)-SUMIF('Entries 24-25'!$B:$B,A:A,'Entries 24-25'!$E:$E)+SUMIF('IND AS entries 24-25'!$B:$B,A:A,'IND AS entries 24-25'!$D:$D)-SUMIF('IND AS entries 24-25'!$B:$B,A:A,'IND AS entries 24-25'!$E:$E)</f>
        <v>0</v>
      </c>
      <c r="F391" s="611">
        <f t="shared" si="38"/>
        <v>0</v>
      </c>
      <c r="G391" s="610"/>
      <c r="H391" s="610">
        <v>0</v>
      </c>
      <c r="I391" s="611">
        <v>0</v>
      </c>
      <c r="J391" s="610">
        <v>0</v>
      </c>
      <c r="K391" s="611">
        <f t="shared" si="39"/>
        <v>0</v>
      </c>
      <c r="L391" s="612">
        <f>VLOOKUP(A391,'BS Gr'!A:A,1,FALSE)</f>
        <v>200010</v>
      </c>
      <c r="M391" s="612">
        <f t="shared" si="42"/>
        <v>1</v>
      </c>
      <c r="N391" s="613">
        <f t="shared" si="44"/>
        <v>0</v>
      </c>
      <c r="O391" s="613">
        <f t="shared" si="41"/>
        <v>0</v>
      </c>
      <c r="P391" s="613">
        <v>-201537.36000000499</v>
      </c>
      <c r="Q391" s="613">
        <f t="shared" si="40"/>
        <v>201537.36000000499</v>
      </c>
      <c r="R391" s="1514"/>
      <c r="S391" s="1617" t="e">
        <f>SUMIF('[105]TB for financial'!$A:$A,A391,'[105]TB for financial'!$E:$E)</f>
        <v>#VALUE!</v>
      </c>
      <c r="T391" s="613"/>
    </row>
    <row r="392" spans="1:20">
      <c r="A392" s="608">
        <v>200011</v>
      </c>
      <c r="B392" s="609" t="s">
        <v>1333</v>
      </c>
      <c r="C392" s="610">
        <f t="shared" si="43"/>
        <v>0</v>
      </c>
      <c r="D392" s="611">
        <v>0</v>
      </c>
      <c r="E392" s="610">
        <f>SUMIF('Entries 24-25'!$B:$B,A:A,'Entries 24-25'!$D:$D)-SUMIF('Entries 24-25'!$B:$B,A:A,'Entries 24-25'!$E:$E)+SUMIF('IND AS entries 24-25'!$B:$B,A:A,'IND AS entries 24-25'!$D:$D)-SUMIF('IND AS entries 24-25'!$B:$B,A:A,'IND AS entries 24-25'!$E:$E)</f>
        <v>0</v>
      </c>
      <c r="F392" s="611">
        <f t="shared" ref="F392:F455" si="45">SUM(C392:E392)</f>
        <v>0</v>
      </c>
      <c r="G392" s="610"/>
      <c r="H392" s="610">
        <v>0</v>
      </c>
      <c r="I392" s="611">
        <v>0</v>
      </c>
      <c r="J392" s="610">
        <v>0</v>
      </c>
      <c r="K392" s="611">
        <f t="shared" ref="K392:K455" si="46">SUM(H392:J392)</f>
        <v>0</v>
      </c>
      <c r="L392" s="612">
        <f>VLOOKUP(A392,'BS Gr'!A:A,1,FALSE)</f>
        <v>200011</v>
      </c>
      <c r="M392" s="612">
        <f t="shared" si="42"/>
        <v>1</v>
      </c>
      <c r="N392" s="613">
        <f t="shared" si="44"/>
        <v>0</v>
      </c>
      <c r="O392" s="613">
        <f t="shared" si="41"/>
        <v>0</v>
      </c>
      <c r="P392" s="613">
        <v>0</v>
      </c>
      <c r="Q392" s="613">
        <f t="shared" si="40"/>
        <v>0</v>
      </c>
      <c r="R392" s="1514"/>
      <c r="S392" s="1617" t="e">
        <f>SUMIF('[105]TB for financial'!$A:$A,A392,'[105]TB for financial'!$E:$E)</f>
        <v>#VALUE!</v>
      </c>
      <c r="T392" s="613"/>
    </row>
    <row r="393" spans="1:20">
      <c r="A393" s="608">
        <v>200012</v>
      </c>
      <c r="B393" s="609" t="s">
        <v>1334</v>
      </c>
      <c r="C393" s="610">
        <f t="shared" si="43"/>
        <v>0</v>
      </c>
      <c r="D393" s="611">
        <v>0</v>
      </c>
      <c r="E393" s="610">
        <f>SUMIF('Entries 24-25'!$B:$B,A:A,'Entries 24-25'!$D:$D)-SUMIF('Entries 24-25'!$B:$B,A:A,'Entries 24-25'!$E:$E)+SUMIF('IND AS entries 24-25'!$B:$B,A:A,'IND AS entries 24-25'!$D:$D)-SUMIF('IND AS entries 24-25'!$B:$B,A:A,'IND AS entries 24-25'!$E:$E)</f>
        <v>0</v>
      </c>
      <c r="F393" s="611">
        <f t="shared" si="45"/>
        <v>0</v>
      </c>
      <c r="G393" s="610"/>
      <c r="H393" s="610">
        <v>0</v>
      </c>
      <c r="I393" s="611">
        <v>0</v>
      </c>
      <c r="J393" s="610">
        <v>0</v>
      </c>
      <c r="K393" s="611">
        <f t="shared" si="46"/>
        <v>0</v>
      </c>
      <c r="L393" s="612">
        <f>VLOOKUP(A393,'BS Gr'!A:A,1,FALSE)</f>
        <v>200012</v>
      </c>
      <c r="M393" s="612">
        <f t="shared" si="42"/>
        <v>1</v>
      </c>
      <c r="N393" s="613">
        <f t="shared" si="44"/>
        <v>0</v>
      </c>
      <c r="O393" s="613">
        <f t="shared" si="41"/>
        <v>0</v>
      </c>
      <c r="P393" s="613">
        <v>0</v>
      </c>
      <c r="Q393" s="613">
        <f t="shared" si="40"/>
        <v>0</v>
      </c>
      <c r="R393" s="1514"/>
      <c r="S393" s="1617" t="e">
        <f>SUMIF('[105]TB for financial'!$A:$A,A393,'[105]TB for financial'!$E:$E)</f>
        <v>#VALUE!</v>
      </c>
      <c r="T393" s="613"/>
    </row>
    <row r="394" spans="1:20">
      <c r="A394" s="608">
        <v>200013</v>
      </c>
      <c r="B394" s="609" t="s">
        <v>1335</v>
      </c>
      <c r="C394" s="610">
        <f t="shared" si="43"/>
        <v>0</v>
      </c>
      <c r="D394" s="611">
        <v>0</v>
      </c>
      <c r="E394" s="610">
        <f>SUMIF('Entries 24-25'!$B:$B,A:A,'Entries 24-25'!$D:$D)-SUMIF('Entries 24-25'!$B:$B,A:A,'Entries 24-25'!$E:$E)+SUMIF('IND AS entries 24-25'!$B:$B,A:A,'IND AS entries 24-25'!$D:$D)-SUMIF('IND AS entries 24-25'!$B:$B,A:A,'IND AS entries 24-25'!$E:$E)</f>
        <v>0</v>
      </c>
      <c r="F394" s="611">
        <f t="shared" si="45"/>
        <v>0</v>
      </c>
      <c r="G394" s="610"/>
      <c r="H394" s="610">
        <v>0</v>
      </c>
      <c r="I394" s="611">
        <v>0</v>
      </c>
      <c r="J394" s="610">
        <v>0</v>
      </c>
      <c r="K394" s="611">
        <f t="shared" si="46"/>
        <v>0</v>
      </c>
      <c r="L394" s="612">
        <f>VLOOKUP(A394,'BS Gr'!A:A,1,FALSE)</f>
        <v>200013</v>
      </c>
      <c r="M394" s="612">
        <f t="shared" si="42"/>
        <v>1</v>
      </c>
      <c r="N394" s="613">
        <f t="shared" si="44"/>
        <v>0</v>
      </c>
      <c r="O394" s="613">
        <f t="shared" si="41"/>
        <v>0</v>
      </c>
      <c r="P394" s="613">
        <v>0</v>
      </c>
      <c r="Q394" s="613">
        <f t="shared" si="40"/>
        <v>0</v>
      </c>
      <c r="R394" s="1514"/>
      <c r="S394" s="1617" t="e">
        <f>SUMIF('[105]TB for financial'!$A:$A,A394,'[105]TB for financial'!$E:$E)</f>
        <v>#VALUE!</v>
      </c>
      <c r="T394" s="613"/>
    </row>
    <row r="395" spans="1:20">
      <c r="A395" s="608">
        <v>200014</v>
      </c>
      <c r="B395" s="609" t="s">
        <v>1336</v>
      </c>
      <c r="C395" s="610">
        <f t="shared" si="43"/>
        <v>0</v>
      </c>
      <c r="D395" s="611">
        <v>0</v>
      </c>
      <c r="E395" s="610">
        <f>SUMIF('Entries 24-25'!$B:$B,A:A,'Entries 24-25'!$D:$D)-SUMIF('Entries 24-25'!$B:$B,A:A,'Entries 24-25'!$E:$E)+SUMIF('IND AS entries 24-25'!$B:$B,A:A,'IND AS entries 24-25'!$D:$D)-SUMIF('IND AS entries 24-25'!$B:$B,A:A,'IND AS entries 24-25'!$E:$E)</f>
        <v>0</v>
      </c>
      <c r="F395" s="611">
        <f t="shared" si="45"/>
        <v>0</v>
      </c>
      <c r="G395" s="610"/>
      <c r="H395" s="610">
        <v>0</v>
      </c>
      <c r="I395" s="611">
        <v>0</v>
      </c>
      <c r="J395" s="610">
        <v>0</v>
      </c>
      <c r="K395" s="611">
        <f t="shared" si="46"/>
        <v>0</v>
      </c>
      <c r="L395" s="612">
        <f>VLOOKUP(A395,'BS Gr'!A:A,1,FALSE)</f>
        <v>200014</v>
      </c>
      <c r="M395" s="612">
        <f t="shared" si="42"/>
        <v>1</v>
      </c>
      <c r="N395" s="613">
        <f t="shared" si="44"/>
        <v>0</v>
      </c>
      <c r="O395" s="613">
        <f t="shared" si="41"/>
        <v>0</v>
      </c>
      <c r="P395" s="613">
        <v>0</v>
      </c>
      <c r="Q395" s="613">
        <f t="shared" si="40"/>
        <v>0</v>
      </c>
      <c r="R395" s="1514"/>
      <c r="S395" s="1617" t="e">
        <f>SUMIF('[105]TB for financial'!$A:$A,A395,'[105]TB for financial'!$E:$E)</f>
        <v>#VALUE!</v>
      </c>
      <c r="T395" s="613"/>
    </row>
    <row r="396" spans="1:20">
      <c r="A396" s="608">
        <v>200015</v>
      </c>
      <c r="B396" s="609" t="s">
        <v>1337</v>
      </c>
      <c r="C396" s="610">
        <f t="shared" si="43"/>
        <v>0</v>
      </c>
      <c r="D396" s="611">
        <v>0</v>
      </c>
      <c r="E396" s="610">
        <f>SUMIF('Entries 24-25'!$B:$B,A:A,'Entries 24-25'!$D:$D)-SUMIF('Entries 24-25'!$B:$B,A:A,'Entries 24-25'!$E:$E)+SUMIF('IND AS entries 24-25'!$B:$B,A:A,'IND AS entries 24-25'!$D:$D)-SUMIF('IND AS entries 24-25'!$B:$B,A:A,'IND AS entries 24-25'!$E:$E)</f>
        <v>0</v>
      </c>
      <c r="F396" s="611">
        <f t="shared" si="45"/>
        <v>0</v>
      </c>
      <c r="G396" s="610"/>
      <c r="H396" s="610">
        <v>0</v>
      </c>
      <c r="I396" s="611">
        <v>0</v>
      </c>
      <c r="J396" s="610">
        <v>0</v>
      </c>
      <c r="K396" s="611">
        <f t="shared" si="46"/>
        <v>0</v>
      </c>
      <c r="L396" s="612">
        <f>VLOOKUP(A396,'BS Gr'!A:A,1,FALSE)</f>
        <v>200015</v>
      </c>
      <c r="M396" s="612">
        <f t="shared" si="42"/>
        <v>1</v>
      </c>
      <c r="N396" s="613">
        <f t="shared" si="44"/>
        <v>0</v>
      </c>
      <c r="O396" s="613">
        <f t="shared" si="41"/>
        <v>0</v>
      </c>
      <c r="P396" s="613">
        <v>0</v>
      </c>
      <c r="Q396" s="613">
        <f t="shared" si="40"/>
        <v>0</v>
      </c>
      <c r="R396" s="1514"/>
      <c r="S396" s="1617" t="e">
        <f>SUMIF('[105]TB for financial'!$A:$A,A396,'[105]TB for financial'!$E:$E)</f>
        <v>#VALUE!</v>
      </c>
      <c r="T396" s="613"/>
    </row>
    <row r="397" spans="1:20">
      <c r="A397" s="608">
        <v>200016</v>
      </c>
      <c r="B397" s="609" t="s">
        <v>1338</v>
      </c>
      <c r="C397" s="610">
        <f t="shared" si="43"/>
        <v>0</v>
      </c>
      <c r="D397" s="611">
        <v>0</v>
      </c>
      <c r="E397" s="610">
        <f>SUMIF('Entries 24-25'!$B:$B,A:A,'Entries 24-25'!$D:$D)-SUMIF('Entries 24-25'!$B:$B,A:A,'Entries 24-25'!$E:$E)+SUMIF('IND AS entries 24-25'!$B:$B,A:A,'IND AS entries 24-25'!$D:$D)-SUMIF('IND AS entries 24-25'!$B:$B,A:A,'IND AS entries 24-25'!$E:$E)</f>
        <v>0</v>
      </c>
      <c r="F397" s="611">
        <f t="shared" si="45"/>
        <v>0</v>
      </c>
      <c r="G397" s="610"/>
      <c r="H397" s="610">
        <v>0</v>
      </c>
      <c r="I397" s="611">
        <v>0</v>
      </c>
      <c r="J397" s="610">
        <v>0</v>
      </c>
      <c r="K397" s="611">
        <f t="shared" si="46"/>
        <v>0</v>
      </c>
      <c r="L397" s="612">
        <f>VLOOKUP(A397,'BS Gr'!A:A,1,FALSE)</f>
        <v>200016</v>
      </c>
      <c r="M397" s="612">
        <f t="shared" si="42"/>
        <v>1</v>
      </c>
      <c r="N397" s="613">
        <f t="shared" si="44"/>
        <v>0</v>
      </c>
      <c r="O397" s="613">
        <f t="shared" si="41"/>
        <v>0</v>
      </c>
      <c r="P397" s="613">
        <v>0</v>
      </c>
      <c r="Q397" s="613">
        <f t="shared" si="40"/>
        <v>0</v>
      </c>
      <c r="R397" s="1514"/>
      <c r="S397" s="1617" t="e">
        <f>SUMIF('[105]TB for financial'!$A:$A,A397,'[105]TB for financial'!$E:$E)</f>
        <v>#VALUE!</v>
      </c>
      <c r="T397" s="613"/>
    </row>
    <row r="398" spans="1:20">
      <c r="A398" s="608">
        <v>200018</v>
      </c>
      <c r="B398" s="609" t="s">
        <v>1339</v>
      </c>
      <c r="C398" s="610">
        <f t="shared" si="43"/>
        <v>-0.9</v>
      </c>
      <c r="D398" s="611">
        <v>0</v>
      </c>
      <c r="E398" s="610">
        <f>SUMIF('Entries 24-25'!$B:$B,A:A,'Entries 24-25'!$D:$D)-SUMIF('Entries 24-25'!$B:$B,A:A,'Entries 24-25'!$E:$E)+SUMIF('IND AS entries 24-25'!$B:$B,A:A,'IND AS entries 24-25'!$D:$D)-SUMIF('IND AS entries 24-25'!$B:$B,A:A,'IND AS entries 24-25'!$E:$E)</f>
        <v>0</v>
      </c>
      <c r="F398" s="611">
        <f t="shared" si="45"/>
        <v>-0.9</v>
      </c>
      <c r="G398" s="610"/>
      <c r="H398" s="610">
        <v>-0.9</v>
      </c>
      <c r="I398" s="611">
        <v>0</v>
      </c>
      <c r="J398" s="610">
        <v>0</v>
      </c>
      <c r="K398" s="611">
        <f t="shared" si="46"/>
        <v>-0.9</v>
      </c>
      <c r="L398" s="612">
        <f>VLOOKUP(A398,'BS Gr'!A:A,1,FALSE)</f>
        <v>200018</v>
      </c>
      <c r="M398" s="612">
        <f t="shared" si="42"/>
        <v>1</v>
      </c>
      <c r="N398" s="613">
        <f t="shared" si="44"/>
        <v>0</v>
      </c>
      <c r="O398" s="613">
        <f t="shared" si="41"/>
        <v>0</v>
      </c>
      <c r="P398" s="613">
        <v>0</v>
      </c>
      <c r="Q398" s="613">
        <f t="shared" si="40"/>
        <v>-0.9</v>
      </c>
      <c r="R398" s="1514"/>
      <c r="S398" s="1617" t="e">
        <f>SUMIF('[105]TB for financial'!$A:$A,A398,'[105]TB for financial'!$E:$E)</f>
        <v>#VALUE!</v>
      </c>
      <c r="T398" s="613"/>
    </row>
    <row r="399" spans="1:20">
      <c r="A399" s="608">
        <v>200019</v>
      </c>
      <c r="B399" s="609" t="s">
        <v>1340</v>
      </c>
      <c r="C399" s="610">
        <f t="shared" si="43"/>
        <v>0</v>
      </c>
      <c r="D399" s="611">
        <v>0</v>
      </c>
      <c r="E399" s="610">
        <f>SUMIF('Entries 24-25'!$B:$B,A:A,'Entries 24-25'!$D:$D)-SUMIF('Entries 24-25'!$B:$B,A:A,'Entries 24-25'!$E:$E)+SUMIF('IND AS entries 24-25'!$B:$B,A:A,'IND AS entries 24-25'!$D:$D)-SUMIF('IND AS entries 24-25'!$B:$B,A:A,'IND AS entries 24-25'!$E:$E)</f>
        <v>0</v>
      </c>
      <c r="F399" s="611">
        <f t="shared" si="45"/>
        <v>0</v>
      </c>
      <c r="G399" s="610"/>
      <c r="H399" s="610">
        <v>0</v>
      </c>
      <c r="I399" s="611">
        <v>0</v>
      </c>
      <c r="J399" s="610">
        <v>0</v>
      </c>
      <c r="K399" s="611">
        <f t="shared" si="46"/>
        <v>0</v>
      </c>
      <c r="L399" s="612">
        <f>VLOOKUP(A399,'BS Gr'!A:A,1,FALSE)</f>
        <v>200019</v>
      </c>
      <c r="M399" s="612">
        <f t="shared" si="42"/>
        <v>1</v>
      </c>
      <c r="N399" s="613">
        <f t="shared" si="44"/>
        <v>0</v>
      </c>
      <c r="O399" s="613">
        <f t="shared" si="41"/>
        <v>0</v>
      </c>
      <c r="P399" s="613">
        <v>1622.4999999998881</v>
      </c>
      <c r="Q399" s="613">
        <f t="shared" si="40"/>
        <v>-1622.4999999998881</v>
      </c>
      <c r="R399" s="1514"/>
      <c r="S399" s="1617" t="e">
        <f>SUMIF('[105]TB for financial'!$A:$A,A399,'[105]TB for financial'!$E:$E)</f>
        <v>#VALUE!</v>
      </c>
      <c r="T399" s="613"/>
    </row>
    <row r="400" spans="1:20">
      <c r="A400" s="608">
        <v>200021</v>
      </c>
      <c r="B400" s="609" t="s">
        <v>1341</v>
      </c>
      <c r="C400" s="610">
        <f t="shared" si="43"/>
        <v>1.0000000002037268E-2</v>
      </c>
      <c r="D400" s="611">
        <v>0</v>
      </c>
      <c r="E400" s="610">
        <f>SUMIF('Entries 24-25'!$B:$B,A:A,'Entries 24-25'!$D:$D)-SUMIF('Entries 24-25'!$B:$B,A:A,'Entries 24-25'!$E:$E)+SUMIF('IND AS entries 24-25'!$B:$B,A:A,'IND AS entries 24-25'!$D:$D)-SUMIF('IND AS entries 24-25'!$B:$B,A:A,'IND AS entries 24-25'!$E:$E)</f>
        <v>0</v>
      </c>
      <c r="F400" s="611">
        <f t="shared" si="45"/>
        <v>1.0000000002037268E-2</v>
      </c>
      <c r="G400" s="610"/>
      <c r="H400" s="610">
        <v>1.0000000002037268E-2</v>
      </c>
      <c r="I400" s="611">
        <v>0</v>
      </c>
      <c r="J400" s="610">
        <v>0</v>
      </c>
      <c r="K400" s="611">
        <f t="shared" si="46"/>
        <v>1.0000000002037268E-2</v>
      </c>
      <c r="L400" s="612">
        <f>VLOOKUP(A400,'BS Gr'!A:A,1,FALSE)</f>
        <v>200021</v>
      </c>
      <c r="M400" s="612">
        <f t="shared" si="42"/>
        <v>1</v>
      </c>
      <c r="N400" s="613">
        <f t="shared" si="44"/>
        <v>0</v>
      </c>
      <c r="O400" s="613">
        <f t="shared" si="41"/>
        <v>0</v>
      </c>
      <c r="P400" s="613">
        <v>-0.01</v>
      </c>
      <c r="Q400" s="613">
        <f t="shared" si="40"/>
        <v>2.000000000203727E-2</v>
      </c>
      <c r="R400" s="1514"/>
      <c r="S400" s="1617" t="e">
        <f>SUMIF('[105]TB for financial'!$A:$A,A400,'[105]TB for financial'!$E:$E)</f>
        <v>#VALUE!</v>
      </c>
      <c r="T400" s="613"/>
    </row>
    <row r="401" spans="1:20">
      <c r="A401" s="608">
        <v>200022</v>
      </c>
      <c r="B401" s="609" t="s">
        <v>1342</v>
      </c>
      <c r="C401" s="610">
        <f t="shared" si="43"/>
        <v>0</v>
      </c>
      <c r="D401" s="611">
        <v>0</v>
      </c>
      <c r="E401" s="610">
        <f>SUMIF('Entries 24-25'!$B:$B,A:A,'Entries 24-25'!$D:$D)-SUMIF('Entries 24-25'!$B:$B,A:A,'Entries 24-25'!$E:$E)+SUMIF('IND AS entries 24-25'!$B:$B,A:A,'IND AS entries 24-25'!$D:$D)-SUMIF('IND AS entries 24-25'!$B:$B,A:A,'IND AS entries 24-25'!$E:$E)</f>
        <v>0</v>
      </c>
      <c r="F401" s="611">
        <f t="shared" si="45"/>
        <v>0</v>
      </c>
      <c r="G401" s="610"/>
      <c r="H401" s="610">
        <v>0</v>
      </c>
      <c r="I401" s="611">
        <v>0</v>
      </c>
      <c r="J401" s="610">
        <v>0</v>
      </c>
      <c r="K401" s="611">
        <f t="shared" si="46"/>
        <v>0</v>
      </c>
      <c r="L401" s="612">
        <f>VLOOKUP(A401,'BS Gr'!A:A,1,FALSE)</f>
        <v>200022</v>
      </c>
      <c r="M401" s="612">
        <f t="shared" si="42"/>
        <v>1</v>
      </c>
      <c r="N401" s="613">
        <f t="shared" si="44"/>
        <v>0</v>
      </c>
      <c r="O401" s="613">
        <f t="shared" si="41"/>
        <v>0</v>
      </c>
      <c r="P401" s="613">
        <v>-7236.57</v>
      </c>
      <c r="Q401" s="613">
        <f t="shared" si="40"/>
        <v>7236.57</v>
      </c>
      <c r="R401" s="1514"/>
      <c r="S401" s="1617" t="e">
        <f>SUMIF('[105]TB for financial'!$A:$A,A401,'[105]TB for financial'!$E:$E)</f>
        <v>#VALUE!</v>
      </c>
      <c r="T401" s="613"/>
    </row>
    <row r="402" spans="1:20">
      <c r="A402" s="608">
        <v>200026</v>
      </c>
      <c r="B402" s="609" t="s">
        <v>612</v>
      </c>
      <c r="C402" s="610">
        <f t="shared" si="43"/>
        <v>0</v>
      </c>
      <c r="D402" s="611">
        <v>0</v>
      </c>
      <c r="E402" s="610">
        <f>SUMIF('Entries 24-25'!$B:$B,A:A,'Entries 24-25'!$D:$D)-SUMIF('Entries 24-25'!$B:$B,A:A,'Entries 24-25'!$E:$E)+SUMIF('IND AS entries 24-25'!$B:$B,A:A,'IND AS entries 24-25'!$D:$D)-SUMIF('IND AS entries 24-25'!$B:$B,A:A,'IND AS entries 24-25'!$E:$E)</f>
        <v>0</v>
      </c>
      <c r="F402" s="611">
        <f t="shared" si="45"/>
        <v>0</v>
      </c>
      <c r="G402" s="610"/>
      <c r="H402" s="610">
        <v>0</v>
      </c>
      <c r="I402" s="611">
        <v>0</v>
      </c>
      <c r="J402" s="610">
        <v>0</v>
      </c>
      <c r="K402" s="611">
        <f t="shared" si="46"/>
        <v>0</v>
      </c>
      <c r="L402" s="612">
        <f>VLOOKUP(A402,'BS Gr'!A:A,1,FALSE)</f>
        <v>200026</v>
      </c>
      <c r="M402" s="612">
        <f t="shared" si="42"/>
        <v>1</v>
      </c>
      <c r="N402" s="613">
        <f t="shared" si="44"/>
        <v>0</v>
      </c>
      <c r="O402" s="613">
        <f t="shared" si="41"/>
        <v>0</v>
      </c>
      <c r="P402" s="613">
        <v>0</v>
      </c>
      <c r="Q402" s="613">
        <f t="shared" si="40"/>
        <v>0</v>
      </c>
      <c r="R402" s="1514"/>
      <c r="S402" s="1617" t="e">
        <f>SUMIF('[105]TB for financial'!$A:$A,A402,'[105]TB for financial'!$E:$E)</f>
        <v>#VALUE!</v>
      </c>
      <c r="T402" s="613"/>
    </row>
    <row r="403" spans="1:20">
      <c r="A403" s="608">
        <v>200041</v>
      </c>
      <c r="B403" s="609" t="s">
        <v>1343</v>
      </c>
      <c r="C403" s="610">
        <f t="shared" si="43"/>
        <v>-3.7109993863850832E-2</v>
      </c>
      <c r="D403" s="611">
        <v>0</v>
      </c>
      <c r="E403" s="610">
        <f>SUMIF('Entries 24-25'!$B:$B,A:A,'Entries 24-25'!$D:$D)-SUMIF('Entries 24-25'!$B:$B,A:A,'Entries 24-25'!$E:$E)+SUMIF('IND AS entries 24-25'!$B:$B,A:A,'IND AS entries 24-25'!$D:$D)-SUMIF('IND AS entries 24-25'!$B:$B,A:A,'IND AS entries 24-25'!$E:$E)</f>
        <v>0</v>
      </c>
      <c r="F403" s="611">
        <f t="shared" si="45"/>
        <v>-3.7109993863850832E-2</v>
      </c>
      <c r="G403" s="610"/>
      <c r="H403" s="610">
        <v>-3.7109993863850832E-2</v>
      </c>
      <c r="I403" s="611">
        <v>0</v>
      </c>
      <c r="J403" s="610">
        <v>0</v>
      </c>
      <c r="K403" s="611">
        <f t="shared" si="46"/>
        <v>-3.7109993863850832E-2</v>
      </c>
      <c r="L403" s="612">
        <f>VLOOKUP(A403,'BS Gr'!A:A,1,FALSE)</f>
        <v>200041</v>
      </c>
      <c r="M403" s="612">
        <f t="shared" si="42"/>
        <v>1</v>
      </c>
      <c r="N403" s="613">
        <f t="shared" si="44"/>
        <v>0</v>
      </c>
      <c r="O403" s="613">
        <f t="shared" si="41"/>
        <v>0</v>
      </c>
      <c r="P403" s="613">
        <v>-5719864.0323499916</v>
      </c>
      <c r="Q403" s="613">
        <f t="shared" si="40"/>
        <v>5719863.9952399973</v>
      </c>
      <c r="R403" s="1514"/>
      <c r="S403" s="1617" t="e">
        <f>SUMIF('[105]TB for financial'!$A:$A,A403,'[105]TB for financial'!$E:$E)</f>
        <v>#VALUE!</v>
      </c>
      <c r="T403" s="613"/>
    </row>
    <row r="404" spans="1:20">
      <c r="A404" s="608">
        <v>201005</v>
      </c>
      <c r="B404" s="609" t="s">
        <v>1344</v>
      </c>
      <c r="C404" s="610">
        <f t="shared" si="43"/>
        <v>0</v>
      </c>
      <c r="D404" s="611">
        <v>0</v>
      </c>
      <c r="E404" s="610">
        <f>SUMIF('Entries 24-25'!$B:$B,A:A,'Entries 24-25'!$D:$D)-SUMIF('Entries 24-25'!$B:$B,A:A,'Entries 24-25'!$E:$E)+SUMIF('IND AS entries 24-25'!$B:$B,A:A,'IND AS entries 24-25'!$D:$D)-SUMIF('IND AS entries 24-25'!$B:$B,A:A,'IND AS entries 24-25'!$E:$E)</f>
        <v>0</v>
      </c>
      <c r="F404" s="611">
        <f t="shared" si="45"/>
        <v>0</v>
      </c>
      <c r="G404" s="610"/>
      <c r="H404" s="610">
        <v>0</v>
      </c>
      <c r="I404" s="611">
        <v>0</v>
      </c>
      <c r="J404" s="610">
        <v>0</v>
      </c>
      <c r="K404" s="611">
        <f t="shared" si="46"/>
        <v>0</v>
      </c>
      <c r="L404" s="612">
        <f>VLOOKUP(A404,'BS Gr'!A:A,1,FALSE)</f>
        <v>201005</v>
      </c>
      <c r="M404" s="612">
        <f t="shared" si="42"/>
        <v>1</v>
      </c>
      <c r="N404" s="613">
        <f t="shared" si="44"/>
        <v>0</v>
      </c>
      <c r="O404" s="613">
        <f t="shared" si="41"/>
        <v>0</v>
      </c>
      <c r="P404" s="613">
        <v>0</v>
      </c>
      <c r="Q404" s="613">
        <f t="shared" si="40"/>
        <v>0</v>
      </c>
      <c r="R404" s="1514"/>
      <c r="S404" s="1617" t="e">
        <f>SUMIF('[105]TB for financial'!$A:$A,A404,'[105]TB for financial'!$E:$E)</f>
        <v>#VALUE!</v>
      </c>
      <c r="T404" s="613"/>
    </row>
    <row r="405" spans="1:20">
      <c r="A405" s="608">
        <v>201010</v>
      </c>
      <c r="B405" s="609" t="s">
        <v>1345</v>
      </c>
      <c r="C405" s="610">
        <f t="shared" si="43"/>
        <v>0</v>
      </c>
      <c r="D405" s="611">
        <v>0</v>
      </c>
      <c r="E405" s="610">
        <f>SUMIF('Entries 24-25'!$B:$B,A:A,'Entries 24-25'!$D:$D)-SUMIF('Entries 24-25'!$B:$B,A:A,'Entries 24-25'!$E:$E)+SUMIF('IND AS entries 24-25'!$B:$B,A:A,'IND AS entries 24-25'!$D:$D)-SUMIF('IND AS entries 24-25'!$B:$B,A:A,'IND AS entries 24-25'!$E:$E)</f>
        <v>0</v>
      </c>
      <c r="F405" s="611">
        <f t="shared" si="45"/>
        <v>0</v>
      </c>
      <c r="G405" s="610"/>
      <c r="H405" s="610">
        <v>0</v>
      </c>
      <c r="I405" s="611">
        <v>0</v>
      </c>
      <c r="J405" s="610">
        <v>0</v>
      </c>
      <c r="K405" s="611">
        <f t="shared" si="46"/>
        <v>0</v>
      </c>
      <c r="L405" s="612">
        <f>VLOOKUP(A405,'BS Gr'!A:A,1,FALSE)</f>
        <v>201010</v>
      </c>
      <c r="M405" s="612">
        <f t="shared" si="42"/>
        <v>1</v>
      </c>
      <c r="N405" s="613">
        <f t="shared" si="44"/>
        <v>0</v>
      </c>
      <c r="O405" s="613">
        <f t="shared" si="41"/>
        <v>0</v>
      </c>
      <c r="P405" s="613">
        <v>0</v>
      </c>
      <c r="Q405" s="613">
        <f t="shared" si="40"/>
        <v>0</v>
      </c>
      <c r="R405" s="1514"/>
      <c r="S405" s="1617" t="e">
        <f>SUMIF('[105]TB for financial'!$A:$A,A405,'[105]TB for financial'!$E:$E)</f>
        <v>#VALUE!</v>
      </c>
      <c r="T405" s="613"/>
    </row>
    <row r="406" spans="1:20">
      <c r="A406" s="608">
        <v>201015</v>
      </c>
      <c r="B406" s="609" t="s">
        <v>1346</v>
      </c>
      <c r="C406" s="610">
        <f t="shared" si="43"/>
        <v>0</v>
      </c>
      <c r="D406" s="611">
        <v>0</v>
      </c>
      <c r="E406" s="610">
        <f>SUMIF('Entries 24-25'!$B:$B,A:A,'Entries 24-25'!$D:$D)-SUMIF('Entries 24-25'!$B:$B,A:A,'Entries 24-25'!$E:$E)+SUMIF('IND AS entries 24-25'!$B:$B,A:A,'IND AS entries 24-25'!$D:$D)-SUMIF('IND AS entries 24-25'!$B:$B,A:A,'IND AS entries 24-25'!$E:$E)</f>
        <v>0</v>
      </c>
      <c r="F406" s="611">
        <f t="shared" si="45"/>
        <v>0</v>
      </c>
      <c r="G406" s="610"/>
      <c r="H406" s="610">
        <v>0</v>
      </c>
      <c r="I406" s="611">
        <v>0</v>
      </c>
      <c r="J406" s="610">
        <v>0</v>
      </c>
      <c r="K406" s="611">
        <f t="shared" si="46"/>
        <v>0</v>
      </c>
      <c r="L406" s="612">
        <f>VLOOKUP(A406,'BS Gr'!A:A,1,FALSE)</f>
        <v>201015</v>
      </c>
      <c r="M406" s="612">
        <f t="shared" si="42"/>
        <v>1</v>
      </c>
      <c r="N406" s="613">
        <f t="shared" si="44"/>
        <v>0</v>
      </c>
      <c r="O406" s="613">
        <f t="shared" si="41"/>
        <v>0</v>
      </c>
      <c r="P406" s="613">
        <v>-4.049999999962747</v>
      </c>
      <c r="Q406" s="613">
        <f t="shared" ref="Q406:Q469" si="47">+K406-P406</f>
        <v>4.049999999962747</v>
      </c>
      <c r="R406" s="1514"/>
      <c r="S406" s="1617" t="e">
        <f>SUMIF('[105]TB for financial'!$A:$A,A406,'[105]TB for financial'!$E:$E)</f>
        <v>#VALUE!</v>
      </c>
      <c r="T406" s="613"/>
    </row>
    <row r="407" spans="1:20">
      <c r="A407" s="608">
        <v>201017</v>
      </c>
      <c r="B407" s="609" t="s">
        <v>1347</v>
      </c>
      <c r="C407" s="610">
        <f t="shared" si="43"/>
        <v>0</v>
      </c>
      <c r="D407" s="611">
        <v>0</v>
      </c>
      <c r="E407" s="610">
        <f>SUMIF('Entries 24-25'!$B:$B,A:A,'Entries 24-25'!$D:$D)-SUMIF('Entries 24-25'!$B:$B,A:A,'Entries 24-25'!$E:$E)+SUMIF('IND AS entries 24-25'!$B:$B,A:A,'IND AS entries 24-25'!$D:$D)-SUMIF('IND AS entries 24-25'!$B:$B,A:A,'IND AS entries 24-25'!$E:$E)</f>
        <v>0</v>
      </c>
      <c r="F407" s="611">
        <f t="shared" si="45"/>
        <v>0</v>
      </c>
      <c r="G407" s="610"/>
      <c r="H407" s="610">
        <v>0</v>
      </c>
      <c r="I407" s="611">
        <v>0</v>
      </c>
      <c r="J407" s="610">
        <v>0</v>
      </c>
      <c r="K407" s="611">
        <f t="shared" si="46"/>
        <v>0</v>
      </c>
      <c r="L407" s="612">
        <f>VLOOKUP(A407,'BS Gr'!A:A,1,FALSE)</f>
        <v>201017</v>
      </c>
      <c r="M407" s="612">
        <f t="shared" si="42"/>
        <v>1</v>
      </c>
      <c r="N407" s="613">
        <f t="shared" si="44"/>
        <v>0</v>
      </c>
      <c r="O407" s="613">
        <f t="shared" si="41"/>
        <v>0</v>
      </c>
      <c r="P407" s="613">
        <v>-18867.540000000005</v>
      </c>
      <c r="Q407" s="613">
        <f t="shared" si="47"/>
        <v>18867.540000000005</v>
      </c>
      <c r="R407" s="1514"/>
      <c r="S407" s="1617" t="e">
        <f>SUMIF('[105]TB for financial'!$A:$A,A407,'[105]TB for financial'!$E:$E)</f>
        <v>#VALUE!</v>
      </c>
      <c r="T407" s="613"/>
    </row>
    <row r="408" spans="1:20">
      <c r="A408" s="608">
        <v>201020</v>
      </c>
      <c r="B408" s="609" t="s">
        <v>1348</v>
      </c>
      <c r="C408" s="610">
        <f t="shared" si="43"/>
        <v>0</v>
      </c>
      <c r="D408" s="611">
        <v>0</v>
      </c>
      <c r="E408" s="610">
        <f>SUMIF('Entries 24-25'!$B:$B,A:A,'Entries 24-25'!$D:$D)-SUMIF('Entries 24-25'!$B:$B,A:A,'Entries 24-25'!$E:$E)+SUMIF('IND AS entries 24-25'!$B:$B,A:A,'IND AS entries 24-25'!$D:$D)-SUMIF('IND AS entries 24-25'!$B:$B,A:A,'IND AS entries 24-25'!$E:$E)</f>
        <v>0</v>
      </c>
      <c r="F408" s="611">
        <f t="shared" si="45"/>
        <v>0</v>
      </c>
      <c r="G408" s="610"/>
      <c r="H408" s="610">
        <v>0</v>
      </c>
      <c r="I408" s="611">
        <v>0</v>
      </c>
      <c r="J408" s="610">
        <v>0</v>
      </c>
      <c r="K408" s="611">
        <f t="shared" si="46"/>
        <v>0</v>
      </c>
      <c r="L408" s="612">
        <f>VLOOKUP(A408,'BS Gr'!A:A,1,FALSE)</f>
        <v>201020</v>
      </c>
      <c r="M408" s="612">
        <f t="shared" si="42"/>
        <v>1</v>
      </c>
      <c r="N408" s="613">
        <f t="shared" si="44"/>
        <v>0</v>
      </c>
      <c r="O408" s="613">
        <f t="shared" si="41"/>
        <v>0</v>
      </c>
      <c r="P408" s="613">
        <v>0</v>
      </c>
      <c r="Q408" s="613">
        <f t="shared" si="47"/>
        <v>0</v>
      </c>
      <c r="R408" s="1514"/>
      <c r="S408" s="1617" t="e">
        <f>SUMIF('[105]TB for financial'!$A:$A,A408,'[105]TB for financial'!$E:$E)</f>
        <v>#VALUE!</v>
      </c>
      <c r="T408" s="613"/>
    </row>
    <row r="409" spans="1:20">
      <c r="A409" s="608">
        <v>201023</v>
      </c>
      <c r="B409" s="609" t="s">
        <v>1349</v>
      </c>
      <c r="C409" s="610">
        <f t="shared" si="43"/>
        <v>0</v>
      </c>
      <c r="D409" s="611">
        <v>0</v>
      </c>
      <c r="E409" s="610">
        <f>SUMIF('Entries 24-25'!$B:$B,A:A,'Entries 24-25'!$D:$D)-SUMIF('Entries 24-25'!$B:$B,A:A,'Entries 24-25'!$E:$E)+SUMIF('IND AS entries 24-25'!$B:$B,A:A,'IND AS entries 24-25'!$D:$D)-SUMIF('IND AS entries 24-25'!$B:$B,A:A,'IND AS entries 24-25'!$E:$E)</f>
        <v>0</v>
      </c>
      <c r="F409" s="611">
        <f t="shared" si="45"/>
        <v>0</v>
      </c>
      <c r="G409" s="610"/>
      <c r="H409" s="610">
        <v>0</v>
      </c>
      <c r="I409" s="611">
        <v>0</v>
      </c>
      <c r="J409" s="610">
        <v>0</v>
      </c>
      <c r="K409" s="611">
        <f t="shared" si="46"/>
        <v>0</v>
      </c>
      <c r="L409" s="612">
        <f>VLOOKUP(A409,'BS Gr'!A:A,1,FALSE)</f>
        <v>201023</v>
      </c>
      <c r="M409" s="612">
        <f t="shared" si="42"/>
        <v>1</v>
      </c>
      <c r="N409" s="613">
        <f t="shared" si="44"/>
        <v>0</v>
      </c>
      <c r="O409" s="613">
        <f t="shared" si="41"/>
        <v>0</v>
      </c>
      <c r="P409" s="613">
        <v>0</v>
      </c>
      <c r="Q409" s="613">
        <f t="shared" si="47"/>
        <v>0</v>
      </c>
      <c r="R409" s="1514"/>
      <c r="S409" s="1617" t="e">
        <f>SUMIF('[105]TB for financial'!$A:$A,A409,'[105]TB for financial'!$E:$E)</f>
        <v>#VALUE!</v>
      </c>
      <c r="T409" s="613"/>
    </row>
    <row r="410" spans="1:20">
      <c r="A410" s="608">
        <v>201035</v>
      </c>
      <c r="B410" s="609" t="s">
        <v>1350</v>
      </c>
      <c r="C410" s="610">
        <f t="shared" si="43"/>
        <v>0</v>
      </c>
      <c r="D410" s="611">
        <v>0</v>
      </c>
      <c r="E410" s="610">
        <f>SUMIF('Entries 24-25'!$B:$B,A:A,'Entries 24-25'!$D:$D)-SUMIF('Entries 24-25'!$B:$B,A:A,'Entries 24-25'!$E:$E)+SUMIF('IND AS entries 24-25'!$B:$B,A:A,'IND AS entries 24-25'!$D:$D)-SUMIF('IND AS entries 24-25'!$B:$B,A:A,'IND AS entries 24-25'!$E:$E)</f>
        <v>0</v>
      </c>
      <c r="F410" s="611">
        <f t="shared" si="45"/>
        <v>0</v>
      </c>
      <c r="G410" s="610"/>
      <c r="H410" s="610">
        <v>0</v>
      </c>
      <c r="I410" s="611">
        <v>0</v>
      </c>
      <c r="J410" s="610">
        <v>0</v>
      </c>
      <c r="K410" s="611">
        <f t="shared" si="46"/>
        <v>0</v>
      </c>
      <c r="L410" s="612">
        <f>VLOOKUP(A410,'BS Gr'!A:A,1,FALSE)</f>
        <v>201035</v>
      </c>
      <c r="M410" s="612">
        <f t="shared" si="42"/>
        <v>1</v>
      </c>
      <c r="N410" s="613">
        <f t="shared" si="44"/>
        <v>0</v>
      </c>
      <c r="O410" s="613">
        <f t="shared" si="41"/>
        <v>0</v>
      </c>
      <c r="P410" s="613">
        <v>0</v>
      </c>
      <c r="Q410" s="613">
        <f t="shared" si="47"/>
        <v>0</v>
      </c>
      <c r="R410" s="1514"/>
      <c r="S410" s="1617" t="e">
        <f>SUMIF('[105]TB for financial'!$A:$A,A410,'[105]TB for financial'!$E:$E)</f>
        <v>#VALUE!</v>
      </c>
      <c r="T410" s="613"/>
    </row>
    <row r="411" spans="1:20">
      <c r="A411" s="608">
        <v>201030</v>
      </c>
      <c r="B411" s="609" t="s">
        <v>1351</v>
      </c>
      <c r="C411" s="610">
        <f t="shared" si="43"/>
        <v>0</v>
      </c>
      <c r="D411" s="611">
        <v>0</v>
      </c>
      <c r="E411" s="610">
        <f>SUMIF('Entries 24-25'!$B:$B,A:A,'Entries 24-25'!$D:$D)-SUMIF('Entries 24-25'!$B:$B,A:A,'Entries 24-25'!$E:$E)+SUMIF('IND AS entries 24-25'!$B:$B,A:A,'IND AS entries 24-25'!$D:$D)-SUMIF('IND AS entries 24-25'!$B:$B,A:A,'IND AS entries 24-25'!$E:$E)</f>
        <v>0</v>
      </c>
      <c r="F411" s="611">
        <f t="shared" si="45"/>
        <v>0</v>
      </c>
      <c r="G411" s="610"/>
      <c r="H411" s="610">
        <v>0</v>
      </c>
      <c r="I411" s="611">
        <v>0</v>
      </c>
      <c r="J411" s="610">
        <v>0</v>
      </c>
      <c r="K411" s="611">
        <f t="shared" si="46"/>
        <v>0</v>
      </c>
      <c r="L411" s="612">
        <f>VLOOKUP(A411,'BS Gr'!A:A,1,FALSE)</f>
        <v>201030</v>
      </c>
      <c r="M411" s="612">
        <f t="shared" si="42"/>
        <v>1</v>
      </c>
      <c r="N411" s="613">
        <f t="shared" si="44"/>
        <v>0</v>
      </c>
      <c r="O411" s="613">
        <f t="shared" si="41"/>
        <v>0</v>
      </c>
      <c r="P411" s="613">
        <v>0</v>
      </c>
      <c r="Q411" s="613">
        <f t="shared" si="47"/>
        <v>0</v>
      </c>
      <c r="R411" s="1514"/>
      <c r="S411" s="1617" t="e">
        <f>SUMIF('[105]TB for financial'!$A:$A,A411,'[105]TB for financial'!$E:$E)</f>
        <v>#VALUE!</v>
      </c>
      <c r="T411" s="613"/>
    </row>
    <row r="412" spans="1:20">
      <c r="A412" s="608">
        <v>201040</v>
      </c>
      <c r="B412" s="609" t="s">
        <v>1352</v>
      </c>
      <c r="C412" s="610">
        <f t="shared" si="43"/>
        <v>0</v>
      </c>
      <c r="D412" s="611">
        <v>0</v>
      </c>
      <c r="E412" s="610">
        <f>SUMIF('Entries 24-25'!$B:$B,A:A,'Entries 24-25'!$D:$D)-SUMIF('Entries 24-25'!$B:$B,A:A,'Entries 24-25'!$E:$E)+SUMIF('IND AS entries 24-25'!$B:$B,A:A,'IND AS entries 24-25'!$D:$D)-SUMIF('IND AS entries 24-25'!$B:$B,A:A,'IND AS entries 24-25'!$E:$E)</f>
        <v>0</v>
      </c>
      <c r="F412" s="611">
        <f t="shared" si="45"/>
        <v>0</v>
      </c>
      <c r="G412" s="610"/>
      <c r="H412" s="610">
        <v>0</v>
      </c>
      <c r="I412" s="611">
        <v>0</v>
      </c>
      <c r="J412" s="610">
        <v>0</v>
      </c>
      <c r="K412" s="611">
        <f t="shared" si="46"/>
        <v>0</v>
      </c>
      <c r="L412" s="612">
        <f>VLOOKUP(A412,'BS Gr'!A:A,1,FALSE)</f>
        <v>201040</v>
      </c>
      <c r="M412" s="612">
        <f t="shared" si="42"/>
        <v>1</v>
      </c>
      <c r="N412" s="613">
        <f t="shared" si="44"/>
        <v>0</v>
      </c>
      <c r="O412" s="613">
        <f t="shared" si="41"/>
        <v>0</v>
      </c>
      <c r="P412" s="613">
        <v>0</v>
      </c>
      <c r="Q412" s="613">
        <f t="shared" si="47"/>
        <v>0</v>
      </c>
      <c r="R412" s="1514"/>
      <c r="S412" s="1617" t="e">
        <f>SUMIF('[105]TB for financial'!$A:$A,A412,'[105]TB for financial'!$E:$E)</f>
        <v>#VALUE!</v>
      </c>
      <c r="T412" s="613"/>
    </row>
    <row r="413" spans="1:20">
      <c r="A413" s="608">
        <v>201045</v>
      </c>
      <c r="B413" s="609" t="s">
        <v>1353</v>
      </c>
      <c r="C413" s="610">
        <f t="shared" si="43"/>
        <v>0</v>
      </c>
      <c r="D413" s="611">
        <v>0</v>
      </c>
      <c r="E413" s="610">
        <f>SUMIF('Entries 24-25'!$B:$B,A:A,'Entries 24-25'!$D:$D)-SUMIF('Entries 24-25'!$B:$B,A:A,'Entries 24-25'!$E:$E)+SUMIF('IND AS entries 24-25'!$B:$B,A:A,'IND AS entries 24-25'!$D:$D)-SUMIF('IND AS entries 24-25'!$B:$B,A:A,'IND AS entries 24-25'!$E:$E)</f>
        <v>0</v>
      </c>
      <c r="F413" s="611">
        <f t="shared" si="45"/>
        <v>0</v>
      </c>
      <c r="G413" s="610"/>
      <c r="H413" s="610">
        <v>0</v>
      </c>
      <c r="I413" s="611">
        <v>0</v>
      </c>
      <c r="J413" s="610">
        <v>0</v>
      </c>
      <c r="K413" s="611">
        <f t="shared" si="46"/>
        <v>0</v>
      </c>
      <c r="L413" s="612">
        <f>VLOOKUP(A413,'BS Gr'!A:A,1,FALSE)</f>
        <v>201045</v>
      </c>
      <c r="M413" s="612">
        <f t="shared" si="42"/>
        <v>1</v>
      </c>
      <c r="N413" s="613">
        <f t="shared" si="44"/>
        <v>0</v>
      </c>
      <c r="O413" s="613">
        <f t="shared" si="41"/>
        <v>0</v>
      </c>
      <c r="P413" s="613">
        <v>0</v>
      </c>
      <c r="Q413" s="613">
        <f t="shared" si="47"/>
        <v>0</v>
      </c>
      <c r="R413" s="1514"/>
      <c r="S413" s="1617" t="e">
        <f>SUMIF('[105]TB for financial'!$A:$A,A413,'[105]TB for financial'!$E:$E)</f>
        <v>#VALUE!</v>
      </c>
      <c r="T413" s="613"/>
    </row>
    <row r="414" spans="1:20">
      <c r="A414" s="608">
        <v>201046</v>
      </c>
      <c r="B414" s="609" t="s">
        <v>1354</v>
      </c>
      <c r="C414" s="610">
        <f t="shared" si="43"/>
        <v>0</v>
      </c>
      <c r="D414" s="611">
        <v>0</v>
      </c>
      <c r="E414" s="610">
        <f>SUMIF('Entries 24-25'!$B:$B,A:A,'Entries 24-25'!$D:$D)-SUMIF('Entries 24-25'!$B:$B,A:A,'Entries 24-25'!$E:$E)+SUMIF('IND AS entries 24-25'!$B:$B,A:A,'IND AS entries 24-25'!$D:$D)-SUMIF('IND AS entries 24-25'!$B:$B,A:A,'IND AS entries 24-25'!$E:$E)</f>
        <v>0</v>
      </c>
      <c r="F414" s="611">
        <f t="shared" si="45"/>
        <v>0</v>
      </c>
      <c r="G414" s="610"/>
      <c r="H414" s="610">
        <v>0</v>
      </c>
      <c r="I414" s="611">
        <v>0</v>
      </c>
      <c r="J414" s="610">
        <v>0</v>
      </c>
      <c r="K414" s="611">
        <f t="shared" si="46"/>
        <v>0</v>
      </c>
      <c r="L414" s="612">
        <f>VLOOKUP(A414,'BS Gr'!A:A,1,FALSE)</f>
        <v>201046</v>
      </c>
      <c r="M414" s="612">
        <f t="shared" si="42"/>
        <v>1</v>
      </c>
      <c r="N414" s="613">
        <f t="shared" si="44"/>
        <v>0</v>
      </c>
      <c r="O414" s="613">
        <f t="shared" si="41"/>
        <v>0</v>
      </c>
      <c r="P414" s="613">
        <v>0</v>
      </c>
      <c r="Q414" s="613">
        <f t="shared" si="47"/>
        <v>0</v>
      </c>
      <c r="R414" s="1514"/>
      <c r="S414" s="1617" t="e">
        <f>SUMIF('[105]TB for financial'!$A:$A,A414,'[105]TB for financial'!$E:$E)</f>
        <v>#VALUE!</v>
      </c>
      <c r="T414" s="613"/>
    </row>
    <row r="415" spans="1:20">
      <c r="A415" s="608">
        <v>201047</v>
      </c>
      <c r="B415" s="609" t="s">
        <v>1355</v>
      </c>
      <c r="C415" s="610">
        <f t="shared" si="43"/>
        <v>0</v>
      </c>
      <c r="D415" s="611">
        <v>0</v>
      </c>
      <c r="E415" s="610">
        <f>SUMIF('Entries 24-25'!$B:$B,A:A,'Entries 24-25'!$D:$D)-SUMIF('Entries 24-25'!$B:$B,A:A,'Entries 24-25'!$E:$E)+SUMIF('IND AS entries 24-25'!$B:$B,A:A,'IND AS entries 24-25'!$D:$D)-SUMIF('IND AS entries 24-25'!$B:$B,A:A,'IND AS entries 24-25'!$E:$E)</f>
        <v>0</v>
      </c>
      <c r="F415" s="611">
        <f t="shared" si="45"/>
        <v>0</v>
      </c>
      <c r="G415" s="610"/>
      <c r="H415" s="610">
        <v>0</v>
      </c>
      <c r="I415" s="611">
        <v>0</v>
      </c>
      <c r="J415" s="610">
        <v>0</v>
      </c>
      <c r="K415" s="611">
        <f t="shared" si="46"/>
        <v>0</v>
      </c>
      <c r="L415" s="612">
        <f>VLOOKUP(A415,'BS Gr'!A:A,1,FALSE)</f>
        <v>201047</v>
      </c>
      <c r="M415" s="612">
        <f t="shared" si="42"/>
        <v>1</v>
      </c>
      <c r="N415" s="613">
        <f t="shared" si="44"/>
        <v>0</v>
      </c>
      <c r="O415" s="613">
        <f t="shared" si="41"/>
        <v>0</v>
      </c>
      <c r="P415" s="613">
        <v>0</v>
      </c>
      <c r="Q415" s="613">
        <f t="shared" si="47"/>
        <v>0</v>
      </c>
      <c r="R415" s="1514"/>
      <c r="S415" s="1617" t="e">
        <f>SUMIF('[105]TB for financial'!$A:$A,A415,'[105]TB for financial'!$E:$E)</f>
        <v>#VALUE!</v>
      </c>
      <c r="T415" s="613"/>
    </row>
    <row r="416" spans="1:20">
      <c r="A416" s="608">
        <v>201050</v>
      </c>
      <c r="B416" s="609" t="s">
        <v>1356</v>
      </c>
      <c r="C416" s="610">
        <f t="shared" si="43"/>
        <v>0</v>
      </c>
      <c r="D416" s="611">
        <v>0</v>
      </c>
      <c r="E416" s="610">
        <f>SUMIF('Entries 24-25'!$B:$B,A:A,'Entries 24-25'!$D:$D)-SUMIF('Entries 24-25'!$B:$B,A:A,'Entries 24-25'!$E:$E)+SUMIF('IND AS entries 24-25'!$B:$B,A:A,'IND AS entries 24-25'!$D:$D)-SUMIF('IND AS entries 24-25'!$B:$B,A:A,'IND AS entries 24-25'!$E:$E)</f>
        <v>0</v>
      </c>
      <c r="F416" s="611">
        <f t="shared" si="45"/>
        <v>0</v>
      </c>
      <c r="G416" s="610"/>
      <c r="H416" s="610">
        <v>0</v>
      </c>
      <c r="I416" s="611">
        <v>0</v>
      </c>
      <c r="J416" s="610">
        <v>0</v>
      </c>
      <c r="K416" s="611">
        <f t="shared" si="46"/>
        <v>0</v>
      </c>
      <c r="L416" s="612">
        <f>VLOOKUP(A416,'BS Gr'!A:A,1,FALSE)</f>
        <v>201050</v>
      </c>
      <c r="M416" s="612">
        <f t="shared" si="42"/>
        <v>1</v>
      </c>
      <c r="N416" s="613">
        <f t="shared" si="44"/>
        <v>0</v>
      </c>
      <c r="O416" s="613">
        <f t="shared" si="41"/>
        <v>0</v>
      </c>
      <c r="P416" s="613">
        <v>0</v>
      </c>
      <c r="Q416" s="613">
        <f t="shared" si="47"/>
        <v>0</v>
      </c>
      <c r="R416" s="1514"/>
      <c r="S416" s="1617" t="e">
        <f>SUMIF('[105]TB for financial'!$A:$A,A416,'[105]TB for financial'!$E:$E)</f>
        <v>#VALUE!</v>
      </c>
      <c r="T416" s="613"/>
    </row>
    <row r="417" spans="1:20">
      <c r="A417" s="608">
        <v>201052</v>
      </c>
      <c r="B417" s="609" t="s">
        <v>1357</v>
      </c>
      <c r="C417" s="610">
        <f t="shared" si="43"/>
        <v>0</v>
      </c>
      <c r="D417" s="611">
        <v>0</v>
      </c>
      <c r="E417" s="610">
        <f>SUMIF('Entries 24-25'!$B:$B,A:A,'Entries 24-25'!$D:$D)-SUMIF('Entries 24-25'!$B:$B,A:A,'Entries 24-25'!$E:$E)+SUMIF('IND AS entries 24-25'!$B:$B,A:A,'IND AS entries 24-25'!$D:$D)-SUMIF('IND AS entries 24-25'!$B:$B,A:A,'IND AS entries 24-25'!$E:$E)</f>
        <v>0</v>
      </c>
      <c r="F417" s="611">
        <f t="shared" si="45"/>
        <v>0</v>
      </c>
      <c r="G417" s="610"/>
      <c r="H417" s="610">
        <v>0</v>
      </c>
      <c r="I417" s="611">
        <v>0</v>
      </c>
      <c r="J417" s="610">
        <v>0</v>
      </c>
      <c r="K417" s="611">
        <f t="shared" si="46"/>
        <v>0</v>
      </c>
      <c r="L417" s="612">
        <f>VLOOKUP(A417,'BS Gr'!A:A,1,FALSE)</f>
        <v>201052</v>
      </c>
      <c r="M417" s="612">
        <f t="shared" si="42"/>
        <v>1</v>
      </c>
      <c r="N417" s="613">
        <f t="shared" si="44"/>
        <v>0</v>
      </c>
      <c r="O417" s="613">
        <f t="shared" si="41"/>
        <v>0</v>
      </c>
      <c r="P417" s="613">
        <v>0</v>
      </c>
      <c r="Q417" s="613">
        <f t="shared" si="47"/>
        <v>0</v>
      </c>
      <c r="R417" s="1514"/>
      <c r="S417" s="1617" t="e">
        <f>SUMIF('[105]TB for financial'!$A:$A,A417,'[105]TB for financial'!$E:$E)</f>
        <v>#VALUE!</v>
      </c>
      <c r="T417" s="613"/>
    </row>
    <row r="418" spans="1:20">
      <c r="A418" s="608">
        <v>201065</v>
      </c>
      <c r="B418" s="609" t="s">
        <v>1358</v>
      </c>
      <c r="C418" s="610">
        <f t="shared" si="43"/>
        <v>0</v>
      </c>
      <c r="D418" s="611">
        <v>0</v>
      </c>
      <c r="E418" s="610">
        <f>SUMIF('Entries 24-25'!$B:$B,A:A,'Entries 24-25'!$D:$D)-SUMIF('Entries 24-25'!$B:$B,A:A,'Entries 24-25'!$E:$E)+SUMIF('IND AS entries 24-25'!$B:$B,A:A,'IND AS entries 24-25'!$D:$D)-SUMIF('IND AS entries 24-25'!$B:$B,A:A,'IND AS entries 24-25'!$E:$E)</f>
        <v>0</v>
      </c>
      <c r="F418" s="611">
        <f t="shared" si="45"/>
        <v>0</v>
      </c>
      <c r="G418" s="610"/>
      <c r="H418" s="610">
        <v>0</v>
      </c>
      <c r="I418" s="611">
        <v>0</v>
      </c>
      <c r="J418" s="610">
        <v>0</v>
      </c>
      <c r="K418" s="611">
        <f t="shared" si="46"/>
        <v>0</v>
      </c>
      <c r="L418" s="612">
        <f>VLOOKUP(A418,'BS Gr'!A:A,1,FALSE)</f>
        <v>201065</v>
      </c>
      <c r="M418" s="612">
        <f t="shared" si="42"/>
        <v>1</v>
      </c>
      <c r="N418" s="613">
        <f t="shared" si="44"/>
        <v>0</v>
      </c>
      <c r="O418" s="613">
        <f t="shared" si="41"/>
        <v>0</v>
      </c>
      <c r="P418" s="613">
        <v>0</v>
      </c>
      <c r="Q418" s="613">
        <f t="shared" si="47"/>
        <v>0</v>
      </c>
      <c r="R418" s="1514"/>
      <c r="S418" s="1617" t="e">
        <f>SUMIF('[105]TB for financial'!$A:$A,A418,'[105]TB for financial'!$E:$E)</f>
        <v>#VALUE!</v>
      </c>
      <c r="T418" s="613"/>
    </row>
    <row r="419" spans="1:20">
      <c r="A419" s="608">
        <v>201066</v>
      </c>
      <c r="B419" s="609" t="s">
        <v>1359</v>
      </c>
      <c r="C419" s="610">
        <f t="shared" si="43"/>
        <v>0</v>
      </c>
      <c r="D419" s="611">
        <v>0</v>
      </c>
      <c r="E419" s="610">
        <f>SUMIF('Entries 24-25'!$B:$B,A:A,'Entries 24-25'!$D:$D)-SUMIF('Entries 24-25'!$B:$B,A:A,'Entries 24-25'!$E:$E)+SUMIF('IND AS entries 24-25'!$B:$B,A:A,'IND AS entries 24-25'!$D:$D)-SUMIF('IND AS entries 24-25'!$B:$B,A:A,'IND AS entries 24-25'!$E:$E)</f>
        <v>0</v>
      </c>
      <c r="F419" s="611">
        <f t="shared" si="45"/>
        <v>0</v>
      </c>
      <c r="G419" s="610"/>
      <c r="H419" s="610">
        <v>0</v>
      </c>
      <c r="I419" s="611">
        <v>0</v>
      </c>
      <c r="J419" s="610">
        <v>0</v>
      </c>
      <c r="K419" s="611">
        <f t="shared" si="46"/>
        <v>0</v>
      </c>
      <c r="L419" s="612">
        <f>VLOOKUP(A419,'BS Gr'!A:A,1,FALSE)</f>
        <v>201066</v>
      </c>
      <c r="M419" s="612">
        <f t="shared" si="42"/>
        <v>1</v>
      </c>
      <c r="N419" s="613">
        <f t="shared" si="44"/>
        <v>0</v>
      </c>
      <c r="O419" s="613">
        <f t="shared" si="41"/>
        <v>0</v>
      </c>
      <c r="P419" s="613">
        <v>0</v>
      </c>
      <c r="Q419" s="613">
        <f t="shared" si="47"/>
        <v>0</v>
      </c>
      <c r="R419" s="1514"/>
      <c r="S419" s="1617" t="e">
        <f>SUMIF('[105]TB for financial'!$A:$A,A419,'[105]TB for financial'!$E:$E)</f>
        <v>#VALUE!</v>
      </c>
      <c r="T419" s="613"/>
    </row>
    <row r="420" spans="1:20">
      <c r="A420" s="608">
        <v>201070</v>
      </c>
      <c r="B420" s="609" t="s">
        <v>1360</v>
      </c>
      <c r="C420" s="610">
        <f t="shared" si="43"/>
        <v>0</v>
      </c>
      <c r="D420" s="611">
        <v>0</v>
      </c>
      <c r="E420" s="610">
        <f>SUMIF('Entries 24-25'!$B:$B,A:A,'Entries 24-25'!$D:$D)-SUMIF('Entries 24-25'!$B:$B,A:A,'Entries 24-25'!$E:$E)+SUMIF('IND AS entries 24-25'!$B:$B,A:A,'IND AS entries 24-25'!$D:$D)-SUMIF('IND AS entries 24-25'!$B:$B,A:A,'IND AS entries 24-25'!$E:$E)</f>
        <v>0</v>
      </c>
      <c r="F420" s="611">
        <f t="shared" si="45"/>
        <v>0</v>
      </c>
      <c r="G420" s="610"/>
      <c r="H420" s="610">
        <v>0</v>
      </c>
      <c r="I420" s="611">
        <v>0</v>
      </c>
      <c r="J420" s="610">
        <v>0</v>
      </c>
      <c r="K420" s="611">
        <f t="shared" si="46"/>
        <v>0</v>
      </c>
      <c r="L420" s="612">
        <f>VLOOKUP(A420,'BS Gr'!A:A,1,FALSE)</f>
        <v>201070</v>
      </c>
      <c r="M420" s="612">
        <f t="shared" si="42"/>
        <v>1</v>
      </c>
      <c r="N420" s="613">
        <f t="shared" si="44"/>
        <v>0</v>
      </c>
      <c r="O420" s="613">
        <f t="shared" si="41"/>
        <v>0</v>
      </c>
      <c r="P420" s="613">
        <v>0</v>
      </c>
      <c r="Q420" s="613">
        <f t="shared" si="47"/>
        <v>0</v>
      </c>
      <c r="R420" s="1514"/>
      <c r="S420" s="1617" t="e">
        <f>SUMIF('[105]TB for financial'!$A:$A,A420,'[105]TB for financial'!$E:$E)</f>
        <v>#VALUE!</v>
      </c>
      <c r="T420" s="613"/>
    </row>
    <row r="421" spans="1:20">
      <c r="A421" s="608">
        <v>201075</v>
      </c>
      <c r="B421" s="609" t="s">
        <v>1361</v>
      </c>
      <c r="C421" s="610">
        <f t="shared" si="43"/>
        <v>3.6559998989105225E-2</v>
      </c>
      <c r="D421" s="611">
        <v>0</v>
      </c>
      <c r="E421" s="610">
        <f>SUMIF('Entries 24-25'!$B:$B,A:A,'Entries 24-25'!$D:$D)-SUMIF('Entries 24-25'!$B:$B,A:A,'Entries 24-25'!$E:$E)+SUMIF('IND AS entries 24-25'!$B:$B,A:A,'IND AS entries 24-25'!$D:$D)-SUMIF('IND AS entries 24-25'!$B:$B,A:A,'IND AS entries 24-25'!$E:$E)</f>
        <v>0</v>
      </c>
      <c r="F421" s="611">
        <f t="shared" si="45"/>
        <v>3.6559998989105225E-2</v>
      </c>
      <c r="G421" s="610"/>
      <c r="H421" s="610">
        <v>3.6559998989105225E-2</v>
      </c>
      <c r="I421" s="611">
        <v>0</v>
      </c>
      <c r="J421" s="610">
        <v>0</v>
      </c>
      <c r="K421" s="611">
        <f t="shared" si="46"/>
        <v>3.6559998989105225E-2</v>
      </c>
      <c r="L421" s="612">
        <f>VLOOKUP(A421,'BS Gr'!A:A,1,FALSE)</f>
        <v>201075</v>
      </c>
      <c r="M421" s="612">
        <f t="shared" si="42"/>
        <v>1</v>
      </c>
      <c r="N421" s="613">
        <f t="shared" si="44"/>
        <v>0</v>
      </c>
      <c r="O421" s="613">
        <f t="shared" ref="O421:O487" si="48">C421-K421</f>
        <v>0</v>
      </c>
      <c r="P421" s="613">
        <v>0</v>
      </c>
      <c r="Q421" s="613">
        <f t="shared" si="47"/>
        <v>3.6559998989105225E-2</v>
      </c>
      <c r="R421" s="1514"/>
      <c r="S421" s="1617" t="e">
        <f>SUMIF('[105]TB for financial'!$A:$A,A421,'[105]TB for financial'!$E:$E)</f>
        <v>#VALUE!</v>
      </c>
      <c r="T421" s="613"/>
    </row>
    <row r="422" spans="1:20">
      <c r="A422" s="608">
        <v>201076</v>
      </c>
      <c r="B422" s="609" t="s">
        <v>1362</v>
      </c>
      <c r="C422" s="610">
        <f t="shared" si="43"/>
        <v>0</v>
      </c>
      <c r="D422" s="611">
        <v>0</v>
      </c>
      <c r="E422" s="610">
        <f>SUMIF('Entries 24-25'!$B:$B,A:A,'Entries 24-25'!$D:$D)-SUMIF('Entries 24-25'!$B:$B,A:A,'Entries 24-25'!$E:$E)+SUMIF('IND AS entries 24-25'!$B:$B,A:A,'IND AS entries 24-25'!$D:$D)-SUMIF('IND AS entries 24-25'!$B:$B,A:A,'IND AS entries 24-25'!$E:$E)</f>
        <v>0</v>
      </c>
      <c r="F422" s="611">
        <f t="shared" si="45"/>
        <v>0</v>
      </c>
      <c r="G422" s="610"/>
      <c r="H422" s="610">
        <v>0</v>
      </c>
      <c r="I422" s="611">
        <v>0</v>
      </c>
      <c r="J422" s="610">
        <v>0</v>
      </c>
      <c r="K422" s="611">
        <f t="shared" si="46"/>
        <v>0</v>
      </c>
      <c r="L422" s="612">
        <f>VLOOKUP(A422,'BS Gr'!A:A,1,FALSE)</f>
        <v>201076</v>
      </c>
      <c r="M422" s="612">
        <f t="shared" si="42"/>
        <v>1</v>
      </c>
      <c r="N422" s="613">
        <f t="shared" si="44"/>
        <v>0</v>
      </c>
      <c r="O422" s="613">
        <f t="shared" si="48"/>
        <v>0</v>
      </c>
      <c r="P422" s="613">
        <v>0</v>
      </c>
      <c r="Q422" s="613">
        <f t="shared" si="47"/>
        <v>0</v>
      </c>
      <c r="R422" s="1514"/>
      <c r="S422" s="1617" t="e">
        <f>SUMIF('[105]TB for financial'!$A:$A,A422,'[105]TB for financial'!$E:$E)</f>
        <v>#VALUE!</v>
      </c>
      <c r="T422" s="613"/>
    </row>
    <row r="423" spans="1:20">
      <c r="A423" s="608">
        <v>201080</v>
      </c>
      <c r="B423" s="609" t="s">
        <v>1363</v>
      </c>
      <c r="C423" s="610">
        <f t="shared" si="43"/>
        <v>0</v>
      </c>
      <c r="D423" s="611">
        <v>0</v>
      </c>
      <c r="E423" s="610">
        <f>SUMIF('Entries 24-25'!$B:$B,A:A,'Entries 24-25'!$D:$D)-SUMIF('Entries 24-25'!$B:$B,A:A,'Entries 24-25'!$E:$E)+SUMIF('IND AS entries 24-25'!$B:$B,A:A,'IND AS entries 24-25'!$D:$D)-SUMIF('IND AS entries 24-25'!$B:$B,A:A,'IND AS entries 24-25'!$E:$E)</f>
        <v>0</v>
      </c>
      <c r="F423" s="611">
        <f t="shared" si="45"/>
        <v>0</v>
      </c>
      <c r="G423" s="610"/>
      <c r="H423" s="610">
        <v>0</v>
      </c>
      <c r="I423" s="611">
        <v>0</v>
      </c>
      <c r="J423" s="610">
        <v>0</v>
      </c>
      <c r="K423" s="611">
        <f t="shared" si="46"/>
        <v>0</v>
      </c>
      <c r="L423" s="612">
        <f>VLOOKUP(A423,'BS Gr'!A:A,1,FALSE)</f>
        <v>201080</v>
      </c>
      <c r="M423" s="612">
        <f t="shared" si="42"/>
        <v>1</v>
      </c>
      <c r="N423" s="613">
        <f t="shared" si="44"/>
        <v>0</v>
      </c>
      <c r="O423" s="613">
        <f t="shared" si="48"/>
        <v>0</v>
      </c>
      <c r="P423" s="613">
        <v>0</v>
      </c>
      <c r="Q423" s="613">
        <f t="shared" si="47"/>
        <v>0</v>
      </c>
      <c r="R423" s="1514"/>
      <c r="S423" s="1617" t="e">
        <f>SUMIF('[105]TB for financial'!$A:$A,A423,'[105]TB for financial'!$E:$E)</f>
        <v>#VALUE!</v>
      </c>
      <c r="T423" s="613"/>
    </row>
    <row r="424" spans="1:20">
      <c r="A424" s="608">
        <v>201085</v>
      </c>
      <c r="B424" s="609" t="s">
        <v>1364</v>
      </c>
      <c r="C424" s="610">
        <f t="shared" si="43"/>
        <v>0</v>
      </c>
      <c r="D424" s="611">
        <v>0</v>
      </c>
      <c r="E424" s="610">
        <f>SUMIF('Entries 24-25'!$B:$B,A:A,'Entries 24-25'!$D:$D)-SUMIF('Entries 24-25'!$B:$B,A:A,'Entries 24-25'!$E:$E)+SUMIF('IND AS entries 24-25'!$B:$B,A:A,'IND AS entries 24-25'!$D:$D)-SUMIF('IND AS entries 24-25'!$B:$B,A:A,'IND AS entries 24-25'!$E:$E)</f>
        <v>0</v>
      </c>
      <c r="F424" s="611">
        <f t="shared" si="45"/>
        <v>0</v>
      </c>
      <c r="G424" s="610"/>
      <c r="H424" s="610">
        <v>0</v>
      </c>
      <c r="I424" s="611">
        <v>0</v>
      </c>
      <c r="J424" s="610">
        <v>0</v>
      </c>
      <c r="K424" s="611">
        <f t="shared" si="46"/>
        <v>0</v>
      </c>
      <c r="L424" s="612">
        <f>VLOOKUP(A424,'BS Gr'!A:A,1,FALSE)</f>
        <v>201085</v>
      </c>
      <c r="M424" s="612">
        <f t="shared" si="42"/>
        <v>1</v>
      </c>
      <c r="N424" s="613">
        <f t="shared" si="44"/>
        <v>0</v>
      </c>
      <c r="O424" s="613">
        <f t="shared" si="48"/>
        <v>0</v>
      </c>
      <c r="P424" s="613">
        <v>0</v>
      </c>
      <c r="Q424" s="613">
        <f t="shared" si="47"/>
        <v>0</v>
      </c>
      <c r="R424" s="1514"/>
      <c r="S424" s="1617" t="e">
        <f>SUMIF('[105]TB for financial'!$A:$A,A424,'[105]TB for financial'!$E:$E)</f>
        <v>#VALUE!</v>
      </c>
      <c r="T424" s="613"/>
    </row>
    <row r="425" spans="1:20">
      <c r="A425" s="608">
        <v>201101</v>
      </c>
      <c r="B425" s="609" t="s">
        <v>1365</v>
      </c>
      <c r="C425" s="610">
        <f t="shared" si="43"/>
        <v>0</v>
      </c>
      <c r="D425" s="611">
        <v>0</v>
      </c>
      <c r="E425" s="610">
        <f>SUMIF('Entries 24-25'!$B:$B,A:A,'Entries 24-25'!$D:$D)-SUMIF('Entries 24-25'!$B:$B,A:A,'Entries 24-25'!$E:$E)+SUMIF('IND AS entries 24-25'!$B:$B,A:A,'IND AS entries 24-25'!$D:$D)-SUMIF('IND AS entries 24-25'!$B:$B,A:A,'IND AS entries 24-25'!$E:$E)</f>
        <v>0</v>
      </c>
      <c r="F425" s="611">
        <f t="shared" si="45"/>
        <v>0</v>
      </c>
      <c r="G425" s="610"/>
      <c r="H425" s="610">
        <v>0</v>
      </c>
      <c r="I425" s="611">
        <v>0</v>
      </c>
      <c r="J425" s="610">
        <v>0</v>
      </c>
      <c r="K425" s="611">
        <f t="shared" si="46"/>
        <v>0</v>
      </c>
      <c r="L425" s="612">
        <f>VLOOKUP(A425,'BS Gr'!A:A,1,FALSE)</f>
        <v>201101</v>
      </c>
      <c r="M425" s="612">
        <f t="shared" si="42"/>
        <v>1</v>
      </c>
      <c r="N425" s="613">
        <f t="shared" si="44"/>
        <v>0</v>
      </c>
      <c r="O425" s="613">
        <f t="shared" si="48"/>
        <v>0</v>
      </c>
      <c r="P425" s="613">
        <v>0</v>
      </c>
      <c r="Q425" s="613">
        <f t="shared" si="47"/>
        <v>0</v>
      </c>
      <c r="R425" s="1514"/>
      <c r="S425" s="1617" t="e">
        <f>SUMIF('[105]TB for financial'!$A:$A,A425,'[105]TB for financial'!$E:$E)</f>
        <v>#VALUE!</v>
      </c>
      <c r="T425" s="613"/>
    </row>
    <row r="426" spans="1:20">
      <c r="A426" s="608">
        <v>201102</v>
      </c>
      <c r="B426" s="609" t="s">
        <v>1366</v>
      </c>
      <c r="C426" s="610">
        <f t="shared" si="43"/>
        <v>0</v>
      </c>
      <c r="D426" s="611">
        <v>0</v>
      </c>
      <c r="E426" s="610">
        <f>SUMIF('Entries 24-25'!$B:$B,A:A,'Entries 24-25'!$D:$D)-SUMIF('Entries 24-25'!$B:$B,A:A,'Entries 24-25'!$E:$E)+SUMIF('IND AS entries 24-25'!$B:$B,A:A,'IND AS entries 24-25'!$D:$D)-SUMIF('IND AS entries 24-25'!$B:$B,A:A,'IND AS entries 24-25'!$E:$E)</f>
        <v>0</v>
      </c>
      <c r="F426" s="611">
        <f t="shared" si="45"/>
        <v>0</v>
      </c>
      <c r="G426" s="610"/>
      <c r="H426" s="610">
        <v>0</v>
      </c>
      <c r="I426" s="611">
        <v>0</v>
      </c>
      <c r="J426" s="610">
        <v>0</v>
      </c>
      <c r="K426" s="611">
        <f t="shared" si="46"/>
        <v>0</v>
      </c>
      <c r="L426" s="612">
        <f>VLOOKUP(A426,'BS Gr'!A:A,1,FALSE)</f>
        <v>201102</v>
      </c>
      <c r="M426" s="612">
        <f t="shared" si="42"/>
        <v>1</v>
      </c>
      <c r="N426" s="613">
        <f t="shared" si="44"/>
        <v>0</v>
      </c>
      <c r="O426" s="613">
        <f t="shared" si="48"/>
        <v>0</v>
      </c>
      <c r="P426" s="613">
        <v>0</v>
      </c>
      <c r="Q426" s="613">
        <f t="shared" si="47"/>
        <v>0</v>
      </c>
      <c r="R426" s="1514"/>
      <c r="S426" s="1617" t="e">
        <f>SUMIF('[105]TB for financial'!$A:$A,A426,'[105]TB for financial'!$E:$E)</f>
        <v>#VALUE!</v>
      </c>
      <c r="T426" s="613"/>
    </row>
    <row r="427" spans="1:20">
      <c r="A427" s="608">
        <v>201103</v>
      </c>
      <c r="B427" s="609" t="s">
        <v>1367</v>
      </c>
      <c r="C427" s="610">
        <f t="shared" si="43"/>
        <v>0</v>
      </c>
      <c r="D427" s="611">
        <v>0</v>
      </c>
      <c r="E427" s="610">
        <f>SUMIF('Entries 24-25'!$B:$B,A:A,'Entries 24-25'!$D:$D)-SUMIF('Entries 24-25'!$B:$B,A:A,'Entries 24-25'!$E:$E)+SUMIF('IND AS entries 24-25'!$B:$B,A:A,'IND AS entries 24-25'!$D:$D)-SUMIF('IND AS entries 24-25'!$B:$B,A:A,'IND AS entries 24-25'!$E:$E)</f>
        <v>0</v>
      </c>
      <c r="F427" s="611">
        <f t="shared" si="45"/>
        <v>0</v>
      </c>
      <c r="G427" s="610"/>
      <c r="H427" s="610">
        <v>0</v>
      </c>
      <c r="I427" s="611">
        <v>0</v>
      </c>
      <c r="J427" s="610">
        <v>0</v>
      </c>
      <c r="K427" s="611">
        <f t="shared" si="46"/>
        <v>0</v>
      </c>
      <c r="L427" s="612">
        <f>VLOOKUP(A427,'BS Gr'!A:A,1,FALSE)</f>
        <v>201103</v>
      </c>
      <c r="M427" s="612">
        <f t="shared" si="42"/>
        <v>1</v>
      </c>
      <c r="N427" s="613">
        <f t="shared" si="44"/>
        <v>0</v>
      </c>
      <c r="O427" s="613">
        <f t="shared" si="48"/>
        <v>0</v>
      </c>
      <c r="P427" s="613">
        <v>0</v>
      </c>
      <c r="Q427" s="613">
        <f t="shared" si="47"/>
        <v>0</v>
      </c>
      <c r="R427" s="1514"/>
      <c r="S427" s="1617" t="e">
        <f>SUMIF('[105]TB for financial'!$A:$A,A427,'[105]TB for financial'!$E:$E)</f>
        <v>#VALUE!</v>
      </c>
      <c r="T427" s="613"/>
    </row>
    <row r="428" spans="1:20">
      <c r="A428" s="608">
        <v>201104</v>
      </c>
      <c r="B428" s="609" t="s">
        <v>1368</v>
      </c>
      <c r="C428" s="610">
        <f t="shared" si="43"/>
        <v>0</v>
      </c>
      <c r="D428" s="611">
        <v>0</v>
      </c>
      <c r="E428" s="610">
        <f>SUMIF('Entries 24-25'!$B:$B,A:A,'Entries 24-25'!$D:$D)-SUMIF('Entries 24-25'!$B:$B,A:A,'Entries 24-25'!$E:$E)+SUMIF('IND AS entries 24-25'!$B:$B,A:A,'IND AS entries 24-25'!$D:$D)-SUMIF('IND AS entries 24-25'!$B:$B,A:A,'IND AS entries 24-25'!$E:$E)</f>
        <v>0</v>
      </c>
      <c r="F428" s="611">
        <f t="shared" si="45"/>
        <v>0</v>
      </c>
      <c r="G428" s="610"/>
      <c r="H428" s="610">
        <v>0</v>
      </c>
      <c r="I428" s="611">
        <v>0</v>
      </c>
      <c r="J428" s="610">
        <v>0</v>
      </c>
      <c r="K428" s="611">
        <f t="shared" si="46"/>
        <v>0</v>
      </c>
      <c r="L428" s="612">
        <f>VLOOKUP(A428,'BS Gr'!A:A,1,FALSE)</f>
        <v>201104</v>
      </c>
      <c r="M428" s="612">
        <f t="shared" si="42"/>
        <v>1</v>
      </c>
      <c r="N428" s="613">
        <f t="shared" si="44"/>
        <v>0</v>
      </c>
      <c r="O428" s="613">
        <f t="shared" si="48"/>
        <v>0</v>
      </c>
      <c r="P428" s="613">
        <v>0</v>
      </c>
      <c r="Q428" s="613">
        <f t="shared" si="47"/>
        <v>0</v>
      </c>
      <c r="R428" s="1514"/>
      <c r="S428" s="1617" t="e">
        <f>SUMIF('[105]TB for financial'!$A:$A,A428,'[105]TB for financial'!$E:$E)</f>
        <v>#VALUE!</v>
      </c>
      <c r="T428" s="613"/>
    </row>
    <row r="429" spans="1:20">
      <c r="A429" s="608">
        <v>201105</v>
      </c>
      <c r="B429" s="609" t="s">
        <v>1369</v>
      </c>
      <c r="C429" s="610">
        <f t="shared" si="43"/>
        <v>0</v>
      </c>
      <c r="D429" s="611">
        <v>0</v>
      </c>
      <c r="E429" s="610">
        <f>SUMIF('Entries 24-25'!$B:$B,A:A,'Entries 24-25'!$D:$D)-SUMIF('Entries 24-25'!$B:$B,A:A,'Entries 24-25'!$E:$E)+SUMIF('IND AS entries 24-25'!$B:$B,A:A,'IND AS entries 24-25'!$D:$D)-SUMIF('IND AS entries 24-25'!$B:$B,A:A,'IND AS entries 24-25'!$E:$E)</f>
        <v>0</v>
      </c>
      <c r="F429" s="611">
        <f t="shared" si="45"/>
        <v>0</v>
      </c>
      <c r="G429" s="610"/>
      <c r="H429" s="610">
        <v>0</v>
      </c>
      <c r="I429" s="611">
        <v>0</v>
      </c>
      <c r="J429" s="610">
        <v>0</v>
      </c>
      <c r="K429" s="611">
        <f t="shared" si="46"/>
        <v>0</v>
      </c>
      <c r="L429" s="612">
        <f>VLOOKUP(A429,'BS Gr'!A:A,1,FALSE)</f>
        <v>201105</v>
      </c>
      <c r="M429" s="612">
        <f t="shared" si="42"/>
        <v>1</v>
      </c>
      <c r="N429" s="613">
        <f t="shared" si="44"/>
        <v>0</v>
      </c>
      <c r="O429" s="613">
        <f t="shared" si="48"/>
        <v>0</v>
      </c>
      <c r="P429" s="613">
        <v>0</v>
      </c>
      <c r="Q429" s="613">
        <f t="shared" si="47"/>
        <v>0</v>
      </c>
      <c r="R429" s="1514"/>
      <c r="S429" s="1617" t="e">
        <f>SUMIF('[105]TB for financial'!$A:$A,A429,'[105]TB for financial'!$E:$E)</f>
        <v>#VALUE!</v>
      </c>
      <c r="T429" s="613"/>
    </row>
    <row r="430" spans="1:20">
      <c r="A430" s="608">
        <v>201106</v>
      </c>
      <c r="B430" s="609" t="s">
        <v>1370</v>
      </c>
      <c r="C430" s="610">
        <f t="shared" si="43"/>
        <v>0</v>
      </c>
      <c r="D430" s="611">
        <v>0</v>
      </c>
      <c r="E430" s="610">
        <f>SUMIF('Entries 24-25'!$B:$B,A:A,'Entries 24-25'!$D:$D)-SUMIF('Entries 24-25'!$B:$B,A:A,'Entries 24-25'!$E:$E)+SUMIF('IND AS entries 24-25'!$B:$B,A:A,'IND AS entries 24-25'!$D:$D)-SUMIF('IND AS entries 24-25'!$B:$B,A:A,'IND AS entries 24-25'!$E:$E)</f>
        <v>0</v>
      </c>
      <c r="F430" s="611">
        <f t="shared" si="45"/>
        <v>0</v>
      </c>
      <c r="G430" s="610"/>
      <c r="H430" s="610">
        <v>0</v>
      </c>
      <c r="I430" s="611">
        <v>0</v>
      </c>
      <c r="J430" s="610">
        <v>0</v>
      </c>
      <c r="K430" s="611">
        <f t="shared" si="46"/>
        <v>0</v>
      </c>
      <c r="L430" s="612">
        <f>VLOOKUP(A430,'BS Gr'!A:A,1,FALSE)</f>
        <v>201106</v>
      </c>
      <c r="M430" s="612">
        <f t="shared" si="42"/>
        <v>1</v>
      </c>
      <c r="N430" s="613">
        <f t="shared" si="44"/>
        <v>0</v>
      </c>
      <c r="O430" s="613">
        <f t="shared" si="48"/>
        <v>0</v>
      </c>
      <c r="P430" s="613">
        <v>0</v>
      </c>
      <c r="Q430" s="613">
        <f t="shared" si="47"/>
        <v>0</v>
      </c>
      <c r="R430" s="1514"/>
      <c r="S430" s="1617" t="e">
        <f>SUMIF('[105]TB for financial'!$A:$A,A430,'[105]TB for financial'!$E:$E)</f>
        <v>#VALUE!</v>
      </c>
      <c r="T430" s="613"/>
    </row>
    <row r="431" spans="1:20">
      <c r="A431" s="608">
        <v>201107</v>
      </c>
      <c r="B431" s="609" t="s">
        <v>1371</v>
      </c>
      <c r="C431" s="610">
        <f t="shared" si="43"/>
        <v>0</v>
      </c>
      <c r="D431" s="611">
        <v>0</v>
      </c>
      <c r="E431" s="610">
        <f>SUMIF('Entries 24-25'!$B:$B,A:A,'Entries 24-25'!$D:$D)-SUMIF('Entries 24-25'!$B:$B,A:A,'Entries 24-25'!$E:$E)+SUMIF('IND AS entries 24-25'!$B:$B,A:A,'IND AS entries 24-25'!$D:$D)-SUMIF('IND AS entries 24-25'!$B:$B,A:A,'IND AS entries 24-25'!$E:$E)</f>
        <v>0</v>
      </c>
      <c r="F431" s="611">
        <f t="shared" si="45"/>
        <v>0</v>
      </c>
      <c r="G431" s="610"/>
      <c r="H431" s="610">
        <v>0</v>
      </c>
      <c r="I431" s="611">
        <v>0</v>
      </c>
      <c r="J431" s="610">
        <v>0</v>
      </c>
      <c r="K431" s="611">
        <f t="shared" si="46"/>
        <v>0</v>
      </c>
      <c r="L431" s="612">
        <f>VLOOKUP(A431,'BS Gr'!A:A,1,FALSE)</f>
        <v>201107</v>
      </c>
      <c r="M431" s="612">
        <f t="shared" si="42"/>
        <v>1</v>
      </c>
      <c r="N431" s="613">
        <f t="shared" si="44"/>
        <v>0</v>
      </c>
      <c r="O431" s="613">
        <f t="shared" si="48"/>
        <v>0</v>
      </c>
      <c r="P431" s="613">
        <v>0</v>
      </c>
      <c r="Q431" s="613">
        <f t="shared" si="47"/>
        <v>0</v>
      </c>
      <c r="R431" s="1514"/>
      <c r="S431" s="1617" t="e">
        <f>SUMIF('[105]TB for financial'!$A:$A,A431,'[105]TB for financial'!$E:$E)</f>
        <v>#VALUE!</v>
      </c>
      <c r="T431" s="613"/>
    </row>
    <row r="432" spans="1:20">
      <c r="A432" s="608">
        <v>201108</v>
      </c>
      <c r="B432" s="609" t="s">
        <v>1372</v>
      </c>
      <c r="C432" s="610">
        <f t="shared" si="43"/>
        <v>0</v>
      </c>
      <c r="D432" s="611">
        <v>0</v>
      </c>
      <c r="E432" s="610">
        <f>SUMIF('Entries 24-25'!$B:$B,A:A,'Entries 24-25'!$D:$D)-SUMIF('Entries 24-25'!$B:$B,A:A,'Entries 24-25'!$E:$E)+SUMIF('IND AS entries 24-25'!$B:$B,A:A,'IND AS entries 24-25'!$D:$D)-SUMIF('IND AS entries 24-25'!$B:$B,A:A,'IND AS entries 24-25'!$E:$E)</f>
        <v>0</v>
      </c>
      <c r="F432" s="611">
        <f t="shared" si="45"/>
        <v>0</v>
      </c>
      <c r="G432" s="610"/>
      <c r="H432" s="610">
        <v>0</v>
      </c>
      <c r="I432" s="611">
        <v>0</v>
      </c>
      <c r="J432" s="610">
        <v>0</v>
      </c>
      <c r="K432" s="611">
        <f t="shared" si="46"/>
        <v>0</v>
      </c>
      <c r="L432" s="612">
        <f>VLOOKUP(A432,'BS Gr'!A:A,1,FALSE)</f>
        <v>201108</v>
      </c>
      <c r="M432" s="612">
        <f t="shared" si="42"/>
        <v>1</v>
      </c>
      <c r="N432" s="613">
        <f t="shared" si="44"/>
        <v>0</v>
      </c>
      <c r="O432" s="613">
        <f t="shared" si="48"/>
        <v>0</v>
      </c>
      <c r="P432" s="613">
        <v>0</v>
      </c>
      <c r="Q432" s="613">
        <f t="shared" si="47"/>
        <v>0</v>
      </c>
      <c r="R432" s="1514"/>
      <c r="S432" s="1617" t="e">
        <f>SUMIF('[105]TB for financial'!$A:$A,A432,'[105]TB for financial'!$E:$E)</f>
        <v>#VALUE!</v>
      </c>
      <c r="T432" s="613"/>
    </row>
    <row r="433" spans="1:20">
      <c r="A433" s="608">
        <v>201109</v>
      </c>
      <c r="B433" s="609" t="s">
        <v>1373</v>
      </c>
      <c r="C433" s="610">
        <f t="shared" si="43"/>
        <v>0</v>
      </c>
      <c r="D433" s="611">
        <v>0</v>
      </c>
      <c r="E433" s="610">
        <f>SUMIF('Entries 24-25'!$B:$B,A:A,'Entries 24-25'!$D:$D)-SUMIF('Entries 24-25'!$B:$B,A:A,'Entries 24-25'!$E:$E)+SUMIF('IND AS entries 24-25'!$B:$B,A:A,'IND AS entries 24-25'!$D:$D)-SUMIF('IND AS entries 24-25'!$B:$B,A:A,'IND AS entries 24-25'!$E:$E)</f>
        <v>0</v>
      </c>
      <c r="F433" s="611">
        <f t="shared" si="45"/>
        <v>0</v>
      </c>
      <c r="G433" s="610"/>
      <c r="H433" s="610">
        <v>0</v>
      </c>
      <c r="I433" s="611">
        <v>0</v>
      </c>
      <c r="J433" s="610">
        <v>0</v>
      </c>
      <c r="K433" s="611">
        <f t="shared" si="46"/>
        <v>0</v>
      </c>
      <c r="L433" s="612">
        <f>VLOOKUP(A433,'BS Gr'!A:A,1,FALSE)</f>
        <v>201109</v>
      </c>
      <c r="M433" s="612">
        <f t="shared" si="42"/>
        <v>1</v>
      </c>
      <c r="N433" s="613">
        <f t="shared" si="44"/>
        <v>0</v>
      </c>
      <c r="O433" s="613">
        <f t="shared" si="48"/>
        <v>0</v>
      </c>
      <c r="P433" s="613">
        <v>0</v>
      </c>
      <c r="Q433" s="613">
        <f t="shared" si="47"/>
        <v>0</v>
      </c>
      <c r="R433" s="1514"/>
      <c r="S433" s="1617" t="e">
        <f>SUMIF('[105]TB for financial'!$A:$A,A433,'[105]TB for financial'!$E:$E)</f>
        <v>#VALUE!</v>
      </c>
      <c r="T433" s="613"/>
    </row>
    <row r="434" spans="1:20">
      <c r="A434" s="608">
        <v>201114</v>
      </c>
      <c r="B434" s="609" t="s">
        <v>1374</v>
      </c>
      <c r="C434" s="610">
        <f t="shared" si="43"/>
        <v>0</v>
      </c>
      <c r="D434" s="611">
        <v>0</v>
      </c>
      <c r="E434" s="610">
        <f>SUMIF('Entries 24-25'!$B:$B,A:A,'Entries 24-25'!$D:$D)-SUMIF('Entries 24-25'!$B:$B,A:A,'Entries 24-25'!$E:$E)+SUMIF('IND AS entries 24-25'!$B:$B,A:A,'IND AS entries 24-25'!$D:$D)-SUMIF('IND AS entries 24-25'!$B:$B,A:A,'IND AS entries 24-25'!$E:$E)</f>
        <v>0</v>
      </c>
      <c r="F434" s="611">
        <f t="shared" si="45"/>
        <v>0</v>
      </c>
      <c r="G434" s="610"/>
      <c r="H434" s="610">
        <v>0</v>
      </c>
      <c r="I434" s="611">
        <v>0</v>
      </c>
      <c r="J434" s="610">
        <v>0</v>
      </c>
      <c r="K434" s="611">
        <f t="shared" si="46"/>
        <v>0</v>
      </c>
      <c r="L434" s="612">
        <f>VLOOKUP(A434,'BS Gr'!A:A,1,FALSE)</f>
        <v>201114</v>
      </c>
      <c r="M434" s="612">
        <f t="shared" si="42"/>
        <v>1</v>
      </c>
      <c r="N434" s="613">
        <f t="shared" si="44"/>
        <v>0</v>
      </c>
      <c r="O434" s="613">
        <f t="shared" si="48"/>
        <v>0</v>
      </c>
      <c r="P434" s="613">
        <v>0</v>
      </c>
      <c r="Q434" s="613">
        <f t="shared" si="47"/>
        <v>0</v>
      </c>
      <c r="R434" s="1514"/>
      <c r="S434" s="1617" t="e">
        <f>SUMIF('[105]TB for financial'!$A:$A,A434,'[105]TB for financial'!$E:$E)</f>
        <v>#VALUE!</v>
      </c>
      <c r="T434" s="613"/>
    </row>
    <row r="435" spans="1:20">
      <c r="A435" s="608">
        <v>201115</v>
      </c>
      <c r="B435" s="609" t="s">
        <v>1375</v>
      </c>
      <c r="C435" s="610">
        <f t="shared" si="43"/>
        <v>0</v>
      </c>
      <c r="D435" s="611">
        <v>0</v>
      </c>
      <c r="E435" s="610">
        <f>SUMIF('Entries 24-25'!$B:$B,A:A,'Entries 24-25'!$D:$D)-SUMIF('Entries 24-25'!$B:$B,A:A,'Entries 24-25'!$E:$E)+SUMIF('IND AS entries 24-25'!$B:$B,A:A,'IND AS entries 24-25'!$D:$D)-SUMIF('IND AS entries 24-25'!$B:$B,A:A,'IND AS entries 24-25'!$E:$E)</f>
        <v>0</v>
      </c>
      <c r="F435" s="611">
        <f t="shared" si="45"/>
        <v>0</v>
      </c>
      <c r="G435" s="610"/>
      <c r="H435" s="610">
        <v>0</v>
      </c>
      <c r="I435" s="611">
        <v>0</v>
      </c>
      <c r="J435" s="610">
        <v>0</v>
      </c>
      <c r="K435" s="611">
        <f t="shared" si="46"/>
        <v>0</v>
      </c>
      <c r="L435" s="612">
        <f>VLOOKUP(A435,'BS Gr'!A:A,1,FALSE)</f>
        <v>201115</v>
      </c>
      <c r="M435" s="612">
        <f t="shared" si="42"/>
        <v>1</v>
      </c>
      <c r="N435" s="613">
        <f t="shared" si="44"/>
        <v>0</v>
      </c>
      <c r="O435" s="613">
        <f t="shared" si="48"/>
        <v>0</v>
      </c>
      <c r="P435" s="613">
        <v>0</v>
      </c>
      <c r="Q435" s="613">
        <f t="shared" si="47"/>
        <v>0</v>
      </c>
      <c r="R435" s="1514"/>
      <c r="S435" s="1617" t="e">
        <f>SUMIF('[105]TB for financial'!$A:$A,A435,'[105]TB for financial'!$E:$E)</f>
        <v>#VALUE!</v>
      </c>
      <c r="T435" s="613"/>
    </row>
    <row r="436" spans="1:20">
      <c r="A436" s="608">
        <v>201117</v>
      </c>
      <c r="B436" s="609" t="s">
        <v>1376</v>
      </c>
      <c r="C436" s="610">
        <f t="shared" si="43"/>
        <v>0</v>
      </c>
      <c r="D436" s="611">
        <v>0</v>
      </c>
      <c r="E436" s="610">
        <f>SUMIF('Entries 24-25'!$B:$B,A:A,'Entries 24-25'!$D:$D)-SUMIF('Entries 24-25'!$B:$B,A:A,'Entries 24-25'!$E:$E)+SUMIF('IND AS entries 24-25'!$B:$B,A:A,'IND AS entries 24-25'!$D:$D)-SUMIF('IND AS entries 24-25'!$B:$B,A:A,'IND AS entries 24-25'!$E:$E)</f>
        <v>0</v>
      </c>
      <c r="F436" s="611">
        <f t="shared" si="45"/>
        <v>0</v>
      </c>
      <c r="G436" s="610"/>
      <c r="H436" s="610">
        <v>0</v>
      </c>
      <c r="I436" s="611">
        <v>0</v>
      </c>
      <c r="J436" s="610">
        <v>0</v>
      </c>
      <c r="K436" s="611">
        <f t="shared" si="46"/>
        <v>0</v>
      </c>
      <c r="L436" s="612">
        <f>VLOOKUP(A436,'BS Gr'!A:A,1,FALSE)</f>
        <v>201117</v>
      </c>
      <c r="M436" s="612">
        <f t="shared" si="42"/>
        <v>1</v>
      </c>
      <c r="N436" s="613">
        <f t="shared" si="44"/>
        <v>0</v>
      </c>
      <c r="O436" s="613">
        <f t="shared" si="48"/>
        <v>0</v>
      </c>
      <c r="P436" s="613">
        <v>0</v>
      </c>
      <c r="Q436" s="613">
        <f t="shared" si="47"/>
        <v>0</v>
      </c>
      <c r="R436" s="1514"/>
      <c r="S436" s="1617" t="e">
        <f>SUMIF('[105]TB for financial'!$A:$A,A436,'[105]TB for financial'!$E:$E)</f>
        <v>#VALUE!</v>
      </c>
      <c r="T436" s="613"/>
    </row>
    <row r="437" spans="1:20">
      <c r="A437" s="608">
        <v>201201</v>
      </c>
      <c r="B437" s="609" t="s">
        <v>1377</v>
      </c>
      <c r="C437" s="610">
        <f t="shared" si="43"/>
        <v>0</v>
      </c>
      <c r="D437" s="611">
        <v>0</v>
      </c>
      <c r="E437" s="610">
        <f>SUMIF('Entries 24-25'!$B:$B,A:A,'Entries 24-25'!$D:$D)-SUMIF('Entries 24-25'!$B:$B,A:A,'Entries 24-25'!$E:$E)+SUMIF('IND AS entries 24-25'!$B:$B,A:A,'IND AS entries 24-25'!$D:$D)-SUMIF('IND AS entries 24-25'!$B:$B,A:A,'IND AS entries 24-25'!$E:$E)</f>
        <v>0</v>
      </c>
      <c r="F437" s="611">
        <f t="shared" si="45"/>
        <v>0</v>
      </c>
      <c r="G437" s="610"/>
      <c r="H437" s="610">
        <v>0</v>
      </c>
      <c r="I437" s="611">
        <v>0</v>
      </c>
      <c r="J437" s="610">
        <v>0</v>
      </c>
      <c r="K437" s="611">
        <f t="shared" si="46"/>
        <v>0</v>
      </c>
      <c r="L437" s="612">
        <f>VLOOKUP(A437,'BS Gr'!A:A,1,FALSE)</f>
        <v>201201</v>
      </c>
      <c r="M437" s="612">
        <f t="shared" si="42"/>
        <v>1</v>
      </c>
      <c r="N437" s="613">
        <f t="shared" si="44"/>
        <v>0</v>
      </c>
      <c r="O437" s="613">
        <f t="shared" si="48"/>
        <v>0</v>
      </c>
      <c r="P437" s="613">
        <v>-203416</v>
      </c>
      <c r="Q437" s="613">
        <f t="shared" si="47"/>
        <v>203416</v>
      </c>
      <c r="R437" s="1514"/>
      <c r="S437" s="1617" t="e">
        <f>SUMIF('[105]TB for financial'!$A:$A,A437,'[105]TB for financial'!$E:$E)</f>
        <v>#VALUE!</v>
      </c>
      <c r="T437" s="613"/>
    </row>
    <row r="438" spans="1:20">
      <c r="A438" s="608">
        <v>201202</v>
      </c>
      <c r="B438" s="609" t="s">
        <v>1378</v>
      </c>
      <c r="C438" s="610">
        <f t="shared" si="43"/>
        <v>0.12</v>
      </c>
      <c r="D438" s="611">
        <v>0</v>
      </c>
      <c r="E438" s="610">
        <f>SUMIF('Entries 24-25'!$B:$B,A:A,'Entries 24-25'!$D:$D)-SUMIF('Entries 24-25'!$B:$B,A:A,'Entries 24-25'!$E:$E)+SUMIF('IND AS entries 24-25'!$B:$B,A:A,'IND AS entries 24-25'!$D:$D)-SUMIF('IND AS entries 24-25'!$B:$B,A:A,'IND AS entries 24-25'!$E:$E)</f>
        <v>0</v>
      </c>
      <c r="F438" s="611">
        <f t="shared" si="45"/>
        <v>0.12</v>
      </c>
      <c r="G438" s="610"/>
      <c r="H438" s="610">
        <v>0.12</v>
      </c>
      <c r="I438" s="611">
        <v>0</v>
      </c>
      <c r="J438" s="610">
        <v>0</v>
      </c>
      <c r="K438" s="611">
        <f t="shared" si="46"/>
        <v>0.12</v>
      </c>
      <c r="L438" s="612">
        <f>VLOOKUP(A438,'BS Gr'!A:A,1,FALSE)</f>
        <v>201202</v>
      </c>
      <c r="M438" s="612">
        <f t="shared" si="42"/>
        <v>1</v>
      </c>
      <c r="N438" s="613">
        <f t="shared" si="44"/>
        <v>0</v>
      </c>
      <c r="O438" s="613">
        <f t="shared" si="48"/>
        <v>0</v>
      </c>
      <c r="P438" s="613">
        <v>0.12</v>
      </c>
      <c r="Q438" s="613">
        <f t="shared" si="47"/>
        <v>0</v>
      </c>
      <c r="R438" s="1514"/>
      <c r="S438" s="1617" t="e">
        <f>SUMIF('[105]TB for financial'!$A:$A,A438,'[105]TB for financial'!$E:$E)</f>
        <v>#VALUE!</v>
      </c>
      <c r="T438" s="613"/>
    </row>
    <row r="439" spans="1:20">
      <c r="A439" s="608">
        <v>201203</v>
      </c>
      <c r="B439" s="615" t="s">
        <v>1379</v>
      </c>
      <c r="C439" s="610">
        <f t="shared" si="43"/>
        <v>0</v>
      </c>
      <c r="D439" s="611">
        <v>0</v>
      </c>
      <c r="E439" s="610">
        <f>SUMIF('Entries 24-25'!$B:$B,A:A,'Entries 24-25'!$D:$D)-SUMIF('Entries 24-25'!$B:$B,A:A,'Entries 24-25'!$E:$E)+SUMIF('IND AS entries 24-25'!$B:$B,A:A,'IND AS entries 24-25'!$D:$D)-SUMIF('IND AS entries 24-25'!$B:$B,A:A,'IND AS entries 24-25'!$E:$E)</f>
        <v>0</v>
      </c>
      <c r="F439" s="611">
        <f t="shared" si="45"/>
        <v>0</v>
      </c>
      <c r="G439" s="610"/>
      <c r="H439" s="610">
        <v>0</v>
      </c>
      <c r="I439" s="611">
        <v>0</v>
      </c>
      <c r="J439" s="610">
        <v>0</v>
      </c>
      <c r="K439" s="611">
        <f t="shared" si="46"/>
        <v>0</v>
      </c>
      <c r="L439" s="612">
        <f>VLOOKUP(A439,'BS Gr'!A:A,1,FALSE)</f>
        <v>201203</v>
      </c>
      <c r="M439" s="612">
        <f t="shared" si="42"/>
        <v>1</v>
      </c>
      <c r="N439" s="613">
        <f t="shared" si="44"/>
        <v>0</v>
      </c>
      <c r="O439" s="613">
        <f t="shared" si="48"/>
        <v>0</v>
      </c>
      <c r="P439" s="613">
        <v>0</v>
      </c>
      <c r="Q439" s="613">
        <f t="shared" si="47"/>
        <v>0</v>
      </c>
      <c r="R439" s="1514"/>
      <c r="S439" s="1617" t="e">
        <f>SUMIF('[105]TB for financial'!$A:$A,A439,'[105]TB for financial'!$E:$E)</f>
        <v>#VALUE!</v>
      </c>
      <c r="T439" s="613"/>
    </row>
    <row r="440" spans="1:20">
      <c r="A440" s="608">
        <v>201211</v>
      </c>
      <c r="B440" s="609" t="s">
        <v>1380</v>
      </c>
      <c r="C440" s="610">
        <f t="shared" si="43"/>
        <v>0</v>
      </c>
      <c r="D440" s="611">
        <v>0</v>
      </c>
      <c r="E440" s="610">
        <f>SUMIF('Entries 24-25'!$B:$B,A:A,'Entries 24-25'!$D:$D)-SUMIF('Entries 24-25'!$B:$B,A:A,'Entries 24-25'!$E:$E)+SUMIF('IND AS entries 24-25'!$B:$B,A:A,'IND AS entries 24-25'!$D:$D)-SUMIF('IND AS entries 24-25'!$B:$B,A:A,'IND AS entries 24-25'!$E:$E)</f>
        <v>0</v>
      </c>
      <c r="F440" s="611">
        <f t="shared" si="45"/>
        <v>0</v>
      </c>
      <c r="G440" s="610"/>
      <c r="H440" s="610">
        <v>0</v>
      </c>
      <c r="I440" s="611">
        <v>0</v>
      </c>
      <c r="J440" s="610">
        <v>0</v>
      </c>
      <c r="K440" s="611">
        <f t="shared" si="46"/>
        <v>0</v>
      </c>
      <c r="L440" s="612">
        <f>VLOOKUP(A440,'BS Gr'!A:A,1,FALSE)</f>
        <v>201211</v>
      </c>
      <c r="M440" s="612">
        <f t="shared" si="42"/>
        <v>1</v>
      </c>
      <c r="N440" s="613">
        <f t="shared" si="44"/>
        <v>0</v>
      </c>
      <c r="O440" s="613">
        <f t="shared" si="48"/>
        <v>0</v>
      </c>
      <c r="P440" s="613">
        <v>0</v>
      </c>
      <c r="Q440" s="613">
        <f t="shared" si="47"/>
        <v>0</v>
      </c>
      <c r="R440" s="1514"/>
      <c r="S440" s="1617" t="e">
        <f>SUMIF('[105]TB for financial'!$A:$A,A440,'[105]TB for financial'!$E:$E)</f>
        <v>#VALUE!</v>
      </c>
      <c r="T440" s="613"/>
    </row>
    <row r="441" spans="1:20">
      <c r="A441" s="608">
        <v>201212</v>
      </c>
      <c r="B441" s="609" t="s">
        <v>1381</v>
      </c>
      <c r="C441" s="610">
        <f t="shared" si="43"/>
        <v>0</v>
      </c>
      <c r="D441" s="611">
        <v>0</v>
      </c>
      <c r="E441" s="610">
        <f>SUMIF('Entries 24-25'!$B:$B,A:A,'Entries 24-25'!$D:$D)-SUMIF('Entries 24-25'!$B:$B,A:A,'Entries 24-25'!$E:$E)+SUMIF('IND AS entries 24-25'!$B:$B,A:A,'IND AS entries 24-25'!$D:$D)-SUMIF('IND AS entries 24-25'!$B:$B,A:A,'IND AS entries 24-25'!$E:$E)</f>
        <v>0</v>
      </c>
      <c r="F441" s="611">
        <f t="shared" si="45"/>
        <v>0</v>
      </c>
      <c r="G441" s="610"/>
      <c r="H441" s="610">
        <v>0</v>
      </c>
      <c r="I441" s="611">
        <v>0</v>
      </c>
      <c r="J441" s="610">
        <v>0</v>
      </c>
      <c r="K441" s="611">
        <f t="shared" si="46"/>
        <v>0</v>
      </c>
      <c r="L441" s="612">
        <f>VLOOKUP(A441,'BS Gr'!A:A,1,FALSE)</f>
        <v>201212</v>
      </c>
      <c r="M441" s="612">
        <f t="shared" si="42"/>
        <v>1</v>
      </c>
      <c r="N441" s="613">
        <f t="shared" si="44"/>
        <v>0</v>
      </c>
      <c r="O441" s="613">
        <f t="shared" si="48"/>
        <v>0</v>
      </c>
      <c r="P441" s="613">
        <v>0</v>
      </c>
      <c r="Q441" s="613">
        <f t="shared" si="47"/>
        <v>0</v>
      </c>
      <c r="R441" s="1514"/>
      <c r="S441" s="1617" t="e">
        <f>SUMIF('[105]TB for financial'!$A:$A,A441,'[105]TB for financial'!$E:$E)</f>
        <v>#VALUE!</v>
      </c>
      <c r="T441" s="613"/>
    </row>
    <row r="442" spans="1:20">
      <c r="A442" s="608">
        <v>201213</v>
      </c>
      <c r="B442" s="609" t="s">
        <v>1382</v>
      </c>
      <c r="C442" s="610">
        <f t="shared" si="43"/>
        <v>0</v>
      </c>
      <c r="D442" s="611">
        <v>0</v>
      </c>
      <c r="E442" s="610">
        <f>SUMIF('Entries 24-25'!$B:$B,A:A,'Entries 24-25'!$D:$D)-SUMIF('Entries 24-25'!$B:$B,A:A,'Entries 24-25'!$E:$E)+SUMIF('IND AS entries 24-25'!$B:$B,A:A,'IND AS entries 24-25'!$D:$D)-SUMIF('IND AS entries 24-25'!$B:$B,A:A,'IND AS entries 24-25'!$E:$E)</f>
        <v>0</v>
      </c>
      <c r="F442" s="611">
        <f t="shared" si="45"/>
        <v>0</v>
      </c>
      <c r="G442" s="610"/>
      <c r="H442" s="610">
        <v>0</v>
      </c>
      <c r="I442" s="611">
        <v>0</v>
      </c>
      <c r="J442" s="610">
        <v>0</v>
      </c>
      <c r="K442" s="611">
        <f t="shared" si="46"/>
        <v>0</v>
      </c>
      <c r="L442" s="612">
        <f>VLOOKUP(A442,'BS Gr'!A:A,1,FALSE)</f>
        <v>201213</v>
      </c>
      <c r="M442" s="612">
        <f t="shared" si="42"/>
        <v>1</v>
      </c>
      <c r="N442" s="613">
        <f t="shared" si="44"/>
        <v>0</v>
      </c>
      <c r="O442" s="613">
        <f t="shared" si="48"/>
        <v>0</v>
      </c>
      <c r="P442" s="613">
        <v>0</v>
      </c>
      <c r="Q442" s="613">
        <f t="shared" si="47"/>
        <v>0</v>
      </c>
      <c r="R442" s="1514"/>
      <c r="S442" s="1617" t="e">
        <f>SUMIF('[105]TB for financial'!$A:$A,A442,'[105]TB for financial'!$E:$E)</f>
        <v>#VALUE!</v>
      </c>
      <c r="T442" s="613"/>
    </row>
    <row r="443" spans="1:20">
      <c r="A443" s="608">
        <v>201214</v>
      </c>
      <c r="B443" s="609" t="s">
        <v>1383</v>
      </c>
      <c r="C443" s="610">
        <f t="shared" si="43"/>
        <v>0</v>
      </c>
      <c r="D443" s="611">
        <v>0</v>
      </c>
      <c r="E443" s="610">
        <f>SUMIF('Entries 24-25'!$B:$B,A:A,'Entries 24-25'!$D:$D)-SUMIF('Entries 24-25'!$B:$B,A:A,'Entries 24-25'!$E:$E)+SUMIF('IND AS entries 24-25'!$B:$B,A:A,'IND AS entries 24-25'!$D:$D)-SUMIF('IND AS entries 24-25'!$B:$B,A:A,'IND AS entries 24-25'!$E:$E)</f>
        <v>0</v>
      </c>
      <c r="F443" s="611">
        <f t="shared" si="45"/>
        <v>0</v>
      </c>
      <c r="G443" s="610"/>
      <c r="H443" s="610">
        <v>0</v>
      </c>
      <c r="I443" s="611">
        <v>0</v>
      </c>
      <c r="J443" s="610">
        <v>0</v>
      </c>
      <c r="K443" s="611">
        <f t="shared" si="46"/>
        <v>0</v>
      </c>
      <c r="L443" s="612">
        <f>VLOOKUP(A443,'BS Gr'!A:A,1,FALSE)</f>
        <v>201214</v>
      </c>
      <c r="M443" s="612">
        <f t="shared" si="42"/>
        <v>1</v>
      </c>
      <c r="N443" s="613">
        <f t="shared" si="44"/>
        <v>0</v>
      </c>
      <c r="O443" s="613">
        <f t="shared" si="48"/>
        <v>0</v>
      </c>
      <c r="P443" s="613">
        <v>0</v>
      </c>
      <c r="Q443" s="613">
        <f t="shared" si="47"/>
        <v>0</v>
      </c>
      <c r="R443" s="1514"/>
      <c r="S443" s="1617" t="e">
        <f>SUMIF('[105]TB for financial'!$A:$A,A443,'[105]TB for financial'!$E:$E)</f>
        <v>#VALUE!</v>
      </c>
      <c r="T443" s="613"/>
    </row>
    <row r="444" spans="1:20">
      <c r="A444" s="608">
        <v>201215</v>
      </c>
      <c r="B444" s="609" t="s">
        <v>1384</v>
      </c>
      <c r="C444" s="610">
        <f t="shared" si="43"/>
        <v>0</v>
      </c>
      <c r="D444" s="611">
        <v>0</v>
      </c>
      <c r="E444" s="610">
        <f>SUMIF('Entries 24-25'!$B:$B,A:A,'Entries 24-25'!$D:$D)-SUMIF('Entries 24-25'!$B:$B,A:A,'Entries 24-25'!$E:$E)+SUMIF('IND AS entries 24-25'!$B:$B,A:A,'IND AS entries 24-25'!$D:$D)-SUMIF('IND AS entries 24-25'!$B:$B,A:A,'IND AS entries 24-25'!$E:$E)</f>
        <v>0</v>
      </c>
      <c r="F444" s="611">
        <f t="shared" si="45"/>
        <v>0</v>
      </c>
      <c r="G444" s="610"/>
      <c r="H444" s="610">
        <v>0</v>
      </c>
      <c r="I444" s="611">
        <v>0</v>
      </c>
      <c r="J444" s="610">
        <v>0</v>
      </c>
      <c r="K444" s="611">
        <f t="shared" si="46"/>
        <v>0</v>
      </c>
      <c r="L444" s="612">
        <f>VLOOKUP(A444,'BS Gr'!A:A,1,FALSE)</f>
        <v>201215</v>
      </c>
      <c r="M444" s="612">
        <f t="shared" si="42"/>
        <v>1</v>
      </c>
      <c r="N444" s="613">
        <f t="shared" si="44"/>
        <v>0</v>
      </c>
      <c r="O444" s="613">
        <f t="shared" si="48"/>
        <v>0</v>
      </c>
      <c r="P444" s="613">
        <v>-192772</v>
      </c>
      <c r="Q444" s="613">
        <f t="shared" si="47"/>
        <v>192772</v>
      </c>
      <c r="R444" s="1514"/>
      <c r="S444" s="1617" t="e">
        <f>SUMIF('[105]TB for financial'!$A:$A,A444,'[105]TB for financial'!$E:$E)</f>
        <v>#VALUE!</v>
      </c>
      <c r="T444" s="613"/>
    </row>
    <row r="445" spans="1:20">
      <c r="A445" s="608">
        <v>201221</v>
      </c>
      <c r="B445" s="609" t="s">
        <v>1385</v>
      </c>
      <c r="C445" s="610">
        <f t="shared" si="43"/>
        <v>0</v>
      </c>
      <c r="D445" s="611">
        <v>0</v>
      </c>
      <c r="E445" s="610">
        <f>SUMIF('Entries 24-25'!$B:$B,A:A,'Entries 24-25'!$D:$D)-SUMIF('Entries 24-25'!$B:$B,A:A,'Entries 24-25'!$E:$E)+SUMIF('IND AS entries 24-25'!$B:$B,A:A,'IND AS entries 24-25'!$D:$D)-SUMIF('IND AS entries 24-25'!$B:$B,A:A,'IND AS entries 24-25'!$E:$E)</f>
        <v>0</v>
      </c>
      <c r="F445" s="611">
        <f t="shared" si="45"/>
        <v>0</v>
      </c>
      <c r="G445" s="610"/>
      <c r="H445" s="610">
        <v>0</v>
      </c>
      <c r="I445" s="611">
        <v>0</v>
      </c>
      <c r="J445" s="610">
        <v>0</v>
      </c>
      <c r="K445" s="611">
        <f t="shared" si="46"/>
        <v>0</v>
      </c>
      <c r="L445" s="612">
        <f>VLOOKUP(A445,'BS Gr'!A:A,1,FALSE)</f>
        <v>201221</v>
      </c>
      <c r="M445" s="612">
        <f t="shared" si="42"/>
        <v>1</v>
      </c>
      <c r="N445" s="613">
        <f t="shared" si="44"/>
        <v>0</v>
      </c>
      <c r="O445" s="613">
        <f t="shared" si="48"/>
        <v>0</v>
      </c>
      <c r="P445" s="613">
        <v>-38885.949999999983</v>
      </c>
      <c r="Q445" s="613">
        <f t="shared" si="47"/>
        <v>38885.949999999983</v>
      </c>
      <c r="R445" s="1514"/>
      <c r="S445" s="1617" t="e">
        <f>SUMIF('[105]TB for financial'!$A:$A,A445,'[105]TB for financial'!$E:$E)</f>
        <v>#VALUE!</v>
      </c>
      <c r="T445" s="613"/>
    </row>
    <row r="446" spans="1:20">
      <c r="A446" s="608">
        <v>201222</v>
      </c>
      <c r="B446" s="609" t="s">
        <v>1386</v>
      </c>
      <c r="C446" s="610">
        <f t="shared" si="43"/>
        <v>0</v>
      </c>
      <c r="D446" s="611">
        <v>0</v>
      </c>
      <c r="E446" s="610">
        <f>SUMIF('Entries 24-25'!$B:$B,A:A,'Entries 24-25'!$D:$D)-SUMIF('Entries 24-25'!$B:$B,A:A,'Entries 24-25'!$E:$E)+SUMIF('IND AS entries 24-25'!$B:$B,A:A,'IND AS entries 24-25'!$D:$D)-SUMIF('IND AS entries 24-25'!$B:$B,A:A,'IND AS entries 24-25'!$E:$E)</f>
        <v>0</v>
      </c>
      <c r="F446" s="611">
        <f t="shared" si="45"/>
        <v>0</v>
      </c>
      <c r="G446" s="610"/>
      <c r="H446" s="610">
        <v>0</v>
      </c>
      <c r="I446" s="611">
        <v>0</v>
      </c>
      <c r="J446" s="610">
        <v>0</v>
      </c>
      <c r="K446" s="611">
        <f t="shared" si="46"/>
        <v>0</v>
      </c>
      <c r="L446" s="612">
        <f>VLOOKUP(A446,'BS Gr'!A:A,1,FALSE)</f>
        <v>201222</v>
      </c>
      <c r="M446" s="612">
        <f t="shared" si="42"/>
        <v>1</v>
      </c>
      <c r="N446" s="613">
        <f t="shared" si="44"/>
        <v>0</v>
      </c>
      <c r="O446" s="613">
        <f t="shared" si="48"/>
        <v>0</v>
      </c>
      <c r="P446" s="613">
        <v>0</v>
      </c>
      <c r="Q446" s="613">
        <f t="shared" si="47"/>
        <v>0</v>
      </c>
      <c r="R446" s="1514"/>
      <c r="S446" s="1617" t="e">
        <f>SUMIF('[105]TB for financial'!$A:$A,A446,'[105]TB for financial'!$E:$E)</f>
        <v>#VALUE!</v>
      </c>
      <c r="T446" s="613"/>
    </row>
    <row r="447" spans="1:20">
      <c r="A447" s="608">
        <v>201223</v>
      </c>
      <c r="B447" s="609" t="s">
        <v>1387</v>
      </c>
      <c r="C447" s="610">
        <f t="shared" si="43"/>
        <v>0</v>
      </c>
      <c r="D447" s="611">
        <v>0</v>
      </c>
      <c r="E447" s="610">
        <f>SUMIF('Entries 24-25'!$B:$B,A:A,'Entries 24-25'!$D:$D)-SUMIF('Entries 24-25'!$B:$B,A:A,'Entries 24-25'!$E:$E)+SUMIF('IND AS entries 24-25'!$B:$B,A:A,'IND AS entries 24-25'!$D:$D)-SUMIF('IND AS entries 24-25'!$B:$B,A:A,'IND AS entries 24-25'!$E:$E)</f>
        <v>0</v>
      </c>
      <c r="F447" s="611">
        <f t="shared" si="45"/>
        <v>0</v>
      </c>
      <c r="G447" s="610"/>
      <c r="H447" s="610">
        <v>0</v>
      </c>
      <c r="I447" s="611">
        <v>0</v>
      </c>
      <c r="J447" s="610">
        <v>0</v>
      </c>
      <c r="K447" s="611">
        <f t="shared" si="46"/>
        <v>0</v>
      </c>
      <c r="L447" s="612">
        <f>VLOOKUP(A447,'BS Gr'!A:A,1,FALSE)</f>
        <v>201223</v>
      </c>
      <c r="M447" s="612">
        <f t="shared" si="42"/>
        <v>1</v>
      </c>
      <c r="N447" s="613">
        <f t="shared" si="44"/>
        <v>0</v>
      </c>
      <c r="O447" s="613">
        <f t="shared" si="48"/>
        <v>0</v>
      </c>
      <c r="P447" s="613">
        <v>0</v>
      </c>
      <c r="Q447" s="613">
        <f t="shared" si="47"/>
        <v>0</v>
      </c>
      <c r="R447" s="1514"/>
      <c r="S447" s="1617" t="e">
        <f>SUMIF('[105]TB for financial'!$A:$A,A447,'[105]TB for financial'!$E:$E)</f>
        <v>#VALUE!</v>
      </c>
      <c r="T447" s="613"/>
    </row>
    <row r="448" spans="1:20">
      <c r="A448" s="608">
        <v>201224</v>
      </c>
      <c r="B448" s="609" t="s">
        <v>1388</v>
      </c>
      <c r="C448" s="610">
        <f t="shared" si="43"/>
        <v>0</v>
      </c>
      <c r="D448" s="611">
        <v>0</v>
      </c>
      <c r="E448" s="610">
        <f>SUMIF('Entries 24-25'!$B:$B,A:A,'Entries 24-25'!$D:$D)-SUMIF('Entries 24-25'!$B:$B,A:A,'Entries 24-25'!$E:$E)+SUMIF('IND AS entries 24-25'!$B:$B,A:A,'IND AS entries 24-25'!$D:$D)-SUMIF('IND AS entries 24-25'!$B:$B,A:A,'IND AS entries 24-25'!$E:$E)</f>
        <v>0</v>
      </c>
      <c r="F448" s="611">
        <f t="shared" si="45"/>
        <v>0</v>
      </c>
      <c r="G448" s="610"/>
      <c r="H448" s="610">
        <v>0</v>
      </c>
      <c r="I448" s="611">
        <v>0</v>
      </c>
      <c r="J448" s="610">
        <v>0</v>
      </c>
      <c r="K448" s="611">
        <f t="shared" si="46"/>
        <v>0</v>
      </c>
      <c r="L448" s="612">
        <f>VLOOKUP(A448,'BS Gr'!A:A,1,FALSE)</f>
        <v>201224</v>
      </c>
      <c r="M448" s="612">
        <f t="shared" si="42"/>
        <v>1</v>
      </c>
      <c r="N448" s="613">
        <f t="shared" si="44"/>
        <v>0</v>
      </c>
      <c r="O448" s="613">
        <f t="shared" si="48"/>
        <v>0</v>
      </c>
      <c r="P448" s="613">
        <v>0</v>
      </c>
      <c r="Q448" s="613">
        <f t="shared" si="47"/>
        <v>0</v>
      </c>
      <c r="R448" s="1514"/>
      <c r="S448" s="1617" t="e">
        <f>SUMIF('[105]TB for financial'!$A:$A,A448,'[105]TB for financial'!$E:$E)</f>
        <v>#VALUE!</v>
      </c>
      <c r="T448" s="613"/>
    </row>
    <row r="449" spans="1:20">
      <c r="A449" s="608">
        <v>201225</v>
      </c>
      <c r="B449" s="609" t="s">
        <v>1389</v>
      </c>
      <c r="C449" s="610">
        <f t="shared" si="43"/>
        <v>0</v>
      </c>
      <c r="D449" s="611">
        <v>0</v>
      </c>
      <c r="E449" s="610">
        <f>SUMIF('Entries 24-25'!$B:$B,A:A,'Entries 24-25'!$D:$D)-SUMIF('Entries 24-25'!$B:$B,A:A,'Entries 24-25'!$E:$E)+SUMIF('IND AS entries 24-25'!$B:$B,A:A,'IND AS entries 24-25'!$D:$D)-SUMIF('IND AS entries 24-25'!$B:$B,A:A,'IND AS entries 24-25'!$E:$E)</f>
        <v>0</v>
      </c>
      <c r="F449" s="611">
        <f t="shared" si="45"/>
        <v>0</v>
      </c>
      <c r="G449" s="610"/>
      <c r="H449" s="610">
        <v>0</v>
      </c>
      <c r="I449" s="611">
        <v>0</v>
      </c>
      <c r="J449" s="610">
        <v>0</v>
      </c>
      <c r="K449" s="611">
        <f t="shared" si="46"/>
        <v>0</v>
      </c>
      <c r="L449" s="612">
        <f>VLOOKUP(A449,'BS Gr'!A:A,1,FALSE)</f>
        <v>201225</v>
      </c>
      <c r="M449" s="612">
        <f t="shared" si="42"/>
        <v>1</v>
      </c>
      <c r="N449" s="613">
        <f t="shared" si="44"/>
        <v>0</v>
      </c>
      <c r="O449" s="613">
        <f t="shared" si="48"/>
        <v>0</v>
      </c>
      <c r="P449" s="613">
        <v>0</v>
      </c>
      <c r="Q449" s="613">
        <f t="shared" si="47"/>
        <v>0</v>
      </c>
      <c r="R449" s="1514"/>
      <c r="S449" s="1617" t="e">
        <f>SUMIF('[105]TB for financial'!$A:$A,A449,'[105]TB for financial'!$E:$E)</f>
        <v>#VALUE!</v>
      </c>
      <c r="T449" s="613"/>
    </row>
    <row r="450" spans="1:20">
      <c r="A450" s="608">
        <v>201226</v>
      </c>
      <c r="B450" s="609" t="s">
        <v>1390</v>
      </c>
      <c r="C450" s="610">
        <f t="shared" si="43"/>
        <v>0</v>
      </c>
      <c r="D450" s="611">
        <v>0</v>
      </c>
      <c r="E450" s="610">
        <f>SUMIF('Entries 24-25'!$B:$B,A:A,'Entries 24-25'!$D:$D)-SUMIF('Entries 24-25'!$B:$B,A:A,'Entries 24-25'!$E:$E)+SUMIF('IND AS entries 24-25'!$B:$B,A:A,'IND AS entries 24-25'!$D:$D)-SUMIF('IND AS entries 24-25'!$B:$B,A:A,'IND AS entries 24-25'!$E:$E)</f>
        <v>0</v>
      </c>
      <c r="F450" s="611">
        <f t="shared" si="45"/>
        <v>0</v>
      </c>
      <c r="G450" s="610"/>
      <c r="H450" s="610">
        <v>0</v>
      </c>
      <c r="I450" s="611">
        <v>0</v>
      </c>
      <c r="J450" s="610">
        <v>0</v>
      </c>
      <c r="K450" s="611">
        <f t="shared" si="46"/>
        <v>0</v>
      </c>
      <c r="L450" s="612">
        <f>VLOOKUP(A450,'BS Gr'!A:A,1,FALSE)</f>
        <v>201226</v>
      </c>
      <c r="M450" s="612">
        <f t="shared" si="42"/>
        <v>1</v>
      </c>
      <c r="N450" s="613">
        <f t="shared" si="44"/>
        <v>0</v>
      </c>
      <c r="O450" s="613">
        <f t="shared" si="48"/>
        <v>0</v>
      </c>
      <c r="P450" s="613">
        <v>0</v>
      </c>
      <c r="Q450" s="613">
        <f t="shared" si="47"/>
        <v>0</v>
      </c>
      <c r="R450" s="1514"/>
      <c r="S450" s="1617" t="e">
        <f>SUMIF('[105]TB for financial'!$A:$A,A450,'[105]TB for financial'!$E:$E)</f>
        <v>#VALUE!</v>
      </c>
      <c r="T450" s="613"/>
    </row>
    <row r="451" spans="1:20">
      <c r="A451" s="608">
        <v>201228</v>
      </c>
      <c r="B451" s="609" t="s">
        <v>1391</v>
      </c>
      <c r="C451" s="610">
        <f t="shared" si="43"/>
        <v>0</v>
      </c>
      <c r="D451" s="611">
        <v>0</v>
      </c>
      <c r="E451" s="610">
        <f>SUMIF('Entries 24-25'!$B:$B,A:A,'Entries 24-25'!$D:$D)-SUMIF('Entries 24-25'!$B:$B,A:A,'Entries 24-25'!$E:$E)+SUMIF('IND AS entries 24-25'!$B:$B,A:A,'IND AS entries 24-25'!$D:$D)-SUMIF('IND AS entries 24-25'!$B:$B,A:A,'IND AS entries 24-25'!$E:$E)</f>
        <v>0</v>
      </c>
      <c r="F451" s="611">
        <f t="shared" si="45"/>
        <v>0</v>
      </c>
      <c r="G451" s="610"/>
      <c r="H451" s="610">
        <v>0</v>
      </c>
      <c r="I451" s="611">
        <v>0</v>
      </c>
      <c r="J451" s="610">
        <v>0</v>
      </c>
      <c r="K451" s="611">
        <f t="shared" si="46"/>
        <v>0</v>
      </c>
      <c r="L451" s="612">
        <f>VLOOKUP(A451,'BS Gr'!A:A,1,FALSE)</f>
        <v>201228</v>
      </c>
      <c r="M451" s="612">
        <f t="shared" si="42"/>
        <v>1</v>
      </c>
      <c r="N451" s="613">
        <f t="shared" si="44"/>
        <v>0</v>
      </c>
      <c r="O451" s="613">
        <f t="shared" si="48"/>
        <v>0</v>
      </c>
      <c r="P451" s="613">
        <v>-14116</v>
      </c>
      <c r="Q451" s="613">
        <f t="shared" si="47"/>
        <v>14116</v>
      </c>
      <c r="R451" s="1514"/>
      <c r="S451" s="1617" t="e">
        <f>SUMIF('[105]TB for financial'!$A:$A,A451,'[105]TB for financial'!$E:$E)</f>
        <v>#VALUE!</v>
      </c>
      <c r="T451" s="613"/>
    </row>
    <row r="452" spans="1:20">
      <c r="A452" s="608">
        <v>201230</v>
      </c>
      <c r="B452" s="615" t="s">
        <v>1392</v>
      </c>
      <c r="C452" s="610">
        <f t="shared" si="43"/>
        <v>0</v>
      </c>
      <c r="D452" s="611">
        <v>0</v>
      </c>
      <c r="E452" s="610">
        <f>SUMIF('Entries 24-25'!$B:$B,A:A,'Entries 24-25'!$D:$D)-SUMIF('Entries 24-25'!$B:$B,A:A,'Entries 24-25'!$E:$E)+SUMIF('IND AS entries 24-25'!$B:$B,A:A,'IND AS entries 24-25'!$D:$D)-SUMIF('IND AS entries 24-25'!$B:$B,A:A,'IND AS entries 24-25'!$E:$E)</f>
        <v>0</v>
      </c>
      <c r="F452" s="611">
        <f t="shared" si="45"/>
        <v>0</v>
      </c>
      <c r="G452" s="610"/>
      <c r="H452" s="610">
        <v>0</v>
      </c>
      <c r="I452" s="611">
        <v>0</v>
      </c>
      <c r="J452" s="610">
        <v>0</v>
      </c>
      <c r="K452" s="611">
        <f t="shared" si="46"/>
        <v>0</v>
      </c>
      <c r="L452" s="612">
        <f>VLOOKUP(A452,'BS Gr'!A:A,1,FALSE)</f>
        <v>201230</v>
      </c>
      <c r="M452" s="612">
        <f t="shared" si="42"/>
        <v>1</v>
      </c>
      <c r="N452" s="613">
        <f t="shared" si="44"/>
        <v>0</v>
      </c>
      <c r="O452" s="613">
        <f t="shared" si="48"/>
        <v>0</v>
      </c>
      <c r="P452" s="613">
        <v>-700</v>
      </c>
      <c r="Q452" s="613">
        <f t="shared" si="47"/>
        <v>700</v>
      </c>
      <c r="R452" s="1514"/>
      <c r="S452" s="1617" t="e">
        <f>SUMIF('[105]TB for financial'!$A:$A,A452,'[105]TB for financial'!$E:$E)</f>
        <v>#VALUE!</v>
      </c>
      <c r="T452" s="613"/>
    </row>
    <row r="453" spans="1:20">
      <c r="A453" s="608">
        <v>201231</v>
      </c>
      <c r="B453" s="609" t="s">
        <v>1393</v>
      </c>
      <c r="C453" s="610">
        <f t="shared" si="43"/>
        <v>0</v>
      </c>
      <c r="D453" s="611">
        <v>0</v>
      </c>
      <c r="E453" s="610">
        <f>SUMIF('Entries 24-25'!$B:$B,A:A,'Entries 24-25'!$D:$D)-SUMIF('Entries 24-25'!$B:$B,A:A,'Entries 24-25'!$E:$E)+SUMIF('IND AS entries 24-25'!$B:$B,A:A,'IND AS entries 24-25'!$D:$D)-SUMIF('IND AS entries 24-25'!$B:$B,A:A,'IND AS entries 24-25'!$E:$E)</f>
        <v>0</v>
      </c>
      <c r="F453" s="611">
        <f t="shared" si="45"/>
        <v>0</v>
      </c>
      <c r="G453" s="610"/>
      <c r="H453" s="610">
        <v>0</v>
      </c>
      <c r="I453" s="611">
        <v>0</v>
      </c>
      <c r="J453" s="610">
        <v>0</v>
      </c>
      <c r="K453" s="611">
        <f t="shared" si="46"/>
        <v>0</v>
      </c>
      <c r="L453" s="612">
        <f>VLOOKUP(A453,'BS Gr'!A:A,1,FALSE)</f>
        <v>201231</v>
      </c>
      <c r="M453" s="612">
        <f t="shared" ref="M453:M516" si="49">COUNTIF(A:A,A453)</f>
        <v>1</v>
      </c>
      <c r="N453" s="613">
        <f t="shared" si="44"/>
        <v>0</v>
      </c>
      <c r="O453" s="613">
        <f t="shared" si="48"/>
        <v>0</v>
      </c>
      <c r="P453" s="613">
        <v>0</v>
      </c>
      <c r="Q453" s="613">
        <f t="shared" si="47"/>
        <v>0</v>
      </c>
      <c r="R453" s="1514"/>
      <c r="S453" s="1617" t="e">
        <f>SUMIF('[105]TB for financial'!$A:$A,A453,'[105]TB for financial'!$E:$E)</f>
        <v>#VALUE!</v>
      </c>
      <c r="T453" s="613"/>
    </row>
    <row r="454" spans="1:20">
      <c r="A454" s="608">
        <v>201232</v>
      </c>
      <c r="B454" s="609" t="s">
        <v>1394</v>
      </c>
      <c r="C454" s="610">
        <f t="shared" ref="C454:C517" si="50">K454</f>
        <v>0</v>
      </c>
      <c r="D454" s="611">
        <v>0</v>
      </c>
      <c r="E454" s="610">
        <f>SUMIF('Entries 24-25'!$B:$B,A:A,'Entries 24-25'!$D:$D)-SUMIF('Entries 24-25'!$B:$B,A:A,'Entries 24-25'!$E:$E)+SUMIF('IND AS entries 24-25'!$B:$B,A:A,'IND AS entries 24-25'!$D:$D)-SUMIF('IND AS entries 24-25'!$B:$B,A:A,'IND AS entries 24-25'!$E:$E)</f>
        <v>0</v>
      </c>
      <c r="F454" s="611">
        <f t="shared" si="45"/>
        <v>0</v>
      </c>
      <c r="G454" s="610"/>
      <c r="H454" s="610">
        <v>0</v>
      </c>
      <c r="I454" s="611">
        <v>0</v>
      </c>
      <c r="J454" s="610">
        <v>0</v>
      </c>
      <c r="K454" s="611">
        <f t="shared" si="46"/>
        <v>0</v>
      </c>
      <c r="L454" s="612">
        <f>VLOOKUP(A454,'BS Gr'!A:A,1,FALSE)</f>
        <v>201232</v>
      </c>
      <c r="M454" s="612">
        <f t="shared" si="49"/>
        <v>1</v>
      </c>
      <c r="N454" s="613">
        <f t="shared" ref="N454:N517" si="51">C454-K454</f>
        <v>0</v>
      </c>
      <c r="O454" s="613">
        <f t="shared" si="48"/>
        <v>0</v>
      </c>
      <c r="P454" s="613">
        <v>-34774</v>
      </c>
      <c r="Q454" s="613">
        <f t="shared" si="47"/>
        <v>34774</v>
      </c>
      <c r="R454" s="1514"/>
      <c r="S454" s="1617" t="e">
        <f>SUMIF('[105]TB for financial'!$A:$A,A454,'[105]TB for financial'!$E:$E)</f>
        <v>#VALUE!</v>
      </c>
      <c r="T454" s="613"/>
    </row>
    <row r="455" spans="1:20">
      <c r="A455" s="608">
        <v>201233</v>
      </c>
      <c r="B455" s="609" t="s">
        <v>1395</v>
      </c>
      <c r="C455" s="610">
        <f t="shared" si="50"/>
        <v>0</v>
      </c>
      <c r="D455" s="611">
        <v>0</v>
      </c>
      <c r="E455" s="610">
        <f>SUMIF('Entries 24-25'!$B:$B,A:A,'Entries 24-25'!$D:$D)-SUMIF('Entries 24-25'!$B:$B,A:A,'Entries 24-25'!$E:$E)+SUMIF('IND AS entries 24-25'!$B:$B,A:A,'IND AS entries 24-25'!$D:$D)-SUMIF('IND AS entries 24-25'!$B:$B,A:A,'IND AS entries 24-25'!$E:$E)</f>
        <v>0</v>
      </c>
      <c r="F455" s="611">
        <f t="shared" si="45"/>
        <v>0</v>
      </c>
      <c r="G455" s="610"/>
      <c r="H455" s="610">
        <v>0</v>
      </c>
      <c r="I455" s="611">
        <v>0</v>
      </c>
      <c r="J455" s="610">
        <v>0</v>
      </c>
      <c r="K455" s="611">
        <f t="shared" si="46"/>
        <v>0</v>
      </c>
      <c r="L455" s="612">
        <f>VLOOKUP(A455,'BS Gr'!A:A,1,FALSE)</f>
        <v>201233</v>
      </c>
      <c r="M455" s="612">
        <f t="shared" si="49"/>
        <v>1</v>
      </c>
      <c r="N455" s="613">
        <f t="shared" si="51"/>
        <v>0</v>
      </c>
      <c r="O455" s="613">
        <f t="shared" si="48"/>
        <v>0</v>
      </c>
      <c r="P455" s="613">
        <v>0</v>
      </c>
      <c r="Q455" s="613">
        <f t="shared" si="47"/>
        <v>0</v>
      </c>
      <c r="R455" s="1514"/>
      <c r="S455" s="1617" t="e">
        <f>SUMIF('[105]TB for financial'!$A:$A,A455,'[105]TB for financial'!$E:$E)</f>
        <v>#VALUE!</v>
      </c>
      <c r="T455" s="613"/>
    </row>
    <row r="456" spans="1:20">
      <c r="A456" s="608">
        <v>201234</v>
      </c>
      <c r="B456" s="609" t="s">
        <v>1396</v>
      </c>
      <c r="C456" s="610">
        <f t="shared" si="50"/>
        <v>0</v>
      </c>
      <c r="D456" s="611">
        <v>0</v>
      </c>
      <c r="E456" s="610">
        <f>SUMIF('Entries 24-25'!$B:$B,A:A,'Entries 24-25'!$D:$D)-SUMIF('Entries 24-25'!$B:$B,A:A,'Entries 24-25'!$E:$E)+SUMIF('IND AS entries 24-25'!$B:$B,A:A,'IND AS entries 24-25'!$D:$D)-SUMIF('IND AS entries 24-25'!$B:$B,A:A,'IND AS entries 24-25'!$E:$E)</f>
        <v>0</v>
      </c>
      <c r="F456" s="611">
        <f t="shared" ref="F456:F519" si="52">SUM(C456:E456)</f>
        <v>0</v>
      </c>
      <c r="G456" s="610"/>
      <c r="H456" s="610">
        <v>0</v>
      </c>
      <c r="I456" s="611">
        <v>0</v>
      </c>
      <c r="J456" s="610">
        <v>0</v>
      </c>
      <c r="K456" s="611">
        <f t="shared" ref="K456:K519" si="53">SUM(H456:J456)</f>
        <v>0</v>
      </c>
      <c r="L456" s="612">
        <f>VLOOKUP(A456,'BS Gr'!A:A,1,FALSE)</f>
        <v>201234</v>
      </c>
      <c r="M456" s="612">
        <f t="shared" si="49"/>
        <v>1</v>
      </c>
      <c r="N456" s="613">
        <f t="shared" si="51"/>
        <v>0</v>
      </c>
      <c r="O456" s="613">
        <f t="shared" si="48"/>
        <v>0</v>
      </c>
      <c r="P456" s="613">
        <v>0</v>
      </c>
      <c r="Q456" s="613">
        <f t="shared" si="47"/>
        <v>0</v>
      </c>
      <c r="R456" s="1514"/>
      <c r="S456" s="1617" t="e">
        <f>SUMIF('[105]TB for financial'!$A:$A,A456,'[105]TB for financial'!$E:$E)</f>
        <v>#VALUE!</v>
      </c>
      <c r="T456" s="613"/>
    </row>
    <row r="457" spans="1:20">
      <c r="A457" s="608">
        <v>201235</v>
      </c>
      <c r="B457" s="609" t="s">
        <v>1397</v>
      </c>
      <c r="C457" s="610">
        <f t="shared" si="50"/>
        <v>0</v>
      </c>
      <c r="D457" s="611">
        <v>0</v>
      </c>
      <c r="E457" s="610">
        <f>SUMIF('Entries 24-25'!$B:$B,A:A,'Entries 24-25'!$D:$D)-SUMIF('Entries 24-25'!$B:$B,A:A,'Entries 24-25'!$E:$E)+SUMIF('IND AS entries 24-25'!$B:$B,A:A,'IND AS entries 24-25'!$D:$D)-SUMIF('IND AS entries 24-25'!$B:$B,A:A,'IND AS entries 24-25'!$E:$E)</f>
        <v>0</v>
      </c>
      <c r="F457" s="611">
        <f t="shared" si="52"/>
        <v>0</v>
      </c>
      <c r="G457" s="610"/>
      <c r="H457" s="610">
        <v>0</v>
      </c>
      <c r="I457" s="611">
        <v>0</v>
      </c>
      <c r="J457" s="610">
        <v>0</v>
      </c>
      <c r="K457" s="611">
        <f t="shared" si="53"/>
        <v>0</v>
      </c>
      <c r="L457" s="612">
        <f>VLOOKUP(A457,'BS Gr'!A:A,1,FALSE)</f>
        <v>201235</v>
      </c>
      <c r="M457" s="612">
        <f t="shared" si="49"/>
        <v>1</v>
      </c>
      <c r="N457" s="613">
        <f t="shared" si="51"/>
        <v>0</v>
      </c>
      <c r="O457" s="613">
        <f t="shared" si="48"/>
        <v>0</v>
      </c>
      <c r="P457" s="613">
        <v>0</v>
      </c>
      <c r="Q457" s="613">
        <f t="shared" si="47"/>
        <v>0</v>
      </c>
      <c r="R457" s="1514"/>
      <c r="S457" s="1617" t="e">
        <f>SUMIF('[105]TB for financial'!$A:$A,A457,'[105]TB for financial'!$E:$E)</f>
        <v>#VALUE!</v>
      </c>
      <c r="T457" s="613"/>
    </row>
    <row r="458" spans="1:20">
      <c r="A458" s="608">
        <v>201236</v>
      </c>
      <c r="B458" s="609" t="s">
        <v>1398</v>
      </c>
      <c r="C458" s="610">
        <f t="shared" si="50"/>
        <v>0</v>
      </c>
      <c r="D458" s="611">
        <v>0</v>
      </c>
      <c r="E458" s="610">
        <f>SUMIF('Entries 24-25'!$B:$B,A:A,'Entries 24-25'!$D:$D)-SUMIF('Entries 24-25'!$B:$B,A:A,'Entries 24-25'!$E:$E)+SUMIF('IND AS entries 24-25'!$B:$B,A:A,'IND AS entries 24-25'!$D:$D)-SUMIF('IND AS entries 24-25'!$B:$B,A:A,'IND AS entries 24-25'!$E:$E)</f>
        <v>0</v>
      </c>
      <c r="F458" s="611">
        <f t="shared" si="52"/>
        <v>0</v>
      </c>
      <c r="G458" s="610"/>
      <c r="H458" s="610">
        <v>0</v>
      </c>
      <c r="I458" s="611">
        <v>0</v>
      </c>
      <c r="J458" s="610">
        <v>0</v>
      </c>
      <c r="K458" s="611">
        <f t="shared" si="53"/>
        <v>0</v>
      </c>
      <c r="L458" s="612">
        <f>VLOOKUP(A458,'BS Gr'!A:A,1,FALSE)</f>
        <v>201236</v>
      </c>
      <c r="M458" s="612">
        <f t="shared" si="49"/>
        <v>1</v>
      </c>
      <c r="N458" s="613">
        <f t="shared" si="51"/>
        <v>0</v>
      </c>
      <c r="O458" s="613">
        <f t="shared" si="48"/>
        <v>0</v>
      </c>
      <c r="P458" s="613">
        <v>-4400</v>
      </c>
      <c r="Q458" s="613">
        <f t="shared" si="47"/>
        <v>4400</v>
      </c>
      <c r="R458" s="1514"/>
      <c r="S458" s="1617" t="e">
        <f>SUMIF('[105]TB for financial'!$A:$A,A458,'[105]TB for financial'!$E:$E)</f>
        <v>#VALUE!</v>
      </c>
      <c r="T458" s="613"/>
    </row>
    <row r="459" spans="1:20">
      <c r="A459" s="608">
        <v>201241</v>
      </c>
      <c r="B459" s="609" t="s">
        <v>1399</v>
      </c>
      <c r="C459" s="610">
        <f t="shared" si="50"/>
        <v>0</v>
      </c>
      <c r="D459" s="611">
        <v>0</v>
      </c>
      <c r="E459" s="610">
        <f>SUMIF('Entries 24-25'!$B:$B,A:A,'Entries 24-25'!$D:$D)-SUMIF('Entries 24-25'!$B:$B,A:A,'Entries 24-25'!$E:$E)+SUMIF('IND AS entries 24-25'!$B:$B,A:A,'IND AS entries 24-25'!$D:$D)-SUMIF('IND AS entries 24-25'!$B:$B,A:A,'IND AS entries 24-25'!$E:$E)</f>
        <v>0</v>
      </c>
      <c r="F459" s="611">
        <f t="shared" si="52"/>
        <v>0</v>
      </c>
      <c r="G459" s="610"/>
      <c r="H459" s="610">
        <v>0</v>
      </c>
      <c r="I459" s="611">
        <v>0</v>
      </c>
      <c r="J459" s="610">
        <v>0</v>
      </c>
      <c r="K459" s="611">
        <f t="shared" si="53"/>
        <v>0</v>
      </c>
      <c r="L459" s="612">
        <f>VLOOKUP(A459,'BS Gr'!A:A,1,FALSE)</f>
        <v>201241</v>
      </c>
      <c r="M459" s="612">
        <f t="shared" si="49"/>
        <v>1</v>
      </c>
      <c r="N459" s="613">
        <f t="shared" si="51"/>
        <v>0</v>
      </c>
      <c r="O459" s="613">
        <f t="shared" si="48"/>
        <v>0</v>
      </c>
      <c r="P459" s="613">
        <v>-2891178.6400000006</v>
      </c>
      <c r="Q459" s="613">
        <f t="shared" si="47"/>
        <v>2891178.6400000006</v>
      </c>
      <c r="R459" s="1514"/>
      <c r="S459" s="1617" t="e">
        <f>SUMIF('[105]TB for financial'!$A:$A,A459,'[105]TB for financial'!$E:$E)</f>
        <v>#VALUE!</v>
      </c>
      <c r="T459" s="613"/>
    </row>
    <row r="460" spans="1:20">
      <c r="A460" s="608">
        <v>201242</v>
      </c>
      <c r="B460" s="609" t="s">
        <v>1400</v>
      </c>
      <c r="C460" s="610">
        <f t="shared" si="50"/>
        <v>0</v>
      </c>
      <c r="D460" s="611">
        <v>0</v>
      </c>
      <c r="E460" s="610">
        <f>SUMIF('Entries 24-25'!$B:$B,A:A,'Entries 24-25'!$D:$D)-SUMIF('Entries 24-25'!$B:$B,A:A,'Entries 24-25'!$E:$E)+SUMIF('IND AS entries 24-25'!$B:$B,A:A,'IND AS entries 24-25'!$D:$D)-SUMIF('IND AS entries 24-25'!$B:$B,A:A,'IND AS entries 24-25'!$E:$E)</f>
        <v>0</v>
      </c>
      <c r="F460" s="611">
        <f t="shared" si="52"/>
        <v>0</v>
      </c>
      <c r="G460" s="610"/>
      <c r="H460" s="610">
        <v>0</v>
      </c>
      <c r="I460" s="611">
        <v>0</v>
      </c>
      <c r="J460" s="610">
        <v>0</v>
      </c>
      <c r="K460" s="611">
        <f t="shared" si="53"/>
        <v>0</v>
      </c>
      <c r="L460" s="612">
        <f>VLOOKUP(A460,'BS Gr'!A:A,1,FALSE)</f>
        <v>201242</v>
      </c>
      <c r="M460" s="612">
        <f t="shared" si="49"/>
        <v>1</v>
      </c>
      <c r="N460" s="613">
        <f t="shared" si="51"/>
        <v>0</v>
      </c>
      <c r="O460" s="613">
        <f t="shared" si="48"/>
        <v>0</v>
      </c>
      <c r="P460" s="613">
        <v>-1444970.4600000009</v>
      </c>
      <c r="Q460" s="613">
        <f t="shared" si="47"/>
        <v>1444970.4600000009</v>
      </c>
      <c r="R460" s="1514"/>
      <c r="S460" s="1617" t="e">
        <f>SUMIF('[105]TB for financial'!$A:$A,A460,'[105]TB for financial'!$E:$E)</f>
        <v>#VALUE!</v>
      </c>
      <c r="T460" s="613"/>
    </row>
    <row r="461" spans="1:20">
      <c r="A461" s="608">
        <v>201243</v>
      </c>
      <c r="B461" s="609" t="s">
        <v>1401</v>
      </c>
      <c r="C461" s="610">
        <f t="shared" si="50"/>
        <v>-0.48999999999068677</v>
      </c>
      <c r="D461" s="611">
        <v>0</v>
      </c>
      <c r="E461" s="610">
        <f>SUMIF('Entries 24-25'!$B:$B,A:A,'Entries 24-25'!$D:$D)-SUMIF('Entries 24-25'!$B:$B,A:A,'Entries 24-25'!$E:$E)+SUMIF('IND AS entries 24-25'!$B:$B,A:A,'IND AS entries 24-25'!$D:$D)-SUMIF('IND AS entries 24-25'!$B:$B,A:A,'IND AS entries 24-25'!$E:$E)</f>
        <v>0</v>
      </c>
      <c r="F461" s="611">
        <f t="shared" si="52"/>
        <v>-0.48999999999068677</v>
      </c>
      <c r="G461" s="610"/>
      <c r="H461" s="610">
        <v>-0.48999999999068677</v>
      </c>
      <c r="I461" s="611">
        <v>0</v>
      </c>
      <c r="J461" s="610">
        <v>0</v>
      </c>
      <c r="K461" s="611">
        <f t="shared" si="53"/>
        <v>-0.48999999999068677</v>
      </c>
      <c r="L461" s="612">
        <f>VLOOKUP(A461,'BS Gr'!A:A,1,FALSE)</f>
        <v>201243</v>
      </c>
      <c r="M461" s="612">
        <f t="shared" si="49"/>
        <v>1</v>
      </c>
      <c r="N461" s="613">
        <f t="shared" si="51"/>
        <v>0</v>
      </c>
      <c r="O461" s="613">
        <f t="shared" si="48"/>
        <v>0</v>
      </c>
      <c r="P461" s="613">
        <v>-369415</v>
      </c>
      <c r="Q461" s="613">
        <f t="shared" si="47"/>
        <v>369414.51</v>
      </c>
      <c r="R461" s="1514"/>
      <c r="S461" s="1617" t="e">
        <f>SUMIF('[105]TB for financial'!$A:$A,A461,'[105]TB for financial'!$E:$E)</f>
        <v>#VALUE!</v>
      </c>
      <c r="T461" s="613"/>
    </row>
    <row r="462" spans="1:20">
      <c r="A462" s="608">
        <v>201244</v>
      </c>
      <c r="B462" s="609" t="s">
        <v>1402</v>
      </c>
      <c r="C462" s="610">
        <f t="shared" si="50"/>
        <v>0</v>
      </c>
      <c r="D462" s="611">
        <v>0</v>
      </c>
      <c r="E462" s="610">
        <f>SUMIF('Entries 24-25'!$B:$B,A:A,'Entries 24-25'!$D:$D)-SUMIF('Entries 24-25'!$B:$B,A:A,'Entries 24-25'!$E:$E)+SUMIF('IND AS entries 24-25'!$B:$B,A:A,'IND AS entries 24-25'!$D:$D)-SUMIF('IND AS entries 24-25'!$B:$B,A:A,'IND AS entries 24-25'!$E:$E)</f>
        <v>0</v>
      </c>
      <c r="F462" s="611">
        <f t="shared" si="52"/>
        <v>0</v>
      </c>
      <c r="G462" s="610"/>
      <c r="H462" s="610">
        <v>0</v>
      </c>
      <c r="I462" s="611">
        <v>0</v>
      </c>
      <c r="J462" s="610">
        <v>0</v>
      </c>
      <c r="K462" s="611">
        <f t="shared" si="53"/>
        <v>0</v>
      </c>
      <c r="L462" s="612">
        <f>VLOOKUP(A462,'BS Gr'!A:A,1,FALSE)</f>
        <v>201244</v>
      </c>
      <c r="M462" s="612">
        <f t="shared" si="49"/>
        <v>1</v>
      </c>
      <c r="N462" s="613">
        <f t="shared" si="51"/>
        <v>0</v>
      </c>
      <c r="O462" s="613">
        <f t="shared" si="48"/>
        <v>0</v>
      </c>
      <c r="P462" s="613">
        <v>0</v>
      </c>
      <c r="Q462" s="613">
        <f t="shared" si="47"/>
        <v>0</v>
      </c>
      <c r="R462" s="1514"/>
      <c r="S462" s="1617" t="e">
        <f>SUMIF('[105]TB for financial'!$A:$A,A462,'[105]TB for financial'!$E:$E)</f>
        <v>#VALUE!</v>
      </c>
      <c r="T462" s="613"/>
    </row>
    <row r="463" spans="1:20">
      <c r="A463" s="608">
        <v>202010</v>
      </c>
      <c r="B463" s="609" t="s">
        <v>617</v>
      </c>
      <c r="C463" s="610">
        <f t="shared" si="50"/>
        <v>0</v>
      </c>
      <c r="D463" s="611">
        <v>0</v>
      </c>
      <c r="E463" s="610">
        <f>SUMIF('Entries 24-25'!$B:$B,A:A,'Entries 24-25'!$D:$D)-SUMIF('Entries 24-25'!$B:$B,A:A,'Entries 24-25'!$E:$E)+SUMIF('IND AS entries 24-25'!$B:$B,A:A,'IND AS entries 24-25'!$D:$D)-SUMIF('IND AS entries 24-25'!$B:$B,A:A,'IND AS entries 24-25'!$E:$E)</f>
        <v>0</v>
      </c>
      <c r="F463" s="611">
        <f t="shared" si="52"/>
        <v>0</v>
      </c>
      <c r="G463" s="610"/>
      <c r="H463" s="610">
        <v>0</v>
      </c>
      <c r="I463" s="611">
        <v>0</v>
      </c>
      <c r="J463" s="610">
        <v>0</v>
      </c>
      <c r="K463" s="611">
        <f t="shared" si="53"/>
        <v>0</v>
      </c>
      <c r="L463" s="612">
        <f>VLOOKUP(A463,'BS Gr'!A:A,1,FALSE)</f>
        <v>202010</v>
      </c>
      <c r="M463" s="612">
        <f t="shared" si="49"/>
        <v>1</v>
      </c>
      <c r="N463" s="613">
        <f t="shared" si="51"/>
        <v>0</v>
      </c>
      <c r="O463" s="613">
        <f t="shared" si="48"/>
        <v>0</v>
      </c>
      <c r="P463" s="613">
        <v>0</v>
      </c>
      <c r="Q463" s="613">
        <f t="shared" si="47"/>
        <v>0</v>
      </c>
      <c r="R463" s="1514"/>
      <c r="S463" s="1617" t="e">
        <f>SUMIF('[105]TB for financial'!$A:$A,A463,'[105]TB for financial'!$E:$E)</f>
        <v>#VALUE!</v>
      </c>
      <c r="T463" s="613"/>
    </row>
    <row r="464" spans="1:20">
      <c r="A464" s="608">
        <v>205010</v>
      </c>
      <c r="B464" s="609" t="s">
        <v>1403</v>
      </c>
      <c r="C464" s="610">
        <f t="shared" si="50"/>
        <v>0</v>
      </c>
      <c r="D464" s="611">
        <v>0</v>
      </c>
      <c r="E464" s="610">
        <f>SUMIF('Entries 24-25'!$B:$B,A:A,'Entries 24-25'!$D:$D)-SUMIF('Entries 24-25'!$B:$B,A:A,'Entries 24-25'!$E:$E)+SUMIF('IND AS entries 24-25'!$B:$B,A:A,'IND AS entries 24-25'!$D:$D)-SUMIF('IND AS entries 24-25'!$B:$B,A:A,'IND AS entries 24-25'!$E:$E)</f>
        <v>0</v>
      </c>
      <c r="F464" s="611">
        <f t="shared" si="52"/>
        <v>0</v>
      </c>
      <c r="G464" s="610"/>
      <c r="H464" s="610">
        <v>0</v>
      </c>
      <c r="I464" s="611">
        <v>0</v>
      </c>
      <c r="J464" s="610">
        <v>0</v>
      </c>
      <c r="K464" s="611">
        <f t="shared" si="53"/>
        <v>0</v>
      </c>
      <c r="L464" s="612">
        <f>VLOOKUP(A464,'BS Gr'!A:A,1,FALSE)</f>
        <v>205010</v>
      </c>
      <c r="M464" s="612">
        <f t="shared" si="49"/>
        <v>1</v>
      </c>
      <c r="N464" s="613">
        <f t="shared" si="51"/>
        <v>0</v>
      </c>
      <c r="O464" s="613">
        <f t="shared" si="48"/>
        <v>0</v>
      </c>
      <c r="P464" s="613">
        <v>0</v>
      </c>
      <c r="Q464" s="613">
        <f t="shared" si="47"/>
        <v>0</v>
      </c>
      <c r="R464" s="1514"/>
      <c r="S464" s="1617" t="e">
        <f>SUMIF('[105]TB for financial'!$A:$A,A464,'[105]TB for financial'!$E:$E)</f>
        <v>#VALUE!</v>
      </c>
      <c r="T464" s="613"/>
    </row>
    <row r="465" spans="1:20">
      <c r="A465" s="608">
        <v>205011</v>
      </c>
      <c r="B465" s="609" t="s">
        <v>1404</v>
      </c>
      <c r="C465" s="610">
        <f t="shared" si="50"/>
        <v>0</v>
      </c>
      <c r="D465" s="611">
        <v>0</v>
      </c>
      <c r="E465" s="610">
        <f>SUMIF('Entries 24-25'!$B:$B,A:A,'Entries 24-25'!$D:$D)-SUMIF('Entries 24-25'!$B:$B,A:A,'Entries 24-25'!$E:$E)+SUMIF('IND AS entries 24-25'!$B:$B,A:A,'IND AS entries 24-25'!$D:$D)-SUMIF('IND AS entries 24-25'!$B:$B,A:A,'IND AS entries 24-25'!$E:$E)</f>
        <v>0</v>
      </c>
      <c r="F465" s="611">
        <f t="shared" si="52"/>
        <v>0</v>
      </c>
      <c r="G465" s="610"/>
      <c r="H465" s="610">
        <v>0</v>
      </c>
      <c r="I465" s="611">
        <v>0</v>
      </c>
      <c r="J465" s="610">
        <v>0</v>
      </c>
      <c r="K465" s="611">
        <f t="shared" si="53"/>
        <v>0</v>
      </c>
      <c r="L465" s="612">
        <f>VLOOKUP(A465,'BS Gr'!A:A,1,FALSE)</f>
        <v>205011</v>
      </c>
      <c r="M465" s="612">
        <f t="shared" si="49"/>
        <v>1</v>
      </c>
      <c r="N465" s="613">
        <f t="shared" si="51"/>
        <v>0</v>
      </c>
      <c r="O465" s="613">
        <f t="shared" si="48"/>
        <v>0</v>
      </c>
      <c r="P465" s="613">
        <v>-40755.71</v>
      </c>
      <c r="Q465" s="613">
        <f t="shared" si="47"/>
        <v>40755.71</v>
      </c>
      <c r="R465" s="1514"/>
      <c r="S465" s="1617" t="e">
        <f>SUMIF('[105]TB for financial'!$A:$A,A465,'[105]TB for financial'!$E:$E)</f>
        <v>#VALUE!</v>
      </c>
      <c r="T465" s="613"/>
    </row>
    <row r="466" spans="1:20">
      <c r="A466" s="608">
        <v>205012</v>
      </c>
      <c r="B466" s="615" t="s">
        <v>1405</v>
      </c>
      <c r="C466" s="610">
        <f t="shared" si="50"/>
        <v>0</v>
      </c>
      <c r="D466" s="611">
        <v>0</v>
      </c>
      <c r="E466" s="610">
        <f>SUMIF('Entries 24-25'!$B:$B,A:A,'Entries 24-25'!$D:$D)-SUMIF('Entries 24-25'!$B:$B,A:A,'Entries 24-25'!$E:$E)+SUMIF('IND AS entries 24-25'!$B:$B,A:A,'IND AS entries 24-25'!$D:$D)-SUMIF('IND AS entries 24-25'!$B:$B,A:A,'IND AS entries 24-25'!$E:$E)</f>
        <v>0</v>
      </c>
      <c r="F466" s="611">
        <f t="shared" si="52"/>
        <v>0</v>
      </c>
      <c r="G466" s="610"/>
      <c r="H466" s="610">
        <v>0</v>
      </c>
      <c r="I466" s="611">
        <v>0</v>
      </c>
      <c r="J466" s="610">
        <v>0</v>
      </c>
      <c r="K466" s="611">
        <f t="shared" si="53"/>
        <v>0</v>
      </c>
      <c r="L466" s="612">
        <f>VLOOKUP(A466,'BS Gr'!A:A,1,FALSE)</f>
        <v>205012</v>
      </c>
      <c r="M466" s="612">
        <f t="shared" si="49"/>
        <v>1</v>
      </c>
      <c r="N466" s="613">
        <f t="shared" si="51"/>
        <v>0</v>
      </c>
      <c r="O466" s="613">
        <f t="shared" si="48"/>
        <v>0</v>
      </c>
      <c r="P466" s="613">
        <v>-1140.75</v>
      </c>
      <c r="Q466" s="613">
        <f t="shared" si="47"/>
        <v>1140.75</v>
      </c>
      <c r="R466" s="1514"/>
      <c r="S466" s="1617" t="e">
        <f>SUMIF('[105]TB for financial'!$A:$A,A466,'[105]TB for financial'!$E:$E)</f>
        <v>#VALUE!</v>
      </c>
      <c r="T466" s="613"/>
    </row>
    <row r="467" spans="1:20">
      <c r="A467" s="608">
        <v>205014</v>
      </c>
      <c r="B467" s="615" t="s">
        <v>1406</v>
      </c>
      <c r="C467" s="610">
        <f t="shared" si="50"/>
        <v>0</v>
      </c>
      <c r="D467" s="611">
        <v>0</v>
      </c>
      <c r="E467" s="610">
        <f>SUMIF('Entries 24-25'!$B:$B,A:A,'Entries 24-25'!$D:$D)-SUMIF('Entries 24-25'!$B:$B,A:A,'Entries 24-25'!$E:$E)+SUMIF('IND AS entries 24-25'!$B:$B,A:A,'IND AS entries 24-25'!$D:$D)-SUMIF('IND AS entries 24-25'!$B:$B,A:A,'IND AS entries 24-25'!$E:$E)</f>
        <v>0</v>
      </c>
      <c r="F467" s="611">
        <f t="shared" si="52"/>
        <v>0</v>
      </c>
      <c r="G467" s="610"/>
      <c r="H467" s="610">
        <v>0</v>
      </c>
      <c r="I467" s="611">
        <v>0</v>
      </c>
      <c r="J467" s="610">
        <v>0</v>
      </c>
      <c r="K467" s="611">
        <f t="shared" si="53"/>
        <v>0</v>
      </c>
      <c r="L467" s="612">
        <f>VLOOKUP(A467,'BS Gr'!A:A,1,FALSE)</f>
        <v>205014</v>
      </c>
      <c r="M467" s="612">
        <f t="shared" si="49"/>
        <v>1</v>
      </c>
      <c r="N467" s="613">
        <f t="shared" si="51"/>
        <v>0</v>
      </c>
      <c r="O467" s="613">
        <f t="shared" si="48"/>
        <v>0</v>
      </c>
      <c r="P467" s="613">
        <v>0</v>
      </c>
      <c r="Q467" s="613">
        <f t="shared" si="47"/>
        <v>0</v>
      </c>
      <c r="R467" s="1514"/>
      <c r="S467" s="1617" t="e">
        <f>SUMIF('[105]TB for financial'!$A:$A,A467,'[105]TB for financial'!$E:$E)</f>
        <v>#VALUE!</v>
      </c>
      <c r="T467" s="613"/>
    </row>
    <row r="468" spans="1:20">
      <c r="A468" s="608">
        <v>205015</v>
      </c>
      <c r="B468" s="609" t="s">
        <v>1407</v>
      </c>
      <c r="C468" s="610">
        <f t="shared" si="50"/>
        <v>0</v>
      </c>
      <c r="D468" s="611">
        <v>0</v>
      </c>
      <c r="E468" s="610">
        <f>SUMIF('Entries 24-25'!$B:$B,A:A,'Entries 24-25'!$D:$D)-SUMIF('Entries 24-25'!$B:$B,A:A,'Entries 24-25'!$E:$E)+SUMIF('IND AS entries 24-25'!$B:$B,A:A,'IND AS entries 24-25'!$D:$D)-SUMIF('IND AS entries 24-25'!$B:$B,A:A,'IND AS entries 24-25'!$E:$E)</f>
        <v>0</v>
      </c>
      <c r="F468" s="611">
        <f t="shared" si="52"/>
        <v>0</v>
      </c>
      <c r="G468" s="610"/>
      <c r="H468" s="610">
        <v>0</v>
      </c>
      <c r="I468" s="611">
        <v>0</v>
      </c>
      <c r="J468" s="610">
        <v>0</v>
      </c>
      <c r="K468" s="611">
        <f t="shared" si="53"/>
        <v>0</v>
      </c>
      <c r="L468" s="612">
        <f>VLOOKUP(A468,'BS Gr'!A:A,1,FALSE)</f>
        <v>205015</v>
      </c>
      <c r="M468" s="612">
        <f t="shared" si="49"/>
        <v>1</v>
      </c>
      <c r="N468" s="613">
        <f t="shared" si="51"/>
        <v>0</v>
      </c>
      <c r="O468" s="613">
        <f t="shared" si="48"/>
        <v>0</v>
      </c>
      <c r="P468" s="613">
        <v>0</v>
      </c>
      <c r="Q468" s="613">
        <f t="shared" si="47"/>
        <v>0</v>
      </c>
      <c r="R468" s="1514"/>
      <c r="S468" s="1617" t="e">
        <f>SUMIF('[105]TB for financial'!$A:$A,A468,'[105]TB for financial'!$E:$E)</f>
        <v>#VALUE!</v>
      </c>
      <c r="T468" s="613"/>
    </row>
    <row r="469" spans="1:20">
      <c r="A469" s="608">
        <v>205020</v>
      </c>
      <c r="B469" s="609" t="s">
        <v>1408</v>
      </c>
      <c r="C469" s="610">
        <f t="shared" si="50"/>
        <v>0</v>
      </c>
      <c r="D469" s="611">
        <v>0</v>
      </c>
      <c r="E469" s="610">
        <f>SUMIF('Entries 24-25'!$B:$B,A:A,'Entries 24-25'!$D:$D)-SUMIF('Entries 24-25'!$B:$B,A:A,'Entries 24-25'!$E:$E)+SUMIF('IND AS entries 24-25'!$B:$B,A:A,'IND AS entries 24-25'!$D:$D)-SUMIF('IND AS entries 24-25'!$B:$B,A:A,'IND AS entries 24-25'!$E:$E)</f>
        <v>0</v>
      </c>
      <c r="F469" s="611">
        <f t="shared" si="52"/>
        <v>0</v>
      </c>
      <c r="G469" s="610"/>
      <c r="H469" s="610">
        <v>0</v>
      </c>
      <c r="I469" s="611">
        <v>0</v>
      </c>
      <c r="J469" s="610">
        <v>0</v>
      </c>
      <c r="K469" s="611">
        <f t="shared" si="53"/>
        <v>0</v>
      </c>
      <c r="L469" s="612">
        <f>VLOOKUP(A469,'BS Gr'!A:A,1,FALSE)</f>
        <v>205020</v>
      </c>
      <c r="M469" s="612">
        <f t="shared" si="49"/>
        <v>1</v>
      </c>
      <c r="N469" s="613">
        <f t="shared" si="51"/>
        <v>0</v>
      </c>
      <c r="O469" s="613">
        <f t="shared" si="48"/>
        <v>0</v>
      </c>
      <c r="P469" s="613">
        <v>0</v>
      </c>
      <c r="Q469" s="613">
        <f t="shared" si="47"/>
        <v>0</v>
      </c>
      <c r="R469" s="1514"/>
      <c r="S469" s="1617" t="e">
        <f>SUMIF('[105]TB for financial'!$A:$A,A469,'[105]TB for financial'!$E:$E)</f>
        <v>#VALUE!</v>
      </c>
      <c r="T469" s="613"/>
    </row>
    <row r="470" spans="1:20">
      <c r="A470" s="608">
        <v>205030</v>
      </c>
      <c r="B470" s="609" t="s">
        <v>1409</v>
      </c>
      <c r="C470" s="610">
        <f t="shared" si="50"/>
        <v>0</v>
      </c>
      <c r="D470" s="611">
        <v>0</v>
      </c>
      <c r="E470" s="610">
        <f>SUMIF('Entries 24-25'!$B:$B,A:A,'Entries 24-25'!$D:$D)-SUMIF('Entries 24-25'!$B:$B,A:A,'Entries 24-25'!$E:$E)+SUMIF('IND AS entries 24-25'!$B:$B,A:A,'IND AS entries 24-25'!$D:$D)-SUMIF('IND AS entries 24-25'!$B:$B,A:A,'IND AS entries 24-25'!$E:$E)</f>
        <v>0</v>
      </c>
      <c r="F470" s="611">
        <f t="shared" si="52"/>
        <v>0</v>
      </c>
      <c r="G470" s="610"/>
      <c r="H470" s="610">
        <v>0</v>
      </c>
      <c r="I470" s="611">
        <v>0</v>
      </c>
      <c r="J470" s="610">
        <v>0</v>
      </c>
      <c r="K470" s="611">
        <f t="shared" si="53"/>
        <v>0</v>
      </c>
      <c r="L470" s="612">
        <f>VLOOKUP(A470,'BS Gr'!A:A,1,FALSE)</f>
        <v>205030</v>
      </c>
      <c r="M470" s="612">
        <f t="shared" si="49"/>
        <v>1</v>
      </c>
      <c r="N470" s="613">
        <f t="shared" si="51"/>
        <v>0</v>
      </c>
      <c r="O470" s="613">
        <f t="shared" si="48"/>
        <v>0</v>
      </c>
      <c r="P470" s="613">
        <v>0</v>
      </c>
      <c r="Q470" s="613">
        <f t="shared" ref="Q470:Q538" si="54">+K470-P470</f>
        <v>0</v>
      </c>
      <c r="R470" s="1514"/>
      <c r="S470" s="1617" t="e">
        <f>SUMIF('[105]TB for financial'!$A:$A,A470,'[105]TB for financial'!$E:$E)</f>
        <v>#VALUE!</v>
      </c>
      <c r="T470" s="613"/>
    </row>
    <row r="471" spans="1:20">
      <c r="A471" s="608">
        <v>205032</v>
      </c>
      <c r="B471" s="609" t="s">
        <v>1410</v>
      </c>
      <c r="C471" s="610">
        <f t="shared" si="50"/>
        <v>0</v>
      </c>
      <c r="D471" s="611">
        <v>0</v>
      </c>
      <c r="E471" s="610">
        <f>SUMIF('Entries 24-25'!$B:$B,A:A,'Entries 24-25'!$D:$D)-SUMIF('Entries 24-25'!$B:$B,A:A,'Entries 24-25'!$E:$E)+SUMIF('IND AS entries 24-25'!$B:$B,A:A,'IND AS entries 24-25'!$D:$D)-SUMIF('IND AS entries 24-25'!$B:$B,A:A,'IND AS entries 24-25'!$E:$E)</f>
        <v>0</v>
      </c>
      <c r="F471" s="611">
        <f t="shared" si="52"/>
        <v>0</v>
      </c>
      <c r="G471" s="610"/>
      <c r="H471" s="610">
        <v>0</v>
      </c>
      <c r="I471" s="611">
        <v>0</v>
      </c>
      <c r="J471" s="610">
        <v>0</v>
      </c>
      <c r="K471" s="611">
        <f t="shared" si="53"/>
        <v>0</v>
      </c>
      <c r="L471" s="612">
        <f>VLOOKUP(A471,'BS Gr'!A:A,1,FALSE)</f>
        <v>205032</v>
      </c>
      <c r="M471" s="612">
        <f t="shared" si="49"/>
        <v>1</v>
      </c>
      <c r="N471" s="613">
        <f t="shared" si="51"/>
        <v>0</v>
      </c>
      <c r="O471" s="613">
        <f t="shared" si="48"/>
        <v>0</v>
      </c>
      <c r="P471" s="613">
        <v>0</v>
      </c>
      <c r="Q471" s="613">
        <f t="shared" si="54"/>
        <v>0</v>
      </c>
      <c r="R471" s="1514"/>
      <c r="S471" s="1617" t="e">
        <f>SUMIF('[105]TB for financial'!$A:$A,A471,'[105]TB for financial'!$E:$E)</f>
        <v>#VALUE!</v>
      </c>
      <c r="T471" s="613"/>
    </row>
    <row r="472" spans="1:20">
      <c r="A472" s="608">
        <v>205040</v>
      </c>
      <c r="B472" s="609" t="s">
        <v>1411</v>
      </c>
      <c r="C472" s="610">
        <f t="shared" si="50"/>
        <v>0</v>
      </c>
      <c r="D472" s="611">
        <v>0</v>
      </c>
      <c r="E472" s="610">
        <f>SUMIF('Entries 24-25'!$B:$B,A:A,'Entries 24-25'!$D:$D)-SUMIF('Entries 24-25'!$B:$B,A:A,'Entries 24-25'!$E:$E)+SUMIF('IND AS entries 24-25'!$B:$B,A:A,'IND AS entries 24-25'!$D:$D)-SUMIF('IND AS entries 24-25'!$B:$B,A:A,'IND AS entries 24-25'!$E:$E)</f>
        <v>0</v>
      </c>
      <c r="F472" s="611">
        <f t="shared" si="52"/>
        <v>0</v>
      </c>
      <c r="G472" s="610"/>
      <c r="H472" s="610">
        <v>0</v>
      </c>
      <c r="I472" s="611">
        <v>0</v>
      </c>
      <c r="J472" s="610">
        <v>0</v>
      </c>
      <c r="K472" s="611">
        <f t="shared" si="53"/>
        <v>0</v>
      </c>
      <c r="L472" s="612">
        <f>VLOOKUP(A472,'BS Gr'!A:A,1,FALSE)</f>
        <v>205040</v>
      </c>
      <c r="M472" s="612">
        <f t="shared" si="49"/>
        <v>1</v>
      </c>
      <c r="N472" s="613">
        <f t="shared" si="51"/>
        <v>0</v>
      </c>
      <c r="O472" s="613">
        <f t="shared" si="48"/>
        <v>0</v>
      </c>
      <c r="P472" s="613">
        <v>-3332626.3124199952</v>
      </c>
      <c r="Q472" s="613">
        <f t="shared" si="54"/>
        <v>3332626.3124199952</v>
      </c>
      <c r="R472" s="1514"/>
      <c r="S472" s="1617" t="e">
        <f>SUMIF('[105]TB for financial'!$A:$A,A472,'[105]TB for financial'!$E:$E)</f>
        <v>#VALUE!</v>
      </c>
      <c r="T472" s="613"/>
    </row>
    <row r="473" spans="1:20">
      <c r="A473" s="608">
        <v>205041</v>
      </c>
      <c r="B473" s="609" t="s">
        <v>1412</v>
      </c>
      <c r="C473" s="610">
        <f t="shared" si="50"/>
        <v>0</v>
      </c>
      <c r="D473" s="611">
        <v>0</v>
      </c>
      <c r="E473" s="610">
        <f>SUMIF('Entries 24-25'!$B:$B,A:A,'Entries 24-25'!$D:$D)-SUMIF('Entries 24-25'!$B:$B,A:A,'Entries 24-25'!$E:$E)+SUMIF('IND AS entries 24-25'!$B:$B,A:A,'IND AS entries 24-25'!$D:$D)-SUMIF('IND AS entries 24-25'!$B:$B,A:A,'IND AS entries 24-25'!$E:$E)</f>
        <v>0</v>
      </c>
      <c r="F473" s="611">
        <f t="shared" si="52"/>
        <v>0</v>
      </c>
      <c r="G473" s="610"/>
      <c r="H473" s="610">
        <v>0</v>
      </c>
      <c r="I473" s="611">
        <v>0</v>
      </c>
      <c r="J473" s="610">
        <v>0</v>
      </c>
      <c r="K473" s="611">
        <f t="shared" si="53"/>
        <v>0</v>
      </c>
      <c r="L473" s="612">
        <f>VLOOKUP(A473,'BS Gr'!A:A,1,FALSE)</f>
        <v>205041</v>
      </c>
      <c r="M473" s="612">
        <f t="shared" si="49"/>
        <v>1</v>
      </c>
      <c r="N473" s="613">
        <f t="shared" si="51"/>
        <v>0</v>
      </c>
      <c r="O473" s="613">
        <f t="shared" si="48"/>
        <v>0</v>
      </c>
      <c r="P473" s="613">
        <v>0</v>
      </c>
      <c r="Q473" s="613">
        <f t="shared" si="54"/>
        <v>0</v>
      </c>
      <c r="R473" s="1514"/>
      <c r="S473" s="1617" t="e">
        <f>SUMIF('[105]TB for financial'!$A:$A,A473,'[105]TB for financial'!$E:$E)</f>
        <v>#VALUE!</v>
      </c>
      <c r="T473" s="613"/>
    </row>
    <row r="474" spans="1:20">
      <c r="A474" s="608">
        <v>205042</v>
      </c>
      <c r="B474" s="609" t="s">
        <v>1413</v>
      </c>
      <c r="C474" s="610">
        <f t="shared" si="50"/>
        <v>0</v>
      </c>
      <c r="D474" s="611">
        <v>0</v>
      </c>
      <c r="E474" s="610">
        <f>SUMIF('Entries 24-25'!$B:$B,A:A,'Entries 24-25'!$D:$D)-SUMIF('Entries 24-25'!$B:$B,A:A,'Entries 24-25'!$E:$E)+SUMIF('IND AS entries 24-25'!$B:$B,A:A,'IND AS entries 24-25'!$D:$D)-SUMIF('IND AS entries 24-25'!$B:$B,A:A,'IND AS entries 24-25'!$E:$E)</f>
        <v>0</v>
      </c>
      <c r="F474" s="611">
        <f t="shared" si="52"/>
        <v>0</v>
      </c>
      <c r="G474" s="610"/>
      <c r="H474" s="610">
        <v>0</v>
      </c>
      <c r="I474" s="611">
        <v>0</v>
      </c>
      <c r="J474" s="610">
        <v>0</v>
      </c>
      <c r="K474" s="611">
        <f t="shared" si="53"/>
        <v>0</v>
      </c>
      <c r="L474" s="612">
        <f>VLOOKUP(A474,'BS Gr'!A:A,1,FALSE)</f>
        <v>205042</v>
      </c>
      <c r="M474" s="612">
        <f t="shared" si="49"/>
        <v>1</v>
      </c>
      <c r="N474" s="613">
        <f t="shared" si="51"/>
        <v>0</v>
      </c>
      <c r="O474" s="613">
        <f t="shared" si="48"/>
        <v>0</v>
      </c>
      <c r="P474" s="613">
        <v>0</v>
      </c>
      <c r="Q474" s="613">
        <f t="shared" si="54"/>
        <v>0</v>
      </c>
      <c r="R474" s="1514"/>
      <c r="S474" s="1617" t="e">
        <f>SUMIF('[105]TB for financial'!$A:$A,A474,'[105]TB for financial'!$E:$E)</f>
        <v>#VALUE!</v>
      </c>
      <c r="T474" s="613"/>
    </row>
    <row r="475" spans="1:20">
      <c r="A475" s="608">
        <v>205043</v>
      </c>
      <c r="B475" s="609" t="s">
        <v>1414</v>
      </c>
      <c r="C475" s="610">
        <f t="shared" si="50"/>
        <v>0.27890000439947471</v>
      </c>
      <c r="D475" s="611">
        <v>0</v>
      </c>
      <c r="E475" s="610">
        <f>SUMIF('Entries 24-25'!$B:$B,A:A,'Entries 24-25'!$D:$D)-SUMIF('Entries 24-25'!$B:$B,A:A,'Entries 24-25'!$E:$E)+SUMIF('IND AS entries 24-25'!$B:$B,A:A,'IND AS entries 24-25'!$D:$D)-SUMIF('IND AS entries 24-25'!$B:$B,A:A,'IND AS entries 24-25'!$E:$E)</f>
        <v>0</v>
      </c>
      <c r="F475" s="611">
        <f t="shared" si="52"/>
        <v>0.27890000439947471</v>
      </c>
      <c r="G475" s="610"/>
      <c r="H475" s="610">
        <v>0.27890000439947471</v>
      </c>
      <c r="I475" s="611">
        <v>0</v>
      </c>
      <c r="J475" s="610">
        <v>0</v>
      </c>
      <c r="K475" s="611">
        <f t="shared" si="53"/>
        <v>0.27890000439947471</v>
      </c>
      <c r="L475" s="612">
        <f>VLOOKUP(A475,'BS Gr'!A:A,1,FALSE)</f>
        <v>205043</v>
      </c>
      <c r="M475" s="612">
        <f t="shared" si="49"/>
        <v>1</v>
      </c>
      <c r="N475" s="613">
        <f t="shared" si="51"/>
        <v>0</v>
      </c>
      <c r="O475" s="613">
        <f t="shared" si="48"/>
        <v>0</v>
      </c>
      <c r="P475" s="613">
        <v>0</v>
      </c>
      <c r="Q475" s="613">
        <f t="shared" si="54"/>
        <v>0.27890000439947471</v>
      </c>
      <c r="R475" s="1514"/>
      <c r="S475" s="1617" t="e">
        <f>SUMIF('[105]TB for financial'!$A:$A,A475,'[105]TB for financial'!$E:$E)</f>
        <v>#VALUE!</v>
      </c>
      <c r="T475" s="613"/>
    </row>
    <row r="476" spans="1:20">
      <c r="A476" s="608">
        <v>205046</v>
      </c>
      <c r="B476" s="609" t="s">
        <v>1415</v>
      </c>
      <c r="C476" s="610">
        <f t="shared" si="50"/>
        <v>0</v>
      </c>
      <c r="D476" s="611">
        <v>0</v>
      </c>
      <c r="E476" s="610">
        <f>SUMIF('Entries 24-25'!$B:$B,A:A,'Entries 24-25'!$D:$D)-SUMIF('Entries 24-25'!$B:$B,A:A,'Entries 24-25'!$E:$E)+SUMIF('IND AS entries 24-25'!$B:$B,A:A,'IND AS entries 24-25'!$D:$D)-SUMIF('IND AS entries 24-25'!$B:$B,A:A,'IND AS entries 24-25'!$E:$E)</f>
        <v>0</v>
      </c>
      <c r="F476" s="611">
        <f t="shared" si="52"/>
        <v>0</v>
      </c>
      <c r="G476" s="610"/>
      <c r="H476" s="610">
        <v>0</v>
      </c>
      <c r="I476" s="611">
        <v>0</v>
      </c>
      <c r="J476" s="610">
        <v>0</v>
      </c>
      <c r="K476" s="611">
        <f t="shared" si="53"/>
        <v>0</v>
      </c>
      <c r="L476" s="612">
        <f>VLOOKUP(A476,'BS Gr'!A:A,1,FALSE)</f>
        <v>205046</v>
      </c>
      <c r="M476" s="612">
        <f t="shared" si="49"/>
        <v>1</v>
      </c>
      <c r="N476" s="613">
        <f t="shared" si="51"/>
        <v>0</v>
      </c>
      <c r="O476" s="613">
        <f t="shared" si="48"/>
        <v>0</v>
      </c>
      <c r="P476" s="613">
        <v>-26808.600000000006</v>
      </c>
      <c r="Q476" s="613">
        <f t="shared" si="54"/>
        <v>26808.600000000006</v>
      </c>
      <c r="R476" s="1514"/>
      <c r="S476" s="1617" t="e">
        <f>SUMIF('[105]TB for financial'!$A:$A,A476,'[105]TB for financial'!$E:$E)</f>
        <v>#VALUE!</v>
      </c>
      <c r="T476" s="613"/>
    </row>
    <row r="477" spans="1:20">
      <c r="A477" s="608">
        <v>205047</v>
      </c>
      <c r="B477" s="609" t="s">
        <v>1416</v>
      </c>
      <c r="C477" s="610">
        <f t="shared" si="50"/>
        <v>0</v>
      </c>
      <c r="D477" s="611">
        <v>0</v>
      </c>
      <c r="E477" s="610">
        <f>SUMIF('Entries 24-25'!$B:$B,A:A,'Entries 24-25'!$D:$D)-SUMIF('Entries 24-25'!$B:$B,A:A,'Entries 24-25'!$E:$E)+SUMIF('IND AS entries 24-25'!$B:$B,A:A,'IND AS entries 24-25'!$D:$D)-SUMIF('IND AS entries 24-25'!$B:$B,A:A,'IND AS entries 24-25'!$E:$E)</f>
        <v>0</v>
      </c>
      <c r="F477" s="611">
        <f t="shared" si="52"/>
        <v>0</v>
      </c>
      <c r="G477" s="610"/>
      <c r="H477" s="610">
        <v>0</v>
      </c>
      <c r="I477" s="611">
        <v>0</v>
      </c>
      <c r="J477" s="610">
        <v>0</v>
      </c>
      <c r="K477" s="611">
        <f t="shared" si="53"/>
        <v>0</v>
      </c>
      <c r="L477" s="612">
        <f>VLOOKUP(A477,'BS Gr'!A:A,1,FALSE)</f>
        <v>205047</v>
      </c>
      <c r="M477" s="612">
        <f t="shared" si="49"/>
        <v>1</v>
      </c>
      <c r="N477" s="613">
        <f t="shared" si="51"/>
        <v>0</v>
      </c>
      <c r="O477" s="613">
        <f t="shared" si="48"/>
        <v>0</v>
      </c>
      <c r="P477" s="613">
        <v>0</v>
      </c>
      <c r="Q477" s="613">
        <f t="shared" si="54"/>
        <v>0</v>
      </c>
      <c r="R477" s="1514"/>
      <c r="S477" s="1617" t="e">
        <f>SUMIF('[105]TB for financial'!$A:$A,A477,'[105]TB for financial'!$E:$E)</f>
        <v>#VALUE!</v>
      </c>
      <c r="T477" s="613"/>
    </row>
    <row r="478" spans="1:20">
      <c r="A478" s="608">
        <v>205048</v>
      </c>
      <c r="B478" s="609" t="s">
        <v>1417</v>
      </c>
      <c r="C478" s="610">
        <f t="shared" si="50"/>
        <v>0</v>
      </c>
      <c r="D478" s="611">
        <v>0</v>
      </c>
      <c r="E478" s="610">
        <f>SUMIF('Entries 24-25'!$B:$B,A:A,'Entries 24-25'!$D:$D)-SUMIF('Entries 24-25'!$B:$B,A:A,'Entries 24-25'!$E:$E)+SUMIF('IND AS entries 24-25'!$B:$B,A:A,'IND AS entries 24-25'!$D:$D)-SUMIF('IND AS entries 24-25'!$B:$B,A:A,'IND AS entries 24-25'!$E:$E)</f>
        <v>0</v>
      </c>
      <c r="F478" s="611">
        <f t="shared" si="52"/>
        <v>0</v>
      </c>
      <c r="G478" s="610"/>
      <c r="H478" s="610">
        <v>0</v>
      </c>
      <c r="I478" s="611">
        <v>0</v>
      </c>
      <c r="J478" s="610">
        <v>0</v>
      </c>
      <c r="K478" s="611">
        <f t="shared" si="53"/>
        <v>0</v>
      </c>
      <c r="L478" s="612">
        <f>VLOOKUP(A478,'BS Gr'!A:A,1,FALSE)</f>
        <v>205048</v>
      </c>
      <c r="M478" s="612">
        <f t="shared" si="49"/>
        <v>1</v>
      </c>
      <c r="N478" s="613">
        <f t="shared" si="51"/>
        <v>0</v>
      </c>
      <c r="O478" s="613">
        <f t="shared" si="48"/>
        <v>0</v>
      </c>
      <c r="P478" s="613">
        <v>0</v>
      </c>
      <c r="Q478" s="613">
        <f t="shared" si="54"/>
        <v>0</v>
      </c>
      <c r="R478" s="1514"/>
      <c r="S478" s="1617" t="e">
        <f>SUMIF('[105]TB for financial'!$A:$A,A478,'[105]TB for financial'!$E:$E)</f>
        <v>#VALUE!</v>
      </c>
      <c r="T478" s="613"/>
    </row>
    <row r="479" spans="1:20">
      <c r="A479" s="608">
        <v>205056</v>
      </c>
      <c r="B479" s="609" t="s">
        <v>1806</v>
      </c>
      <c r="C479" s="610">
        <f t="shared" si="50"/>
        <v>-8.0000126035884023E-4</v>
      </c>
      <c r="D479" s="611">
        <v>0</v>
      </c>
      <c r="E479" s="610">
        <f>SUMIF('Entries 24-25'!$B:$B,A:A,'Entries 24-25'!$D:$D)-SUMIF('Entries 24-25'!$B:$B,A:A,'Entries 24-25'!$E:$E)+SUMIF('IND AS entries 24-25'!$B:$B,A:A,'IND AS entries 24-25'!$D:$D)-SUMIF('IND AS entries 24-25'!$B:$B,A:A,'IND AS entries 24-25'!$E:$E)</f>
        <v>0</v>
      </c>
      <c r="F479" s="611">
        <f t="shared" si="52"/>
        <v>-8.0000126035884023E-4</v>
      </c>
      <c r="G479" s="610"/>
      <c r="H479" s="610">
        <v>-8.0000126035884023E-4</v>
      </c>
      <c r="I479" s="611">
        <v>0</v>
      </c>
      <c r="J479" s="610">
        <v>0</v>
      </c>
      <c r="K479" s="611">
        <f t="shared" si="53"/>
        <v>-8.0000126035884023E-4</v>
      </c>
      <c r="L479" s="612">
        <f>VLOOKUP(A479,'BS Gr'!A:A,1,FALSE)</f>
        <v>205056</v>
      </c>
      <c r="M479" s="612">
        <f t="shared" si="49"/>
        <v>1</v>
      </c>
      <c r="N479" s="613">
        <f t="shared" si="51"/>
        <v>0</v>
      </c>
      <c r="O479" s="613">
        <f t="shared" si="48"/>
        <v>0</v>
      </c>
      <c r="P479" s="613"/>
      <c r="Q479" s="613"/>
      <c r="R479" s="1514"/>
      <c r="S479" s="1617" t="e">
        <f>SUMIF('[105]TB for financial'!$A:$A,A479,'[105]TB for financial'!$E:$E)</f>
        <v>#VALUE!</v>
      </c>
      <c r="T479" s="613"/>
    </row>
    <row r="480" spans="1:20">
      <c r="A480" s="608">
        <v>205057</v>
      </c>
      <c r="B480" s="609" t="s">
        <v>1807</v>
      </c>
      <c r="C480" s="610">
        <f t="shared" si="50"/>
        <v>0</v>
      </c>
      <c r="D480" s="611">
        <v>0</v>
      </c>
      <c r="E480" s="610">
        <f>SUMIF('Entries 24-25'!$B:$B,A:A,'Entries 24-25'!$D:$D)-SUMIF('Entries 24-25'!$B:$B,A:A,'Entries 24-25'!$E:$E)+SUMIF('IND AS entries 24-25'!$B:$B,A:A,'IND AS entries 24-25'!$D:$D)-SUMIF('IND AS entries 24-25'!$B:$B,A:A,'IND AS entries 24-25'!$E:$E)</f>
        <v>0</v>
      </c>
      <c r="F480" s="611">
        <f t="shared" si="52"/>
        <v>0</v>
      </c>
      <c r="G480" s="610"/>
      <c r="H480" s="610">
        <v>0</v>
      </c>
      <c r="I480" s="611">
        <v>0</v>
      </c>
      <c r="J480" s="610">
        <v>0</v>
      </c>
      <c r="K480" s="611">
        <f t="shared" si="53"/>
        <v>0</v>
      </c>
      <c r="L480" s="612">
        <f>VLOOKUP(A480,'BS Gr'!A:A,1,FALSE)</f>
        <v>205057</v>
      </c>
      <c r="M480" s="612">
        <f t="shared" si="49"/>
        <v>1</v>
      </c>
      <c r="N480" s="613">
        <f t="shared" si="51"/>
        <v>0</v>
      </c>
      <c r="O480" s="613">
        <f t="shared" si="48"/>
        <v>0</v>
      </c>
      <c r="P480" s="613"/>
      <c r="Q480" s="613"/>
      <c r="R480" s="1514"/>
      <c r="S480" s="1617" t="e">
        <f>SUMIF('[105]TB for financial'!$A:$A,A480,'[105]TB for financial'!$E:$E)</f>
        <v>#VALUE!</v>
      </c>
      <c r="T480" s="613"/>
    </row>
    <row r="481" spans="1:20">
      <c r="A481" s="608">
        <v>240007</v>
      </c>
      <c r="B481" s="609" t="s">
        <v>1808</v>
      </c>
      <c r="C481" s="610">
        <f t="shared" si="50"/>
        <v>0</v>
      </c>
      <c r="D481" s="611">
        <v>0</v>
      </c>
      <c r="E481" s="610">
        <f>SUMIF('Entries 24-25'!$B:$B,A:A,'Entries 24-25'!$D:$D)-SUMIF('Entries 24-25'!$B:$B,A:A,'Entries 24-25'!$E:$E)+SUMIF('IND AS entries 24-25'!$B:$B,A:A,'IND AS entries 24-25'!$D:$D)-SUMIF('IND AS entries 24-25'!$B:$B,A:A,'IND AS entries 24-25'!$E:$E)</f>
        <v>0</v>
      </c>
      <c r="F481" s="611">
        <f t="shared" si="52"/>
        <v>0</v>
      </c>
      <c r="G481" s="610"/>
      <c r="H481" s="610">
        <v>0</v>
      </c>
      <c r="I481" s="611">
        <v>0</v>
      </c>
      <c r="J481" s="610">
        <v>0</v>
      </c>
      <c r="K481" s="611">
        <f t="shared" si="53"/>
        <v>0</v>
      </c>
      <c r="L481" s="612">
        <f>VLOOKUP(A481,'BS Gr'!A:A,1,FALSE)</f>
        <v>240007</v>
      </c>
      <c r="M481" s="612">
        <f t="shared" si="49"/>
        <v>1</v>
      </c>
      <c r="N481" s="613">
        <f t="shared" si="51"/>
        <v>0</v>
      </c>
      <c r="O481" s="613">
        <f t="shared" si="48"/>
        <v>0</v>
      </c>
      <c r="P481" s="613"/>
      <c r="Q481" s="613"/>
      <c r="R481" s="1514"/>
      <c r="S481" s="1617" t="e">
        <f>SUMIF('[105]TB for financial'!$A:$A,A481,'[105]TB for financial'!$E:$E)</f>
        <v>#VALUE!</v>
      </c>
      <c r="T481" s="613"/>
    </row>
    <row r="482" spans="1:20">
      <c r="A482" s="608">
        <v>205080</v>
      </c>
      <c r="B482" s="609" t="s">
        <v>1418</v>
      </c>
      <c r="C482" s="610">
        <f t="shared" si="50"/>
        <v>0</v>
      </c>
      <c r="D482" s="611">
        <v>0</v>
      </c>
      <c r="E482" s="610">
        <f>SUMIF('Entries 24-25'!$B:$B,A:A,'Entries 24-25'!$D:$D)-SUMIF('Entries 24-25'!$B:$B,A:A,'Entries 24-25'!$E:$E)+SUMIF('IND AS entries 24-25'!$B:$B,A:A,'IND AS entries 24-25'!$D:$D)-SUMIF('IND AS entries 24-25'!$B:$B,A:A,'IND AS entries 24-25'!$E:$E)</f>
        <v>0</v>
      </c>
      <c r="F482" s="611">
        <f t="shared" si="52"/>
        <v>0</v>
      </c>
      <c r="G482" s="610"/>
      <c r="H482" s="610">
        <v>0</v>
      </c>
      <c r="I482" s="611">
        <v>0</v>
      </c>
      <c r="J482" s="610">
        <v>0</v>
      </c>
      <c r="K482" s="611">
        <f t="shared" si="53"/>
        <v>0</v>
      </c>
      <c r="L482" s="612">
        <f>VLOOKUP(A482,'BS Gr'!A:A,1,FALSE)</f>
        <v>205080</v>
      </c>
      <c r="M482" s="612">
        <f t="shared" si="49"/>
        <v>1</v>
      </c>
      <c r="N482" s="613">
        <f t="shared" si="51"/>
        <v>0</v>
      </c>
      <c r="O482" s="613">
        <f t="shared" si="48"/>
        <v>0</v>
      </c>
      <c r="P482" s="613">
        <v>0</v>
      </c>
      <c r="Q482" s="613">
        <f t="shared" si="54"/>
        <v>0</v>
      </c>
      <c r="R482" s="1514"/>
      <c r="S482" s="1617" t="e">
        <f>SUMIF('[105]TB for financial'!$A:$A,A482,'[105]TB for financial'!$E:$E)</f>
        <v>#VALUE!</v>
      </c>
      <c r="T482" s="613"/>
    </row>
    <row r="483" spans="1:20">
      <c r="A483" s="608">
        <v>205085</v>
      </c>
      <c r="B483" s="609" t="s">
        <v>1419</v>
      </c>
      <c r="C483" s="610">
        <f t="shared" si="50"/>
        <v>9.3132257461547852E-10</v>
      </c>
      <c r="D483" s="611">
        <v>0</v>
      </c>
      <c r="E483" s="610">
        <f>SUMIF('Entries 24-25'!$B:$B,A:A,'Entries 24-25'!$D:$D)-SUMIF('Entries 24-25'!$B:$B,A:A,'Entries 24-25'!$E:$E)+SUMIF('IND AS entries 24-25'!$B:$B,A:A,'IND AS entries 24-25'!$D:$D)-SUMIF('IND AS entries 24-25'!$B:$B,A:A,'IND AS entries 24-25'!$E:$E)</f>
        <v>0</v>
      </c>
      <c r="F483" s="611">
        <f t="shared" si="52"/>
        <v>9.3132257461547852E-10</v>
      </c>
      <c r="G483" s="610"/>
      <c r="H483" s="610">
        <v>9.3132257461547852E-10</v>
      </c>
      <c r="I483" s="611">
        <v>0</v>
      </c>
      <c r="J483" s="610">
        <v>0</v>
      </c>
      <c r="K483" s="611">
        <f t="shared" si="53"/>
        <v>9.3132257461547852E-10</v>
      </c>
      <c r="L483" s="612">
        <f>VLOOKUP(A483,'BS Gr'!A:A,1,FALSE)</f>
        <v>205085</v>
      </c>
      <c r="M483" s="612">
        <f t="shared" si="49"/>
        <v>1</v>
      </c>
      <c r="N483" s="613">
        <f t="shared" si="51"/>
        <v>0</v>
      </c>
      <c r="O483" s="613">
        <f t="shared" si="48"/>
        <v>0</v>
      </c>
      <c r="P483" s="613">
        <v>9.3132257461547852E-10</v>
      </c>
      <c r="Q483" s="613">
        <f t="shared" si="54"/>
        <v>0</v>
      </c>
      <c r="R483" s="1514"/>
      <c r="S483" s="1617" t="e">
        <f>SUMIF('[105]TB for financial'!$A:$A,A483,'[105]TB for financial'!$E:$E)</f>
        <v>#VALUE!</v>
      </c>
      <c r="T483" s="613"/>
    </row>
    <row r="484" spans="1:20">
      <c r="A484" s="608">
        <v>205087</v>
      </c>
      <c r="B484" s="609" t="s">
        <v>1420</v>
      </c>
      <c r="C484" s="610">
        <f t="shared" si="50"/>
        <v>0</v>
      </c>
      <c r="D484" s="611">
        <v>0</v>
      </c>
      <c r="E484" s="610">
        <f>SUMIF('Entries 24-25'!$B:$B,A:A,'Entries 24-25'!$D:$D)-SUMIF('Entries 24-25'!$B:$B,A:A,'Entries 24-25'!$E:$E)+SUMIF('IND AS entries 24-25'!$B:$B,A:A,'IND AS entries 24-25'!$D:$D)-SUMIF('IND AS entries 24-25'!$B:$B,A:A,'IND AS entries 24-25'!$E:$E)</f>
        <v>0</v>
      </c>
      <c r="F484" s="611">
        <f t="shared" si="52"/>
        <v>0</v>
      </c>
      <c r="G484" s="610"/>
      <c r="H484" s="610">
        <v>0</v>
      </c>
      <c r="I484" s="611">
        <v>0</v>
      </c>
      <c r="J484" s="610">
        <v>0</v>
      </c>
      <c r="K484" s="611">
        <f t="shared" si="53"/>
        <v>0</v>
      </c>
      <c r="L484" s="612">
        <f>VLOOKUP(A484,'BS Gr'!A:A,1,FALSE)</f>
        <v>205087</v>
      </c>
      <c r="M484" s="612">
        <f t="shared" si="49"/>
        <v>1</v>
      </c>
      <c r="N484" s="613">
        <f t="shared" si="51"/>
        <v>0</v>
      </c>
      <c r="O484" s="613">
        <f t="shared" si="48"/>
        <v>0</v>
      </c>
      <c r="P484" s="613">
        <v>0</v>
      </c>
      <c r="Q484" s="613">
        <f t="shared" si="54"/>
        <v>0</v>
      </c>
      <c r="R484" s="1514"/>
      <c r="S484" s="1617" t="e">
        <f>SUMIF('[105]TB for financial'!$A:$A,A484,'[105]TB for financial'!$E:$E)</f>
        <v>#VALUE!</v>
      </c>
      <c r="T484" s="613"/>
    </row>
    <row r="485" spans="1:20">
      <c r="A485" s="608">
        <v>205090</v>
      </c>
      <c r="B485" s="609" t="s">
        <v>1421</v>
      </c>
      <c r="C485" s="610">
        <f t="shared" si="50"/>
        <v>0</v>
      </c>
      <c r="D485" s="611">
        <v>0</v>
      </c>
      <c r="E485" s="610">
        <f>SUMIF('Entries 24-25'!$B:$B,A:A,'Entries 24-25'!$D:$D)-SUMIF('Entries 24-25'!$B:$B,A:A,'Entries 24-25'!$E:$E)+SUMIF('IND AS entries 24-25'!$B:$B,A:A,'IND AS entries 24-25'!$D:$D)-SUMIF('IND AS entries 24-25'!$B:$B,A:A,'IND AS entries 24-25'!$E:$E)</f>
        <v>0</v>
      </c>
      <c r="F485" s="611">
        <f t="shared" si="52"/>
        <v>0</v>
      </c>
      <c r="G485" s="610"/>
      <c r="H485" s="610">
        <v>0</v>
      </c>
      <c r="I485" s="611">
        <v>0</v>
      </c>
      <c r="J485" s="610">
        <v>0</v>
      </c>
      <c r="K485" s="611">
        <f t="shared" si="53"/>
        <v>0</v>
      </c>
      <c r="L485" s="612">
        <f>VLOOKUP(A485,'BS Gr'!A:A,1,FALSE)</f>
        <v>205090</v>
      </c>
      <c r="M485" s="612">
        <f t="shared" si="49"/>
        <v>1</v>
      </c>
      <c r="N485" s="613">
        <f t="shared" si="51"/>
        <v>0</v>
      </c>
      <c r="O485" s="613">
        <f t="shared" si="48"/>
        <v>0</v>
      </c>
      <c r="P485" s="613">
        <v>0</v>
      </c>
      <c r="Q485" s="613">
        <f t="shared" si="54"/>
        <v>0</v>
      </c>
      <c r="R485" s="1514"/>
      <c r="S485" s="1617" t="e">
        <f>SUMIF('[105]TB for financial'!$A:$A,A485,'[105]TB for financial'!$E:$E)</f>
        <v>#VALUE!</v>
      </c>
      <c r="T485" s="613"/>
    </row>
    <row r="486" spans="1:20">
      <c r="A486" s="608">
        <v>205091</v>
      </c>
      <c r="B486" s="609" t="s">
        <v>1422</v>
      </c>
      <c r="C486" s="610">
        <f t="shared" si="50"/>
        <v>0</v>
      </c>
      <c r="D486" s="611">
        <v>0</v>
      </c>
      <c r="E486" s="610">
        <f>SUMIF('Entries 24-25'!$B:$B,A:A,'Entries 24-25'!$D:$D)-SUMIF('Entries 24-25'!$B:$B,A:A,'Entries 24-25'!$E:$E)+SUMIF('IND AS entries 24-25'!$B:$B,A:A,'IND AS entries 24-25'!$D:$D)-SUMIF('IND AS entries 24-25'!$B:$B,A:A,'IND AS entries 24-25'!$E:$E)</f>
        <v>0</v>
      </c>
      <c r="F486" s="611">
        <f t="shared" si="52"/>
        <v>0</v>
      </c>
      <c r="G486" s="610"/>
      <c r="H486" s="610">
        <v>0</v>
      </c>
      <c r="I486" s="611">
        <v>0</v>
      </c>
      <c r="J486" s="610">
        <v>0</v>
      </c>
      <c r="K486" s="611">
        <f t="shared" si="53"/>
        <v>0</v>
      </c>
      <c r="L486" s="612">
        <f>VLOOKUP(A486,'BS Gr'!A:A,1,FALSE)</f>
        <v>205091</v>
      </c>
      <c r="M486" s="612">
        <f t="shared" si="49"/>
        <v>1</v>
      </c>
      <c r="N486" s="613">
        <f t="shared" si="51"/>
        <v>0</v>
      </c>
      <c r="O486" s="613">
        <f t="shared" si="48"/>
        <v>0</v>
      </c>
      <c r="P486" s="613">
        <v>0</v>
      </c>
      <c r="Q486" s="613">
        <f t="shared" si="54"/>
        <v>0</v>
      </c>
      <c r="R486" s="1514"/>
      <c r="S486" s="1617" t="e">
        <f>SUMIF('[105]TB for financial'!$A:$A,A486,'[105]TB for financial'!$E:$E)</f>
        <v>#VALUE!</v>
      </c>
      <c r="T486" s="613"/>
    </row>
    <row r="487" spans="1:20">
      <c r="A487" s="608">
        <v>205092</v>
      </c>
      <c r="B487" s="609" t="s">
        <v>1423</v>
      </c>
      <c r="C487" s="610">
        <f t="shared" si="50"/>
        <v>0</v>
      </c>
      <c r="D487" s="611">
        <v>0</v>
      </c>
      <c r="E487" s="610">
        <f>SUMIF('Entries 24-25'!$B:$B,A:A,'Entries 24-25'!$D:$D)-SUMIF('Entries 24-25'!$B:$B,A:A,'Entries 24-25'!$E:$E)+SUMIF('IND AS entries 24-25'!$B:$B,A:A,'IND AS entries 24-25'!$D:$D)-SUMIF('IND AS entries 24-25'!$B:$B,A:A,'IND AS entries 24-25'!$E:$E)</f>
        <v>0</v>
      </c>
      <c r="F487" s="611">
        <f t="shared" si="52"/>
        <v>0</v>
      </c>
      <c r="G487" s="610"/>
      <c r="H487" s="610">
        <v>0</v>
      </c>
      <c r="I487" s="611">
        <v>0</v>
      </c>
      <c r="J487" s="610">
        <v>0</v>
      </c>
      <c r="K487" s="611">
        <f t="shared" si="53"/>
        <v>0</v>
      </c>
      <c r="L487" s="612">
        <f>VLOOKUP(A487,'BS Gr'!A:A,1,FALSE)</f>
        <v>205092</v>
      </c>
      <c r="M487" s="612">
        <f t="shared" si="49"/>
        <v>1</v>
      </c>
      <c r="N487" s="613">
        <f t="shared" si="51"/>
        <v>0</v>
      </c>
      <c r="O487" s="613">
        <f t="shared" si="48"/>
        <v>0</v>
      </c>
      <c r="P487" s="613">
        <v>0</v>
      </c>
      <c r="Q487" s="613">
        <f t="shared" si="54"/>
        <v>0</v>
      </c>
      <c r="R487" s="1514"/>
      <c r="S487" s="1617" t="e">
        <f>SUMIF('[105]TB for financial'!$A:$A,A487,'[105]TB for financial'!$E:$E)</f>
        <v>#VALUE!</v>
      </c>
      <c r="T487" s="613"/>
    </row>
    <row r="488" spans="1:20">
      <c r="A488" s="608">
        <v>205095</v>
      </c>
      <c r="B488" s="609" t="s">
        <v>1424</v>
      </c>
      <c r="C488" s="610">
        <f t="shared" si="50"/>
        <v>0</v>
      </c>
      <c r="D488" s="611">
        <v>0</v>
      </c>
      <c r="E488" s="610">
        <f>SUMIF('Entries 24-25'!$B:$B,A:A,'Entries 24-25'!$D:$D)-SUMIF('Entries 24-25'!$B:$B,A:A,'Entries 24-25'!$E:$E)+SUMIF('IND AS entries 24-25'!$B:$B,A:A,'IND AS entries 24-25'!$D:$D)-SUMIF('IND AS entries 24-25'!$B:$B,A:A,'IND AS entries 24-25'!$E:$E)</f>
        <v>0</v>
      </c>
      <c r="F488" s="611">
        <f t="shared" si="52"/>
        <v>0</v>
      </c>
      <c r="G488" s="610"/>
      <c r="H488" s="610">
        <v>0</v>
      </c>
      <c r="I488" s="611">
        <v>0</v>
      </c>
      <c r="J488" s="610">
        <v>0</v>
      </c>
      <c r="K488" s="611">
        <f t="shared" si="53"/>
        <v>0</v>
      </c>
      <c r="L488" s="612">
        <f>VLOOKUP(A488,'BS Gr'!A:A,1,FALSE)</f>
        <v>205095</v>
      </c>
      <c r="M488" s="612">
        <f t="shared" si="49"/>
        <v>1</v>
      </c>
      <c r="N488" s="613">
        <f t="shared" si="51"/>
        <v>0</v>
      </c>
      <c r="O488" s="613">
        <f t="shared" ref="O488:O554" si="55">C488-K488</f>
        <v>0</v>
      </c>
      <c r="P488" s="613">
        <v>0</v>
      </c>
      <c r="Q488" s="613">
        <f t="shared" si="54"/>
        <v>0</v>
      </c>
      <c r="R488" s="1514"/>
      <c r="S488" s="1617" t="e">
        <f>SUMIF('[105]TB for financial'!$A:$A,A488,'[105]TB for financial'!$E:$E)</f>
        <v>#VALUE!</v>
      </c>
      <c r="T488" s="613"/>
    </row>
    <row r="489" spans="1:20">
      <c r="A489" s="608">
        <v>205101</v>
      </c>
      <c r="B489" s="609" t="s">
        <v>1425</v>
      </c>
      <c r="C489" s="610">
        <f t="shared" si="50"/>
        <v>-0.01</v>
      </c>
      <c r="D489" s="611">
        <v>0</v>
      </c>
      <c r="E489" s="610">
        <f>SUMIF('Entries 24-25'!$B:$B,A:A,'Entries 24-25'!$D:$D)-SUMIF('Entries 24-25'!$B:$B,A:A,'Entries 24-25'!$E:$E)+SUMIF('IND AS entries 24-25'!$B:$B,A:A,'IND AS entries 24-25'!$D:$D)-SUMIF('IND AS entries 24-25'!$B:$B,A:A,'IND AS entries 24-25'!$E:$E)</f>
        <v>0</v>
      </c>
      <c r="F489" s="611">
        <f t="shared" si="52"/>
        <v>-0.01</v>
      </c>
      <c r="G489" s="610"/>
      <c r="H489" s="610">
        <v>-0.01</v>
      </c>
      <c r="I489" s="611">
        <v>0</v>
      </c>
      <c r="J489" s="610">
        <v>0</v>
      </c>
      <c r="K489" s="611">
        <f t="shared" si="53"/>
        <v>-0.01</v>
      </c>
      <c r="L489" s="612">
        <f>VLOOKUP(A489,'BS Gr'!A:A,1,FALSE)</f>
        <v>205101</v>
      </c>
      <c r="M489" s="612">
        <f t="shared" si="49"/>
        <v>1</v>
      </c>
      <c r="N489" s="613">
        <f t="shared" si="51"/>
        <v>0</v>
      </c>
      <c r="O489" s="613">
        <f t="shared" si="55"/>
        <v>0</v>
      </c>
      <c r="P489" s="613">
        <v>-0.01</v>
      </c>
      <c r="Q489" s="613">
        <f t="shared" si="54"/>
        <v>0</v>
      </c>
      <c r="R489" s="1514"/>
      <c r="S489" s="1617" t="e">
        <f>SUMIF('[105]TB for financial'!$A:$A,A489,'[105]TB for financial'!$E:$E)</f>
        <v>#VALUE!</v>
      </c>
      <c r="T489" s="613"/>
    </row>
    <row r="490" spans="1:20">
      <c r="A490" s="608">
        <v>205102</v>
      </c>
      <c r="B490" s="609" t="s">
        <v>1426</v>
      </c>
      <c r="C490" s="610">
        <f t="shared" si="50"/>
        <v>-1.7300000006798655E-2</v>
      </c>
      <c r="D490" s="611">
        <v>0</v>
      </c>
      <c r="E490" s="610">
        <f>SUMIF('Entries 24-25'!$B:$B,A:A,'Entries 24-25'!$D:$D)-SUMIF('Entries 24-25'!$B:$B,A:A,'Entries 24-25'!$E:$E)+SUMIF('IND AS entries 24-25'!$B:$B,A:A,'IND AS entries 24-25'!$D:$D)-SUMIF('IND AS entries 24-25'!$B:$B,A:A,'IND AS entries 24-25'!$E:$E)</f>
        <v>0</v>
      </c>
      <c r="F490" s="611">
        <f t="shared" si="52"/>
        <v>-1.7300000006798655E-2</v>
      </c>
      <c r="G490" s="610"/>
      <c r="H490" s="610">
        <v>-1.7300000006798655E-2</v>
      </c>
      <c r="I490" s="611">
        <v>0</v>
      </c>
      <c r="J490" s="610">
        <v>0</v>
      </c>
      <c r="K490" s="611">
        <f t="shared" si="53"/>
        <v>-1.7300000006798655E-2</v>
      </c>
      <c r="L490" s="612">
        <f>VLOOKUP(A490,'BS Gr'!A:A,1,FALSE)</f>
        <v>205102</v>
      </c>
      <c r="M490" s="612">
        <f t="shared" si="49"/>
        <v>1</v>
      </c>
      <c r="N490" s="613">
        <f t="shared" si="51"/>
        <v>0</v>
      </c>
      <c r="O490" s="613">
        <f t="shared" si="55"/>
        <v>0</v>
      </c>
      <c r="P490" s="613">
        <v>-223660.21730000002</v>
      </c>
      <c r="Q490" s="613">
        <f t="shared" si="54"/>
        <v>223660.2</v>
      </c>
      <c r="R490" s="1514"/>
      <c r="S490" s="1617" t="e">
        <f>SUMIF('[105]TB for financial'!$A:$A,A490,'[105]TB for financial'!$E:$E)</f>
        <v>#VALUE!</v>
      </c>
      <c r="T490" s="613"/>
    </row>
    <row r="491" spans="1:20">
      <c r="A491" s="608">
        <v>205103</v>
      </c>
      <c r="B491" s="609" t="s">
        <v>1427</v>
      </c>
      <c r="C491" s="610">
        <f t="shared" si="50"/>
        <v>0</v>
      </c>
      <c r="D491" s="611">
        <v>0</v>
      </c>
      <c r="E491" s="610">
        <f>SUMIF('Entries 24-25'!$B:$B,A:A,'Entries 24-25'!$D:$D)-SUMIF('Entries 24-25'!$B:$B,A:A,'Entries 24-25'!$E:$E)+SUMIF('IND AS entries 24-25'!$B:$B,A:A,'IND AS entries 24-25'!$D:$D)-SUMIF('IND AS entries 24-25'!$B:$B,A:A,'IND AS entries 24-25'!$E:$E)</f>
        <v>0</v>
      </c>
      <c r="F491" s="611">
        <f t="shared" si="52"/>
        <v>0</v>
      </c>
      <c r="G491" s="610"/>
      <c r="H491" s="610">
        <v>0</v>
      </c>
      <c r="I491" s="611">
        <v>0</v>
      </c>
      <c r="J491" s="610">
        <v>0</v>
      </c>
      <c r="K491" s="611">
        <f t="shared" si="53"/>
        <v>0</v>
      </c>
      <c r="L491" s="612">
        <f>VLOOKUP(A491,'BS Gr'!A:A,1,FALSE)</f>
        <v>205103</v>
      </c>
      <c r="M491" s="612">
        <f t="shared" si="49"/>
        <v>1</v>
      </c>
      <c r="N491" s="613">
        <f t="shared" si="51"/>
        <v>0</v>
      </c>
      <c r="O491" s="613">
        <f t="shared" si="55"/>
        <v>0</v>
      </c>
      <c r="P491" s="613">
        <v>0</v>
      </c>
      <c r="Q491" s="613">
        <f t="shared" si="54"/>
        <v>0</v>
      </c>
      <c r="R491" s="1514"/>
      <c r="S491" s="1617" t="e">
        <f>SUMIF('[105]TB for financial'!$A:$A,A491,'[105]TB for financial'!$E:$E)</f>
        <v>#VALUE!</v>
      </c>
      <c r="T491" s="613"/>
    </row>
    <row r="492" spans="1:20">
      <c r="A492" s="608">
        <v>205104</v>
      </c>
      <c r="B492" s="609" t="s">
        <v>1428</v>
      </c>
      <c r="C492" s="610">
        <f t="shared" si="50"/>
        <v>0</v>
      </c>
      <c r="D492" s="611">
        <v>0</v>
      </c>
      <c r="E492" s="610">
        <f>SUMIF('Entries 24-25'!$B:$B,A:A,'Entries 24-25'!$D:$D)-SUMIF('Entries 24-25'!$B:$B,A:A,'Entries 24-25'!$E:$E)+SUMIF('IND AS entries 24-25'!$B:$B,A:A,'IND AS entries 24-25'!$D:$D)-SUMIF('IND AS entries 24-25'!$B:$B,A:A,'IND AS entries 24-25'!$E:$E)</f>
        <v>0</v>
      </c>
      <c r="F492" s="611">
        <f t="shared" si="52"/>
        <v>0</v>
      </c>
      <c r="G492" s="610"/>
      <c r="H492" s="610">
        <v>0</v>
      </c>
      <c r="I492" s="611">
        <v>0</v>
      </c>
      <c r="J492" s="610">
        <v>0</v>
      </c>
      <c r="K492" s="611">
        <f t="shared" si="53"/>
        <v>0</v>
      </c>
      <c r="L492" s="612">
        <f>VLOOKUP(A492,'BS Gr'!A:A,1,FALSE)</f>
        <v>205104</v>
      </c>
      <c r="M492" s="612">
        <f t="shared" si="49"/>
        <v>1</v>
      </c>
      <c r="N492" s="613">
        <f t="shared" si="51"/>
        <v>0</v>
      </c>
      <c r="O492" s="613">
        <f t="shared" si="55"/>
        <v>0</v>
      </c>
      <c r="P492" s="613">
        <v>0</v>
      </c>
      <c r="Q492" s="613">
        <f t="shared" si="54"/>
        <v>0</v>
      </c>
      <c r="R492" s="1514"/>
      <c r="S492" s="1617" t="e">
        <f>SUMIF('[105]TB for financial'!$A:$A,A492,'[105]TB for financial'!$E:$E)</f>
        <v>#VALUE!</v>
      </c>
      <c r="T492" s="613"/>
    </row>
    <row r="493" spans="1:20">
      <c r="A493" s="608">
        <v>205105</v>
      </c>
      <c r="B493" s="609" t="s">
        <v>1429</v>
      </c>
      <c r="C493" s="610">
        <f t="shared" si="50"/>
        <v>0</v>
      </c>
      <c r="D493" s="611">
        <v>0</v>
      </c>
      <c r="E493" s="610">
        <f>SUMIF('Entries 24-25'!$B:$B,A:A,'Entries 24-25'!$D:$D)-SUMIF('Entries 24-25'!$B:$B,A:A,'Entries 24-25'!$E:$E)+SUMIF('IND AS entries 24-25'!$B:$B,A:A,'IND AS entries 24-25'!$D:$D)-SUMIF('IND AS entries 24-25'!$B:$B,A:A,'IND AS entries 24-25'!$E:$E)</f>
        <v>0</v>
      </c>
      <c r="F493" s="611">
        <f t="shared" si="52"/>
        <v>0</v>
      </c>
      <c r="G493" s="610"/>
      <c r="H493" s="610">
        <v>0</v>
      </c>
      <c r="I493" s="611">
        <v>0</v>
      </c>
      <c r="J493" s="610">
        <v>0</v>
      </c>
      <c r="K493" s="611">
        <f t="shared" si="53"/>
        <v>0</v>
      </c>
      <c r="L493" s="612">
        <f>VLOOKUP(A493,'BS Gr'!A:A,1,FALSE)</f>
        <v>205105</v>
      </c>
      <c r="M493" s="612">
        <f t="shared" si="49"/>
        <v>1</v>
      </c>
      <c r="N493" s="613">
        <f t="shared" si="51"/>
        <v>0</v>
      </c>
      <c r="O493" s="613">
        <f t="shared" si="55"/>
        <v>0</v>
      </c>
      <c r="P493" s="613">
        <v>0</v>
      </c>
      <c r="Q493" s="613">
        <f t="shared" si="54"/>
        <v>0</v>
      </c>
      <c r="R493" s="1514"/>
      <c r="S493" s="1617" t="e">
        <f>SUMIF('[105]TB for financial'!$A:$A,A493,'[105]TB for financial'!$E:$E)</f>
        <v>#VALUE!</v>
      </c>
      <c r="T493" s="613"/>
    </row>
    <row r="494" spans="1:20">
      <c r="A494" s="608">
        <v>205106</v>
      </c>
      <c r="B494" s="609" t="s">
        <v>1430</v>
      </c>
      <c r="C494" s="610">
        <f t="shared" si="50"/>
        <v>1.0000000000218279E-2</v>
      </c>
      <c r="D494" s="611">
        <v>0</v>
      </c>
      <c r="E494" s="610">
        <f>SUMIF('Entries 24-25'!$B:$B,A:A,'Entries 24-25'!$D:$D)-SUMIF('Entries 24-25'!$B:$B,A:A,'Entries 24-25'!$E:$E)+SUMIF('IND AS entries 24-25'!$B:$B,A:A,'IND AS entries 24-25'!$D:$D)-SUMIF('IND AS entries 24-25'!$B:$B,A:A,'IND AS entries 24-25'!$E:$E)</f>
        <v>0</v>
      </c>
      <c r="F494" s="611">
        <f t="shared" si="52"/>
        <v>1.0000000000218279E-2</v>
      </c>
      <c r="G494" s="610"/>
      <c r="H494" s="610">
        <v>1.0000000000218279E-2</v>
      </c>
      <c r="I494" s="611">
        <v>0</v>
      </c>
      <c r="J494" s="610">
        <v>0</v>
      </c>
      <c r="K494" s="611">
        <f t="shared" si="53"/>
        <v>1.0000000000218279E-2</v>
      </c>
      <c r="L494" s="612">
        <f>VLOOKUP(A494,'BS Gr'!A:A,1,FALSE)</f>
        <v>205106</v>
      </c>
      <c r="M494" s="612">
        <f t="shared" si="49"/>
        <v>1</v>
      </c>
      <c r="N494" s="613">
        <f t="shared" si="51"/>
        <v>0</v>
      </c>
      <c r="O494" s="613">
        <f t="shared" si="55"/>
        <v>0</v>
      </c>
      <c r="P494" s="613">
        <v>1.0000000000218279E-2</v>
      </c>
      <c r="Q494" s="613">
        <f t="shared" si="54"/>
        <v>0</v>
      </c>
      <c r="R494" s="1514"/>
      <c r="S494" s="1617" t="e">
        <f>SUMIF('[105]TB for financial'!$A:$A,A494,'[105]TB for financial'!$E:$E)</f>
        <v>#VALUE!</v>
      </c>
      <c r="T494" s="613"/>
    </row>
    <row r="495" spans="1:20">
      <c r="A495" s="608">
        <v>205107</v>
      </c>
      <c r="B495" s="609" t="s">
        <v>1431</v>
      </c>
      <c r="C495" s="610">
        <f t="shared" si="50"/>
        <v>0</v>
      </c>
      <c r="D495" s="611">
        <v>0</v>
      </c>
      <c r="E495" s="610">
        <f>SUMIF('Entries 24-25'!$B:$B,A:A,'Entries 24-25'!$D:$D)-SUMIF('Entries 24-25'!$B:$B,A:A,'Entries 24-25'!$E:$E)+SUMIF('IND AS entries 24-25'!$B:$B,A:A,'IND AS entries 24-25'!$D:$D)-SUMIF('IND AS entries 24-25'!$B:$B,A:A,'IND AS entries 24-25'!$E:$E)</f>
        <v>0</v>
      </c>
      <c r="F495" s="611">
        <f t="shared" si="52"/>
        <v>0</v>
      </c>
      <c r="G495" s="610"/>
      <c r="H495" s="610">
        <v>0</v>
      </c>
      <c r="I495" s="611">
        <v>0</v>
      </c>
      <c r="J495" s="610">
        <v>0</v>
      </c>
      <c r="K495" s="611">
        <f t="shared" si="53"/>
        <v>0</v>
      </c>
      <c r="L495" s="612">
        <f>VLOOKUP(A495,'BS Gr'!A:A,1,FALSE)</f>
        <v>205107</v>
      </c>
      <c r="M495" s="612">
        <f t="shared" si="49"/>
        <v>1</v>
      </c>
      <c r="N495" s="613">
        <f t="shared" si="51"/>
        <v>0</v>
      </c>
      <c r="O495" s="613">
        <f t="shared" si="55"/>
        <v>0</v>
      </c>
      <c r="P495" s="613">
        <v>0</v>
      </c>
      <c r="Q495" s="613">
        <f t="shared" si="54"/>
        <v>0</v>
      </c>
      <c r="R495" s="1514"/>
      <c r="S495" s="1617" t="e">
        <f>SUMIF('[105]TB for financial'!$A:$A,A495,'[105]TB for financial'!$E:$E)</f>
        <v>#VALUE!</v>
      </c>
      <c r="T495" s="613"/>
    </row>
    <row r="496" spans="1:20">
      <c r="A496" s="608">
        <v>205108</v>
      </c>
      <c r="B496" s="609" t="s">
        <v>1432</v>
      </c>
      <c r="C496" s="610">
        <f t="shared" si="50"/>
        <v>0</v>
      </c>
      <c r="D496" s="611">
        <v>0</v>
      </c>
      <c r="E496" s="610">
        <f>SUMIF('Entries 24-25'!$B:$B,A:A,'Entries 24-25'!$D:$D)-SUMIF('Entries 24-25'!$B:$B,A:A,'Entries 24-25'!$E:$E)+SUMIF('IND AS entries 24-25'!$B:$B,A:A,'IND AS entries 24-25'!$D:$D)-SUMIF('IND AS entries 24-25'!$B:$B,A:A,'IND AS entries 24-25'!$E:$E)</f>
        <v>0</v>
      </c>
      <c r="F496" s="611">
        <f t="shared" si="52"/>
        <v>0</v>
      </c>
      <c r="G496" s="610"/>
      <c r="H496" s="610">
        <v>0</v>
      </c>
      <c r="I496" s="611">
        <v>0</v>
      </c>
      <c r="J496" s="610">
        <v>0</v>
      </c>
      <c r="K496" s="611">
        <f t="shared" si="53"/>
        <v>0</v>
      </c>
      <c r="L496" s="612">
        <f>VLOOKUP(A496,'BS Gr'!A:A,1,FALSE)</f>
        <v>205108</v>
      </c>
      <c r="M496" s="612">
        <f t="shared" si="49"/>
        <v>1</v>
      </c>
      <c r="N496" s="613">
        <f t="shared" si="51"/>
        <v>0</v>
      </c>
      <c r="O496" s="613">
        <f t="shared" si="55"/>
        <v>0</v>
      </c>
      <c r="P496" s="613">
        <v>0</v>
      </c>
      <c r="Q496" s="613">
        <f t="shared" si="54"/>
        <v>0</v>
      </c>
      <c r="R496" s="1514"/>
      <c r="S496" s="1617" t="e">
        <f>SUMIF('[105]TB for financial'!$A:$A,A496,'[105]TB for financial'!$E:$E)</f>
        <v>#VALUE!</v>
      </c>
      <c r="T496" s="613"/>
    </row>
    <row r="497" spans="1:20">
      <c r="A497" s="608">
        <v>205109</v>
      </c>
      <c r="B497" s="609" t="s">
        <v>1433</v>
      </c>
      <c r="C497" s="610">
        <f t="shared" si="50"/>
        <v>-3.9999999999999147E-2</v>
      </c>
      <c r="D497" s="611">
        <v>0</v>
      </c>
      <c r="E497" s="610">
        <f>SUMIF('Entries 24-25'!$B:$B,A:A,'Entries 24-25'!$D:$D)-SUMIF('Entries 24-25'!$B:$B,A:A,'Entries 24-25'!$E:$E)+SUMIF('IND AS entries 24-25'!$B:$B,A:A,'IND AS entries 24-25'!$D:$D)-SUMIF('IND AS entries 24-25'!$B:$B,A:A,'IND AS entries 24-25'!$E:$E)</f>
        <v>0</v>
      </c>
      <c r="F497" s="611">
        <f t="shared" si="52"/>
        <v>-3.9999999999999147E-2</v>
      </c>
      <c r="G497" s="610"/>
      <c r="H497" s="610">
        <v>-3.9999999999999147E-2</v>
      </c>
      <c r="I497" s="611">
        <v>0</v>
      </c>
      <c r="J497" s="610">
        <v>0</v>
      </c>
      <c r="K497" s="611">
        <f t="shared" si="53"/>
        <v>-3.9999999999999147E-2</v>
      </c>
      <c r="L497" s="612">
        <f>VLOOKUP(A497,'BS Gr'!A:A,1,FALSE)</f>
        <v>205109</v>
      </c>
      <c r="M497" s="612">
        <f t="shared" si="49"/>
        <v>1</v>
      </c>
      <c r="N497" s="613">
        <f t="shared" si="51"/>
        <v>0</v>
      </c>
      <c r="O497" s="613">
        <f t="shared" si="55"/>
        <v>0</v>
      </c>
      <c r="P497" s="613">
        <v>-1.0399999999999991</v>
      </c>
      <c r="Q497" s="613">
        <f t="shared" si="54"/>
        <v>1</v>
      </c>
      <c r="R497" s="1514"/>
      <c r="S497" s="1617" t="e">
        <f>SUMIF('[105]TB for financial'!$A:$A,A497,'[105]TB for financial'!$E:$E)</f>
        <v>#VALUE!</v>
      </c>
      <c r="T497" s="613"/>
    </row>
    <row r="498" spans="1:20">
      <c r="A498" s="608">
        <v>205110</v>
      </c>
      <c r="B498" s="609" t="s">
        <v>1434</v>
      </c>
      <c r="C498" s="610">
        <f t="shared" si="50"/>
        <v>0</v>
      </c>
      <c r="D498" s="611">
        <v>0</v>
      </c>
      <c r="E498" s="610">
        <f>SUMIF('Entries 24-25'!$B:$B,A:A,'Entries 24-25'!$D:$D)-SUMIF('Entries 24-25'!$B:$B,A:A,'Entries 24-25'!$E:$E)+SUMIF('IND AS entries 24-25'!$B:$B,A:A,'IND AS entries 24-25'!$D:$D)-SUMIF('IND AS entries 24-25'!$B:$B,A:A,'IND AS entries 24-25'!$E:$E)</f>
        <v>0</v>
      </c>
      <c r="F498" s="611">
        <f t="shared" si="52"/>
        <v>0</v>
      </c>
      <c r="G498" s="610"/>
      <c r="H498" s="610">
        <v>0</v>
      </c>
      <c r="I498" s="611">
        <v>0</v>
      </c>
      <c r="J498" s="610">
        <v>0</v>
      </c>
      <c r="K498" s="611">
        <f t="shared" si="53"/>
        <v>0</v>
      </c>
      <c r="L498" s="612">
        <f>VLOOKUP(A498,'BS Gr'!A:A,1,FALSE)</f>
        <v>205110</v>
      </c>
      <c r="M498" s="612">
        <f t="shared" si="49"/>
        <v>1</v>
      </c>
      <c r="N498" s="613">
        <f t="shared" si="51"/>
        <v>0</v>
      </c>
      <c r="O498" s="613">
        <f t="shared" si="55"/>
        <v>0</v>
      </c>
      <c r="P498" s="613">
        <v>0</v>
      </c>
      <c r="Q498" s="613">
        <f t="shared" si="54"/>
        <v>0</v>
      </c>
      <c r="R498" s="1514"/>
      <c r="S498" s="1617" t="e">
        <f>SUMIF('[105]TB for financial'!$A:$A,A498,'[105]TB for financial'!$E:$E)</f>
        <v>#VALUE!</v>
      </c>
      <c r="T498" s="613"/>
    </row>
    <row r="499" spans="1:20">
      <c r="A499" s="608">
        <v>205111</v>
      </c>
      <c r="B499" s="609" t="s">
        <v>1435</v>
      </c>
      <c r="C499" s="610">
        <f t="shared" si="50"/>
        <v>0</v>
      </c>
      <c r="D499" s="611">
        <v>0</v>
      </c>
      <c r="E499" s="610">
        <f>SUMIF('Entries 24-25'!$B:$B,A:A,'Entries 24-25'!$D:$D)-SUMIF('Entries 24-25'!$B:$B,A:A,'Entries 24-25'!$E:$E)+SUMIF('IND AS entries 24-25'!$B:$B,A:A,'IND AS entries 24-25'!$D:$D)-SUMIF('IND AS entries 24-25'!$B:$B,A:A,'IND AS entries 24-25'!$E:$E)</f>
        <v>0</v>
      </c>
      <c r="F499" s="611">
        <f t="shared" si="52"/>
        <v>0</v>
      </c>
      <c r="G499" s="610"/>
      <c r="H499" s="610">
        <v>0</v>
      </c>
      <c r="I499" s="611">
        <v>0</v>
      </c>
      <c r="J499" s="610">
        <v>0</v>
      </c>
      <c r="K499" s="611">
        <f t="shared" si="53"/>
        <v>0</v>
      </c>
      <c r="L499" s="612">
        <f>VLOOKUP(A499,'BS Gr'!A:A,1,FALSE)</f>
        <v>205111</v>
      </c>
      <c r="M499" s="612">
        <f t="shared" si="49"/>
        <v>1</v>
      </c>
      <c r="N499" s="613">
        <f t="shared" si="51"/>
        <v>0</v>
      </c>
      <c r="O499" s="613">
        <f t="shared" si="55"/>
        <v>0</v>
      </c>
      <c r="P499" s="613">
        <v>-170474.99999999901</v>
      </c>
      <c r="Q499" s="613">
        <f t="shared" si="54"/>
        <v>170474.99999999901</v>
      </c>
      <c r="R499" s="1514"/>
      <c r="S499" s="1617" t="e">
        <f>SUMIF('[105]TB for financial'!$A:$A,A499,'[105]TB for financial'!$E:$E)</f>
        <v>#VALUE!</v>
      </c>
      <c r="T499" s="613"/>
    </row>
    <row r="500" spans="1:20">
      <c r="A500" s="608">
        <v>205112</v>
      </c>
      <c r="B500" s="609" t="s">
        <v>1436</v>
      </c>
      <c r="C500" s="610">
        <f t="shared" si="50"/>
        <v>0</v>
      </c>
      <c r="D500" s="611">
        <v>0</v>
      </c>
      <c r="E500" s="610">
        <f>SUMIF('Entries 24-25'!$B:$B,A:A,'Entries 24-25'!$D:$D)-SUMIF('Entries 24-25'!$B:$B,A:A,'Entries 24-25'!$E:$E)+SUMIF('IND AS entries 24-25'!$B:$B,A:A,'IND AS entries 24-25'!$D:$D)-SUMIF('IND AS entries 24-25'!$B:$B,A:A,'IND AS entries 24-25'!$E:$E)</f>
        <v>0</v>
      </c>
      <c r="F500" s="611">
        <f t="shared" si="52"/>
        <v>0</v>
      </c>
      <c r="G500" s="610"/>
      <c r="H500" s="610">
        <v>0</v>
      </c>
      <c r="I500" s="611">
        <v>0</v>
      </c>
      <c r="J500" s="610">
        <v>0</v>
      </c>
      <c r="K500" s="611">
        <f t="shared" si="53"/>
        <v>0</v>
      </c>
      <c r="L500" s="612">
        <f>VLOOKUP(A500,'BS Gr'!A:A,1,FALSE)</f>
        <v>205112</v>
      </c>
      <c r="M500" s="612">
        <f t="shared" si="49"/>
        <v>1</v>
      </c>
      <c r="N500" s="613">
        <f t="shared" si="51"/>
        <v>0</v>
      </c>
      <c r="O500" s="613">
        <f t="shared" si="55"/>
        <v>0</v>
      </c>
      <c r="P500" s="613">
        <v>-241.93128000028082</v>
      </c>
      <c r="Q500" s="613">
        <f t="shared" si="54"/>
        <v>241.93128000028082</v>
      </c>
      <c r="R500" s="1514"/>
      <c r="S500" s="1617" t="e">
        <f>SUMIF('[105]TB for financial'!$A:$A,A500,'[105]TB for financial'!$E:$E)</f>
        <v>#VALUE!</v>
      </c>
      <c r="T500" s="613"/>
    </row>
    <row r="501" spans="1:20">
      <c r="A501" s="608">
        <v>205113</v>
      </c>
      <c r="B501" s="609" t="s">
        <v>1437</v>
      </c>
      <c r="C501" s="610">
        <f t="shared" si="50"/>
        <v>-1.01</v>
      </c>
      <c r="D501" s="611">
        <v>0</v>
      </c>
      <c r="E501" s="610">
        <f>SUMIF('Entries 24-25'!$B:$B,A:A,'Entries 24-25'!$D:$D)-SUMIF('Entries 24-25'!$B:$B,A:A,'Entries 24-25'!$E:$E)+SUMIF('IND AS entries 24-25'!$B:$B,A:A,'IND AS entries 24-25'!$D:$D)-SUMIF('IND AS entries 24-25'!$B:$B,A:A,'IND AS entries 24-25'!$E:$E)</f>
        <v>0</v>
      </c>
      <c r="F501" s="611">
        <f t="shared" si="52"/>
        <v>-1.01</v>
      </c>
      <c r="G501" s="610"/>
      <c r="H501" s="610">
        <v>-1.01</v>
      </c>
      <c r="I501" s="611">
        <v>0</v>
      </c>
      <c r="J501" s="610">
        <v>0</v>
      </c>
      <c r="K501" s="611">
        <f t="shared" si="53"/>
        <v>-1.01</v>
      </c>
      <c r="L501" s="612">
        <f>VLOOKUP(A501,'BS Gr'!A:A,1,FALSE)</f>
        <v>205113</v>
      </c>
      <c r="M501" s="612">
        <f t="shared" si="49"/>
        <v>1</v>
      </c>
      <c r="N501" s="613">
        <f t="shared" si="51"/>
        <v>0</v>
      </c>
      <c r="O501" s="613">
        <f t="shared" si="55"/>
        <v>0</v>
      </c>
      <c r="P501" s="613">
        <v>-1.01</v>
      </c>
      <c r="Q501" s="613">
        <f t="shared" si="54"/>
        <v>0</v>
      </c>
      <c r="R501" s="1514"/>
      <c r="S501" s="1617" t="e">
        <f>SUMIF('[105]TB for financial'!$A:$A,A501,'[105]TB for financial'!$E:$E)</f>
        <v>#VALUE!</v>
      </c>
      <c r="T501" s="613"/>
    </row>
    <row r="502" spans="1:20">
      <c r="A502" s="608">
        <v>205114</v>
      </c>
      <c r="B502" s="609" t="s">
        <v>1438</v>
      </c>
      <c r="C502" s="610">
        <f t="shared" si="50"/>
        <v>0</v>
      </c>
      <c r="D502" s="611">
        <v>0</v>
      </c>
      <c r="E502" s="610">
        <f>SUMIF('Entries 24-25'!$B:$B,A:A,'Entries 24-25'!$D:$D)-SUMIF('Entries 24-25'!$B:$B,A:A,'Entries 24-25'!$E:$E)+SUMIF('IND AS entries 24-25'!$B:$B,A:A,'IND AS entries 24-25'!$D:$D)-SUMIF('IND AS entries 24-25'!$B:$B,A:A,'IND AS entries 24-25'!$E:$E)</f>
        <v>0</v>
      </c>
      <c r="F502" s="611">
        <f t="shared" si="52"/>
        <v>0</v>
      </c>
      <c r="G502" s="610"/>
      <c r="H502" s="610">
        <v>0</v>
      </c>
      <c r="I502" s="611">
        <v>0</v>
      </c>
      <c r="J502" s="610">
        <v>0</v>
      </c>
      <c r="K502" s="611">
        <f t="shared" si="53"/>
        <v>0</v>
      </c>
      <c r="L502" s="612">
        <f>VLOOKUP(A502,'BS Gr'!A:A,1,FALSE)</f>
        <v>205114</v>
      </c>
      <c r="M502" s="612">
        <f t="shared" si="49"/>
        <v>1</v>
      </c>
      <c r="N502" s="613">
        <f t="shared" si="51"/>
        <v>0</v>
      </c>
      <c r="O502" s="613">
        <f t="shared" si="55"/>
        <v>0</v>
      </c>
      <c r="P502" s="613">
        <v>-86353.459999999992</v>
      </c>
      <c r="Q502" s="613">
        <f t="shared" si="54"/>
        <v>86353.459999999992</v>
      </c>
      <c r="R502" s="1514"/>
      <c r="S502" s="1617" t="e">
        <f>SUMIF('[105]TB for financial'!$A:$A,A502,'[105]TB for financial'!$E:$E)</f>
        <v>#VALUE!</v>
      </c>
      <c r="T502" s="613"/>
    </row>
    <row r="503" spans="1:20">
      <c r="A503" s="608">
        <v>205115</v>
      </c>
      <c r="B503" s="609" t="s">
        <v>1439</v>
      </c>
      <c r="C503" s="610">
        <f t="shared" si="50"/>
        <v>0</v>
      </c>
      <c r="D503" s="611">
        <v>0</v>
      </c>
      <c r="E503" s="610">
        <f>SUMIF('Entries 24-25'!$B:$B,A:A,'Entries 24-25'!$D:$D)-SUMIF('Entries 24-25'!$B:$B,A:A,'Entries 24-25'!$E:$E)+SUMIF('IND AS entries 24-25'!$B:$B,A:A,'IND AS entries 24-25'!$D:$D)-SUMIF('IND AS entries 24-25'!$B:$B,A:A,'IND AS entries 24-25'!$E:$E)</f>
        <v>0</v>
      </c>
      <c r="F503" s="611">
        <f t="shared" si="52"/>
        <v>0</v>
      </c>
      <c r="G503" s="610"/>
      <c r="H503" s="610">
        <v>0</v>
      </c>
      <c r="I503" s="611">
        <v>0</v>
      </c>
      <c r="J503" s="610">
        <v>0</v>
      </c>
      <c r="K503" s="611">
        <f t="shared" si="53"/>
        <v>0</v>
      </c>
      <c r="L503" s="612">
        <f>VLOOKUP(A503,'BS Gr'!A:A,1,FALSE)</f>
        <v>205115</v>
      </c>
      <c r="M503" s="612">
        <f t="shared" si="49"/>
        <v>1</v>
      </c>
      <c r="N503" s="613">
        <f t="shared" si="51"/>
        <v>0</v>
      </c>
      <c r="O503" s="613">
        <f t="shared" si="55"/>
        <v>0</v>
      </c>
      <c r="P503" s="613">
        <v>0</v>
      </c>
      <c r="Q503" s="613">
        <f t="shared" si="54"/>
        <v>0</v>
      </c>
      <c r="R503" s="1514"/>
      <c r="S503" s="1617" t="e">
        <f>SUMIF('[105]TB for financial'!$A:$A,A503,'[105]TB for financial'!$E:$E)</f>
        <v>#VALUE!</v>
      </c>
      <c r="T503" s="613"/>
    </row>
    <row r="504" spans="1:20">
      <c r="A504" s="608">
        <v>205116</v>
      </c>
      <c r="B504" s="609" t="s">
        <v>1440</v>
      </c>
      <c r="C504" s="610">
        <f t="shared" si="50"/>
        <v>0</v>
      </c>
      <c r="D504" s="611">
        <v>0</v>
      </c>
      <c r="E504" s="610">
        <f>SUMIF('Entries 24-25'!$B:$B,A:A,'Entries 24-25'!$D:$D)-SUMIF('Entries 24-25'!$B:$B,A:A,'Entries 24-25'!$E:$E)+SUMIF('IND AS entries 24-25'!$B:$B,A:A,'IND AS entries 24-25'!$D:$D)-SUMIF('IND AS entries 24-25'!$B:$B,A:A,'IND AS entries 24-25'!$E:$E)</f>
        <v>0</v>
      </c>
      <c r="F504" s="611">
        <f t="shared" si="52"/>
        <v>0</v>
      </c>
      <c r="G504" s="610"/>
      <c r="H504" s="610">
        <v>0</v>
      </c>
      <c r="I504" s="611">
        <v>0</v>
      </c>
      <c r="J504" s="610">
        <v>0</v>
      </c>
      <c r="K504" s="611">
        <f t="shared" si="53"/>
        <v>0</v>
      </c>
      <c r="L504" s="612">
        <f>VLOOKUP(A504,'BS Gr'!A:A,1,FALSE)</f>
        <v>205116</v>
      </c>
      <c r="M504" s="612">
        <f t="shared" si="49"/>
        <v>1</v>
      </c>
      <c r="N504" s="613">
        <f t="shared" si="51"/>
        <v>0</v>
      </c>
      <c r="O504" s="613">
        <f t="shared" si="55"/>
        <v>0</v>
      </c>
      <c r="P504" s="613">
        <v>0</v>
      </c>
      <c r="Q504" s="613">
        <f t="shared" si="54"/>
        <v>0</v>
      </c>
      <c r="R504" s="1514"/>
      <c r="S504" s="1617" t="e">
        <f>SUMIF('[105]TB for financial'!$A:$A,A504,'[105]TB for financial'!$E:$E)</f>
        <v>#VALUE!</v>
      </c>
      <c r="T504" s="613"/>
    </row>
    <row r="505" spans="1:20">
      <c r="A505" s="608">
        <v>205119</v>
      </c>
      <c r="B505" s="609" t="s">
        <v>1441</v>
      </c>
      <c r="C505" s="610">
        <f t="shared" si="50"/>
        <v>0</v>
      </c>
      <c r="D505" s="611">
        <v>0</v>
      </c>
      <c r="E505" s="610">
        <f>SUMIF('Entries 24-25'!$B:$B,A:A,'Entries 24-25'!$D:$D)-SUMIF('Entries 24-25'!$B:$B,A:A,'Entries 24-25'!$E:$E)+SUMIF('IND AS entries 24-25'!$B:$B,A:A,'IND AS entries 24-25'!$D:$D)-SUMIF('IND AS entries 24-25'!$B:$B,A:A,'IND AS entries 24-25'!$E:$E)</f>
        <v>0</v>
      </c>
      <c r="F505" s="611">
        <f t="shared" si="52"/>
        <v>0</v>
      </c>
      <c r="G505" s="610"/>
      <c r="H505" s="610">
        <v>0</v>
      </c>
      <c r="I505" s="611">
        <v>0</v>
      </c>
      <c r="J505" s="610">
        <v>0</v>
      </c>
      <c r="K505" s="611">
        <f t="shared" si="53"/>
        <v>0</v>
      </c>
      <c r="L505" s="612">
        <f>VLOOKUP(A505,'BS Gr'!A:A,1,FALSE)</f>
        <v>205119</v>
      </c>
      <c r="M505" s="612">
        <f t="shared" si="49"/>
        <v>1</v>
      </c>
      <c r="N505" s="613">
        <f t="shared" si="51"/>
        <v>0</v>
      </c>
      <c r="O505" s="613">
        <f t="shared" si="55"/>
        <v>0</v>
      </c>
      <c r="P505" s="613">
        <v>0</v>
      </c>
      <c r="Q505" s="613">
        <f t="shared" si="54"/>
        <v>0</v>
      </c>
      <c r="R505" s="1514"/>
      <c r="S505" s="1617" t="e">
        <f>SUMIF('[105]TB for financial'!$A:$A,A505,'[105]TB for financial'!$E:$E)</f>
        <v>#VALUE!</v>
      </c>
      <c r="T505" s="613"/>
    </row>
    <row r="506" spans="1:20">
      <c r="A506" s="608">
        <v>205120</v>
      </c>
      <c r="B506" s="615" t="s">
        <v>1442</v>
      </c>
      <c r="C506" s="610">
        <f t="shared" si="50"/>
        <v>0</v>
      </c>
      <c r="D506" s="611">
        <v>0</v>
      </c>
      <c r="E506" s="610">
        <f>SUMIF('Entries 24-25'!$B:$B,A:A,'Entries 24-25'!$D:$D)-SUMIF('Entries 24-25'!$B:$B,A:A,'Entries 24-25'!$E:$E)+SUMIF('IND AS entries 24-25'!$B:$B,A:A,'IND AS entries 24-25'!$D:$D)-SUMIF('IND AS entries 24-25'!$B:$B,A:A,'IND AS entries 24-25'!$E:$E)</f>
        <v>0</v>
      </c>
      <c r="F506" s="611">
        <f t="shared" si="52"/>
        <v>0</v>
      </c>
      <c r="G506" s="610"/>
      <c r="H506" s="610">
        <v>0</v>
      </c>
      <c r="I506" s="611">
        <v>0</v>
      </c>
      <c r="J506" s="610">
        <v>0</v>
      </c>
      <c r="K506" s="611">
        <f t="shared" si="53"/>
        <v>0</v>
      </c>
      <c r="L506" s="612">
        <f>VLOOKUP(A506,'BS Gr'!A:A,1,FALSE)</f>
        <v>205120</v>
      </c>
      <c r="M506" s="612">
        <f t="shared" si="49"/>
        <v>1</v>
      </c>
      <c r="N506" s="613">
        <f t="shared" si="51"/>
        <v>0</v>
      </c>
      <c r="O506" s="613">
        <f t="shared" si="55"/>
        <v>0</v>
      </c>
      <c r="P506" s="613">
        <v>-1562.72</v>
      </c>
      <c r="Q506" s="613">
        <f t="shared" si="54"/>
        <v>1562.72</v>
      </c>
      <c r="R506" s="1514"/>
      <c r="S506" s="1617" t="e">
        <f>SUMIF('[105]TB for financial'!$A:$A,A506,'[105]TB for financial'!$E:$E)</f>
        <v>#VALUE!</v>
      </c>
      <c r="T506" s="613"/>
    </row>
    <row r="507" spans="1:20">
      <c r="A507" s="608">
        <v>205121</v>
      </c>
      <c r="B507" s="609" t="s">
        <v>1443</v>
      </c>
      <c r="C507" s="610">
        <f t="shared" si="50"/>
        <v>0</v>
      </c>
      <c r="D507" s="611">
        <v>0</v>
      </c>
      <c r="E507" s="610">
        <f>SUMIF('Entries 24-25'!$B:$B,A:A,'Entries 24-25'!$D:$D)-SUMIF('Entries 24-25'!$B:$B,A:A,'Entries 24-25'!$E:$E)+SUMIF('IND AS entries 24-25'!$B:$B,A:A,'IND AS entries 24-25'!$D:$D)-SUMIF('IND AS entries 24-25'!$B:$B,A:A,'IND AS entries 24-25'!$E:$E)</f>
        <v>0</v>
      </c>
      <c r="F507" s="611">
        <f t="shared" si="52"/>
        <v>0</v>
      </c>
      <c r="G507" s="610"/>
      <c r="H507" s="610">
        <v>0</v>
      </c>
      <c r="I507" s="611">
        <v>0</v>
      </c>
      <c r="J507" s="610">
        <v>0</v>
      </c>
      <c r="K507" s="611">
        <f t="shared" si="53"/>
        <v>0</v>
      </c>
      <c r="L507" s="612">
        <f>VLOOKUP(A507,'BS Gr'!A:A,1,FALSE)</f>
        <v>205121</v>
      </c>
      <c r="M507" s="612">
        <f t="shared" si="49"/>
        <v>1</v>
      </c>
      <c r="N507" s="613">
        <f t="shared" si="51"/>
        <v>0</v>
      </c>
      <c r="O507" s="613">
        <f t="shared" si="55"/>
        <v>0</v>
      </c>
      <c r="P507" s="613">
        <v>0</v>
      </c>
      <c r="Q507" s="613">
        <f t="shared" si="54"/>
        <v>0</v>
      </c>
      <c r="R507" s="1514"/>
      <c r="S507" s="1617" t="e">
        <f>SUMIF('[105]TB for financial'!$A:$A,A507,'[105]TB for financial'!$E:$E)</f>
        <v>#VALUE!</v>
      </c>
      <c r="T507" s="613"/>
    </row>
    <row r="508" spans="1:20">
      <c r="A508" s="608">
        <v>205122</v>
      </c>
      <c r="B508" s="609" t="s">
        <v>1444</v>
      </c>
      <c r="C508" s="610">
        <f t="shared" si="50"/>
        <v>0</v>
      </c>
      <c r="D508" s="611">
        <v>0</v>
      </c>
      <c r="E508" s="610">
        <f>SUMIF('Entries 24-25'!$B:$B,A:A,'Entries 24-25'!$D:$D)-SUMIF('Entries 24-25'!$B:$B,A:A,'Entries 24-25'!$E:$E)+SUMIF('IND AS entries 24-25'!$B:$B,A:A,'IND AS entries 24-25'!$D:$D)-SUMIF('IND AS entries 24-25'!$B:$B,A:A,'IND AS entries 24-25'!$E:$E)</f>
        <v>0</v>
      </c>
      <c r="F508" s="611">
        <f t="shared" si="52"/>
        <v>0</v>
      </c>
      <c r="G508" s="610"/>
      <c r="H508" s="610">
        <v>0</v>
      </c>
      <c r="I508" s="611">
        <v>0</v>
      </c>
      <c r="J508" s="610">
        <v>0</v>
      </c>
      <c r="K508" s="611">
        <f t="shared" si="53"/>
        <v>0</v>
      </c>
      <c r="L508" s="612">
        <f>VLOOKUP(A508,'BS Gr'!A:A,1,FALSE)</f>
        <v>205122</v>
      </c>
      <c r="M508" s="612">
        <f t="shared" si="49"/>
        <v>1</v>
      </c>
      <c r="N508" s="613">
        <f t="shared" si="51"/>
        <v>0</v>
      </c>
      <c r="O508" s="613">
        <f t="shared" si="55"/>
        <v>0</v>
      </c>
      <c r="P508" s="613">
        <v>0</v>
      </c>
      <c r="Q508" s="613">
        <f t="shared" si="54"/>
        <v>0</v>
      </c>
      <c r="R508" s="1514"/>
      <c r="S508" s="1617" t="e">
        <f>SUMIF('[105]TB for financial'!$A:$A,A508,'[105]TB for financial'!$E:$E)</f>
        <v>#VALUE!</v>
      </c>
      <c r="T508" s="613"/>
    </row>
    <row r="509" spans="1:20">
      <c r="A509" s="608">
        <v>205123</v>
      </c>
      <c r="B509" s="609" t="s">
        <v>1445</v>
      </c>
      <c r="C509" s="610">
        <f t="shared" si="50"/>
        <v>0</v>
      </c>
      <c r="D509" s="611">
        <v>0</v>
      </c>
      <c r="E509" s="610">
        <f>SUMIF('Entries 24-25'!$B:$B,A:A,'Entries 24-25'!$D:$D)-SUMIF('Entries 24-25'!$B:$B,A:A,'Entries 24-25'!$E:$E)+SUMIF('IND AS entries 24-25'!$B:$B,A:A,'IND AS entries 24-25'!$D:$D)-SUMIF('IND AS entries 24-25'!$B:$B,A:A,'IND AS entries 24-25'!$E:$E)</f>
        <v>0</v>
      </c>
      <c r="F509" s="611">
        <f t="shared" si="52"/>
        <v>0</v>
      </c>
      <c r="G509" s="610"/>
      <c r="H509" s="610">
        <v>0</v>
      </c>
      <c r="I509" s="611">
        <v>0</v>
      </c>
      <c r="J509" s="610">
        <v>0</v>
      </c>
      <c r="K509" s="611">
        <f t="shared" si="53"/>
        <v>0</v>
      </c>
      <c r="L509" s="612">
        <f>VLOOKUP(A509,'BS Gr'!A:A,1,FALSE)</f>
        <v>205123</v>
      </c>
      <c r="M509" s="612">
        <f t="shared" si="49"/>
        <v>1</v>
      </c>
      <c r="N509" s="613">
        <f t="shared" si="51"/>
        <v>0</v>
      </c>
      <c r="O509" s="613">
        <f t="shared" si="55"/>
        <v>0</v>
      </c>
      <c r="P509" s="613">
        <v>0</v>
      </c>
      <c r="Q509" s="613">
        <f t="shared" si="54"/>
        <v>0</v>
      </c>
      <c r="R509" s="1514"/>
      <c r="S509" s="1617" t="e">
        <f>SUMIF('[105]TB for financial'!$A:$A,A509,'[105]TB for financial'!$E:$E)</f>
        <v>#VALUE!</v>
      </c>
      <c r="T509" s="613"/>
    </row>
    <row r="510" spans="1:20">
      <c r="A510" s="608">
        <v>205124</v>
      </c>
      <c r="B510" s="609" t="s">
        <v>1446</v>
      </c>
      <c r="C510" s="610">
        <f t="shared" si="50"/>
        <v>-0.58000000007450581</v>
      </c>
      <c r="D510" s="611">
        <v>0</v>
      </c>
      <c r="E510" s="610">
        <f>SUMIF('Entries 24-25'!$B:$B,A:A,'Entries 24-25'!$D:$D)-SUMIF('Entries 24-25'!$B:$B,A:A,'Entries 24-25'!$E:$E)+SUMIF('IND AS entries 24-25'!$B:$B,A:A,'IND AS entries 24-25'!$D:$D)-SUMIF('IND AS entries 24-25'!$B:$B,A:A,'IND AS entries 24-25'!$E:$E)</f>
        <v>0</v>
      </c>
      <c r="F510" s="611">
        <f t="shared" si="52"/>
        <v>-0.58000000007450581</v>
      </c>
      <c r="G510" s="610"/>
      <c r="H510" s="610">
        <v>-0.58000000007450581</v>
      </c>
      <c r="I510" s="611">
        <v>0</v>
      </c>
      <c r="J510" s="610">
        <v>0</v>
      </c>
      <c r="K510" s="611">
        <f t="shared" si="53"/>
        <v>-0.58000000007450581</v>
      </c>
      <c r="L510" s="612">
        <f>VLOOKUP(A510,'BS Gr'!A:A,1,FALSE)</f>
        <v>205124</v>
      </c>
      <c r="M510" s="612">
        <f t="shared" si="49"/>
        <v>1</v>
      </c>
      <c r="N510" s="613">
        <f t="shared" si="51"/>
        <v>0</v>
      </c>
      <c r="O510" s="613">
        <f t="shared" si="55"/>
        <v>0</v>
      </c>
      <c r="P510" s="613">
        <v>-94046.271280755172</v>
      </c>
      <c r="Q510" s="613">
        <f t="shared" si="54"/>
        <v>94045.691280755098</v>
      </c>
      <c r="R510" s="1514"/>
      <c r="S510" s="1617" t="e">
        <f>SUMIF('[105]TB for financial'!$A:$A,A510,'[105]TB for financial'!$E:$E)</f>
        <v>#VALUE!</v>
      </c>
      <c r="T510" s="613"/>
    </row>
    <row r="511" spans="1:20">
      <c r="A511" s="608">
        <v>205128</v>
      </c>
      <c r="B511" s="609" t="s">
        <v>1447</v>
      </c>
      <c r="C511" s="610">
        <f t="shared" si="50"/>
        <v>0</v>
      </c>
      <c r="D511" s="611">
        <v>0</v>
      </c>
      <c r="E511" s="610">
        <f>SUMIF('Entries 24-25'!$B:$B,A:A,'Entries 24-25'!$D:$D)-SUMIF('Entries 24-25'!$B:$B,A:A,'Entries 24-25'!$E:$E)+SUMIF('IND AS entries 24-25'!$B:$B,A:A,'IND AS entries 24-25'!$D:$D)-SUMIF('IND AS entries 24-25'!$B:$B,A:A,'IND AS entries 24-25'!$E:$E)</f>
        <v>0</v>
      </c>
      <c r="F511" s="611">
        <f t="shared" si="52"/>
        <v>0</v>
      </c>
      <c r="G511" s="610"/>
      <c r="H511" s="610">
        <v>0</v>
      </c>
      <c r="I511" s="611">
        <v>0</v>
      </c>
      <c r="J511" s="610">
        <v>0</v>
      </c>
      <c r="K511" s="611">
        <f t="shared" si="53"/>
        <v>0</v>
      </c>
      <c r="L511" s="612">
        <f>VLOOKUP(A511,'BS Gr'!A:A,1,FALSE)</f>
        <v>205128</v>
      </c>
      <c r="M511" s="612">
        <f t="shared" si="49"/>
        <v>1</v>
      </c>
      <c r="N511" s="613">
        <f t="shared" si="51"/>
        <v>0</v>
      </c>
      <c r="O511" s="613">
        <f t="shared" si="55"/>
        <v>0</v>
      </c>
      <c r="P511" s="613">
        <v>0</v>
      </c>
      <c r="Q511" s="613">
        <f t="shared" si="54"/>
        <v>0</v>
      </c>
      <c r="R511" s="1514"/>
      <c r="S511" s="1617" t="e">
        <f>SUMIF('[105]TB for financial'!$A:$A,A511,'[105]TB for financial'!$E:$E)</f>
        <v>#VALUE!</v>
      </c>
      <c r="T511" s="613"/>
    </row>
    <row r="512" spans="1:20">
      <c r="A512" s="608">
        <v>205130</v>
      </c>
      <c r="B512" s="609" t="s">
        <v>1448</v>
      </c>
      <c r="C512" s="610">
        <f t="shared" si="50"/>
        <v>0</v>
      </c>
      <c r="D512" s="611">
        <v>0</v>
      </c>
      <c r="E512" s="610">
        <f>SUMIF('Entries 24-25'!$B:$B,A:A,'Entries 24-25'!$D:$D)-SUMIF('Entries 24-25'!$B:$B,A:A,'Entries 24-25'!$E:$E)+SUMIF('IND AS entries 24-25'!$B:$B,A:A,'IND AS entries 24-25'!$D:$D)-SUMIF('IND AS entries 24-25'!$B:$B,A:A,'IND AS entries 24-25'!$E:$E)</f>
        <v>0</v>
      </c>
      <c r="F512" s="611">
        <f t="shared" si="52"/>
        <v>0</v>
      </c>
      <c r="G512" s="610"/>
      <c r="H512" s="610">
        <v>0</v>
      </c>
      <c r="I512" s="611">
        <v>0</v>
      </c>
      <c r="J512" s="610">
        <v>0</v>
      </c>
      <c r="K512" s="611">
        <f t="shared" si="53"/>
        <v>0</v>
      </c>
      <c r="L512" s="612">
        <f>VLOOKUP(A512,'BS Gr'!A:A,1,FALSE)</f>
        <v>205130</v>
      </c>
      <c r="M512" s="612">
        <f t="shared" si="49"/>
        <v>1</v>
      </c>
      <c r="N512" s="613">
        <f t="shared" si="51"/>
        <v>0</v>
      </c>
      <c r="O512" s="613">
        <f t="shared" si="55"/>
        <v>0</v>
      </c>
      <c r="P512" s="613">
        <v>0</v>
      </c>
      <c r="Q512" s="613">
        <f t="shared" si="54"/>
        <v>0</v>
      </c>
      <c r="R512" s="1514"/>
      <c r="S512" s="1617" t="e">
        <f>SUMIF('[105]TB for financial'!$A:$A,A512,'[105]TB for financial'!$E:$E)</f>
        <v>#VALUE!</v>
      </c>
      <c r="T512" s="613"/>
    </row>
    <row r="513" spans="1:20">
      <c r="A513" s="608">
        <v>205133</v>
      </c>
      <c r="B513" s="609" t="s">
        <v>1449</v>
      </c>
      <c r="C513" s="610">
        <f t="shared" si="50"/>
        <v>0</v>
      </c>
      <c r="D513" s="611">
        <v>0</v>
      </c>
      <c r="E513" s="610">
        <f>SUMIF('Entries 24-25'!$B:$B,A:A,'Entries 24-25'!$D:$D)-SUMIF('Entries 24-25'!$B:$B,A:A,'Entries 24-25'!$E:$E)+SUMIF('IND AS entries 24-25'!$B:$B,A:A,'IND AS entries 24-25'!$D:$D)-SUMIF('IND AS entries 24-25'!$B:$B,A:A,'IND AS entries 24-25'!$E:$E)</f>
        <v>0</v>
      </c>
      <c r="F513" s="611">
        <f t="shared" si="52"/>
        <v>0</v>
      </c>
      <c r="G513" s="610"/>
      <c r="H513" s="610">
        <v>0</v>
      </c>
      <c r="I513" s="611">
        <v>0</v>
      </c>
      <c r="J513" s="610">
        <v>0</v>
      </c>
      <c r="K513" s="611">
        <f t="shared" si="53"/>
        <v>0</v>
      </c>
      <c r="L513" s="612">
        <f>VLOOKUP(A513,'BS Gr'!A:A,1,FALSE)</f>
        <v>205133</v>
      </c>
      <c r="M513" s="612">
        <f t="shared" si="49"/>
        <v>1</v>
      </c>
      <c r="N513" s="613">
        <f t="shared" si="51"/>
        <v>0</v>
      </c>
      <c r="O513" s="613">
        <f t="shared" si="55"/>
        <v>0</v>
      </c>
      <c r="P513" s="613"/>
      <c r="Q513" s="613"/>
      <c r="R513" s="1514"/>
      <c r="S513" s="1617" t="e">
        <f>SUMIF('[105]TB for financial'!$A:$A,A513,'[105]TB for financial'!$E:$E)</f>
        <v>#VALUE!</v>
      </c>
      <c r="T513" s="613"/>
    </row>
    <row r="514" spans="1:20">
      <c r="A514" s="608">
        <v>205136</v>
      </c>
      <c r="B514" s="609" t="s">
        <v>1450</v>
      </c>
      <c r="C514" s="610">
        <f t="shared" si="50"/>
        <v>0</v>
      </c>
      <c r="D514" s="611">
        <v>0</v>
      </c>
      <c r="E514" s="610">
        <f>SUMIF('Entries 24-25'!$B:$B,A:A,'Entries 24-25'!$D:$D)-SUMIF('Entries 24-25'!$B:$B,A:A,'Entries 24-25'!$E:$E)+SUMIF('IND AS entries 24-25'!$B:$B,A:A,'IND AS entries 24-25'!$D:$D)-SUMIF('IND AS entries 24-25'!$B:$B,A:A,'IND AS entries 24-25'!$E:$E)</f>
        <v>0</v>
      </c>
      <c r="F514" s="611">
        <f t="shared" si="52"/>
        <v>0</v>
      </c>
      <c r="G514" s="610"/>
      <c r="H514" s="610">
        <v>0</v>
      </c>
      <c r="I514" s="611">
        <v>0</v>
      </c>
      <c r="J514" s="610">
        <v>0</v>
      </c>
      <c r="K514" s="611">
        <f t="shared" si="53"/>
        <v>0</v>
      </c>
      <c r="L514" s="612">
        <f>VLOOKUP(A514,'BS Gr'!A:A,1,FALSE)</f>
        <v>205136</v>
      </c>
      <c r="M514" s="612">
        <f t="shared" si="49"/>
        <v>1</v>
      </c>
      <c r="N514" s="613">
        <f t="shared" si="51"/>
        <v>0</v>
      </c>
      <c r="O514" s="613">
        <f t="shared" si="55"/>
        <v>0</v>
      </c>
      <c r="P514" s="613"/>
      <c r="Q514" s="613"/>
      <c r="R514" s="1514"/>
      <c r="S514" s="1617" t="e">
        <f>SUMIF('[105]TB for financial'!$A:$A,A514,'[105]TB for financial'!$E:$E)</f>
        <v>#VALUE!</v>
      </c>
      <c r="T514" s="613"/>
    </row>
    <row r="515" spans="1:20">
      <c r="A515" s="608">
        <v>206010</v>
      </c>
      <c r="B515" s="609" t="s">
        <v>1451</v>
      </c>
      <c r="C515" s="610">
        <f t="shared" si="50"/>
        <v>0</v>
      </c>
      <c r="D515" s="611">
        <v>0</v>
      </c>
      <c r="E515" s="610">
        <f>SUMIF('Entries 24-25'!$B:$B,A:A,'Entries 24-25'!$D:$D)-SUMIF('Entries 24-25'!$B:$B,A:A,'Entries 24-25'!$E:$E)+SUMIF('IND AS entries 24-25'!$B:$B,A:A,'IND AS entries 24-25'!$D:$D)-SUMIF('IND AS entries 24-25'!$B:$B,A:A,'IND AS entries 24-25'!$E:$E)</f>
        <v>0</v>
      </c>
      <c r="F515" s="611">
        <f t="shared" si="52"/>
        <v>0</v>
      </c>
      <c r="G515" s="610"/>
      <c r="H515" s="610">
        <v>0</v>
      </c>
      <c r="I515" s="611">
        <v>0</v>
      </c>
      <c r="J515" s="610">
        <v>0</v>
      </c>
      <c r="K515" s="611">
        <f t="shared" si="53"/>
        <v>0</v>
      </c>
      <c r="L515" s="612">
        <f>VLOOKUP(A515,'BS Gr'!A:A,1,FALSE)</f>
        <v>206010</v>
      </c>
      <c r="M515" s="612">
        <f t="shared" si="49"/>
        <v>1</v>
      </c>
      <c r="N515" s="613">
        <f t="shared" si="51"/>
        <v>0</v>
      </c>
      <c r="O515" s="613">
        <f t="shared" si="55"/>
        <v>0</v>
      </c>
      <c r="P515" s="613">
        <v>0</v>
      </c>
      <c r="Q515" s="613">
        <f t="shared" si="54"/>
        <v>0</v>
      </c>
      <c r="R515" s="1514"/>
      <c r="S515" s="1617" t="e">
        <f>SUMIF('[105]TB for financial'!$A:$A,A515,'[105]TB for financial'!$E:$E)</f>
        <v>#VALUE!</v>
      </c>
      <c r="T515" s="613"/>
    </row>
    <row r="516" spans="1:20">
      <c r="A516" s="608">
        <v>206020</v>
      </c>
      <c r="B516" s="609" t="s">
        <v>1452</v>
      </c>
      <c r="C516" s="610">
        <f t="shared" si="50"/>
        <v>0</v>
      </c>
      <c r="D516" s="611">
        <v>0</v>
      </c>
      <c r="E516" s="610">
        <f>SUMIF('Entries 24-25'!$B:$B,A:A,'Entries 24-25'!$D:$D)-SUMIF('Entries 24-25'!$B:$B,A:A,'Entries 24-25'!$E:$E)+SUMIF('IND AS entries 24-25'!$B:$B,A:A,'IND AS entries 24-25'!$D:$D)-SUMIF('IND AS entries 24-25'!$B:$B,A:A,'IND AS entries 24-25'!$E:$E)</f>
        <v>0</v>
      </c>
      <c r="F516" s="611">
        <f t="shared" si="52"/>
        <v>0</v>
      </c>
      <c r="G516" s="610"/>
      <c r="H516" s="610">
        <v>0</v>
      </c>
      <c r="I516" s="611">
        <v>0</v>
      </c>
      <c r="J516" s="610">
        <v>0</v>
      </c>
      <c r="K516" s="611">
        <f t="shared" si="53"/>
        <v>0</v>
      </c>
      <c r="L516" s="612">
        <f>VLOOKUP(A516,'BS Gr'!A:A,1,FALSE)</f>
        <v>206020</v>
      </c>
      <c r="M516" s="612">
        <f t="shared" si="49"/>
        <v>1</v>
      </c>
      <c r="N516" s="613">
        <f t="shared" si="51"/>
        <v>0</v>
      </c>
      <c r="O516" s="613">
        <f t="shared" si="55"/>
        <v>0</v>
      </c>
      <c r="P516" s="613">
        <v>-46046783.252378322</v>
      </c>
      <c r="Q516" s="613">
        <f t="shared" si="54"/>
        <v>46046783.252378322</v>
      </c>
      <c r="R516" s="1514"/>
      <c r="S516" s="1617" t="e">
        <f>SUMIF('[105]TB for financial'!$A:$A,A516,'[105]TB for financial'!$E:$E)</f>
        <v>#VALUE!</v>
      </c>
      <c r="T516" s="613"/>
    </row>
    <row r="517" spans="1:20">
      <c r="A517" s="608">
        <v>206023</v>
      </c>
      <c r="B517" s="609" t="s">
        <v>1453</v>
      </c>
      <c r="C517" s="610">
        <f t="shared" si="50"/>
        <v>0</v>
      </c>
      <c r="D517" s="611">
        <v>0</v>
      </c>
      <c r="E517" s="610">
        <f>SUMIF('Entries 24-25'!$B:$B,A:A,'Entries 24-25'!$D:$D)-SUMIF('Entries 24-25'!$B:$B,A:A,'Entries 24-25'!$E:$E)+SUMIF('IND AS entries 24-25'!$B:$B,A:A,'IND AS entries 24-25'!$D:$D)-SUMIF('IND AS entries 24-25'!$B:$B,A:A,'IND AS entries 24-25'!$E:$E)</f>
        <v>0</v>
      </c>
      <c r="F517" s="611">
        <f t="shared" si="52"/>
        <v>0</v>
      </c>
      <c r="G517" s="610"/>
      <c r="H517" s="610">
        <v>0</v>
      </c>
      <c r="I517" s="611">
        <v>0</v>
      </c>
      <c r="J517" s="610">
        <v>0</v>
      </c>
      <c r="K517" s="611">
        <f t="shared" si="53"/>
        <v>0</v>
      </c>
      <c r="L517" s="612">
        <f>VLOOKUP(A517,'BS Gr'!A:A,1,FALSE)</f>
        <v>206023</v>
      </c>
      <c r="M517" s="612">
        <f t="shared" ref="M517:M580" si="56">COUNTIF(A:A,A517)</f>
        <v>1</v>
      </c>
      <c r="N517" s="613">
        <f t="shared" si="51"/>
        <v>0</v>
      </c>
      <c r="O517" s="613">
        <f t="shared" si="55"/>
        <v>0</v>
      </c>
      <c r="P517" s="613">
        <v>0</v>
      </c>
      <c r="Q517" s="613">
        <f t="shared" si="54"/>
        <v>0</v>
      </c>
      <c r="R517" s="1514"/>
      <c r="S517" s="1617" t="e">
        <f>SUMIF('[105]TB for financial'!$A:$A,A517,'[105]TB for financial'!$E:$E)</f>
        <v>#VALUE!</v>
      </c>
      <c r="T517" s="613"/>
    </row>
    <row r="518" spans="1:20">
      <c r="A518" s="608">
        <v>206026</v>
      </c>
      <c r="B518" s="609" t="s">
        <v>1454</v>
      </c>
      <c r="C518" s="610">
        <f t="shared" ref="C518:C581" si="57">K518</f>
        <v>0</v>
      </c>
      <c r="D518" s="611">
        <v>0</v>
      </c>
      <c r="E518" s="610">
        <f>SUMIF('Entries 24-25'!$B:$B,A:A,'Entries 24-25'!$D:$D)-SUMIF('Entries 24-25'!$B:$B,A:A,'Entries 24-25'!$E:$E)+SUMIF('IND AS entries 24-25'!$B:$B,A:A,'IND AS entries 24-25'!$D:$D)-SUMIF('IND AS entries 24-25'!$B:$B,A:A,'IND AS entries 24-25'!$E:$E)</f>
        <v>0</v>
      </c>
      <c r="F518" s="611">
        <f t="shared" si="52"/>
        <v>0</v>
      </c>
      <c r="G518" s="610"/>
      <c r="H518" s="610">
        <v>0</v>
      </c>
      <c r="I518" s="611">
        <v>0</v>
      </c>
      <c r="J518" s="610">
        <v>0</v>
      </c>
      <c r="K518" s="611">
        <f t="shared" si="53"/>
        <v>0</v>
      </c>
      <c r="L518" s="612">
        <f>VLOOKUP(A518,'BS Gr'!A:A,1,FALSE)</f>
        <v>206026</v>
      </c>
      <c r="M518" s="612">
        <f t="shared" si="56"/>
        <v>1</v>
      </c>
      <c r="N518" s="613">
        <f t="shared" ref="N518:N581" si="58">C518-K518</f>
        <v>0</v>
      </c>
      <c r="O518" s="613">
        <f t="shared" si="55"/>
        <v>0</v>
      </c>
      <c r="P518" s="613">
        <v>0</v>
      </c>
      <c r="Q518" s="613">
        <f t="shared" si="54"/>
        <v>0</v>
      </c>
      <c r="R518" s="1514"/>
      <c r="S518" s="1617" t="e">
        <f>SUMIF('[105]TB for financial'!$A:$A,A518,'[105]TB for financial'!$E:$E)</f>
        <v>#VALUE!</v>
      </c>
      <c r="T518" s="613"/>
    </row>
    <row r="519" spans="1:20">
      <c r="A519" s="608">
        <v>206033</v>
      </c>
      <c r="B519" s="609" t="s">
        <v>1455</v>
      </c>
      <c r="C519" s="610">
        <f t="shared" si="57"/>
        <v>0</v>
      </c>
      <c r="D519" s="611">
        <v>0</v>
      </c>
      <c r="E519" s="610">
        <f>SUMIF('Entries 24-25'!$B:$B,A:A,'Entries 24-25'!$D:$D)-SUMIF('Entries 24-25'!$B:$B,A:A,'Entries 24-25'!$E:$E)+SUMIF('IND AS entries 24-25'!$B:$B,A:A,'IND AS entries 24-25'!$D:$D)-SUMIF('IND AS entries 24-25'!$B:$B,A:A,'IND AS entries 24-25'!$E:$E)</f>
        <v>0</v>
      </c>
      <c r="F519" s="611">
        <f t="shared" si="52"/>
        <v>0</v>
      </c>
      <c r="G519" s="610"/>
      <c r="H519" s="610">
        <v>0</v>
      </c>
      <c r="I519" s="611">
        <v>0</v>
      </c>
      <c r="J519" s="610">
        <v>0</v>
      </c>
      <c r="K519" s="611">
        <f t="shared" si="53"/>
        <v>0</v>
      </c>
      <c r="L519" s="612" t="e">
        <f>VLOOKUP(A519,'BS Gr'!A:A,1,FALSE)</f>
        <v>#N/A</v>
      </c>
      <c r="M519" s="612">
        <f t="shared" si="56"/>
        <v>1</v>
      </c>
      <c r="N519" s="613">
        <f t="shared" si="58"/>
        <v>0</v>
      </c>
      <c r="O519" s="613">
        <f t="shared" si="55"/>
        <v>0</v>
      </c>
      <c r="P519" s="613">
        <v>0</v>
      </c>
      <c r="Q519" s="613">
        <f t="shared" si="54"/>
        <v>0</v>
      </c>
      <c r="R519" s="1514"/>
      <c r="S519" s="1617" t="e">
        <f>SUMIF('[105]TB for financial'!$A:$A,A519,'[105]TB for financial'!$E:$E)</f>
        <v>#VALUE!</v>
      </c>
      <c r="T519" s="613"/>
    </row>
    <row r="520" spans="1:20">
      <c r="A520" s="608">
        <v>206034</v>
      </c>
      <c r="B520" s="609" t="s">
        <v>1456</v>
      </c>
      <c r="C520" s="610">
        <f t="shared" si="57"/>
        <v>0</v>
      </c>
      <c r="D520" s="611">
        <v>0</v>
      </c>
      <c r="E520" s="610">
        <f>SUMIF('Entries 24-25'!$B:$B,A:A,'Entries 24-25'!$D:$D)-SUMIF('Entries 24-25'!$B:$B,A:A,'Entries 24-25'!$E:$E)+SUMIF('IND AS entries 24-25'!$B:$B,A:A,'IND AS entries 24-25'!$D:$D)-SUMIF('IND AS entries 24-25'!$B:$B,A:A,'IND AS entries 24-25'!$E:$E)</f>
        <v>0</v>
      </c>
      <c r="F520" s="611">
        <f t="shared" ref="F520:F583" si="59">SUM(C520:E520)</f>
        <v>0</v>
      </c>
      <c r="G520" s="610"/>
      <c r="H520" s="610">
        <v>0</v>
      </c>
      <c r="I520" s="611">
        <v>0</v>
      </c>
      <c r="J520" s="610">
        <v>0</v>
      </c>
      <c r="K520" s="611">
        <f t="shared" ref="K520:K583" si="60">SUM(H520:J520)</f>
        <v>0</v>
      </c>
      <c r="L520" s="612">
        <f>VLOOKUP(A520,'BS Gr'!A:A,1,FALSE)</f>
        <v>206034</v>
      </c>
      <c r="M520" s="612">
        <f t="shared" si="56"/>
        <v>1</v>
      </c>
      <c r="N520" s="613">
        <f t="shared" si="58"/>
        <v>0</v>
      </c>
      <c r="O520" s="613">
        <f t="shared" si="55"/>
        <v>0</v>
      </c>
      <c r="P520" s="613">
        <v>0</v>
      </c>
      <c r="Q520" s="613">
        <f t="shared" si="54"/>
        <v>0</v>
      </c>
      <c r="R520" s="1514"/>
      <c r="S520" s="1617" t="e">
        <f>SUMIF('[105]TB for financial'!$A:$A,A520,'[105]TB for financial'!$E:$E)</f>
        <v>#VALUE!</v>
      </c>
      <c r="T520" s="613"/>
    </row>
    <row r="521" spans="1:20">
      <c r="A521" s="608">
        <v>206030</v>
      </c>
      <c r="B521" s="609" t="s">
        <v>1457</v>
      </c>
      <c r="C521" s="610">
        <f t="shared" si="57"/>
        <v>0</v>
      </c>
      <c r="D521" s="611">
        <v>0</v>
      </c>
      <c r="E521" s="610">
        <f>SUMIF('Entries 24-25'!$B:$B,A:A,'Entries 24-25'!$D:$D)-SUMIF('Entries 24-25'!$B:$B,A:A,'Entries 24-25'!$E:$E)+SUMIF('IND AS entries 24-25'!$B:$B,A:A,'IND AS entries 24-25'!$D:$D)-SUMIF('IND AS entries 24-25'!$B:$B,A:A,'IND AS entries 24-25'!$E:$E)</f>
        <v>0</v>
      </c>
      <c r="F521" s="611">
        <f t="shared" si="59"/>
        <v>0</v>
      </c>
      <c r="G521" s="610"/>
      <c r="H521" s="610">
        <v>0</v>
      </c>
      <c r="I521" s="611">
        <v>0</v>
      </c>
      <c r="J521" s="610">
        <v>0</v>
      </c>
      <c r="K521" s="611">
        <f t="shared" si="60"/>
        <v>0</v>
      </c>
      <c r="L521" s="612">
        <f>VLOOKUP(A521,'BS Gr'!A:A,1,FALSE)</f>
        <v>206030</v>
      </c>
      <c r="M521" s="612">
        <f t="shared" si="56"/>
        <v>1</v>
      </c>
      <c r="N521" s="613">
        <f t="shared" si="58"/>
        <v>0</v>
      </c>
      <c r="O521" s="613">
        <f t="shared" si="55"/>
        <v>0</v>
      </c>
      <c r="P521" s="613">
        <v>5025.88</v>
      </c>
      <c r="Q521" s="613">
        <f t="shared" si="54"/>
        <v>-5025.88</v>
      </c>
      <c r="R521" s="1514"/>
      <c r="S521" s="1617" t="e">
        <f>SUMIF('[105]TB for financial'!$A:$A,A521,'[105]TB for financial'!$E:$E)</f>
        <v>#VALUE!</v>
      </c>
      <c r="T521" s="613"/>
    </row>
    <row r="522" spans="1:20">
      <c r="A522" s="608">
        <v>206035</v>
      </c>
      <c r="B522" s="609" t="s">
        <v>1458</v>
      </c>
      <c r="C522" s="610">
        <f t="shared" si="57"/>
        <v>0</v>
      </c>
      <c r="D522" s="611">
        <v>0</v>
      </c>
      <c r="E522" s="610">
        <f>SUMIF('Entries 24-25'!$B:$B,A:A,'Entries 24-25'!$D:$D)-SUMIF('Entries 24-25'!$B:$B,A:A,'Entries 24-25'!$E:$E)+SUMIF('IND AS entries 24-25'!$B:$B,A:A,'IND AS entries 24-25'!$D:$D)-SUMIF('IND AS entries 24-25'!$B:$B,A:A,'IND AS entries 24-25'!$E:$E)</f>
        <v>0</v>
      </c>
      <c r="F522" s="611">
        <f t="shared" si="59"/>
        <v>0</v>
      </c>
      <c r="G522" s="610"/>
      <c r="H522" s="610">
        <v>0</v>
      </c>
      <c r="I522" s="611">
        <v>0</v>
      </c>
      <c r="J522" s="610">
        <v>0</v>
      </c>
      <c r="K522" s="611">
        <f t="shared" si="60"/>
        <v>0</v>
      </c>
      <c r="L522" s="612">
        <f>VLOOKUP(A522,'BS Gr'!A:A,1,FALSE)</f>
        <v>206035</v>
      </c>
      <c r="M522" s="612">
        <f t="shared" si="56"/>
        <v>1</v>
      </c>
      <c r="N522" s="613">
        <f t="shared" si="58"/>
        <v>0</v>
      </c>
      <c r="O522" s="613">
        <f t="shared" si="55"/>
        <v>0</v>
      </c>
      <c r="P522" s="613">
        <v>-240433324.99954146</v>
      </c>
      <c r="Q522" s="613">
        <f t="shared" si="54"/>
        <v>240433324.99954146</v>
      </c>
      <c r="R522" s="1514"/>
      <c r="S522" s="1617" t="e">
        <f>SUMIF('[105]TB for financial'!$A:$A,A522,'[105]TB for financial'!$E:$E)</f>
        <v>#VALUE!</v>
      </c>
      <c r="T522" s="613"/>
    </row>
    <row r="523" spans="1:20">
      <c r="A523" s="608">
        <v>206036</v>
      </c>
      <c r="B523" s="615" t="s">
        <v>1459</v>
      </c>
      <c r="C523" s="610">
        <f t="shared" si="57"/>
        <v>0</v>
      </c>
      <c r="D523" s="611">
        <v>0</v>
      </c>
      <c r="E523" s="610">
        <f>SUMIF('Entries 24-25'!$B:$B,A:A,'Entries 24-25'!$D:$D)-SUMIF('Entries 24-25'!$B:$B,A:A,'Entries 24-25'!$E:$E)+SUMIF('IND AS entries 24-25'!$B:$B,A:A,'IND AS entries 24-25'!$D:$D)-SUMIF('IND AS entries 24-25'!$B:$B,A:A,'IND AS entries 24-25'!$E:$E)</f>
        <v>0</v>
      </c>
      <c r="F523" s="611">
        <f t="shared" si="59"/>
        <v>0</v>
      </c>
      <c r="G523" s="610"/>
      <c r="H523" s="610">
        <v>0</v>
      </c>
      <c r="I523" s="611">
        <v>0</v>
      </c>
      <c r="J523" s="610">
        <v>0</v>
      </c>
      <c r="K523" s="611">
        <f t="shared" si="60"/>
        <v>0</v>
      </c>
      <c r="L523" s="612">
        <f>VLOOKUP(A523,'BS Gr'!A:A,1,FALSE)</f>
        <v>206036</v>
      </c>
      <c r="M523" s="612">
        <f t="shared" si="56"/>
        <v>1</v>
      </c>
      <c r="N523" s="613">
        <f t="shared" si="58"/>
        <v>0</v>
      </c>
      <c r="O523" s="613">
        <f t="shared" si="55"/>
        <v>0</v>
      </c>
      <c r="P523" s="613">
        <v>0</v>
      </c>
      <c r="Q523" s="613">
        <f t="shared" si="54"/>
        <v>0</v>
      </c>
      <c r="R523" s="1514"/>
      <c r="S523" s="1617" t="e">
        <f>SUMIF('[105]TB for financial'!$A:$A,A523,'[105]TB for financial'!$E:$E)</f>
        <v>#VALUE!</v>
      </c>
      <c r="T523" s="613"/>
    </row>
    <row r="524" spans="1:20">
      <c r="A524" s="608">
        <v>206037</v>
      </c>
      <c r="B524" s="609" t="s">
        <v>827</v>
      </c>
      <c r="C524" s="610">
        <f t="shared" si="57"/>
        <v>0</v>
      </c>
      <c r="D524" s="611">
        <v>0</v>
      </c>
      <c r="E524" s="610">
        <f>SUMIF('Entries 24-25'!$B:$B,A:A,'Entries 24-25'!$D:$D)-SUMIF('Entries 24-25'!$B:$B,A:A,'Entries 24-25'!$E:$E)+SUMIF('IND AS entries 24-25'!$B:$B,A:A,'IND AS entries 24-25'!$D:$D)-SUMIF('IND AS entries 24-25'!$B:$B,A:A,'IND AS entries 24-25'!$E:$E)</f>
        <v>0</v>
      </c>
      <c r="F524" s="611">
        <f t="shared" si="59"/>
        <v>0</v>
      </c>
      <c r="G524" s="610"/>
      <c r="H524" s="610">
        <v>0</v>
      </c>
      <c r="I524" s="611">
        <v>0</v>
      </c>
      <c r="J524" s="610">
        <v>0</v>
      </c>
      <c r="K524" s="611">
        <f t="shared" si="60"/>
        <v>0</v>
      </c>
      <c r="L524" s="612">
        <f>VLOOKUP(A524,'BS Gr'!A:A,1,FALSE)</f>
        <v>206037</v>
      </c>
      <c r="M524" s="612">
        <f t="shared" si="56"/>
        <v>1</v>
      </c>
      <c r="N524" s="613">
        <f t="shared" si="58"/>
        <v>0</v>
      </c>
      <c r="O524" s="613">
        <f t="shared" si="55"/>
        <v>0</v>
      </c>
      <c r="P524" s="613">
        <v>0</v>
      </c>
      <c r="Q524" s="613">
        <f t="shared" si="54"/>
        <v>0</v>
      </c>
      <c r="R524" s="1514"/>
      <c r="S524" s="1617" t="e">
        <f>SUMIF('[105]TB for financial'!$A:$A,A524,'[105]TB for financial'!$E:$E)</f>
        <v>#VALUE!</v>
      </c>
      <c r="T524" s="613"/>
    </row>
    <row r="525" spans="1:20">
      <c r="A525" s="608">
        <v>206038</v>
      </c>
      <c r="B525" s="609" t="s">
        <v>1438</v>
      </c>
      <c r="C525" s="610">
        <f t="shared" si="57"/>
        <v>0</v>
      </c>
      <c r="D525" s="611">
        <v>0</v>
      </c>
      <c r="E525" s="610">
        <f>SUMIF('Entries 24-25'!$B:$B,A:A,'Entries 24-25'!$D:$D)-SUMIF('Entries 24-25'!$B:$B,A:A,'Entries 24-25'!$E:$E)+SUMIF('IND AS entries 24-25'!$B:$B,A:A,'IND AS entries 24-25'!$D:$D)-SUMIF('IND AS entries 24-25'!$B:$B,A:A,'IND AS entries 24-25'!$E:$E)</f>
        <v>0</v>
      </c>
      <c r="F525" s="611">
        <f t="shared" si="59"/>
        <v>0</v>
      </c>
      <c r="G525" s="610"/>
      <c r="H525" s="610">
        <v>0</v>
      </c>
      <c r="I525" s="611">
        <v>0</v>
      </c>
      <c r="J525" s="610">
        <v>0</v>
      </c>
      <c r="K525" s="611">
        <f t="shared" si="60"/>
        <v>0</v>
      </c>
      <c r="L525" s="612">
        <f>VLOOKUP(A525,'BS Gr'!A:A,1,FALSE)</f>
        <v>206038</v>
      </c>
      <c r="M525" s="612">
        <f t="shared" si="56"/>
        <v>1</v>
      </c>
      <c r="N525" s="613">
        <f t="shared" si="58"/>
        <v>0</v>
      </c>
      <c r="O525" s="613">
        <f t="shared" si="55"/>
        <v>0</v>
      </c>
      <c r="P525" s="613">
        <v>149276.21999999997</v>
      </c>
      <c r="Q525" s="613">
        <f t="shared" si="54"/>
        <v>-149276.21999999997</v>
      </c>
      <c r="R525" s="1514"/>
      <c r="S525" s="1617" t="e">
        <f>SUMIF('[105]TB for financial'!$A:$A,A525,'[105]TB for financial'!$E:$E)</f>
        <v>#VALUE!</v>
      </c>
      <c r="T525" s="613"/>
    </row>
    <row r="526" spans="1:20">
      <c r="A526" s="608">
        <v>206039</v>
      </c>
      <c r="B526" s="615" t="s">
        <v>1460</v>
      </c>
      <c r="C526" s="610">
        <f t="shared" si="57"/>
        <v>0</v>
      </c>
      <c r="D526" s="611">
        <v>0</v>
      </c>
      <c r="E526" s="610">
        <f>SUMIF('Entries 24-25'!$B:$B,A:A,'Entries 24-25'!$D:$D)-SUMIF('Entries 24-25'!$B:$B,A:A,'Entries 24-25'!$E:$E)+SUMIF('IND AS entries 24-25'!$B:$B,A:A,'IND AS entries 24-25'!$D:$D)-SUMIF('IND AS entries 24-25'!$B:$B,A:A,'IND AS entries 24-25'!$E:$E)</f>
        <v>0</v>
      </c>
      <c r="F526" s="611">
        <f t="shared" si="59"/>
        <v>0</v>
      </c>
      <c r="G526" s="610"/>
      <c r="H526" s="610">
        <v>0</v>
      </c>
      <c r="I526" s="611">
        <v>0</v>
      </c>
      <c r="J526" s="610">
        <v>0</v>
      </c>
      <c r="K526" s="611">
        <f t="shared" si="60"/>
        <v>0</v>
      </c>
      <c r="L526" s="612">
        <f>VLOOKUP(A526,'BS Gr'!A:A,1,FALSE)</f>
        <v>206039</v>
      </c>
      <c r="M526" s="612">
        <f t="shared" si="56"/>
        <v>1</v>
      </c>
      <c r="N526" s="613">
        <f t="shared" si="58"/>
        <v>0</v>
      </c>
      <c r="O526" s="613">
        <f t="shared" si="55"/>
        <v>0</v>
      </c>
      <c r="P526" s="613">
        <v>0</v>
      </c>
      <c r="Q526" s="613">
        <f t="shared" si="54"/>
        <v>0</v>
      </c>
      <c r="R526" s="1514"/>
      <c r="S526" s="1617" t="e">
        <f>SUMIF('[105]TB for financial'!$A:$A,A526,'[105]TB for financial'!$E:$E)</f>
        <v>#VALUE!</v>
      </c>
      <c r="T526" s="613"/>
    </row>
    <row r="527" spans="1:20">
      <c r="A527" s="608">
        <v>206040</v>
      </c>
      <c r="B527" s="609" t="s">
        <v>1461</v>
      </c>
      <c r="C527" s="610">
        <f t="shared" si="57"/>
        <v>0</v>
      </c>
      <c r="D527" s="611">
        <v>0</v>
      </c>
      <c r="E527" s="610">
        <f>SUMIF('Entries 24-25'!$B:$B,A:A,'Entries 24-25'!$D:$D)-SUMIF('Entries 24-25'!$B:$B,A:A,'Entries 24-25'!$E:$E)+SUMIF('IND AS entries 24-25'!$B:$B,A:A,'IND AS entries 24-25'!$D:$D)-SUMIF('IND AS entries 24-25'!$B:$B,A:A,'IND AS entries 24-25'!$E:$E)</f>
        <v>0</v>
      </c>
      <c r="F527" s="611">
        <f t="shared" si="59"/>
        <v>0</v>
      </c>
      <c r="G527" s="610"/>
      <c r="H527" s="610">
        <v>0</v>
      </c>
      <c r="I527" s="611">
        <v>0</v>
      </c>
      <c r="J527" s="610">
        <v>0</v>
      </c>
      <c r="K527" s="611">
        <f t="shared" si="60"/>
        <v>0</v>
      </c>
      <c r="L527" s="612">
        <f>VLOOKUP(A527,'BS Gr'!A:A,1,FALSE)</f>
        <v>206040</v>
      </c>
      <c r="M527" s="612">
        <f t="shared" si="56"/>
        <v>1</v>
      </c>
      <c r="N527" s="613">
        <f t="shared" si="58"/>
        <v>0</v>
      </c>
      <c r="O527" s="613">
        <f t="shared" si="55"/>
        <v>0</v>
      </c>
      <c r="P527" s="613">
        <v>0</v>
      </c>
      <c r="Q527" s="613">
        <f t="shared" si="54"/>
        <v>0</v>
      </c>
      <c r="R527" s="1514"/>
      <c r="S527" s="1617" t="e">
        <f>SUMIF('[105]TB for financial'!$A:$A,A527,'[105]TB for financial'!$E:$E)</f>
        <v>#VALUE!</v>
      </c>
      <c r="T527" s="613"/>
    </row>
    <row r="528" spans="1:20">
      <c r="A528" s="608">
        <v>206041</v>
      </c>
      <c r="B528" s="609" t="s">
        <v>1462</v>
      </c>
      <c r="C528" s="610">
        <f t="shared" si="57"/>
        <v>0</v>
      </c>
      <c r="D528" s="611">
        <v>0</v>
      </c>
      <c r="E528" s="610">
        <f>SUMIF('Entries 24-25'!$B:$B,A:A,'Entries 24-25'!$D:$D)-SUMIF('Entries 24-25'!$B:$B,A:A,'Entries 24-25'!$E:$E)+SUMIF('IND AS entries 24-25'!$B:$B,A:A,'IND AS entries 24-25'!$D:$D)-SUMIF('IND AS entries 24-25'!$B:$B,A:A,'IND AS entries 24-25'!$E:$E)</f>
        <v>0</v>
      </c>
      <c r="F528" s="611">
        <f t="shared" si="59"/>
        <v>0</v>
      </c>
      <c r="G528" s="610"/>
      <c r="H528" s="610">
        <v>0</v>
      </c>
      <c r="I528" s="611">
        <v>0</v>
      </c>
      <c r="J528" s="610">
        <v>0</v>
      </c>
      <c r="K528" s="611">
        <f t="shared" si="60"/>
        <v>0</v>
      </c>
      <c r="L528" s="612">
        <f>VLOOKUP(A528,'BS Gr'!A:A,1,FALSE)</f>
        <v>206041</v>
      </c>
      <c r="M528" s="612">
        <f t="shared" si="56"/>
        <v>1</v>
      </c>
      <c r="N528" s="613">
        <f t="shared" si="58"/>
        <v>0</v>
      </c>
      <c r="O528" s="613">
        <f t="shared" si="55"/>
        <v>0</v>
      </c>
      <c r="P528" s="613">
        <v>242100000</v>
      </c>
      <c r="Q528" s="613">
        <f t="shared" si="54"/>
        <v>-242100000</v>
      </c>
      <c r="R528" s="1514"/>
      <c r="S528" s="1617" t="e">
        <f>SUMIF('[105]TB for financial'!$A:$A,A528,'[105]TB for financial'!$E:$E)</f>
        <v>#VALUE!</v>
      </c>
      <c r="T528" s="613"/>
    </row>
    <row r="529" spans="1:20">
      <c r="A529" s="608">
        <v>206042</v>
      </c>
      <c r="B529" s="609" t="s">
        <v>1463</v>
      </c>
      <c r="C529" s="610">
        <f t="shared" si="57"/>
        <v>0</v>
      </c>
      <c r="D529" s="611">
        <v>0</v>
      </c>
      <c r="E529" s="610">
        <f>SUMIF('Entries 24-25'!$B:$B,A:A,'Entries 24-25'!$D:$D)-SUMIF('Entries 24-25'!$B:$B,A:A,'Entries 24-25'!$E:$E)+SUMIF('IND AS entries 24-25'!$B:$B,A:A,'IND AS entries 24-25'!$D:$D)-SUMIF('IND AS entries 24-25'!$B:$B,A:A,'IND AS entries 24-25'!$E:$E)</f>
        <v>0</v>
      </c>
      <c r="F529" s="611">
        <f t="shared" si="59"/>
        <v>0</v>
      </c>
      <c r="G529" s="610"/>
      <c r="H529" s="610">
        <v>0</v>
      </c>
      <c r="I529" s="611">
        <v>0</v>
      </c>
      <c r="J529" s="610">
        <v>0</v>
      </c>
      <c r="K529" s="611">
        <f t="shared" si="60"/>
        <v>0</v>
      </c>
      <c r="L529" s="612">
        <f>VLOOKUP(A529,'BS Gr'!A:A,1,FALSE)</f>
        <v>206042</v>
      </c>
      <c r="M529" s="612">
        <f t="shared" si="56"/>
        <v>1</v>
      </c>
      <c r="N529" s="613">
        <f t="shared" si="58"/>
        <v>0</v>
      </c>
      <c r="O529" s="613">
        <f t="shared" si="55"/>
        <v>0</v>
      </c>
      <c r="P529" s="613">
        <v>13227416.339999998</v>
      </c>
      <c r="Q529" s="613">
        <f t="shared" si="54"/>
        <v>-13227416.339999998</v>
      </c>
      <c r="R529" s="1514"/>
      <c r="S529" s="1617" t="e">
        <f>SUMIF('[105]TB for financial'!$A:$A,A529,'[105]TB for financial'!$E:$E)</f>
        <v>#VALUE!</v>
      </c>
      <c r="T529" s="613"/>
    </row>
    <row r="530" spans="1:20">
      <c r="A530" s="608">
        <v>206043</v>
      </c>
      <c r="B530" s="609" t="s">
        <v>1464</v>
      </c>
      <c r="C530" s="610">
        <f t="shared" si="57"/>
        <v>0</v>
      </c>
      <c r="D530" s="611">
        <v>0</v>
      </c>
      <c r="E530" s="610">
        <f>SUMIF('Entries 24-25'!$B:$B,A:A,'Entries 24-25'!$D:$D)-SUMIF('Entries 24-25'!$B:$B,A:A,'Entries 24-25'!$E:$E)+SUMIF('IND AS entries 24-25'!$B:$B,A:A,'IND AS entries 24-25'!$D:$D)-SUMIF('IND AS entries 24-25'!$B:$B,A:A,'IND AS entries 24-25'!$E:$E)</f>
        <v>0</v>
      </c>
      <c r="F530" s="611">
        <f t="shared" si="59"/>
        <v>0</v>
      </c>
      <c r="G530" s="610"/>
      <c r="H530" s="610">
        <v>0</v>
      </c>
      <c r="I530" s="611">
        <v>0</v>
      </c>
      <c r="J530" s="610">
        <v>0</v>
      </c>
      <c r="K530" s="611">
        <f t="shared" si="60"/>
        <v>0</v>
      </c>
      <c r="L530" s="612">
        <f>VLOOKUP(A530,'BS Gr'!A:A,1,FALSE)</f>
        <v>206043</v>
      </c>
      <c r="M530" s="612">
        <f t="shared" si="56"/>
        <v>1</v>
      </c>
      <c r="N530" s="613">
        <f t="shared" si="58"/>
        <v>0</v>
      </c>
      <c r="O530" s="613">
        <f t="shared" si="55"/>
        <v>0</v>
      </c>
      <c r="P530" s="613">
        <v>44870755.200000003</v>
      </c>
      <c r="Q530" s="613">
        <f t="shared" si="54"/>
        <v>-44870755.200000003</v>
      </c>
      <c r="R530" s="1514"/>
      <c r="S530" s="1617" t="e">
        <f>SUMIF('[105]TB for financial'!$A:$A,A530,'[105]TB for financial'!$E:$E)</f>
        <v>#VALUE!</v>
      </c>
      <c r="T530" s="613"/>
    </row>
    <row r="531" spans="1:20">
      <c r="A531" s="608">
        <v>206044</v>
      </c>
      <c r="B531" s="609" t="s">
        <v>1465</v>
      </c>
      <c r="C531" s="610">
        <f t="shared" si="57"/>
        <v>0</v>
      </c>
      <c r="D531" s="611">
        <v>0</v>
      </c>
      <c r="E531" s="610">
        <f>SUMIF('Entries 24-25'!$B:$B,A:A,'Entries 24-25'!$D:$D)-SUMIF('Entries 24-25'!$B:$B,A:A,'Entries 24-25'!$E:$E)+SUMIF('IND AS entries 24-25'!$B:$B,A:A,'IND AS entries 24-25'!$D:$D)-SUMIF('IND AS entries 24-25'!$B:$B,A:A,'IND AS entries 24-25'!$E:$E)</f>
        <v>0</v>
      </c>
      <c r="F531" s="611">
        <f t="shared" si="59"/>
        <v>0</v>
      </c>
      <c r="G531" s="610"/>
      <c r="H531" s="610">
        <v>0</v>
      </c>
      <c r="I531" s="611">
        <v>0</v>
      </c>
      <c r="J531" s="610">
        <v>0</v>
      </c>
      <c r="K531" s="611">
        <f t="shared" si="60"/>
        <v>0</v>
      </c>
      <c r="L531" s="612">
        <f>VLOOKUP(A531,'BS Gr'!A:A,1,FALSE)</f>
        <v>206044</v>
      </c>
      <c r="M531" s="612">
        <f t="shared" si="56"/>
        <v>1</v>
      </c>
      <c r="N531" s="613">
        <f t="shared" si="58"/>
        <v>0</v>
      </c>
      <c r="O531" s="613">
        <f t="shared" si="55"/>
        <v>0</v>
      </c>
      <c r="P531" s="613">
        <v>10732094.4</v>
      </c>
      <c r="Q531" s="613">
        <f t="shared" si="54"/>
        <v>-10732094.4</v>
      </c>
      <c r="R531" s="1514"/>
      <c r="S531" s="1617" t="e">
        <f>SUMIF('[105]TB for financial'!$A:$A,A531,'[105]TB for financial'!$E:$E)</f>
        <v>#VALUE!</v>
      </c>
      <c r="T531" s="613"/>
    </row>
    <row r="532" spans="1:20">
      <c r="A532" s="608">
        <v>206045</v>
      </c>
      <c r="B532" s="609" t="s">
        <v>618</v>
      </c>
      <c r="C532" s="610">
        <f t="shared" si="57"/>
        <v>0.16826666666758683</v>
      </c>
      <c r="D532" s="611">
        <v>0</v>
      </c>
      <c r="E532" s="610">
        <f>SUMIF('Entries 24-25'!$B:$B,A:A,'Entries 24-25'!$D:$D)-SUMIF('Entries 24-25'!$B:$B,A:A,'Entries 24-25'!$E:$E)+SUMIF('IND AS entries 24-25'!$B:$B,A:A,'IND AS entries 24-25'!$D:$D)-SUMIF('IND AS entries 24-25'!$B:$B,A:A,'IND AS entries 24-25'!$E:$E)</f>
        <v>0</v>
      </c>
      <c r="F532" s="611">
        <f t="shared" si="59"/>
        <v>0.16826666666758683</v>
      </c>
      <c r="G532" s="610"/>
      <c r="H532" s="610">
        <v>0.16826666666758683</v>
      </c>
      <c r="I532" s="611">
        <v>0</v>
      </c>
      <c r="J532" s="610">
        <v>0</v>
      </c>
      <c r="K532" s="611">
        <f t="shared" si="60"/>
        <v>0.16826666666758683</v>
      </c>
      <c r="L532" s="612">
        <f>VLOOKUP(A532,'BS Gr'!A:A,1,FALSE)</f>
        <v>206045</v>
      </c>
      <c r="M532" s="612">
        <f t="shared" si="56"/>
        <v>1</v>
      </c>
      <c r="N532" s="613">
        <f t="shared" si="58"/>
        <v>0</v>
      </c>
      <c r="O532" s="613">
        <f t="shared" si="55"/>
        <v>0</v>
      </c>
      <c r="P532" s="613">
        <v>-687.70933333333335</v>
      </c>
      <c r="Q532" s="613">
        <f t="shared" si="54"/>
        <v>687.87760000000094</v>
      </c>
      <c r="R532" s="1514"/>
      <c r="S532" s="1617" t="e">
        <f>SUMIF('[105]TB for financial'!$A:$A,A532,'[105]TB for financial'!$E:$E)</f>
        <v>#VALUE!</v>
      </c>
      <c r="T532" s="613"/>
    </row>
    <row r="533" spans="1:20">
      <c r="A533" s="608">
        <v>206046</v>
      </c>
      <c r="B533" s="609" t="s">
        <v>1466</v>
      </c>
      <c r="C533" s="610">
        <f t="shared" si="57"/>
        <v>0</v>
      </c>
      <c r="D533" s="611">
        <v>0</v>
      </c>
      <c r="E533" s="610">
        <f>SUMIF('Entries 24-25'!$B:$B,A:A,'Entries 24-25'!$D:$D)-SUMIF('Entries 24-25'!$B:$B,A:A,'Entries 24-25'!$E:$E)+SUMIF('IND AS entries 24-25'!$B:$B,A:A,'IND AS entries 24-25'!$D:$D)-SUMIF('IND AS entries 24-25'!$B:$B,A:A,'IND AS entries 24-25'!$E:$E)</f>
        <v>0</v>
      </c>
      <c r="F533" s="611">
        <f t="shared" si="59"/>
        <v>0</v>
      </c>
      <c r="G533" s="610"/>
      <c r="H533" s="610">
        <v>0</v>
      </c>
      <c r="I533" s="611">
        <v>0</v>
      </c>
      <c r="J533" s="610">
        <v>0</v>
      </c>
      <c r="K533" s="611">
        <f t="shared" si="60"/>
        <v>0</v>
      </c>
      <c r="L533" s="612">
        <f>VLOOKUP(A533,'BS Gr'!A:A,1,FALSE)</f>
        <v>206046</v>
      </c>
      <c r="M533" s="612">
        <f t="shared" si="56"/>
        <v>1</v>
      </c>
      <c r="N533" s="613">
        <f t="shared" si="58"/>
        <v>0</v>
      </c>
      <c r="O533" s="613">
        <f t="shared" si="55"/>
        <v>0</v>
      </c>
      <c r="P533" s="613">
        <v>0</v>
      </c>
      <c r="Q533" s="613">
        <f t="shared" si="54"/>
        <v>0</v>
      </c>
      <c r="R533" s="1514"/>
      <c r="S533" s="1617" t="e">
        <f>SUMIF('[105]TB for financial'!$A:$A,A533,'[105]TB for financial'!$E:$E)</f>
        <v>#VALUE!</v>
      </c>
      <c r="T533" s="613"/>
    </row>
    <row r="534" spans="1:20">
      <c r="A534" s="608">
        <v>206047</v>
      </c>
      <c r="B534" s="609" t="s">
        <v>1467</v>
      </c>
      <c r="C534" s="610">
        <f t="shared" si="57"/>
        <v>0</v>
      </c>
      <c r="D534" s="611">
        <v>0</v>
      </c>
      <c r="E534" s="610">
        <f>SUMIF('Entries 24-25'!$B:$B,A:A,'Entries 24-25'!$D:$D)-SUMIF('Entries 24-25'!$B:$B,A:A,'Entries 24-25'!$E:$E)+SUMIF('IND AS entries 24-25'!$B:$B,A:A,'IND AS entries 24-25'!$D:$D)-SUMIF('IND AS entries 24-25'!$B:$B,A:A,'IND AS entries 24-25'!$E:$E)</f>
        <v>0</v>
      </c>
      <c r="F534" s="611">
        <f t="shared" si="59"/>
        <v>0</v>
      </c>
      <c r="G534" s="610"/>
      <c r="H534" s="610">
        <v>0</v>
      </c>
      <c r="I534" s="611">
        <v>0</v>
      </c>
      <c r="J534" s="610">
        <v>0</v>
      </c>
      <c r="K534" s="611">
        <f t="shared" si="60"/>
        <v>0</v>
      </c>
      <c r="L534" s="612">
        <f>VLOOKUP(A534,'BS Gr'!A:A,1,FALSE)</f>
        <v>206047</v>
      </c>
      <c r="M534" s="612">
        <f t="shared" si="56"/>
        <v>1</v>
      </c>
      <c r="N534" s="613">
        <f t="shared" si="58"/>
        <v>0</v>
      </c>
      <c r="O534" s="613">
        <f t="shared" si="55"/>
        <v>0</v>
      </c>
      <c r="P534" s="613">
        <v>186521.27999999997</v>
      </c>
      <c r="Q534" s="613">
        <f t="shared" si="54"/>
        <v>-186521.27999999997</v>
      </c>
      <c r="R534" s="1514"/>
      <c r="S534" s="1617" t="e">
        <f>SUMIF('[105]TB for financial'!$A:$A,A534,'[105]TB for financial'!$E:$E)</f>
        <v>#VALUE!</v>
      </c>
      <c r="T534" s="613"/>
    </row>
    <row r="535" spans="1:20">
      <c r="A535" s="608">
        <v>206048</v>
      </c>
      <c r="B535" s="609" t="s">
        <v>1468</v>
      </c>
      <c r="C535" s="610">
        <f t="shared" si="57"/>
        <v>0</v>
      </c>
      <c r="D535" s="611">
        <v>0</v>
      </c>
      <c r="E535" s="610">
        <f>SUMIF('Entries 24-25'!$B:$B,A:A,'Entries 24-25'!$D:$D)-SUMIF('Entries 24-25'!$B:$B,A:A,'Entries 24-25'!$E:$E)+SUMIF('IND AS entries 24-25'!$B:$B,A:A,'IND AS entries 24-25'!$D:$D)-SUMIF('IND AS entries 24-25'!$B:$B,A:A,'IND AS entries 24-25'!$E:$E)</f>
        <v>0</v>
      </c>
      <c r="F535" s="611">
        <f t="shared" si="59"/>
        <v>0</v>
      </c>
      <c r="G535" s="610"/>
      <c r="H535" s="610">
        <v>0</v>
      </c>
      <c r="I535" s="611">
        <v>0</v>
      </c>
      <c r="J535" s="610">
        <v>0</v>
      </c>
      <c r="K535" s="611">
        <f t="shared" si="60"/>
        <v>0</v>
      </c>
      <c r="L535" s="612">
        <f>VLOOKUP(A535,'BS Gr'!A:A,1,FALSE)</f>
        <v>206048</v>
      </c>
      <c r="M535" s="612">
        <f t="shared" si="56"/>
        <v>1</v>
      </c>
      <c r="N535" s="613">
        <f t="shared" si="58"/>
        <v>0</v>
      </c>
      <c r="O535" s="613">
        <f t="shared" si="55"/>
        <v>0</v>
      </c>
      <c r="P535" s="613">
        <v>0</v>
      </c>
      <c r="Q535" s="613">
        <f t="shared" si="54"/>
        <v>0</v>
      </c>
      <c r="R535" s="1514"/>
      <c r="S535" s="1617" t="e">
        <f>SUMIF('[105]TB for financial'!$A:$A,A535,'[105]TB for financial'!$E:$E)</f>
        <v>#VALUE!</v>
      </c>
      <c r="T535" s="613"/>
    </row>
    <row r="536" spans="1:20">
      <c r="A536" s="608">
        <v>207010</v>
      </c>
      <c r="B536" s="609" t="s">
        <v>731</v>
      </c>
      <c r="C536" s="610">
        <f t="shared" si="57"/>
        <v>0</v>
      </c>
      <c r="D536" s="611">
        <v>0</v>
      </c>
      <c r="E536" s="610">
        <f>SUMIF('Entries 24-25'!$B:$B,A:A,'Entries 24-25'!$D:$D)-SUMIF('Entries 24-25'!$B:$B,A:A,'Entries 24-25'!$E:$E)+SUMIF('IND AS entries 24-25'!$B:$B,A:A,'IND AS entries 24-25'!$D:$D)-SUMIF('IND AS entries 24-25'!$B:$B,A:A,'IND AS entries 24-25'!$E:$E)</f>
        <v>0</v>
      </c>
      <c r="F536" s="611">
        <f t="shared" si="59"/>
        <v>0</v>
      </c>
      <c r="G536" s="610"/>
      <c r="H536" s="610">
        <v>0</v>
      </c>
      <c r="I536" s="611">
        <v>0</v>
      </c>
      <c r="J536" s="610">
        <v>0</v>
      </c>
      <c r="K536" s="611">
        <f t="shared" si="60"/>
        <v>0</v>
      </c>
      <c r="L536" s="612">
        <f>VLOOKUP(A536,'BS Gr'!A:A,1,FALSE)</f>
        <v>207010</v>
      </c>
      <c r="M536" s="612">
        <f t="shared" si="56"/>
        <v>1</v>
      </c>
      <c r="N536" s="613">
        <f t="shared" si="58"/>
        <v>0</v>
      </c>
      <c r="O536" s="613">
        <f t="shared" si="55"/>
        <v>0</v>
      </c>
      <c r="P536" s="613">
        <v>-3360.0000000000018</v>
      </c>
      <c r="Q536" s="613">
        <f t="shared" si="54"/>
        <v>3360.0000000000018</v>
      </c>
      <c r="R536" s="1514"/>
      <c r="S536" s="1617" t="e">
        <f>SUMIF('[105]TB for financial'!$A:$A,A536,'[105]TB for financial'!$E:$E)</f>
        <v>#VALUE!</v>
      </c>
      <c r="T536" s="613"/>
    </row>
    <row r="537" spans="1:20">
      <c r="A537" s="608">
        <v>210110</v>
      </c>
      <c r="B537" s="609" t="s">
        <v>1469</v>
      </c>
      <c r="C537" s="610">
        <f t="shared" si="57"/>
        <v>-20714115838.976997</v>
      </c>
      <c r="D537" s="611">
        <v>0</v>
      </c>
      <c r="E537" s="610">
        <f>SUMIF('Entries 24-25'!$B:$B,A:A,'Entries 24-25'!$D:$D)-SUMIF('Entries 24-25'!$B:$B,A:A,'Entries 24-25'!$E:$E)+SUMIF('IND AS entries 24-25'!$B:$B,A:A,'IND AS entries 24-25'!$D:$D)-SUMIF('IND AS entries 24-25'!$B:$B,A:A,'IND AS entries 24-25'!$E:$E)</f>
        <v>0</v>
      </c>
      <c r="F537" s="611">
        <f t="shared" si="59"/>
        <v>-20714115838.976997</v>
      </c>
      <c r="G537" s="610"/>
      <c r="H537" s="610">
        <v>-20714115838.976997</v>
      </c>
      <c r="I537" s="611">
        <v>0</v>
      </c>
      <c r="J537" s="610">
        <v>0</v>
      </c>
      <c r="K537" s="611">
        <f t="shared" si="60"/>
        <v>-20714115838.976997</v>
      </c>
      <c r="L537" s="612">
        <f>VLOOKUP(A537,'BS Gr'!A:A,1,FALSE)</f>
        <v>210110</v>
      </c>
      <c r="M537" s="612">
        <f t="shared" si="56"/>
        <v>1</v>
      </c>
      <c r="N537" s="613">
        <f t="shared" si="58"/>
        <v>0</v>
      </c>
      <c r="O537" s="613">
        <f t="shared" si="55"/>
        <v>0</v>
      </c>
      <c r="P537" s="613">
        <v>-16413173961.860001</v>
      </c>
      <c r="Q537" s="613">
        <f t="shared" si="54"/>
        <v>-4300941877.1169968</v>
      </c>
      <c r="R537" s="1514"/>
      <c r="S537" s="1617" t="e">
        <f>SUMIF('[105]TB for financial'!$A:$A,A537,'[105]TB for financial'!$E:$E)</f>
        <v>#VALUE!</v>
      </c>
      <c r="T537" s="613"/>
    </row>
    <row r="538" spans="1:20">
      <c r="A538" s="608">
        <v>210111</v>
      </c>
      <c r="B538" s="609" t="s">
        <v>1470</v>
      </c>
      <c r="C538" s="610">
        <f t="shared" si="57"/>
        <v>0</v>
      </c>
      <c r="D538" s="611">
        <v>0</v>
      </c>
      <c r="E538" s="610">
        <f>SUMIF('Entries 24-25'!$B:$B,A:A,'Entries 24-25'!$D:$D)-SUMIF('Entries 24-25'!$B:$B,A:A,'Entries 24-25'!$E:$E)+SUMIF('IND AS entries 24-25'!$B:$B,A:A,'IND AS entries 24-25'!$D:$D)-SUMIF('IND AS entries 24-25'!$B:$B,A:A,'IND AS entries 24-25'!$E:$E)</f>
        <v>0</v>
      </c>
      <c r="F538" s="611">
        <f t="shared" si="59"/>
        <v>0</v>
      </c>
      <c r="G538" s="610"/>
      <c r="H538" s="610">
        <v>0</v>
      </c>
      <c r="I538" s="611">
        <v>0</v>
      </c>
      <c r="J538" s="610">
        <v>0</v>
      </c>
      <c r="K538" s="611">
        <f t="shared" si="60"/>
        <v>0</v>
      </c>
      <c r="L538" s="612">
        <f>VLOOKUP(A538,'BS Gr'!A:A,1,FALSE)</f>
        <v>210111</v>
      </c>
      <c r="M538" s="612">
        <f t="shared" si="56"/>
        <v>1</v>
      </c>
      <c r="N538" s="613">
        <f t="shared" si="58"/>
        <v>0</v>
      </c>
      <c r="O538" s="613">
        <f t="shared" si="55"/>
        <v>0</v>
      </c>
      <c r="P538" s="613">
        <v>0</v>
      </c>
      <c r="Q538" s="613">
        <f t="shared" si="54"/>
        <v>0</v>
      </c>
      <c r="R538" s="1514"/>
      <c r="S538" s="1617" t="e">
        <f>SUMIF('[105]TB for financial'!$A:$A,A538,'[105]TB for financial'!$E:$E)</f>
        <v>#VALUE!</v>
      </c>
      <c r="T538" s="613"/>
    </row>
    <row r="539" spans="1:20">
      <c r="A539" s="608">
        <v>210112</v>
      </c>
      <c r="B539" s="609" t="s">
        <v>1471</v>
      </c>
      <c r="C539" s="610">
        <f t="shared" si="57"/>
        <v>0</v>
      </c>
      <c r="D539" s="611">
        <v>0</v>
      </c>
      <c r="E539" s="610">
        <f>SUMIF('Entries 24-25'!$B:$B,A:A,'Entries 24-25'!$D:$D)-SUMIF('Entries 24-25'!$B:$B,A:A,'Entries 24-25'!$E:$E)+SUMIF('IND AS entries 24-25'!$B:$B,A:A,'IND AS entries 24-25'!$D:$D)-SUMIF('IND AS entries 24-25'!$B:$B,A:A,'IND AS entries 24-25'!$E:$E)</f>
        <v>0</v>
      </c>
      <c r="F539" s="611">
        <f t="shared" si="59"/>
        <v>0</v>
      </c>
      <c r="G539" s="610"/>
      <c r="H539" s="610">
        <v>0</v>
      </c>
      <c r="I539" s="611">
        <v>0</v>
      </c>
      <c r="J539" s="610">
        <v>0</v>
      </c>
      <c r="K539" s="611">
        <f t="shared" si="60"/>
        <v>0</v>
      </c>
      <c r="L539" s="612">
        <f>VLOOKUP(A539,'BS Gr'!A:A,1,FALSE)</f>
        <v>210112</v>
      </c>
      <c r="M539" s="612">
        <f t="shared" si="56"/>
        <v>1</v>
      </c>
      <c r="N539" s="613">
        <f t="shared" si="58"/>
        <v>0</v>
      </c>
      <c r="O539" s="613">
        <f t="shared" si="55"/>
        <v>0</v>
      </c>
      <c r="P539" s="613">
        <v>0</v>
      </c>
      <c r="Q539" s="613">
        <f t="shared" ref="Q539:Q603" si="61">+K539-P539</f>
        <v>0</v>
      </c>
      <c r="R539" s="1514"/>
      <c r="S539" s="1617" t="e">
        <f>SUMIF('[105]TB for financial'!$A:$A,A539,'[105]TB for financial'!$E:$E)</f>
        <v>#VALUE!</v>
      </c>
      <c r="T539" s="613"/>
    </row>
    <row r="540" spans="1:20">
      <c r="A540" s="608">
        <v>210115</v>
      </c>
      <c r="B540" s="609" t="s">
        <v>1472</v>
      </c>
      <c r="C540" s="610">
        <f t="shared" si="57"/>
        <v>20714115839.927002</v>
      </c>
      <c r="D540" s="611">
        <v>0</v>
      </c>
      <c r="E540" s="610">
        <f>SUMIF('Entries 24-25'!$B:$B,A:A,'Entries 24-25'!$D:$D)-SUMIF('Entries 24-25'!$B:$B,A:A,'Entries 24-25'!$E:$E)+SUMIF('IND AS entries 24-25'!$B:$B,A:A,'IND AS entries 24-25'!$D:$D)-SUMIF('IND AS entries 24-25'!$B:$B,A:A,'IND AS entries 24-25'!$E:$E)</f>
        <v>0</v>
      </c>
      <c r="F540" s="611">
        <f t="shared" si="59"/>
        <v>20714115839.927002</v>
      </c>
      <c r="G540" s="610"/>
      <c r="H540" s="610">
        <v>20714115839.927002</v>
      </c>
      <c r="I540" s="611">
        <v>0</v>
      </c>
      <c r="J540" s="610">
        <v>0</v>
      </c>
      <c r="K540" s="611">
        <f t="shared" si="60"/>
        <v>20714115839.927002</v>
      </c>
      <c r="L540" s="612">
        <f>VLOOKUP(A540,'BS Gr'!A:A,1,FALSE)</f>
        <v>210115</v>
      </c>
      <c r="M540" s="612">
        <f t="shared" si="56"/>
        <v>1</v>
      </c>
      <c r="N540" s="613">
        <f t="shared" si="58"/>
        <v>0</v>
      </c>
      <c r="O540" s="613">
        <f t="shared" si="55"/>
        <v>0</v>
      </c>
      <c r="P540" s="613">
        <v>16413173961.67</v>
      </c>
      <c r="Q540" s="613">
        <f t="shared" si="61"/>
        <v>4300941878.2570019</v>
      </c>
      <c r="R540" s="1514"/>
      <c r="S540" s="1617" t="e">
        <f>SUMIF('[105]TB for financial'!$A:$A,A540,'[105]TB for financial'!$E:$E)</f>
        <v>#VALUE!</v>
      </c>
      <c r="T540" s="613"/>
    </row>
    <row r="541" spans="1:20">
      <c r="A541" s="608">
        <v>210120</v>
      </c>
      <c r="B541" s="609" t="s">
        <v>1473</v>
      </c>
      <c r="C541" s="610">
        <f t="shared" si="57"/>
        <v>0</v>
      </c>
      <c r="D541" s="611">
        <v>0</v>
      </c>
      <c r="E541" s="610">
        <f>SUMIF('Entries 24-25'!$B:$B,A:A,'Entries 24-25'!$D:$D)-SUMIF('Entries 24-25'!$B:$B,A:A,'Entries 24-25'!$E:$E)+SUMIF('IND AS entries 24-25'!$B:$B,A:A,'IND AS entries 24-25'!$D:$D)-SUMIF('IND AS entries 24-25'!$B:$B,A:A,'IND AS entries 24-25'!$E:$E)</f>
        <v>0</v>
      </c>
      <c r="F541" s="611">
        <f t="shared" si="59"/>
        <v>0</v>
      </c>
      <c r="G541" s="610"/>
      <c r="H541" s="610">
        <v>0</v>
      </c>
      <c r="I541" s="611">
        <v>0</v>
      </c>
      <c r="J541" s="610">
        <v>0</v>
      </c>
      <c r="K541" s="611">
        <f t="shared" si="60"/>
        <v>0</v>
      </c>
      <c r="L541" s="612">
        <f>VLOOKUP(A541,'BS Gr'!A:A,1,FALSE)</f>
        <v>210120</v>
      </c>
      <c r="M541" s="612">
        <f t="shared" si="56"/>
        <v>1</v>
      </c>
      <c r="N541" s="613">
        <f t="shared" si="58"/>
        <v>0</v>
      </c>
      <c r="O541" s="613">
        <f t="shared" si="55"/>
        <v>0</v>
      </c>
      <c r="P541" s="613">
        <v>0</v>
      </c>
      <c r="Q541" s="613">
        <f t="shared" si="61"/>
        <v>0</v>
      </c>
      <c r="R541" s="1514"/>
      <c r="S541" s="1617" t="e">
        <f>SUMIF('[105]TB for financial'!$A:$A,A541,'[105]TB for financial'!$E:$E)</f>
        <v>#VALUE!</v>
      </c>
      <c r="T541" s="613"/>
    </row>
    <row r="542" spans="1:20">
      <c r="A542" s="608">
        <v>210125</v>
      </c>
      <c r="B542" s="609" t="s">
        <v>1474</v>
      </c>
      <c r="C542" s="610">
        <f t="shared" si="57"/>
        <v>0</v>
      </c>
      <c r="D542" s="611">
        <v>0</v>
      </c>
      <c r="E542" s="610">
        <f>SUMIF('Entries 24-25'!$B:$B,A:A,'Entries 24-25'!$D:$D)-SUMIF('Entries 24-25'!$B:$B,A:A,'Entries 24-25'!$E:$E)+SUMIF('IND AS entries 24-25'!$B:$B,A:A,'IND AS entries 24-25'!$D:$D)-SUMIF('IND AS entries 24-25'!$B:$B,A:A,'IND AS entries 24-25'!$E:$E)</f>
        <v>0</v>
      </c>
      <c r="F542" s="611">
        <f t="shared" si="59"/>
        <v>0</v>
      </c>
      <c r="G542" s="610"/>
      <c r="H542" s="610">
        <v>0</v>
      </c>
      <c r="I542" s="611">
        <v>0</v>
      </c>
      <c r="J542" s="610">
        <v>0</v>
      </c>
      <c r="K542" s="611">
        <f t="shared" si="60"/>
        <v>0</v>
      </c>
      <c r="L542" s="612">
        <f>VLOOKUP(A542,'BS Gr'!A:A,1,FALSE)</f>
        <v>210125</v>
      </c>
      <c r="M542" s="612">
        <f t="shared" si="56"/>
        <v>1</v>
      </c>
      <c r="N542" s="613">
        <f t="shared" si="58"/>
        <v>0</v>
      </c>
      <c r="O542" s="613">
        <f t="shared" si="55"/>
        <v>0</v>
      </c>
      <c r="P542" s="613">
        <v>0</v>
      </c>
      <c r="Q542" s="613">
        <f t="shared" si="61"/>
        <v>0</v>
      </c>
      <c r="R542" s="1514"/>
      <c r="S542" s="1617" t="e">
        <f>SUMIF('[105]TB for financial'!$A:$A,A542,'[105]TB for financial'!$E:$E)</f>
        <v>#VALUE!</v>
      </c>
      <c r="T542" s="613"/>
    </row>
    <row r="543" spans="1:20">
      <c r="A543" s="608">
        <v>210130</v>
      </c>
      <c r="B543" s="609" t="s">
        <v>1475</v>
      </c>
      <c r="C543" s="610">
        <f t="shared" si="57"/>
        <v>0</v>
      </c>
      <c r="D543" s="611">
        <v>0</v>
      </c>
      <c r="E543" s="610">
        <f>SUMIF('Entries 24-25'!$B:$B,A:A,'Entries 24-25'!$D:$D)-SUMIF('Entries 24-25'!$B:$B,A:A,'Entries 24-25'!$E:$E)+SUMIF('IND AS entries 24-25'!$B:$B,A:A,'IND AS entries 24-25'!$D:$D)-SUMIF('IND AS entries 24-25'!$B:$B,A:A,'IND AS entries 24-25'!$E:$E)</f>
        <v>0</v>
      </c>
      <c r="F543" s="611">
        <f t="shared" si="59"/>
        <v>0</v>
      </c>
      <c r="G543" s="610"/>
      <c r="H543" s="610">
        <v>0</v>
      </c>
      <c r="I543" s="611">
        <v>0</v>
      </c>
      <c r="J543" s="610">
        <v>0</v>
      </c>
      <c r="K543" s="611">
        <f t="shared" si="60"/>
        <v>0</v>
      </c>
      <c r="L543" s="612">
        <f>VLOOKUP(A543,'BS Gr'!A:A,1,FALSE)</f>
        <v>210130</v>
      </c>
      <c r="M543" s="612">
        <f t="shared" si="56"/>
        <v>1</v>
      </c>
      <c r="N543" s="613">
        <f t="shared" si="58"/>
        <v>0</v>
      </c>
      <c r="O543" s="613">
        <f t="shared" si="55"/>
        <v>0</v>
      </c>
      <c r="P543" s="613">
        <v>0</v>
      </c>
      <c r="Q543" s="613">
        <f t="shared" si="61"/>
        <v>0</v>
      </c>
      <c r="R543" s="1514"/>
      <c r="S543" s="1617" t="e">
        <f>SUMIF('[105]TB for financial'!$A:$A,A543,'[105]TB for financial'!$E:$E)</f>
        <v>#VALUE!</v>
      </c>
      <c r="T543" s="613"/>
    </row>
    <row r="544" spans="1:20">
      <c r="A544" s="608">
        <v>210135</v>
      </c>
      <c r="B544" s="609" t="s">
        <v>1476</v>
      </c>
      <c r="C544" s="610">
        <f t="shared" si="57"/>
        <v>0</v>
      </c>
      <c r="D544" s="611">
        <v>0</v>
      </c>
      <c r="E544" s="610">
        <f>SUMIF('Entries 24-25'!$B:$B,A:A,'Entries 24-25'!$D:$D)-SUMIF('Entries 24-25'!$B:$B,A:A,'Entries 24-25'!$E:$E)+SUMIF('IND AS entries 24-25'!$B:$B,A:A,'IND AS entries 24-25'!$D:$D)-SUMIF('IND AS entries 24-25'!$B:$B,A:A,'IND AS entries 24-25'!$E:$E)</f>
        <v>0</v>
      </c>
      <c r="F544" s="611">
        <f t="shared" si="59"/>
        <v>0</v>
      </c>
      <c r="G544" s="610"/>
      <c r="H544" s="610">
        <v>0</v>
      </c>
      <c r="I544" s="611">
        <v>0</v>
      </c>
      <c r="J544" s="610">
        <v>0</v>
      </c>
      <c r="K544" s="611">
        <f t="shared" si="60"/>
        <v>0</v>
      </c>
      <c r="L544" s="612">
        <f>VLOOKUP(A544,'BS Gr'!A:A,1,FALSE)</f>
        <v>210135</v>
      </c>
      <c r="M544" s="612">
        <f t="shared" si="56"/>
        <v>1</v>
      </c>
      <c r="N544" s="613">
        <f t="shared" si="58"/>
        <v>0</v>
      </c>
      <c r="O544" s="613">
        <f t="shared" si="55"/>
        <v>0</v>
      </c>
      <c r="P544" s="613">
        <v>0</v>
      </c>
      <c r="Q544" s="613">
        <f t="shared" si="61"/>
        <v>0</v>
      </c>
      <c r="R544" s="1514"/>
      <c r="S544" s="1617" t="e">
        <f>SUMIF('[105]TB for financial'!$A:$A,A544,'[105]TB for financial'!$E:$E)</f>
        <v>#VALUE!</v>
      </c>
      <c r="T544" s="613"/>
    </row>
    <row r="545" spans="1:20">
      <c r="A545" s="608">
        <v>210140</v>
      </c>
      <c r="B545" s="609" t="s">
        <v>1477</v>
      </c>
      <c r="C545" s="610">
        <f t="shared" si="57"/>
        <v>0</v>
      </c>
      <c r="D545" s="611">
        <v>0</v>
      </c>
      <c r="E545" s="610">
        <f>SUMIF('Entries 24-25'!$B:$B,A:A,'Entries 24-25'!$D:$D)-SUMIF('Entries 24-25'!$B:$B,A:A,'Entries 24-25'!$E:$E)+SUMIF('IND AS entries 24-25'!$B:$B,A:A,'IND AS entries 24-25'!$D:$D)-SUMIF('IND AS entries 24-25'!$B:$B,A:A,'IND AS entries 24-25'!$E:$E)</f>
        <v>0</v>
      </c>
      <c r="F545" s="611">
        <f t="shared" si="59"/>
        <v>0</v>
      </c>
      <c r="G545" s="610"/>
      <c r="H545" s="610">
        <v>0</v>
      </c>
      <c r="I545" s="611">
        <v>0</v>
      </c>
      <c r="J545" s="610">
        <v>0</v>
      </c>
      <c r="K545" s="611">
        <f t="shared" si="60"/>
        <v>0</v>
      </c>
      <c r="L545" s="612">
        <f>VLOOKUP(A545,'BS Gr'!A:A,1,FALSE)</f>
        <v>210140</v>
      </c>
      <c r="M545" s="612">
        <f t="shared" si="56"/>
        <v>1</v>
      </c>
      <c r="N545" s="613">
        <f t="shared" si="58"/>
        <v>0</v>
      </c>
      <c r="O545" s="613">
        <f t="shared" si="55"/>
        <v>0</v>
      </c>
      <c r="P545" s="613">
        <v>0</v>
      </c>
      <c r="Q545" s="613">
        <f t="shared" si="61"/>
        <v>0</v>
      </c>
      <c r="R545" s="1514"/>
      <c r="S545" s="1617" t="e">
        <f>SUMIF('[105]TB for financial'!$A:$A,A545,'[105]TB for financial'!$E:$E)</f>
        <v>#VALUE!</v>
      </c>
      <c r="T545" s="613"/>
    </row>
    <row r="546" spans="1:20">
      <c r="A546" s="608">
        <v>210150</v>
      </c>
      <c r="B546" s="609" t="s">
        <v>1478</v>
      </c>
      <c r="C546" s="610">
        <f t="shared" si="57"/>
        <v>0</v>
      </c>
      <c r="D546" s="611">
        <v>0</v>
      </c>
      <c r="E546" s="610">
        <f>SUMIF('Entries 24-25'!$B:$B,A:A,'Entries 24-25'!$D:$D)-SUMIF('Entries 24-25'!$B:$B,A:A,'Entries 24-25'!$E:$E)+SUMIF('IND AS entries 24-25'!$B:$B,A:A,'IND AS entries 24-25'!$D:$D)-SUMIF('IND AS entries 24-25'!$B:$B,A:A,'IND AS entries 24-25'!$E:$E)</f>
        <v>0</v>
      </c>
      <c r="F546" s="611">
        <f t="shared" si="59"/>
        <v>0</v>
      </c>
      <c r="G546" s="610"/>
      <c r="H546" s="610">
        <v>0</v>
      </c>
      <c r="I546" s="611">
        <v>0</v>
      </c>
      <c r="J546" s="610">
        <v>0</v>
      </c>
      <c r="K546" s="611">
        <f t="shared" si="60"/>
        <v>0</v>
      </c>
      <c r="L546" s="612">
        <f>VLOOKUP(A546,'BS Gr'!A:A,1,FALSE)</f>
        <v>210150</v>
      </c>
      <c r="M546" s="612">
        <f t="shared" si="56"/>
        <v>1</v>
      </c>
      <c r="N546" s="613">
        <f t="shared" si="58"/>
        <v>0</v>
      </c>
      <c r="O546" s="613">
        <f t="shared" si="55"/>
        <v>0</v>
      </c>
      <c r="P546" s="613">
        <v>0</v>
      </c>
      <c r="Q546" s="613">
        <f t="shared" si="61"/>
        <v>0</v>
      </c>
      <c r="R546" s="1514"/>
      <c r="S546" s="1617" t="e">
        <f>SUMIF('[105]TB for financial'!$A:$A,A546,'[105]TB for financial'!$E:$E)</f>
        <v>#VALUE!</v>
      </c>
      <c r="T546" s="613"/>
    </row>
    <row r="547" spans="1:20">
      <c r="A547" s="608">
        <v>210155</v>
      </c>
      <c r="B547" s="609" t="s">
        <v>1479</v>
      </c>
      <c r="C547" s="610">
        <f t="shared" si="57"/>
        <v>0</v>
      </c>
      <c r="D547" s="611">
        <v>0</v>
      </c>
      <c r="E547" s="610">
        <f>SUMIF('Entries 24-25'!$B:$B,A:A,'Entries 24-25'!$D:$D)-SUMIF('Entries 24-25'!$B:$B,A:A,'Entries 24-25'!$E:$E)+SUMIF('IND AS entries 24-25'!$B:$B,A:A,'IND AS entries 24-25'!$D:$D)-SUMIF('IND AS entries 24-25'!$B:$B,A:A,'IND AS entries 24-25'!$E:$E)</f>
        <v>0</v>
      </c>
      <c r="F547" s="611">
        <f t="shared" si="59"/>
        <v>0</v>
      </c>
      <c r="G547" s="610"/>
      <c r="H547" s="610">
        <v>0</v>
      </c>
      <c r="I547" s="611">
        <v>0</v>
      </c>
      <c r="J547" s="610">
        <v>0</v>
      </c>
      <c r="K547" s="611">
        <f t="shared" si="60"/>
        <v>0</v>
      </c>
      <c r="L547" s="612">
        <f>VLOOKUP(A547,'BS Gr'!A:A,1,FALSE)</f>
        <v>210155</v>
      </c>
      <c r="M547" s="612">
        <f t="shared" si="56"/>
        <v>1</v>
      </c>
      <c r="N547" s="613">
        <f t="shared" si="58"/>
        <v>0</v>
      </c>
      <c r="O547" s="613">
        <f t="shared" si="55"/>
        <v>0</v>
      </c>
      <c r="P547" s="613">
        <v>0</v>
      </c>
      <c r="Q547" s="613">
        <f t="shared" si="61"/>
        <v>0</v>
      </c>
      <c r="R547" s="1514"/>
      <c r="S547" s="1617" t="e">
        <f>SUMIF('[105]TB for financial'!$A:$A,A547,'[105]TB for financial'!$E:$E)</f>
        <v>#VALUE!</v>
      </c>
      <c r="T547" s="613"/>
    </row>
    <row r="548" spans="1:20">
      <c r="A548" s="608">
        <v>210160</v>
      </c>
      <c r="B548" s="609" t="s">
        <v>1480</v>
      </c>
      <c r="C548" s="610">
        <f t="shared" si="57"/>
        <v>0</v>
      </c>
      <c r="D548" s="611">
        <v>0</v>
      </c>
      <c r="E548" s="610">
        <f>SUMIF('Entries 24-25'!$B:$B,A:A,'Entries 24-25'!$D:$D)-SUMIF('Entries 24-25'!$B:$B,A:A,'Entries 24-25'!$E:$E)+SUMIF('IND AS entries 24-25'!$B:$B,A:A,'IND AS entries 24-25'!$D:$D)-SUMIF('IND AS entries 24-25'!$B:$B,A:A,'IND AS entries 24-25'!$E:$E)</f>
        <v>0</v>
      </c>
      <c r="F548" s="611">
        <f t="shared" si="59"/>
        <v>0</v>
      </c>
      <c r="G548" s="610"/>
      <c r="H548" s="610">
        <v>0</v>
      </c>
      <c r="I548" s="611">
        <v>0</v>
      </c>
      <c r="J548" s="610">
        <v>0</v>
      </c>
      <c r="K548" s="611">
        <f t="shared" si="60"/>
        <v>0</v>
      </c>
      <c r="L548" s="612">
        <f>VLOOKUP(A548,'BS Gr'!A:A,1,FALSE)</f>
        <v>210160</v>
      </c>
      <c r="M548" s="612">
        <f t="shared" si="56"/>
        <v>1</v>
      </c>
      <c r="N548" s="613">
        <f t="shared" si="58"/>
        <v>0</v>
      </c>
      <c r="O548" s="613">
        <f t="shared" si="55"/>
        <v>0</v>
      </c>
      <c r="P548" s="613">
        <v>0</v>
      </c>
      <c r="Q548" s="613">
        <f t="shared" si="61"/>
        <v>0</v>
      </c>
      <c r="R548" s="1514"/>
      <c r="S548" s="1617" t="e">
        <f>SUMIF('[105]TB for financial'!$A:$A,A548,'[105]TB for financial'!$E:$E)</f>
        <v>#VALUE!</v>
      </c>
      <c r="T548" s="613"/>
    </row>
    <row r="549" spans="1:20">
      <c r="A549" s="608">
        <v>210165</v>
      </c>
      <c r="B549" s="609" t="s">
        <v>1481</v>
      </c>
      <c r="C549" s="610">
        <f t="shared" si="57"/>
        <v>0</v>
      </c>
      <c r="D549" s="611">
        <v>0</v>
      </c>
      <c r="E549" s="610">
        <f>SUMIF('Entries 24-25'!$B:$B,A:A,'Entries 24-25'!$D:$D)-SUMIF('Entries 24-25'!$B:$B,A:A,'Entries 24-25'!$E:$E)+SUMIF('IND AS entries 24-25'!$B:$B,A:A,'IND AS entries 24-25'!$D:$D)-SUMIF('IND AS entries 24-25'!$B:$B,A:A,'IND AS entries 24-25'!$E:$E)</f>
        <v>0</v>
      </c>
      <c r="F549" s="611">
        <f t="shared" si="59"/>
        <v>0</v>
      </c>
      <c r="G549" s="610"/>
      <c r="H549" s="610">
        <v>0</v>
      </c>
      <c r="I549" s="611">
        <v>0</v>
      </c>
      <c r="J549" s="610">
        <v>0</v>
      </c>
      <c r="K549" s="611">
        <f t="shared" si="60"/>
        <v>0</v>
      </c>
      <c r="L549" s="612">
        <f>VLOOKUP(A549,'BS Gr'!A:A,1,FALSE)</f>
        <v>210165</v>
      </c>
      <c r="M549" s="612">
        <f t="shared" si="56"/>
        <v>1</v>
      </c>
      <c r="N549" s="613">
        <f t="shared" si="58"/>
        <v>0</v>
      </c>
      <c r="O549" s="613">
        <f t="shared" si="55"/>
        <v>0</v>
      </c>
      <c r="P549" s="613">
        <v>0</v>
      </c>
      <c r="Q549" s="613">
        <f t="shared" si="61"/>
        <v>0</v>
      </c>
      <c r="R549" s="1514"/>
      <c r="S549" s="1617" t="e">
        <f>SUMIF('[105]TB for financial'!$A:$A,A549,'[105]TB for financial'!$E:$E)</f>
        <v>#VALUE!</v>
      </c>
      <c r="T549" s="613"/>
    </row>
    <row r="550" spans="1:20">
      <c r="A550" s="608">
        <v>210171</v>
      </c>
      <c r="B550" s="609" t="s">
        <v>1482</v>
      </c>
      <c r="C550" s="610">
        <f t="shared" si="57"/>
        <v>0</v>
      </c>
      <c r="D550" s="611">
        <v>0</v>
      </c>
      <c r="E550" s="610">
        <f>SUMIF('Entries 24-25'!$B:$B,A:A,'Entries 24-25'!$D:$D)-SUMIF('Entries 24-25'!$B:$B,A:A,'Entries 24-25'!$E:$E)+SUMIF('IND AS entries 24-25'!$B:$B,A:A,'IND AS entries 24-25'!$D:$D)-SUMIF('IND AS entries 24-25'!$B:$B,A:A,'IND AS entries 24-25'!$E:$E)</f>
        <v>0</v>
      </c>
      <c r="F550" s="611">
        <f t="shared" si="59"/>
        <v>0</v>
      </c>
      <c r="G550" s="610"/>
      <c r="H550" s="610">
        <v>0</v>
      </c>
      <c r="I550" s="611">
        <v>0</v>
      </c>
      <c r="J550" s="610">
        <v>0</v>
      </c>
      <c r="K550" s="611">
        <f t="shared" si="60"/>
        <v>0</v>
      </c>
      <c r="L550" s="612">
        <f>VLOOKUP(A550,'BS Gr'!A:A,1,FALSE)</f>
        <v>210171</v>
      </c>
      <c r="M550" s="612">
        <f t="shared" si="56"/>
        <v>1</v>
      </c>
      <c r="N550" s="613">
        <f t="shared" si="58"/>
        <v>0</v>
      </c>
      <c r="O550" s="613">
        <f t="shared" si="55"/>
        <v>0</v>
      </c>
      <c r="P550" s="613">
        <v>0</v>
      </c>
      <c r="Q550" s="613">
        <f t="shared" si="61"/>
        <v>0</v>
      </c>
      <c r="R550" s="1514"/>
      <c r="S550" s="1617" t="e">
        <f>SUMIF('[105]TB for financial'!$A:$A,A550,'[105]TB for financial'!$E:$E)</f>
        <v>#VALUE!</v>
      </c>
      <c r="T550" s="613"/>
    </row>
    <row r="551" spans="1:20">
      <c r="A551" s="608">
        <v>210172</v>
      </c>
      <c r="B551" s="609" t="s">
        <v>1483</v>
      </c>
      <c r="C551" s="610">
        <f t="shared" si="57"/>
        <v>0</v>
      </c>
      <c r="D551" s="611">
        <v>0</v>
      </c>
      <c r="E551" s="610">
        <f>SUMIF('Entries 24-25'!$B:$B,A:A,'Entries 24-25'!$D:$D)-SUMIF('Entries 24-25'!$B:$B,A:A,'Entries 24-25'!$E:$E)+SUMIF('IND AS entries 24-25'!$B:$B,A:A,'IND AS entries 24-25'!$D:$D)-SUMIF('IND AS entries 24-25'!$B:$B,A:A,'IND AS entries 24-25'!$E:$E)</f>
        <v>0</v>
      </c>
      <c r="F551" s="611">
        <f t="shared" si="59"/>
        <v>0</v>
      </c>
      <c r="G551" s="610"/>
      <c r="H551" s="610">
        <v>0</v>
      </c>
      <c r="I551" s="611">
        <v>0</v>
      </c>
      <c r="J551" s="610">
        <v>0</v>
      </c>
      <c r="K551" s="611">
        <f t="shared" si="60"/>
        <v>0</v>
      </c>
      <c r="L551" s="612">
        <f>VLOOKUP(A551,'BS Gr'!A:A,1,FALSE)</f>
        <v>210172</v>
      </c>
      <c r="M551" s="612">
        <f t="shared" si="56"/>
        <v>1</v>
      </c>
      <c r="N551" s="613">
        <f t="shared" si="58"/>
        <v>0</v>
      </c>
      <c r="O551" s="613">
        <f t="shared" si="55"/>
        <v>0</v>
      </c>
      <c r="P551" s="613">
        <v>0</v>
      </c>
      <c r="Q551" s="613">
        <f t="shared" si="61"/>
        <v>0</v>
      </c>
      <c r="R551" s="1514"/>
      <c r="S551" s="1617" t="e">
        <f>SUMIF('[105]TB for financial'!$A:$A,A551,'[105]TB for financial'!$E:$E)</f>
        <v>#VALUE!</v>
      </c>
      <c r="T551" s="613"/>
    </row>
    <row r="552" spans="1:20">
      <c r="A552" s="608">
        <v>210173</v>
      </c>
      <c r="B552" s="609" t="s">
        <v>1484</v>
      </c>
      <c r="C552" s="610">
        <f t="shared" si="57"/>
        <v>0</v>
      </c>
      <c r="D552" s="611">
        <v>0</v>
      </c>
      <c r="E552" s="610">
        <f>SUMIF('Entries 24-25'!$B:$B,A:A,'Entries 24-25'!$D:$D)-SUMIF('Entries 24-25'!$B:$B,A:A,'Entries 24-25'!$E:$E)+SUMIF('IND AS entries 24-25'!$B:$B,A:A,'IND AS entries 24-25'!$D:$D)-SUMIF('IND AS entries 24-25'!$B:$B,A:A,'IND AS entries 24-25'!$E:$E)</f>
        <v>0</v>
      </c>
      <c r="F552" s="611">
        <f t="shared" si="59"/>
        <v>0</v>
      </c>
      <c r="G552" s="610"/>
      <c r="H552" s="610">
        <v>0</v>
      </c>
      <c r="I552" s="611">
        <v>0</v>
      </c>
      <c r="J552" s="610">
        <v>0</v>
      </c>
      <c r="K552" s="611">
        <f t="shared" si="60"/>
        <v>0</v>
      </c>
      <c r="L552" s="612">
        <f>VLOOKUP(A552,'BS Gr'!A:A,1,FALSE)</f>
        <v>210173</v>
      </c>
      <c r="M552" s="612">
        <f t="shared" si="56"/>
        <v>1</v>
      </c>
      <c r="N552" s="613">
        <f t="shared" si="58"/>
        <v>0</v>
      </c>
      <c r="O552" s="613">
        <f t="shared" si="55"/>
        <v>0</v>
      </c>
      <c r="P552" s="613">
        <v>0</v>
      </c>
      <c r="Q552" s="613">
        <f t="shared" si="61"/>
        <v>0</v>
      </c>
      <c r="R552" s="1514"/>
      <c r="S552" s="1617" t="e">
        <f>SUMIF('[105]TB for financial'!$A:$A,A552,'[105]TB for financial'!$E:$E)</f>
        <v>#VALUE!</v>
      </c>
      <c r="T552" s="613"/>
    </row>
    <row r="553" spans="1:20">
      <c r="A553" s="608">
        <v>210181</v>
      </c>
      <c r="B553" s="609" t="s">
        <v>1485</v>
      </c>
      <c r="C553" s="610">
        <f t="shared" si="57"/>
        <v>0</v>
      </c>
      <c r="D553" s="611">
        <v>0</v>
      </c>
      <c r="E553" s="610">
        <f>SUMIF('Entries 24-25'!$B:$B,A:A,'Entries 24-25'!$D:$D)-SUMIF('Entries 24-25'!$B:$B,A:A,'Entries 24-25'!$E:$E)+SUMIF('IND AS entries 24-25'!$B:$B,A:A,'IND AS entries 24-25'!$D:$D)-SUMIF('IND AS entries 24-25'!$B:$B,A:A,'IND AS entries 24-25'!$E:$E)</f>
        <v>0</v>
      </c>
      <c r="F553" s="611">
        <f t="shared" si="59"/>
        <v>0</v>
      </c>
      <c r="G553" s="610"/>
      <c r="H553" s="610">
        <v>0</v>
      </c>
      <c r="I553" s="611">
        <v>0</v>
      </c>
      <c r="J553" s="610">
        <v>0</v>
      </c>
      <c r="K553" s="611">
        <f t="shared" si="60"/>
        <v>0</v>
      </c>
      <c r="L553" s="612">
        <f>VLOOKUP(A553,'BS Gr'!A:A,1,FALSE)</f>
        <v>210181</v>
      </c>
      <c r="M553" s="612">
        <f t="shared" si="56"/>
        <v>1</v>
      </c>
      <c r="N553" s="613">
        <f t="shared" si="58"/>
        <v>0</v>
      </c>
      <c r="O553" s="613">
        <f t="shared" si="55"/>
        <v>0</v>
      </c>
      <c r="P553" s="613">
        <v>0</v>
      </c>
      <c r="Q553" s="613">
        <f t="shared" si="61"/>
        <v>0</v>
      </c>
      <c r="R553" s="1514"/>
      <c r="S553" s="1617" t="e">
        <f>SUMIF('[105]TB for financial'!$A:$A,A553,'[105]TB for financial'!$E:$E)</f>
        <v>#VALUE!</v>
      </c>
      <c r="T553" s="613"/>
    </row>
    <row r="554" spans="1:20">
      <c r="A554" s="608">
        <v>210182</v>
      </c>
      <c r="B554" s="609" t="s">
        <v>1486</v>
      </c>
      <c r="C554" s="610">
        <f t="shared" si="57"/>
        <v>0</v>
      </c>
      <c r="D554" s="611">
        <v>0</v>
      </c>
      <c r="E554" s="610">
        <f>SUMIF('Entries 24-25'!$B:$B,A:A,'Entries 24-25'!$D:$D)-SUMIF('Entries 24-25'!$B:$B,A:A,'Entries 24-25'!$E:$E)+SUMIF('IND AS entries 24-25'!$B:$B,A:A,'IND AS entries 24-25'!$D:$D)-SUMIF('IND AS entries 24-25'!$B:$B,A:A,'IND AS entries 24-25'!$E:$E)</f>
        <v>0</v>
      </c>
      <c r="F554" s="611">
        <f t="shared" si="59"/>
        <v>0</v>
      </c>
      <c r="G554" s="610"/>
      <c r="H554" s="610">
        <v>0</v>
      </c>
      <c r="I554" s="611">
        <v>0</v>
      </c>
      <c r="J554" s="610">
        <v>0</v>
      </c>
      <c r="K554" s="611">
        <f t="shared" si="60"/>
        <v>0</v>
      </c>
      <c r="L554" s="612">
        <f>VLOOKUP(A554,'BS Gr'!A:A,1,FALSE)</f>
        <v>210182</v>
      </c>
      <c r="M554" s="612">
        <f t="shared" si="56"/>
        <v>1</v>
      </c>
      <c r="N554" s="613">
        <f t="shared" si="58"/>
        <v>0</v>
      </c>
      <c r="O554" s="613">
        <f t="shared" si="55"/>
        <v>0</v>
      </c>
      <c r="P554" s="613">
        <v>0</v>
      </c>
      <c r="Q554" s="613">
        <f t="shared" si="61"/>
        <v>0</v>
      </c>
      <c r="R554" s="1514"/>
      <c r="S554" s="1617" t="e">
        <f>SUMIF('[105]TB for financial'!$A:$A,A554,'[105]TB for financial'!$E:$E)</f>
        <v>#VALUE!</v>
      </c>
      <c r="T554" s="613"/>
    </row>
    <row r="555" spans="1:20">
      <c r="A555" s="608">
        <v>210183</v>
      </c>
      <c r="B555" s="609" t="s">
        <v>1487</v>
      </c>
      <c r="C555" s="610">
        <f t="shared" si="57"/>
        <v>0</v>
      </c>
      <c r="D555" s="611">
        <v>0</v>
      </c>
      <c r="E555" s="610">
        <f>SUMIF('Entries 24-25'!$B:$B,A:A,'Entries 24-25'!$D:$D)-SUMIF('Entries 24-25'!$B:$B,A:A,'Entries 24-25'!$E:$E)+SUMIF('IND AS entries 24-25'!$B:$B,A:A,'IND AS entries 24-25'!$D:$D)-SUMIF('IND AS entries 24-25'!$B:$B,A:A,'IND AS entries 24-25'!$E:$E)</f>
        <v>0</v>
      </c>
      <c r="F555" s="611">
        <f t="shared" si="59"/>
        <v>0</v>
      </c>
      <c r="G555" s="610"/>
      <c r="H555" s="610">
        <v>0</v>
      </c>
      <c r="I555" s="611">
        <v>0</v>
      </c>
      <c r="J555" s="610">
        <v>0</v>
      </c>
      <c r="K555" s="611">
        <f t="shared" si="60"/>
        <v>0</v>
      </c>
      <c r="L555" s="612">
        <f>VLOOKUP(A555,'BS Gr'!A:A,1,FALSE)</f>
        <v>210183</v>
      </c>
      <c r="M555" s="612">
        <f t="shared" si="56"/>
        <v>1</v>
      </c>
      <c r="N555" s="613">
        <f t="shared" si="58"/>
        <v>0</v>
      </c>
      <c r="O555" s="613">
        <f t="shared" ref="O555:O615" si="62">C555-K555</f>
        <v>0</v>
      </c>
      <c r="P555" s="613">
        <v>0</v>
      </c>
      <c r="Q555" s="613">
        <f t="shared" si="61"/>
        <v>0</v>
      </c>
      <c r="R555" s="1514"/>
      <c r="S555" s="1617" t="e">
        <f>SUMIF('[105]TB for financial'!$A:$A,A555,'[105]TB for financial'!$E:$E)</f>
        <v>#VALUE!</v>
      </c>
      <c r="T555" s="613"/>
    </row>
    <row r="556" spans="1:20">
      <c r="A556" s="608">
        <v>210185</v>
      </c>
      <c r="B556" s="609" t="s">
        <v>1488</v>
      </c>
      <c r="C556" s="610">
        <f t="shared" si="57"/>
        <v>0</v>
      </c>
      <c r="D556" s="611">
        <v>0</v>
      </c>
      <c r="E556" s="610">
        <f>SUMIF('Entries 24-25'!$B:$B,A:A,'Entries 24-25'!$D:$D)-SUMIF('Entries 24-25'!$B:$B,A:A,'Entries 24-25'!$E:$E)+SUMIF('IND AS entries 24-25'!$B:$B,A:A,'IND AS entries 24-25'!$D:$D)-SUMIF('IND AS entries 24-25'!$B:$B,A:A,'IND AS entries 24-25'!$E:$E)</f>
        <v>0</v>
      </c>
      <c r="F556" s="611">
        <f t="shared" si="59"/>
        <v>0</v>
      </c>
      <c r="G556" s="610"/>
      <c r="H556" s="610">
        <v>0</v>
      </c>
      <c r="I556" s="611">
        <v>0</v>
      </c>
      <c r="J556" s="610">
        <v>0</v>
      </c>
      <c r="K556" s="611">
        <f t="shared" si="60"/>
        <v>0</v>
      </c>
      <c r="L556" s="612">
        <f>VLOOKUP(A556,'BS Gr'!A:A,1,FALSE)</f>
        <v>210185</v>
      </c>
      <c r="M556" s="612">
        <f t="shared" si="56"/>
        <v>1</v>
      </c>
      <c r="N556" s="613">
        <f t="shared" si="58"/>
        <v>0</v>
      </c>
      <c r="O556" s="613">
        <f t="shared" si="62"/>
        <v>0</v>
      </c>
      <c r="P556" s="613">
        <v>0</v>
      </c>
      <c r="Q556" s="613">
        <f t="shared" si="61"/>
        <v>0</v>
      </c>
      <c r="R556" s="1514"/>
      <c r="S556" s="1617" t="e">
        <f>SUMIF('[105]TB for financial'!$A:$A,A556,'[105]TB for financial'!$E:$E)</f>
        <v>#VALUE!</v>
      </c>
      <c r="T556" s="613"/>
    </row>
    <row r="557" spans="1:20">
      <c r="A557" s="608">
        <v>210168</v>
      </c>
      <c r="B557" s="609" t="s">
        <v>1489</v>
      </c>
      <c r="C557" s="610">
        <f t="shared" si="57"/>
        <v>0</v>
      </c>
      <c r="D557" s="611">
        <v>0</v>
      </c>
      <c r="E557" s="610">
        <f>SUMIF('Entries 24-25'!$B:$B,A:A,'Entries 24-25'!$D:$D)-SUMIF('Entries 24-25'!$B:$B,A:A,'Entries 24-25'!$E:$E)+SUMIF('IND AS entries 24-25'!$B:$B,A:A,'IND AS entries 24-25'!$D:$D)-SUMIF('IND AS entries 24-25'!$B:$B,A:A,'IND AS entries 24-25'!$E:$E)</f>
        <v>0</v>
      </c>
      <c r="F557" s="611">
        <f t="shared" si="59"/>
        <v>0</v>
      </c>
      <c r="G557" s="610"/>
      <c r="H557" s="610">
        <v>0</v>
      </c>
      <c r="I557" s="611">
        <v>0</v>
      </c>
      <c r="J557" s="610">
        <v>0</v>
      </c>
      <c r="K557" s="611">
        <f t="shared" si="60"/>
        <v>0</v>
      </c>
      <c r="L557" s="612">
        <f>VLOOKUP(A557,'BS Gr'!A:A,1,FALSE)</f>
        <v>210168</v>
      </c>
      <c r="M557" s="612">
        <f t="shared" si="56"/>
        <v>1</v>
      </c>
      <c r="N557" s="613">
        <f t="shared" si="58"/>
        <v>0</v>
      </c>
      <c r="O557" s="613">
        <f t="shared" si="62"/>
        <v>0</v>
      </c>
      <c r="P557" s="613">
        <v>0</v>
      </c>
      <c r="Q557" s="613">
        <f t="shared" si="61"/>
        <v>0</v>
      </c>
      <c r="R557" s="1514"/>
      <c r="S557" s="1617" t="e">
        <f>SUMIF('[105]TB for financial'!$A:$A,A557,'[105]TB for financial'!$E:$E)</f>
        <v>#VALUE!</v>
      </c>
      <c r="T557" s="613"/>
    </row>
    <row r="558" spans="1:20">
      <c r="A558" s="608">
        <v>220010</v>
      </c>
      <c r="B558" s="609" t="s">
        <v>1490</v>
      </c>
      <c r="C558" s="610">
        <f t="shared" si="57"/>
        <v>0</v>
      </c>
      <c r="D558" s="611">
        <v>0</v>
      </c>
      <c r="E558" s="610">
        <f>SUMIF('Entries 24-25'!$B:$B,A:A,'Entries 24-25'!$D:$D)-SUMIF('Entries 24-25'!$B:$B,A:A,'Entries 24-25'!$E:$E)+SUMIF('IND AS entries 24-25'!$B:$B,A:A,'IND AS entries 24-25'!$D:$D)-SUMIF('IND AS entries 24-25'!$B:$B,A:A,'IND AS entries 24-25'!$E:$E)</f>
        <v>0</v>
      </c>
      <c r="F558" s="611">
        <f t="shared" si="59"/>
        <v>0</v>
      </c>
      <c r="G558" s="610"/>
      <c r="H558" s="610">
        <v>0</v>
      </c>
      <c r="I558" s="611">
        <v>0</v>
      </c>
      <c r="J558" s="610">
        <v>0</v>
      </c>
      <c r="K558" s="611">
        <f t="shared" si="60"/>
        <v>0</v>
      </c>
      <c r="L558" s="612">
        <f>VLOOKUP(A558,'BS Gr'!A:A,1,FALSE)</f>
        <v>220010</v>
      </c>
      <c r="M558" s="612">
        <f t="shared" si="56"/>
        <v>1</v>
      </c>
      <c r="N558" s="613">
        <f t="shared" si="58"/>
        <v>0</v>
      </c>
      <c r="O558" s="613">
        <f t="shared" si="62"/>
        <v>0</v>
      </c>
      <c r="P558" s="613">
        <v>0</v>
      </c>
      <c r="Q558" s="613">
        <f t="shared" si="61"/>
        <v>0</v>
      </c>
      <c r="R558" s="1514"/>
      <c r="S558" s="1617" t="e">
        <f>SUMIF('[105]TB for financial'!$A:$A,A558,'[105]TB for financial'!$E:$E)</f>
        <v>#VALUE!</v>
      </c>
      <c r="T558" s="613"/>
    </row>
    <row r="559" spans="1:20">
      <c r="A559" s="608">
        <v>220020</v>
      </c>
      <c r="B559" s="609" t="s">
        <v>1491</v>
      </c>
      <c r="C559" s="610">
        <f t="shared" si="57"/>
        <v>0</v>
      </c>
      <c r="D559" s="611">
        <v>0</v>
      </c>
      <c r="E559" s="610">
        <f>SUMIF('Entries 24-25'!$B:$B,A:A,'Entries 24-25'!$D:$D)-SUMIF('Entries 24-25'!$B:$B,A:A,'Entries 24-25'!$E:$E)+SUMIF('IND AS entries 24-25'!$B:$B,A:A,'IND AS entries 24-25'!$D:$D)-SUMIF('IND AS entries 24-25'!$B:$B,A:A,'IND AS entries 24-25'!$E:$E)</f>
        <v>0</v>
      </c>
      <c r="F559" s="611">
        <f t="shared" si="59"/>
        <v>0</v>
      </c>
      <c r="G559" s="610"/>
      <c r="H559" s="610">
        <v>0</v>
      </c>
      <c r="I559" s="611">
        <v>0</v>
      </c>
      <c r="J559" s="610">
        <v>0</v>
      </c>
      <c r="K559" s="611">
        <f t="shared" si="60"/>
        <v>0</v>
      </c>
      <c r="L559" s="612">
        <f>VLOOKUP(A559,'BS Gr'!A:A,1,FALSE)</f>
        <v>220020</v>
      </c>
      <c r="M559" s="612">
        <f t="shared" si="56"/>
        <v>1</v>
      </c>
      <c r="N559" s="613">
        <f t="shared" si="58"/>
        <v>0</v>
      </c>
      <c r="O559" s="613">
        <f t="shared" si="62"/>
        <v>0</v>
      </c>
      <c r="P559" s="613">
        <v>0</v>
      </c>
      <c r="Q559" s="613">
        <f t="shared" si="61"/>
        <v>0</v>
      </c>
      <c r="R559" s="1514"/>
      <c r="S559" s="1617" t="e">
        <f>SUMIF('[105]TB for financial'!$A:$A,A559,'[105]TB for financial'!$E:$E)</f>
        <v>#VALUE!</v>
      </c>
      <c r="T559" s="613"/>
    </row>
    <row r="560" spans="1:20">
      <c r="A560" s="608">
        <v>220021</v>
      </c>
      <c r="B560" s="609" t="s">
        <v>1492</v>
      </c>
      <c r="C560" s="610">
        <f t="shared" si="57"/>
        <v>0</v>
      </c>
      <c r="D560" s="611">
        <v>0</v>
      </c>
      <c r="E560" s="610">
        <f>SUMIF('Entries 24-25'!$B:$B,A:A,'Entries 24-25'!$D:$D)-SUMIF('Entries 24-25'!$B:$B,A:A,'Entries 24-25'!$E:$E)+SUMIF('IND AS entries 24-25'!$B:$B,A:A,'IND AS entries 24-25'!$D:$D)-SUMIF('IND AS entries 24-25'!$B:$B,A:A,'IND AS entries 24-25'!$E:$E)</f>
        <v>0</v>
      </c>
      <c r="F560" s="611">
        <f t="shared" si="59"/>
        <v>0</v>
      </c>
      <c r="G560" s="610"/>
      <c r="H560" s="610">
        <v>0</v>
      </c>
      <c r="I560" s="611">
        <v>0</v>
      </c>
      <c r="J560" s="610">
        <v>0</v>
      </c>
      <c r="K560" s="611">
        <f t="shared" si="60"/>
        <v>0</v>
      </c>
      <c r="L560" s="612">
        <f>VLOOKUP(A560,'BS Gr'!A:A,1,FALSE)</f>
        <v>220021</v>
      </c>
      <c r="M560" s="612">
        <f t="shared" si="56"/>
        <v>1</v>
      </c>
      <c r="N560" s="613">
        <f t="shared" si="58"/>
        <v>0</v>
      </c>
      <c r="O560" s="613">
        <f t="shared" si="62"/>
        <v>0</v>
      </c>
      <c r="P560" s="613">
        <v>0</v>
      </c>
      <c r="Q560" s="613">
        <f t="shared" si="61"/>
        <v>0</v>
      </c>
      <c r="R560" s="1514"/>
      <c r="S560" s="1617" t="e">
        <f>SUMIF('[105]TB for financial'!$A:$A,A560,'[105]TB for financial'!$E:$E)</f>
        <v>#VALUE!</v>
      </c>
      <c r="T560" s="613"/>
    </row>
    <row r="561" spans="1:20">
      <c r="A561" s="608">
        <v>220022</v>
      </c>
      <c r="B561" s="615" t="s">
        <v>1493</v>
      </c>
      <c r="C561" s="610">
        <f t="shared" si="57"/>
        <v>0</v>
      </c>
      <c r="D561" s="611">
        <v>0</v>
      </c>
      <c r="E561" s="610">
        <f>SUMIF('Entries 24-25'!$B:$B,A:A,'Entries 24-25'!$D:$D)-SUMIF('Entries 24-25'!$B:$B,A:A,'Entries 24-25'!$E:$E)+SUMIF('IND AS entries 24-25'!$B:$B,A:A,'IND AS entries 24-25'!$D:$D)-SUMIF('IND AS entries 24-25'!$B:$B,A:A,'IND AS entries 24-25'!$E:$E)</f>
        <v>0</v>
      </c>
      <c r="F561" s="611">
        <f t="shared" si="59"/>
        <v>0</v>
      </c>
      <c r="G561" s="610"/>
      <c r="H561" s="610">
        <v>0</v>
      </c>
      <c r="I561" s="611">
        <v>0</v>
      </c>
      <c r="J561" s="610">
        <v>0</v>
      </c>
      <c r="K561" s="611">
        <f t="shared" si="60"/>
        <v>0</v>
      </c>
      <c r="L561" s="612">
        <f>VLOOKUP(A561,'BS Gr'!A:A,1,FALSE)</f>
        <v>220022</v>
      </c>
      <c r="M561" s="612">
        <f t="shared" si="56"/>
        <v>1</v>
      </c>
      <c r="N561" s="613">
        <f t="shared" si="58"/>
        <v>0</v>
      </c>
      <c r="O561" s="613">
        <f t="shared" si="62"/>
        <v>0</v>
      </c>
      <c r="P561" s="613">
        <v>0</v>
      </c>
      <c r="Q561" s="613">
        <f t="shared" si="61"/>
        <v>0</v>
      </c>
      <c r="R561" s="1514"/>
      <c r="S561" s="1617" t="e">
        <f>SUMIF('[105]TB for financial'!$A:$A,A561,'[105]TB for financial'!$E:$E)</f>
        <v>#VALUE!</v>
      </c>
      <c r="T561" s="613"/>
    </row>
    <row r="562" spans="1:20">
      <c r="A562" s="608">
        <v>220030</v>
      </c>
      <c r="B562" s="609" t="s">
        <v>1494</v>
      </c>
      <c r="C562" s="610">
        <f t="shared" si="57"/>
        <v>0</v>
      </c>
      <c r="D562" s="611">
        <v>0</v>
      </c>
      <c r="E562" s="610">
        <f>SUMIF('Entries 24-25'!$B:$B,A:A,'Entries 24-25'!$D:$D)-SUMIF('Entries 24-25'!$B:$B,A:A,'Entries 24-25'!$E:$E)+SUMIF('IND AS entries 24-25'!$B:$B,A:A,'IND AS entries 24-25'!$D:$D)-SUMIF('IND AS entries 24-25'!$B:$B,A:A,'IND AS entries 24-25'!$E:$E)</f>
        <v>0</v>
      </c>
      <c r="F562" s="611">
        <f t="shared" si="59"/>
        <v>0</v>
      </c>
      <c r="G562" s="610"/>
      <c r="H562" s="610">
        <v>0</v>
      </c>
      <c r="I562" s="611">
        <v>0</v>
      </c>
      <c r="J562" s="610">
        <v>0</v>
      </c>
      <c r="K562" s="611">
        <f t="shared" si="60"/>
        <v>0</v>
      </c>
      <c r="L562" s="612">
        <f>VLOOKUP(A562,'BS Gr'!A:A,1,FALSE)</f>
        <v>220030</v>
      </c>
      <c r="M562" s="612">
        <f t="shared" si="56"/>
        <v>1</v>
      </c>
      <c r="N562" s="613">
        <f t="shared" si="58"/>
        <v>0</v>
      </c>
      <c r="O562" s="613">
        <f t="shared" si="62"/>
        <v>0</v>
      </c>
      <c r="P562" s="613">
        <v>0</v>
      </c>
      <c r="Q562" s="613">
        <f t="shared" si="61"/>
        <v>0</v>
      </c>
      <c r="R562" s="1514"/>
      <c r="S562" s="1617" t="e">
        <f>SUMIF('[105]TB for financial'!$A:$A,A562,'[105]TB for financial'!$E:$E)</f>
        <v>#VALUE!</v>
      </c>
      <c r="T562" s="613"/>
    </row>
    <row r="563" spans="1:20">
      <c r="A563" s="608">
        <v>240001</v>
      </c>
      <c r="B563" s="609" t="s">
        <v>1495</v>
      </c>
      <c r="C563" s="610">
        <f t="shared" si="57"/>
        <v>0</v>
      </c>
      <c r="D563" s="611">
        <v>0</v>
      </c>
      <c r="E563" s="610">
        <f>SUMIF('Entries 24-25'!$B:$B,A:A,'Entries 24-25'!$D:$D)-SUMIF('Entries 24-25'!$B:$B,A:A,'Entries 24-25'!$E:$E)+SUMIF('IND AS entries 24-25'!$B:$B,A:A,'IND AS entries 24-25'!$D:$D)-SUMIF('IND AS entries 24-25'!$B:$B,A:A,'IND AS entries 24-25'!$E:$E)</f>
        <v>0</v>
      </c>
      <c r="F563" s="611">
        <f t="shared" si="59"/>
        <v>0</v>
      </c>
      <c r="G563" s="610"/>
      <c r="H563" s="610">
        <v>0</v>
      </c>
      <c r="I563" s="611">
        <v>0</v>
      </c>
      <c r="J563" s="610">
        <v>0</v>
      </c>
      <c r="K563" s="611">
        <f t="shared" si="60"/>
        <v>0</v>
      </c>
      <c r="L563" s="612">
        <f>VLOOKUP(A563,'BS Gr'!A:A,1,FALSE)</f>
        <v>240001</v>
      </c>
      <c r="M563" s="612">
        <f t="shared" si="56"/>
        <v>1</v>
      </c>
      <c r="N563" s="613">
        <f t="shared" si="58"/>
        <v>0</v>
      </c>
      <c r="O563" s="613">
        <f t="shared" si="62"/>
        <v>0</v>
      </c>
      <c r="P563" s="613">
        <v>-112000</v>
      </c>
      <c r="Q563" s="613">
        <f t="shared" si="61"/>
        <v>112000</v>
      </c>
      <c r="R563" s="1514"/>
      <c r="S563" s="1617" t="e">
        <f>SUMIF('[105]TB for financial'!$A:$A,A563,'[105]TB for financial'!$E:$E)</f>
        <v>#VALUE!</v>
      </c>
      <c r="T563" s="613"/>
    </row>
    <row r="564" spans="1:20">
      <c r="A564" s="608">
        <v>240002</v>
      </c>
      <c r="B564" s="609" t="s">
        <v>1496</v>
      </c>
      <c r="C564" s="610">
        <f t="shared" si="57"/>
        <v>0</v>
      </c>
      <c r="D564" s="611">
        <v>0</v>
      </c>
      <c r="E564" s="610">
        <f>SUMIF('Entries 24-25'!$B:$B,A:A,'Entries 24-25'!$D:$D)-SUMIF('Entries 24-25'!$B:$B,A:A,'Entries 24-25'!$E:$E)+SUMIF('IND AS entries 24-25'!$B:$B,A:A,'IND AS entries 24-25'!$D:$D)-SUMIF('IND AS entries 24-25'!$B:$B,A:A,'IND AS entries 24-25'!$E:$E)</f>
        <v>0</v>
      </c>
      <c r="F564" s="611">
        <f t="shared" si="59"/>
        <v>0</v>
      </c>
      <c r="G564" s="610"/>
      <c r="H564" s="610">
        <v>0</v>
      </c>
      <c r="I564" s="611">
        <v>0</v>
      </c>
      <c r="J564" s="610">
        <v>0</v>
      </c>
      <c r="K564" s="611">
        <f t="shared" si="60"/>
        <v>0</v>
      </c>
      <c r="L564" s="612">
        <f>VLOOKUP(A564,'BS Gr'!A:A,1,FALSE)</f>
        <v>240002</v>
      </c>
      <c r="M564" s="612">
        <f t="shared" si="56"/>
        <v>1</v>
      </c>
      <c r="N564" s="613">
        <f t="shared" si="58"/>
        <v>0</v>
      </c>
      <c r="O564" s="613">
        <f t="shared" si="62"/>
        <v>0</v>
      </c>
      <c r="P564" s="613">
        <v>-128912000</v>
      </c>
      <c r="Q564" s="613">
        <f t="shared" si="61"/>
        <v>128912000</v>
      </c>
      <c r="R564" s="1514"/>
      <c r="S564" s="1617" t="e">
        <f>SUMIF('[105]TB for financial'!$A:$A,A564,'[105]TB for financial'!$E:$E)</f>
        <v>#VALUE!</v>
      </c>
      <c r="T564" s="613"/>
    </row>
    <row r="565" spans="1:20">
      <c r="A565" s="608">
        <v>240003</v>
      </c>
      <c r="B565" s="609" t="s">
        <v>1497</v>
      </c>
      <c r="C565" s="610">
        <f t="shared" si="57"/>
        <v>0</v>
      </c>
      <c r="D565" s="611">
        <v>0</v>
      </c>
      <c r="E565" s="610">
        <f>SUMIF('Entries 24-25'!$B:$B,A:A,'Entries 24-25'!$D:$D)-SUMIF('Entries 24-25'!$B:$B,A:A,'Entries 24-25'!$E:$E)+SUMIF('IND AS entries 24-25'!$B:$B,A:A,'IND AS entries 24-25'!$D:$D)-SUMIF('IND AS entries 24-25'!$B:$B,A:A,'IND AS entries 24-25'!$E:$E)</f>
        <v>0</v>
      </c>
      <c r="F565" s="611">
        <f t="shared" si="59"/>
        <v>0</v>
      </c>
      <c r="G565" s="610"/>
      <c r="H565" s="610">
        <v>0</v>
      </c>
      <c r="I565" s="611">
        <v>0</v>
      </c>
      <c r="J565" s="610">
        <v>0</v>
      </c>
      <c r="K565" s="611">
        <f t="shared" si="60"/>
        <v>0</v>
      </c>
      <c r="L565" s="612">
        <f>VLOOKUP(A565,'BS Gr'!A:A,1,FALSE)</f>
        <v>240003</v>
      </c>
      <c r="M565" s="612">
        <f t="shared" si="56"/>
        <v>1</v>
      </c>
      <c r="N565" s="613">
        <f t="shared" si="58"/>
        <v>0</v>
      </c>
      <c r="O565" s="613">
        <f t="shared" si="62"/>
        <v>0</v>
      </c>
      <c r="P565" s="613">
        <v>0</v>
      </c>
      <c r="Q565" s="613">
        <f t="shared" si="61"/>
        <v>0</v>
      </c>
      <c r="R565" s="1514"/>
      <c r="S565" s="1617" t="e">
        <f>SUMIF('[105]TB for financial'!$A:$A,A565,'[105]TB for financial'!$E:$E)</f>
        <v>#VALUE!</v>
      </c>
      <c r="T565" s="613"/>
    </row>
    <row r="566" spans="1:20">
      <c r="A566" s="608">
        <v>240004</v>
      </c>
      <c r="B566" s="609" t="s">
        <v>1498</v>
      </c>
      <c r="C566" s="610">
        <f t="shared" si="57"/>
        <v>1.3519823551177979E-4</v>
      </c>
      <c r="D566" s="611">
        <v>0</v>
      </c>
      <c r="E566" s="610">
        <f>SUMIF('Entries 24-25'!$B:$B,A:A,'Entries 24-25'!$D:$D)-SUMIF('Entries 24-25'!$B:$B,A:A,'Entries 24-25'!$E:$E)+SUMIF('IND AS entries 24-25'!$B:$B,A:A,'IND AS entries 24-25'!$D:$D)-SUMIF('IND AS entries 24-25'!$B:$B,A:A,'IND AS entries 24-25'!$E:$E)</f>
        <v>0</v>
      </c>
      <c r="F566" s="611">
        <f t="shared" si="59"/>
        <v>1.3519823551177979E-4</v>
      </c>
      <c r="G566" s="610"/>
      <c r="H566" s="610">
        <v>1.3519823551177979E-4</v>
      </c>
      <c r="I566" s="611">
        <v>0</v>
      </c>
      <c r="J566" s="610">
        <v>0</v>
      </c>
      <c r="K566" s="611">
        <f t="shared" si="60"/>
        <v>1.3519823551177979E-4</v>
      </c>
      <c r="L566" s="612">
        <f>VLOOKUP(A566,'BS Gr'!A:A,1,FALSE)</f>
        <v>240004</v>
      </c>
      <c r="M566" s="612">
        <f t="shared" si="56"/>
        <v>1</v>
      </c>
      <c r="N566" s="613">
        <f t="shared" si="58"/>
        <v>0</v>
      </c>
      <c r="O566" s="613">
        <f t="shared" si="62"/>
        <v>0</v>
      </c>
      <c r="P566" s="613">
        <v>-31724799.759864856</v>
      </c>
      <c r="Q566" s="613">
        <f t="shared" si="61"/>
        <v>31724799.760000054</v>
      </c>
      <c r="R566" s="1514"/>
      <c r="S566" s="1617" t="e">
        <f>SUMIF('[105]TB for financial'!$A:$A,A566,'[105]TB for financial'!$E:$E)</f>
        <v>#VALUE!</v>
      </c>
      <c r="T566" s="613"/>
    </row>
    <row r="567" spans="1:20">
      <c r="A567" s="608">
        <v>240230</v>
      </c>
      <c r="B567" s="609" t="s">
        <v>1499</v>
      </c>
      <c r="C567" s="610">
        <f t="shared" si="57"/>
        <v>0</v>
      </c>
      <c r="D567" s="611">
        <v>0</v>
      </c>
      <c r="E567" s="610">
        <f>SUMIF('Entries 24-25'!$B:$B,A:A,'Entries 24-25'!$D:$D)-SUMIF('Entries 24-25'!$B:$B,A:A,'Entries 24-25'!$E:$E)+SUMIF('IND AS entries 24-25'!$B:$B,A:A,'IND AS entries 24-25'!$D:$D)-SUMIF('IND AS entries 24-25'!$B:$B,A:A,'IND AS entries 24-25'!$E:$E)</f>
        <v>0</v>
      </c>
      <c r="F567" s="611">
        <f t="shared" si="59"/>
        <v>0</v>
      </c>
      <c r="G567" s="610"/>
      <c r="H567" s="610">
        <v>0</v>
      </c>
      <c r="I567" s="611">
        <v>0</v>
      </c>
      <c r="J567" s="610">
        <v>0</v>
      </c>
      <c r="K567" s="611">
        <f t="shared" si="60"/>
        <v>0</v>
      </c>
      <c r="L567" s="612">
        <f>VLOOKUP(A567,'BS Gr'!A:A,1,FALSE)</f>
        <v>240230</v>
      </c>
      <c r="M567" s="612">
        <f t="shared" si="56"/>
        <v>1</v>
      </c>
      <c r="N567" s="613">
        <f t="shared" si="58"/>
        <v>0</v>
      </c>
      <c r="O567" s="613">
        <f t="shared" si="62"/>
        <v>0</v>
      </c>
      <c r="P567" s="613">
        <v>-177560.02550000002</v>
      </c>
      <c r="Q567" s="613">
        <f t="shared" si="61"/>
        <v>177560.02550000002</v>
      </c>
      <c r="R567" s="1514"/>
      <c r="S567" s="1617" t="e">
        <f>SUMIF('[105]TB for financial'!$A:$A,A567,'[105]TB for financial'!$E:$E)</f>
        <v>#VALUE!</v>
      </c>
      <c r="T567" s="613"/>
    </row>
    <row r="568" spans="1:20">
      <c r="A568" s="608">
        <v>240235</v>
      </c>
      <c r="B568" s="609" t="s">
        <v>1500</v>
      </c>
      <c r="C568" s="610">
        <f t="shared" si="57"/>
        <v>0</v>
      </c>
      <c r="D568" s="611">
        <v>0</v>
      </c>
      <c r="E568" s="610">
        <f>SUMIF('Entries 24-25'!$B:$B,A:A,'Entries 24-25'!$D:$D)-SUMIF('Entries 24-25'!$B:$B,A:A,'Entries 24-25'!$E:$E)+SUMIF('IND AS entries 24-25'!$B:$B,A:A,'IND AS entries 24-25'!$D:$D)-SUMIF('IND AS entries 24-25'!$B:$B,A:A,'IND AS entries 24-25'!$E:$E)</f>
        <v>0</v>
      </c>
      <c r="F568" s="611">
        <f t="shared" si="59"/>
        <v>0</v>
      </c>
      <c r="G568" s="610"/>
      <c r="H568" s="610">
        <v>0</v>
      </c>
      <c r="I568" s="611">
        <v>0</v>
      </c>
      <c r="J568" s="610">
        <v>0</v>
      </c>
      <c r="K568" s="611">
        <f t="shared" si="60"/>
        <v>0</v>
      </c>
      <c r="L568" s="612">
        <f>VLOOKUP(A568,'BS Gr'!A:A,1,FALSE)</f>
        <v>240235</v>
      </c>
      <c r="M568" s="612">
        <f t="shared" si="56"/>
        <v>1</v>
      </c>
      <c r="N568" s="613">
        <f t="shared" si="58"/>
        <v>0</v>
      </c>
      <c r="O568" s="613">
        <f t="shared" si="62"/>
        <v>0</v>
      </c>
      <c r="P568" s="613">
        <v>0</v>
      </c>
      <c r="Q568" s="613">
        <f t="shared" si="61"/>
        <v>0</v>
      </c>
      <c r="R568" s="1514"/>
      <c r="S568" s="1617" t="e">
        <f>SUMIF('[105]TB for financial'!$A:$A,A568,'[105]TB for financial'!$E:$E)</f>
        <v>#VALUE!</v>
      </c>
      <c r="T568" s="613"/>
    </row>
    <row r="569" spans="1:20">
      <c r="A569" s="608">
        <v>300010</v>
      </c>
      <c r="B569" s="609" t="s">
        <v>1501</v>
      </c>
      <c r="C569" s="610">
        <f t="shared" si="57"/>
        <v>0</v>
      </c>
      <c r="D569" s="611">
        <v>0</v>
      </c>
      <c r="E569" s="610">
        <f>SUMIF('Entries 24-25'!$B:$B,A:A,'Entries 24-25'!$D:$D)-SUMIF('Entries 24-25'!$B:$B,A:A,'Entries 24-25'!$E:$E)+SUMIF('IND AS entries 24-25'!$B:$B,A:A,'IND AS entries 24-25'!$D:$D)-SUMIF('IND AS entries 24-25'!$B:$B,A:A,'IND AS entries 24-25'!$E:$E)</f>
        <v>0</v>
      </c>
      <c r="F569" s="611">
        <f t="shared" si="59"/>
        <v>0</v>
      </c>
      <c r="G569" s="610"/>
      <c r="H569" s="610">
        <v>0</v>
      </c>
      <c r="I569" s="611">
        <v>0</v>
      </c>
      <c r="J569" s="610">
        <v>0</v>
      </c>
      <c r="K569" s="611">
        <f t="shared" si="60"/>
        <v>0</v>
      </c>
      <c r="L569" s="612">
        <f>VLOOKUP(A569,'BS Gr'!A:A,1,FALSE)</f>
        <v>300010</v>
      </c>
      <c r="M569" s="612">
        <f t="shared" si="56"/>
        <v>1</v>
      </c>
      <c r="N569" s="613">
        <f t="shared" si="58"/>
        <v>0</v>
      </c>
      <c r="O569" s="613">
        <f t="shared" si="62"/>
        <v>0</v>
      </c>
      <c r="P569" s="613">
        <v>-100000</v>
      </c>
      <c r="Q569" s="613">
        <f t="shared" si="61"/>
        <v>100000</v>
      </c>
      <c r="R569" s="1514"/>
      <c r="S569" s="1617" t="e">
        <f>SUMIF('[105]TB for financial'!$A:$A,A569,'[105]TB for financial'!$E:$E)</f>
        <v>#VALUE!</v>
      </c>
      <c r="T569" s="613"/>
    </row>
    <row r="570" spans="1:20">
      <c r="A570" s="608">
        <v>300110</v>
      </c>
      <c r="B570" s="609" t="s">
        <v>1502</v>
      </c>
      <c r="C570" s="610">
        <f t="shared" si="57"/>
        <v>0</v>
      </c>
      <c r="D570" s="611">
        <v>0</v>
      </c>
      <c r="E570" s="610">
        <f>SUMIF('Entries 24-25'!$B:$B,A:A,'Entries 24-25'!$D:$D)-SUMIF('Entries 24-25'!$B:$B,A:A,'Entries 24-25'!$E:$E)+SUMIF('IND AS entries 24-25'!$B:$B,A:A,'IND AS entries 24-25'!$D:$D)-SUMIF('IND AS entries 24-25'!$B:$B,A:A,'IND AS entries 24-25'!$E:$E)</f>
        <v>0</v>
      </c>
      <c r="F570" s="611">
        <f t="shared" si="59"/>
        <v>0</v>
      </c>
      <c r="G570" s="610"/>
      <c r="H570" s="610">
        <v>0</v>
      </c>
      <c r="I570" s="611">
        <v>0</v>
      </c>
      <c r="J570" s="610">
        <v>0</v>
      </c>
      <c r="K570" s="611">
        <f t="shared" si="60"/>
        <v>0</v>
      </c>
      <c r="L570" s="612">
        <f>VLOOKUP(A570,'BS Gr'!A:A,1,FALSE)</f>
        <v>300110</v>
      </c>
      <c r="M570" s="612">
        <f t="shared" si="56"/>
        <v>1</v>
      </c>
      <c r="N570" s="613">
        <f t="shared" si="58"/>
        <v>0</v>
      </c>
      <c r="O570" s="613">
        <f t="shared" si="62"/>
        <v>0</v>
      </c>
      <c r="P570" s="613">
        <v>0</v>
      </c>
      <c r="Q570" s="613">
        <f t="shared" si="61"/>
        <v>0</v>
      </c>
      <c r="R570" s="1514"/>
      <c r="S570" s="1617" t="e">
        <f>SUMIF('[105]TB for financial'!$A:$A,A570,'[105]TB for financial'!$E:$E)</f>
        <v>#VALUE!</v>
      </c>
      <c r="T570" s="613"/>
    </row>
    <row r="571" spans="1:20">
      <c r="A571" s="608">
        <v>300115</v>
      </c>
      <c r="B571" s="609" t="s">
        <v>1503</v>
      </c>
      <c r="C571" s="610">
        <f t="shared" si="57"/>
        <v>0</v>
      </c>
      <c r="D571" s="611">
        <v>0</v>
      </c>
      <c r="E571" s="610">
        <f>SUMIF('Entries 24-25'!$B:$B,A:A,'Entries 24-25'!$D:$D)-SUMIF('Entries 24-25'!$B:$B,A:A,'Entries 24-25'!$E:$E)+SUMIF('IND AS entries 24-25'!$B:$B,A:A,'IND AS entries 24-25'!$D:$D)-SUMIF('IND AS entries 24-25'!$B:$B,A:A,'IND AS entries 24-25'!$E:$E)</f>
        <v>0</v>
      </c>
      <c r="F571" s="611">
        <f t="shared" si="59"/>
        <v>0</v>
      </c>
      <c r="G571" s="610"/>
      <c r="H571" s="610">
        <v>0</v>
      </c>
      <c r="I571" s="611">
        <v>0</v>
      </c>
      <c r="J571" s="610">
        <v>0</v>
      </c>
      <c r="K571" s="611">
        <f t="shared" si="60"/>
        <v>0</v>
      </c>
      <c r="L571" s="612">
        <f>VLOOKUP(A571,'BS Gr'!A:A,1,FALSE)</f>
        <v>300115</v>
      </c>
      <c r="M571" s="612">
        <f t="shared" si="56"/>
        <v>1</v>
      </c>
      <c r="N571" s="613">
        <f t="shared" si="58"/>
        <v>0</v>
      </c>
      <c r="O571" s="613">
        <f t="shared" si="62"/>
        <v>0</v>
      </c>
      <c r="P571" s="613">
        <v>0</v>
      </c>
      <c r="Q571" s="613">
        <f t="shared" si="61"/>
        <v>0</v>
      </c>
      <c r="R571" s="1514"/>
      <c r="S571" s="1617" t="e">
        <f>SUMIF('[105]TB for financial'!$A:$A,A571,'[105]TB for financial'!$E:$E)</f>
        <v>#VALUE!</v>
      </c>
      <c r="T571" s="613"/>
    </row>
    <row r="572" spans="1:20">
      <c r="A572" s="608">
        <v>300120</v>
      </c>
      <c r="B572" s="609" t="s">
        <v>1504</v>
      </c>
      <c r="C572" s="610">
        <f t="shared" si="57"/>
        <v>0</v>
      </c>
      <c r="D572" s="611">
        <v>0</v>
      </c>
      <c r="E572" s="610">
        <f>SUMIF('Entries 24-25'!$B:$B,A:A,'Entries 24-25'!$D:$D)-SUMIF('Entries 24-25'!$B:$B,A:A,'Entries 24-25'!$E:$E)+SUMIF('IND AS entries 24-25'!$B:$B,A:A,'IND AS entries 24-25'!$D:$D)-SUMIF('IND AS entries 24-25'!$B:$B,A:A,'IND AS entries 24-25'!$E:$E)</f>
        <v>0</v>
      </c>
      <c r="F572" s="611">
        <f t="shared" si="59"/>
        <v>0</v>
      </c>
      <c r="G572" s="610"/>
      <c r="H572" s="610">
        <v>0</v>
      </c>
      <c r="I572" s="611">
        <v>0</v>
      </c>
      <c r="J572" s="610">
        <v>0</v>
      </c>
      <c r="K572" s="611">
        <f t="shared" si="60"/>
        <v>0</v>
      </c>
      <c r="L572" s="612">
        <f>VLOOKUP(A572,'BS Gr'!A:A,1,FALSE)</f>
        <v>300120</v>
      </c>
      <c r="M572" s="612">
        <f t="shared" si="56"/>
        <v>1</v>
      </c>
      <c r="N572" s="613">
        <f t="shared" si="58"/>
        <v>0</v>
      </c>
      <c r="O572" s="613">
        <f t="shared" si="62"/>
        <v>0</v>
      </c>
      <c r="P572" s="613">
        <v>0</v>
      </c>
      <c r="Q572" s="613">
        <f t="shared" si="61"/>
        <v>0</v>
      </c>
      <c r="R572" s="1514"/>
      <c r="S572" s="1617" t="e">
        <f>SUMIF('[105]TB for financial'!$A:$A,A572,'[105]TB for financial'!$E:$E)</f>
        <v>#VALUE!</v>
      </c>
      <c r="T572" s="613"/>
    </row>
    <row r="573" spans="1:20">
      <c r="A573" s="608">
        <v>301001</v>
      </c>
      <c r="B573" s="609" t="s">
        <v>699</v>
      </c>
      <c r="C573" s="610">
        <f t="shared" si="57"/>
        <v>0</v>
      </c>
      <c r="D573" s="611">
        <v>0</v>
      </c>
      <c r="E573" s="610">
        <f>SUMIF('Entries 24-25'!$B:$B,A:A,'Entries 24-25'!$D:$D)-SUMIF('Entries 24-25'!$B:$B,A:A,'Entries 24-25'!$E:$E)+SUMIF('IND AS entries 24-25'!$B:$B,A:A,'IND AS entries 24-25'!$D:$D)-SUMIF('IND AS entries 24-25'!$B:$B,A:A,'IND AS entries 24-25'!$E:$E)</f>
        <v>0</v>
      </c>
      <c r="F573" s="611">
        <f t="shared" si="59"/>
        <v>0</v>
      </c>
      <c r="G573" s="610"/>
      <c r="H573" s="610">
        <v>0</v>
      </c>
      <c r="I573" s="611">
        <v>0</v>
      </c>
      <c r="J573" s="610">
        <v>0</v>
      </c>
      <c r="K573" s="611">
        <f t="shared" si="60"/>
        <v>0</v>
      </c>
      <c r="L573" s="612">
        <f>VLOOKUP(A573,'BS Gr'!A:A,1,FALSE)</f>
        <v>301001</v>
      </c>
      <c r="M573" s="612">
        <f t="shared" si="56"/>
        <v>1</v>
      </c>
      <c r="N573" s="613">
        <f t="shared" si="58"/>
        <v>0</v>
      </c>
      <c r="O573" s="613">
        <f t="shared" si="62"/>
        <v>0</v>
      </c>
      <c r="P573" s="613">
        <v>0</v>
      </c>
      <c r="Q573" s="613">
        <f t="shared" si="61"/>
        <v>0</v>
      </c>
      <c r="R573" s="1514"/>
      <c r="S573" s="1617" t="e">
        <f>SUMIF('[105]TB for financial'!$A:$A,A573,'[105]TB for financial'!$E:$E)</f>
        <v>#VALUE!</v>
      </c>
      <c r="T573" s="613"/>
    </row>
    <row r="574" spans="1:20">
      <c r="A574" s="608">
        <v>301002</v>
      </c>
      <c r="B574" s="609" t="s">
        <v>1505</v>
      </c>
      <c r="C574" s="610">
        <f t="shared" si="57"/>
        <v>0</v>
      </c>
      <c r="D574" s="611">
        <v>0</v>
      </c>
      <c r="E574" s="610">
        <f>SUMIF('Entries 24-25'!$B:$B,A:A,'Entries 24-25'!$D:$D)-SUMIF('Entries 24-25'!$B:$B,A:A,'Entries 24-25'!$E:$E)+SUMIF('IND AS entries 24-25'!$B:$B,A:A,'IND AS entries 24-25'!$D:$D)-SUMIF('IND AS entries 24-25'!$B:$B,A:A,'IND AS entries 24-25'!$E:$E)</f>
        <v>0</v>
      </c>
      <c r="F574" s="611">
        <f t="shared" si="59"/>
        <v>0</v>
      </c>
      <c r="G574" s="610"/>
      <c r="H574" s="610">
        <v>0</v>
      </c>
      <c r="I574" s="611">
        <v>0</v>
      </c>
      <c r="J574" s="610">
        <v>0</v>
      </c>
      <c r="K574" s="611">
        <f t="shared" si="60"/>
        <v>0</v>
      </c>
      <c r="L574" s="612">
        <f>VLOOKUP(A574,'BS Gr'!A:A,1,FALSE)</f>
        <v>301002</v>
      </c>
      <c r="M574" s="612">
        <f t="shared" si="56"/>
        <v>1</v>
      </c>
      <c r="N574" s="613">
        <f t="shared" si="58"/>
        <v>0</v>
      </c>
      <c r="O574" s="613">
        <f t="shared" si="62"/>
        <v>0</v>
      </c>
      <c r="P574" s="613">
        <v>-983351877.94549</v>
      </c>
      <c r="Q574" s="613">
        <f t="shared" si="61"/>
        <v>983351877.94549</v>
      </c>
      <c r="R574" s="1514"/>
      <c r="S574" s="1617" t="e">
        <f>SUMIF('[105]TB for financial'!$A:$A,A574,'[105]TB for financial'!$E:$E)</f>
        <v>#VALUE!</v>
      </c>
      <c r="T574" s="613"/>
    </row>
    <row r="575" spans="1:20">
      <c r="A575" s="608">
        <v>301009</v>
      </c>
      <c r="B575" s="609" t="s">
        <v>1506</v>
      </c>
      <c r="C575" s="610">
        <f t="shared" si="57"/>
        <v>0</v>
      </c>
      <c r="D575" s="611">
        <v>0</v>
      </c>
      <c r="E575" s="610">
        <f>SUMIF('Entries 24-25'!$B:$B,A:A,'Entries 24-25'!$D:$D)-SUMIF('Entries 24-25'!$B:$B,A:A,'Entries 24-25'!$E:$E)+SUMIF('IND AS entries 24-25'!$B:$B,A:A,'IND AS entries 24-25'!$D:$D)-SUMIF('IND AS entries 24-25'!$B:$B,A:A,'IND AS entries 24-25'!$E:$E)</f>
        <v>0</v>
      </c>
      <c r="F575" s="611">
        <f t="shared" si="59"/>
        <v>0</v>
      </c>
      <c r="G575" s="610"/>
      <c r="H575" s="610">
        <v>0</v>
      </c>
      <c r="I575" s="611">
        <v>0</v>
      </c>
      <c r="J575" s="610">
        <v>0</v>
      </c>
      <c r="K575" s="611">
        <f t="shared" si="60"/>
        <v>0</v>
      </c>
      <c r="L575" s="612">
        <f>VLOOKUP(A575,'BS Gr'!A:A,1,FALSE)</f>
        <v>301009</v>
      </c>
      <c r="M575" s="612">
        <f t="shared" si="56"/>
        <v>1</v>
      </c>
      <c r="N575" s="613">
        <f t="shared" si="58"/>
        <v>0</v>
      </c>
      <c r="O575" s="613">
        <f t="shared" si="62"/>
        <v>0</v>
      </c>
      <c r="P575" s="613"/>
      <c r="Q575" s="613"/>
      <c r="R575" s="1514"/>
      <c r="S575" s="1617" t="e">
        <f>SUMIF('[105]TB for financial'!$A:$A,A575,'[105]TB for financial'!$E:$E)</f>
        <v>#VALUE!</v>
      </c>
      <c r="T575" s="613"/>
    </row>
    <row r="576" spans="1:20">
      <c r="A576" s="608">
        <v>300210</v>
      </c>
      <c r="B576" s="609" t="s">
        <v>1507</v>
      </c>
      <c r="C576" s="610">
        <f t="shared" si="57"/>
        <v>0</v>
      </c>
      <c r="D576" s="611">
        <v>0</v>
      </c>
      <c r="E576" s="610">
        <f>SUMIF('Entries 24-25'!$B:$B,A:A,'Entries 24-25'!$D:$D)-SUMIF('Entries 24-25'!$B:$B,A:A,'Entries 24-25'!$E:$E)+SUMIF('IND AS entries 24-25'!$B:$B,A:A,'IND AS entries 24-25'!$D:$D)-SUMIF('IND AS entries 24-25'!$B:$B,A:A,'IND AS entries 24-25'!$E:$E)</f>
        <v>0</v>
      </c>
      <c r="F576" s="611">
        <f t="shared" si="59"/>
        <v>0</v>
      </c>
      <c r="G576" s="610"/>
      <c r="H576" s="610">
        <v>0</v>
      </c>
      <c r="I576" s="611">
        <v>0</v>
      </c>
      <c r="J576" s="610">
        <v>0</v>
      </c>
      <c r="K576" s="611">
        <f t="shared" si="60"/>
        <v>0</v>
      </c>
      <c r="L576" s="612">
        <f>VLOOKUP(A576,'BS Gr'!A:A,1,FALSE)</f>
        <v>300210</v>
      </c>
      <c r="M576" s="612">
        <f t="shared" si="56"/>
        <v>1</v>
      </c>
      <c r="N576" s="613">
        <f t="shared" si="58"/>
        <v>0</v>
      </c>
      <c r="O576" s="613">
        <f t="shared" si="62"/>
        <v>0</v>
      </c>
      <c r="P576" s="613">
        <v>0</v>
      </c>
      <c r="Q576" s="613">
        <f t="shared" si="61"/>
        <v>0</v>
      </c>
      <c r="R576" s="1514"/>
      <c r="S576" s="1617" t="e">
        <f>SUMIF('[105]TB for financial'!$A:$A,A576,'[105]TB for financial'!$E:$E)</f>
        <v>#VALUE!</v>
      </c>
      <c r="T576" s="613"/>
    </row>
    <row r="577" spans="1:20">
      <c r="A577" s="608">
        <v>300211</v>
      </c>
      <c r="B577" s="609" t="s">
        <v>1508</v>
      </c>
      <c r="C577" s="610">
        <f t="shared" si="57"/>
        <v>0</v>
      </c>
      <c r="D577" s="611">
        <v>0</v>
      </c>
      <c r="E577" s="610">
        <f>SUMIF('Entries 24-25'!$B:$B,A:A,'Entries 24-25'!$D:$D)-SUMIF('Entries 24-25'!$B:$B,A:A,'Entries 24-25'!$E:$E)+SUMIF('IND AS entries 24-25'!$B:$B,A:A,'IND AS entries 24-25'!$D:$D)-SUMIF('IND AS entries 24-25'!$B:$B,A:A,'IND AS entries 24-25'!$E:$E)</f>
        <v>0</v>
      </c>
      <c r="F577" s="611">
        <f t="shared" si="59"/>
        <v>0</v>
      </c>
      <c r="G577" s="610"/>
      <c r="H577" s="610">
        <v>0</v>
      </c>
      <c r="I577" s="611">
        <v>0</v>
      </c>
      <c r="J577" s="610">
        <v>0</v>
      </c>
      <c r="K577" s="611">
        <f t="shared" si="60"/>
        <v>0</v>
      </c>
      <c r="L577" s="612">
        <f>VLOOKUP(A577,'BS Gr'!A:A,1,FALSE)</f>
        <v>300211</v>
      </c>
      <c r="M577" s="612">
        <f t="shared" si="56"/>
        <v>1</v>
      </c>
      <c r="N577" s="613">
        <f t="shared" si="58"/>
        <v>0</v>
      </c>
      <c r="O577" s="613">
        <f t="shared" si="62"/>
        <v>0</v>
      </c>
      <c r="P577" s="613">
        <v>0</v>
      </c>
      <c r="Q577" s="613">
        <f t="shared" si="61"/>
        <v>0</v>
      </c>
      <c r="R577" s="1514"/>
      <c r="S577" s="1617" t="e">
        <f>SUMIF('[105]TB for financial'!$A:$A,A577,'[105]TB for financial'!$E:$E)</f>
        <v>#VALUE!</v>
      </c>
      <c r="T577" s="613"/>
    </row>
    <row r="578" spans="1:20">
      <c r="A578" s="608">
        <v>301003</v>
      </c>
      <c r="B578" s="609" t="s">
        <v>628</v>
      </c>
      <c r="C578" s="610">
        <f t="shared" si="57"/>
        <v>0</v>
      </c>
      <c r="D578" s="611">
        <v>0</v>
      </c>
      <c r="E578" s="610">
        <f>SUMIF('Entries 24-25'!$B:$B,A:A,'Entries 24-25'!$D:$D)-SUMIF('Entries 24-25'!$B:$B,A:A,'Entries 24-25'!$E:$E)+SUMIF('IND AS entries 24-25'!$B:$B,A:A,'IND AS entries 24-25'!$D:$D)-SUMIF('IND AS entries 24-25'!$B:$B,A:A,'IND AS entries 24-25'!$E:$E)</f>
        <v>0</v>
      </c>
      <c r="F578" s="611">
        <f t="shared" si="59"/>
        <v>0</v>
      </c>
      <c r="G578" s="610"/>
      <c r="H578" s="610">
        <v>0</v>
      </c>
      <c r="I578" s="611">
        <v>0</v>
      </c>
      <c r="J578" s="610">
        <v>0</v>
      </c>
      <c r="K578" s="611">
        <f t="shared" si="60"/>
        <v>0</v>
      </c>
      <c r="L578" s="612">
        <f>VLOOKUP(A578,'BS Gr'!A:A,1,FALSE)</f>
        <v>301003</v>
      </c>
      <c r="M578" s="612">
        <f t="shared" si="56"/>
        <v>1</v>
      </c>
      <c r="N578" s="613">
        <f t="shared" si="58"/>
        <v>0</v>
      </c>
      <c r="O578" s="613">
        <f t="shared" si="62"/>
        <v>0</v>
      </c>
      <c r="P578" s="613">
        <v>16049.039333333334</v>
      </c>
      <c r="Q578" s="613">
        <f t="shared" si="61"/>
        <v>-16049.039333333334</v>
      </c>
      <c r="R578" s="1514"/>
      <c r="S578" s="1617" t="e">
        <f>SUMIF('[105]TB for financial'!$A:$A,A578,'[105]TB for financial'!$E:$E)</f>
        <v>#VALUE!</v>
      </c>
      <c r="T578" s="613"/>
    </row>
    <row r="579" spans="1:20">
      <c r="A579" s="608">
        <v>301004</v>
      </c>
      <c r="B579" s="609" t="s">
        <v>1509</v>
      </c>
      <c r="C579" s="610">
        <f t="shared" si="57"/>
        <v>0</v>
      </c>
      <c r="D579" s="611">
        <v>0</v>
      </c>
      <c r="E579" s="610">
        <f>SUMIF('Entries 24-25'!$B:$B,A:A,'Entries 24-25'!$D:$D)-SUMIF('Entries 24-25'!$B:$B,A:A,'Entries 24-25'!$E:$E)+SUMIF('IND AS entries 24-25'!$B:$B,A:A,'IND AS entries 24-25'!$D:$D)-SUMIF('IND AS entries 24-25'!$B:$B,A:A,'IND AS entries 24-25'!$E:$E)</f>
        <v>0</v>
      </c>
      <c r="F579" s="611">
        <f t="shared" si="59"/>
        <v>0</v>
      </c>
      <c r="G579" s="610"/>
      <c r="H579" s="610">
        <v>0</v>
      </c>
      <c r="I579" s="611">
        <v>0</v>
      </c>
      <c r="J579" s="610">
        <v>0</v>
      </c>
      <c r="K579" s="611">
        <f t="shared" si="60"/>
        <v>0</v>
      </c>
      <c r="L579" s="612">
        <f>VLOOKUP(A579,'BS Gr'!A:A,1,FALSE)</f>
        <v>301004</v>
      </c>
      <c r="M579" s="612">
        <f t="shared" si="56"/>
        <v>1</v>
      </c>
      <c r="N579" s="613">
        <f t="shared" si="58"/>
        <v>0</v>
      </c>
      <c r="O579" s="613">
        <f t="shared" si="62"/>
        <v>0</v>
      </c>
      <c r="P579" s="613">
        <v>0</v>
      </c>
      <c r="Q579" s="613">
        <f t="shared" si="61"/>
        <v>0</v>
      </c>
      <c r="R579" s="1514"/>
      <c r="S579" s="1617" t="e">
        <f>SUMIF('[105]TB for financial'!$A:$A,A579,'[105]TB for financial'!$E:$E)</f>
        <v>#VALUE!</v>
      </c>
      <c r="T579" s="613"/>
    </row>
    <row r="580" spans="1:20">
      <c r="A580" s="608">
        <v>301005</v>
      </c>
      <c r="B580" s="609" t="s">
        <v>1510</v>
      </c>
      <c r="C580" s="610">
        <f t="shared" si="57"/>
        <v>0</v>
      </c>
      <c r="D580" s="611">
        <v>0</v>
      </c>
      <c r="E580" s="610">
        <f>SUMIF('Entries 24-25'!$B:$B,A:A,'Entries 24-25'!$D:$D)-SUMIF('Entries 24-25'!$B:$B,A:A,'Entries 24-25'!$E:$E)+SUMIF('IND AS entries 24-25'!$B:$B,A:A,'IND AS entries 24-25'!$D:$D)-SUMIF('IND AS entries 24-25'!$B:$B,A:A,'IND AS entries 24-25'!$E:$E)</f>
        <v>0</v>
      </c>
      <c r="F580" s="611">
        <f t="shared" si="59"/>
        <v>0</v>
      </c>
      <c r="G580" s="610"/>
      <c r="H580" s="610">
        <v>0</v>
      </c>
      <c r="I580" s="611">
        <v>0</v>
      </c>
      <c r="J580" s="610">
        <v>0</v>
      </c>
      <c r="K580" s="611">
        <f t="shared" si="60"/>
        <v>0</v>
      </c>
      <c r="L580" s="612">
        <f>VLOOKUP(A580,'BS Gr'!A:A,1,FALSE)</f>
        <v>301005</v>
      </c>
      <c r="M580" s="612">
        <f t="shared" si="56"/>
        <v>1</v>
      </c>
      <c r="N580" s="613">
        <f t="shared" si="58"/>
        <v>0</v>
      </c>
      <c r="O580" s="613">
        <f t="shared" si="62"/>
        <v>0</v>
      </c>
      <c r="P580" s="613">
        <v>0</v>
      </c>
      <c r="Q580" s="613">
        <f t="shared" si="61"/>
        <v>0</v>
      </c>
      <c r="R580" s="1514"/>
      <c r="S580" s="1617" t="e">
        <f>SUMIF('[105]TB for financial'!$A:$A,A580,'[105]TB for financial'!$E:$E)</f>
        <v>#VALUE!</v>
      </c>
      <c r="T580" s="613"/>
    </row>
    <row r="581" spans="1:20">
      <c r="A581" s="608">
        <v>101005</v>
      </c>
      <c r="B581" s="609" t="s">
        <v>1511</v>
      </c>
      <c r="C581" s="610">
        <f t="shared" si="57"/>
        <v>0</v>
      </c>
      <c r="D581" s="611">
        <v>0</v>
      </c>
      <c r="E581" s="610">
        <f>SUMIF('Entries 24-25'!$B:$B,A:A,'Entries 24-25'!$D:$D)-SUMIF('Entries 24-25'!$B:$B,A:A,'Entries 24-25'!$E:$E)+SUMIF('IND AS entries 24-25'!$B:$B,A:A,'IND AS entries 24-25'!$D:$D)-SUMIF('IND AS entries 24-25'!$B:$B,A:A,'IND AS entries 24-25'!$E:$E)</f>
        <v>0</v>
      </c>
      <c r="F581" s="611">
        <f t="shared" si="59"/>
        <v>0</v>
      </c>
      <c r="G581" s="610"/>
      <c r="H581" s="610">
        <v>0</v>
      </c>
      <c r="I581" s="611">
        <v>0</v>
      </c>
      <c r="J581" s="610">
        <v>0</v>
      </c>
      <c r="K581" s="611">
        <f t="shared" si="60"/>
        <v>0</v>
      </c>
      <c r="L581" s="612" t="e">
        <f>VLOOKUP(A581,'BS Gr'!A:A,1,FALSE)</f>
        <v>#N/A</v>
      </c>
      <c r="M581" s="612">
        <f t="shared" ref="M581:M622" si="63">COUNTIF(A:A,A581)</f>
        <v>1</v>
      </c>
      <c r="N581" s="613">
        <f t="shared" si="58"/>
        <v>0</v>
      </c>
      <c r="O581" s="613">
        <f t="shared" si="62"/>
        <v>0</v>
      </c>
      <c r="P581" s="613">
        <v>0</v>
      </c>
      <c r="Q581" s="613">
        <f t="shared" si="61"/>
        <v>0</v>
      </c>
      <c r="R581" s="1514"/>
      <c r="S581" s="1617" t="e">
        <f>SUMIF('[105]TB for financial'!$A:$A,A581,'[105]TB for financial'!$E:$E)</f>
        <v>#VALUE!</v>
      </c>
      <c r="T581" s="613"/>
    </row>
    <row r="582" spans="1:20">
      <c r="A582" s="608">
        <v>101015</v>
      </c>
      <c r="B582" s="609" t="s">
        <v>1512</v>
      </c>
      <c r="C582" s="610">
        <f t="shared" ref="C582:C648" si="64">K582</f>
        <v>0</v>
      </c>
      <c r="D582" s="611">
        <v>0</v>
      </c>
      <c r="E582" s="610">
        <f>SUMIF('Entries 24-25'!$B:$B,A:A,'Entries 24-25'!$D:$D)-SUMIF('Entries 24-25'!$B:$B,A:A,'Entries 24-25'!$E:$E)+SUMIF('IND AS entries 24-25'!$B:$B,A:A,'IND AS entries 24-25'!$D:$D)-SUMIF('IND AS entries 24-25'!$B:$B,A:A,'IND AS entries 24-25'!$E:$E)</f>
        <v>0</v>
      </c>
      <c r="F582" s="611">
        <f t="shared" si="59"/>
        <v>0</v>
      </c>
      <c r="G582" s="610"/>
      <c r="H582" s="610">
        <v>0</v>
      </c>
      <c r="I582" s="611">
        <v>0</v>
      </c>
      <c r="J582" s="610">
        <v>0</v>
      </c>
      <c r="K582" s="611">
        <f t="shared" si="60"/>
        <v>0</v>
      </c>
      <c r="L582" s="612" t="e">
        <f>VLOOKUP(A582,'BS Gr'!A:A,1,FALSE)</f>
        <v>#N/A</v>
      </c>
      <c r="M582" s="612">
        <f t="shared" si="63"/>
        <v>1</v>
      </c>
      <c r="N582" s="613">
        <f t="shared" ref="N582:N648" si="65">C582-K582</f>
        <v>0</v>
      </c>
      <c r="O582" s="613">
        <f t="shared" si="62"/>
        <v>0</v>
      </c>
      <c r="P582" s="613">
        <v>0</v>
      </c>
      <c r="Q582" s="613">
        <f t="shared" si="61"/>
        <v>0</v>
      </c>
      <c r="R582" s="1514"/>
      <c r="S582" s="1617" t="e">
        <f>SUMIF('[105]TB for financial'!$A:$A,A582,'[105]TB for financial'!$E:$E)</f>
        <v>#VALUE!</v>
      </c>
      <c r="T582" s="613"/>
    </row>
    <row r="583" spans="1:20">
      <c r="A583" s="608">
        <v>101010</v>
      </c>
      <c r="B583" s="609" t="s">
        <v>1512</v>
      </c>
      <c r="C583" s="610">
        <f t="shared" si="64"/>
        <v>0</v>
      </c>
      <c r="D583" s="611">
        <v>0</v>
      </c>
      <c r="E583" s="610">
        <f>SUMIF('Entries 24-25'!$B:$B,A:A,'Entries 24-25'!$D:$D)-SUMIF('Entries 24-25'!$B:$B,A:A,'Entries 24-25'!$E:$E)+SUMIF('IND AS entries 24-25'!$B:$B,A:A,'IND AS entries 24-25'!$D:$D)-SUMIF('IND AS entries 24-25'!$B:$B,A:A,'IND AS entries 24-25'!$E:$E)</f>
        <v>0</v>
      </c>
      <c r="F583" s="611">
        <f t="shared" si="59"/>
        <v>0</v>
      </c>
      <c r="G583" s="610"/>
      <c r="H583" s="610">
        <v>0</v>
      </c>
      <c r="I583" s="611">
        <v>0</v>
      </c>
      <c r="J583" s="610">
        <v>0</v>
      </c>
      <c r="K583" s="611">
        <f t="shared" si="60"/>
        <v>0</v>
      </c>
      <c r="L583" s="612" t="e">
        <f>VLOOKUP(A583,'BS Gr'!A:A,1,FALSE)</f>
        <v>#N/A</v>
      </c>
      <c r="M583" s="612">
        <f t="shared" si="63"/>
        <v>1</v>
      </c>
      <c r="N583" s="613">
        <f t="shared" si="65"/>
        <v>0</v>
      </c>
      <c r="O583" s="613">
        <f t="shared" si="62"/>
        <v>0</v>
      </c>
      <c r="P583" s="613">
        <v>0</v>
      </c>
      <c r="Q583" s="613">
        <f t="shared" si="61"/>
        <v>0</v>
      </c>
      <c r="R583" s="1514"/>
      <c r="S583" s="1617" t="e">
        <f>SUMIF('[105]TB for financial'!$A:$A,A583,'[105]TB for financial'!$E:$E)</f>
        <v>#VALUE!</v>
      </c>
      <c r="T583" s="613"/>
    </row>
    <row r="584" spans="1:20">
      <c r="A584" s="608">
        <v>101070</v>
      </c>
      <c r="B584" s="609" t="s">
        <v>1513</v>
      </c>
      <c r="C584" s="610">
        <f t="shared" si="64"/>
        <v>0</v>
      </c>
      <c r="D584" s="611">
        <v>0</v>
      </c>
      <c r="E584" s="610">
        <f>SUMIF('Entries 24-25'!$B:$B,A:A,'Entries 24-25'!$D:$D)-SUMIF('Entries 24-25'!$B:$B,A:A,'Entries 24-25'!$E:$E)+SUMIF('IND AS entries 24-25'!$B:$B,A:A,'IND AS entries 24-25'!$D:$D)-SUMIF('IND AS entries 24-25'!$B:$B,A:A,'IND AS entries 24-25'!$E:$E)</f>
        <v>0</v>
      </c>
      <c r="F584" s="611">
        <f t="shared" ref="F584:F651" si="66">SUM(C584:E584)</f>
        <v>0</v>
      </c>
      <c r="G584" s="610"/>
      <c r="H584" s="610">
        <v>0</v>
      </c>
      <c r="I584" s="611">
        <v>0</v>
      </c>
      <c r="J584" s="610">
        <v>0</v>
      </c>
      <c r="K584" s="611">
        <f t="shared" ref="K584:K651" si="67">SUM(H584:J584)</f>
        <v>0</v>
      </c>
      <c r="L584" s="612" t="e">
        <f>VLOOKUP(A584,'BS Gr'!A:A,1,FALSE)</f>
        <v>#N/A</v>
      </c>
      <c r="M584" s="612">
        <f t="shared" si="63"/>
        <v>1</v>
      </c>
      <c r="N584" s="613">
        <f t="shared" si="65"/>
        <v>0</v>
      </c>
      <c r="O584" s="613">
        <f t="shared" si="62"/>
        <v>0</v>
      </c>
      <c r="P584" s="613">
        <v>0</v>
      </c>
      <c r="Q584" s="613">
        <f t="shared" si="61"/>
        <v>0</v>
      </c>
      <c r="R584" s="1514"/>
      <c r="S584" s="1617" t="e">
        <f>SUMIF('[105]TB for financial'!$A:$A,A584,'[105]TB for financial'!$E:$E)</f>
        <v>#VALUE!</v>
      </c>
      <c r="T584" s="613"/>
    </row>
    <row r="585" spans="1:20">
      <c r="A585" s="608">
        <v>101075</v>
      </c>
      <c r="B585" s="609" t="s">
        <v>1513</v>
      </c>
      <c r="C585" s="610">
        <f t="shared" si="64"/>
        <v>0</v>
      </c>
      <c r="D585" s="611">
        <v>0</v>
      </c>
      <c r="E585" s="610">
        <f>SUMIF('Entries 24-25'!$B:$B,A:A,'Entries 24-25'!$D:$D)-SUMIF('Entries 24-25'!$B:$B,A:A,'Entries 24-25'!$E:$E)+SUMIF('IND AS entries 24-25'!$B:$B,A:A,'IND AS entries 24-25'!$D:$D)-SUMIF('IND AS entries 24-25'!$B:$B,A:A,'IND AS entries 24-25'!$E:$E)</f>
        <v>0</v>
      </c>
      <c r="F585" s="611">
        <f t="shared" si="66"/>
        <v>0</v>
      </c>
      <c r="G585" s="610"/>
      <c r="H585" s="610">
        <v>0</v>
      </c>
      <c r="I585" s="611">
        <v>0</v>
      </c>
      <c r="J585" s="610">
        <v>0</v>
      </c>
      <c r="K585" s="611">
        <f t="shared" si="67"/>
        <v>0</v>
      </c>
      <c r="L585" s="612" t="e">
        <f>VLOOKUP(A585,'BS Gr'!A:A,1,FALSE)</f>
        <v>#N/A</v>
      </c>
      <c r="M585" s="612">
        <f t="shared" si="63"/>
        <v>1</v>
      </c>
      <c r="N585" s="613">
        <f t="shared" si="65"/>
        <v>0</v>
      </c>
      <c r="O585" s="613">
        <f t="shared" si="62"/>
        <v>0</v>
      </c>
      <c r="P585" s="613">
        <v>0</v>
      </c>
      <c r="Q585" s="613">
        <f t="shared" si="61"/>
        <v>0</v>
      </c>
      <c r="R585" s="1514"/>
      <c r="S585" s="1617" t="e">
        <f>SUMIF('[105]TB for financial'!$A:$A,A585,'[105]TB for financial'!$E:$E)</f>
        <v>#VALUE!</v>
      </c>
      <c r="T585" s="613"/>
    </row>
    <row r="586" spans="1:20">
      <c r="A586" s="608" t="s">
        <v>2535</v>
      </c>
      <c r="B586" s="609" t="s">
        <v>1514</v>
      </c>
      <c r="C586" s="610">
        <f t="shared" si="64"/>
        <v>1.0000000242143869E-2</v>
      </c>
      <c r="D586" s="611">
        <v>0</v>
      </c>
      <c r="E586" s="610">
        <f>SUMIF('Entries 24-25'!$B:$B,A:A,'Entries 24-25'!$D:$D)-SUMIF('Entries 24-25'!$B:$B,A:A,'Entries 24-25'!$E:$E)+SUMIF('IND AS entries 24-25'!$B:$B,A:A,'IND AS entries 24-25'!$D:$D)-SUMIF('IND AS entries 24-25'!$B:$B,A:A,'IND AS entries 24-25'!$E:$E)</f>
        <v>0</v>
      </c>
      <c r="F586" s="611">
        <f t="shared" si="66"/>
        <v>1.0000000242143869E-2</v>
      </c>
      <c r="G586" s="610"/>
      <c r="H586" s="610">
        <v>1.0000000242143869E-2</v>
      </c>
      <c r="I586" s="611">
        <v>0</v>
      </c>
      <c r="J586" s="610">
        <v>0</v>
      </c>
      <c r="K586" s="611">
        <f t="shared" si="67"/>
        <v>1.0000000242143869E-2</v>
      </c>
      <c r="L586" s="612" t="str">
        <f>VLOOKUP(A586,'BS Gr'!A:A,1,FALSE)</f>
        <v>101300 - P</v>
      </c>
      <c r="M586" s="612">
        <f t="shared" si="63"/>
        <v>1</v>
      </c>
      <c r="N586" s="613">
        <f t="shared" si="65"/>
        <v>0</v>
      </c>
      <c r="O586" s="613">
        <f t="shared" si="62"/>
        <v>0</v>
      </c>
      <c r="P586" s="613">
        <v>0</v>
      </c>
      <c r="Q586" s="613">
        <f t="shared" si="61"/>
        <v>1.0000000242143869E-2</v>
      </c>
      <c r="R586" s="1514"/>
      <c r="S586" s="1617" t="e">
        <f>SUMIF('[105]TB for financial'!$A:$A,A586,'[105]TB for financial'!$E:$E)</f>
        <v>#VALUE!</v>
      </c>
      <c r="T586" s="613"/>
    </row>
    <row r="587" spans="1:20">
      <c r="A587" s="608">
        <v>101355</v>
      </c>
      <c r="B587" s="609" t="s">
        <v>1515</v>
      </c>
      <c r="C587" s="610">
        <f t="shared" si="64"/>
        <v>0</v>
      </c>
      <c r="D587" s="611">
        <v>0</v>
      </c>
      <c r="E587" s="610">
        <f>SUMIF('Entries 24-25'!$B:$B,A:A,'Entries 24-25'!$D:$D)-SUMIF('Entries 24-25'!$B:$B,A:A,'Entries 24-25'!$E:$E)+SUMIF('IND AS entries 24-25'!$B:$B,A:A,'IND AS entries 24-25'!$D:$D)-SUMIF('IND AS entries 24-25'!$B:$B,A:A,'IND AS entries 24-25'!$E:$E)</f>
        <v>0</v>
      </c>
      <c r="F587" s="611">
        <f t="shared" si="66"/>
        <v>0</v>
      </c>
      <c r="G587" s="610"/>
      <c r="H587" s="610">
        <v>0</v>
      </c>
      <c r="I587" s="611">
        <v>0</v>
      </c>
      <c r="J587" s="610">
        <v>0</v>
      </c>
      <c r="K587" s="611">
        <f t="shared" si="67"/>
        <v>0</v>
      </c>
      <c r="L587" s="612" t="e">
        <f>VLOOKUP(A587,'BS Gr'!A:A,1,FALSE)</f>
        <v>#N/A</v>
      </c>
      <c r="M587" s="612">
        <f t="shared" si="63"/>
        <v>1</v>
      </c>
      <c r="N587" s="613">
        <f t="shared" si="65"/>
        <v>0</v>
      </c>
      <c r="O587" s="613">
        <f t="shared" si="62"/>
        <v>0</v>
      </c>
      <c r="P587" s="613">
        <v>0</v>
      </c>
      <c r="Q587" s="613">
        <f t="shared" si="61"/>
        <v>0</v>
      </c>
      <c r="R587" s="1514"/>
      <c r="S587" s="1617" t="e">
        <f>SUMIF('[105]TB for financial'!$A:$A,A587,'[105]TB for financial'!$E:$E)</f>
        <v>#VALUE!</v>
      </c>
      <c r="T587" s="613"/>
    </row>
    <row r="588" spans="1:20">
      <c r="A588" s="608">
        <v>101350</v>
      </c>
      <c r="B588" s="609" t="s">
        <v>1515</v>
      </c>
      <c r="C588" s="610">
        <f t="shared" si="64"/>
        <v>0</v>
      </c>
      <c r="D588" s="611">
        <v>0</v>
      </c>
      <c r="E588" s="610">
        <f>SUMIF('Entries 24-25'!$B:$B,A:A,'Entries 24-25'!$D:$D)-SUMIF('Entries 24-25'!$B:$B,A:A,'Entries 24-25'!$E:$E)+SUMIF('IND AS entries 24-25'!$B:$B,A:A,'IND AS entries 24-25'!$D:$D)-SUMIF('IND AS entries 24-25'!$B:$B,A:A,'IND AS entries 24-25'!$E:$E)</f>
        <v>0</v>
      </c>
      <c r="F588" s="611">
        <f t="shared" si="66"/>
        <v>0</v>
      </c>
      <c r="G588" s="610"/>
      <c r="H588" s="610">
        <v>0</v>
      </c>
      <c r="I588" s="611">
        <v>0</v>
      </c>
      <c r="J588" s="610">
        <v>0</v>
      </c>
      <c r="K588" s="611">
        <f t="shared" si="67"/>
        <v>0</v>
      </c>
      <c r="L588" s="612" t="e">
        <f>VLOOKUP(A588,'BS Gr'!A:A,1,FALSE)</f>
        <v>#N/A</v>
      </c>
      <c r="M588" s="612">
        <f t="shared" si="63"/>
        <v>1</v>
      </c>
      <c r="N588" s="613">
        <f t="shared" si="65"/>
        <v>0</v>
      </c>
      <c r="O588" s="613">
        <f t="shared" si="62"/>
        <v>0</v>
      </c>
      <c r="P588" s="613">
        <v>0</v>
      </c>
      <c r="Q588" s="613">
        <f t="shared" si="61"/>
        <v>0</v>
      </c>
      <c r="R588" s="1514"/>
      <c r="S588" s="1617" t="e">
        <f>SUMIF('[105]TB for financial'!$A:$A,A588,'[105]TB for financial'!$E:$E)</f>
        <v>#VALUE!</v>
      </c>
      <c r="T588" s="613"/>
    </row>
    <row r="589" spans="1:20">
      <c r="A589" s="608">
        <v>101362</v>
      </c>
      <c r="B589" s="609" t="s">
        <v>1516</v>
      </c>
      <c r="C589" s="610">
        <f t="shared" si="64"/>
        <v>0</v>
      </c>
      <c r="D589" s="611">
        <v>0</v>
      </c>
      <c r="E589" s="610">
        <f>SUMIF('Entries 24-25'!$B:$B,A:A,'Entries 24-25'!$D:$D)-SUMIF('Entries 24-25'!$B:$B,A:A,'Entries 24-25'!$E:$E)+SUMIF('IND AS entries 24-25'!$B:$B,A:A,'IND AS entries 24-25'!$D:$D)-SUMIF('IND AS entries 24-25'!$B:$B,A:A,'IND AS entries 24-25'!$E:$E)</f>
        <v>0</v>
      </c>
      <c r="F589" s="611">
        <f t="shared" si="66"/>
        <v>0</v>
      </c>
      <c r="G589" s="610"/>
      <c r="H589" s="610">
        <v>0</v>
      </c>
      <c r="I589" s="611">
        <v>0</v>
      </c>
      <c r="J589" s="610">
        <v>0</v>
      </c>
      <c r="K589" s="611">
        <f t="shared" si="67"/>
        <v>0</v>
      </c>
      <c r="L589" s="612">
        <f>VLOOKUP(A589,'BS Gr'!A:A,1,FALSE)</f>
        <v>101362</v>
      </c>
      <c r="M589" s="612">
        <f t="shared" si="63"/>
        <v>1</v>
      </c>
      <c r="N589" s="613">
        <f t="shared" si="65"/>
        <v>0</v>
      </c>
      <c r="O589" s="613">
        <f t="shared" si="62"/>
        <v>0</v>
      </c>
      <c r="P589" s="613">
        <v>0</v>
      </c>
      <c r="Q589" s="613">
        <f t="shared" si="61"/>
        <v>0</v>
      </c>
      <c r="R589" s="1514"/>
      <c r="S589" s="1617" t="e">
        <f>SUMIF('[105]TB for financial'!$A:$A,A589,'[105]TB for financial'!$E:$E)</f>
        <v>#VALUE!</v>
      </c>
      <c r="T589" s="613"/>
    </row>
    <row r="590" spans="1:20">
      <c r="A590" s="608">
        <v>101840</v>
      </c>
      <c r="B590" s="609" t="s">
        <v>1517</v>
      </c>
      <c r="C590" s="610">
        <f t="shared" si="64"/>
        <v>0</v>
      </c>
      <c r="D590" s="611">
        <v>0</v>
      </c>
      <c r="E590" s="610">
        <f>SUMIF('Entries 24-25'!$B:$B,A:A,'Entries 24-25'!$D:$D)-SUMIF('Entries 24-25'!$B:$B,A:A,'Entries 24-25'!$E:$E)+SUMIF('IND AS entries 24-25'!$B:$B,A:A,'IND AS entries 24-25'!$D:$D)-SUMIF('IND AS entries 24-25'!$B:$B,A:A,'IND AS entries 24-25'!$E:$E)</f>
        <v>0</v>
      </c>
      <c r="F590" s="611">
        <f t="shared" si="66"/>
        <v>0</v>
      </c>
      <c r="G590" s="610"/>
      <c r="H590" s="610">
        <v>0</v>
      </c>
      <c r="I590" s="611">
        <v>0</v>
      </c>
      <c r="J590" s="610">
        <v>0</v>
      </c>
      <c r="K590" s="611">
        <f t="shared" si="67"/>
        <v>0</v>
      </c>
      <c r="L590" s="612" t="e">
        <f>VLOOKUP(A590,'BS Gr'!A:A,1,FALSE)</f>
        <v>#N/A</v>
      </c>
      <c r="M590" s="612">
        <f t="shared" si="63"/>
        <v>1</v>
      </c>
      <c r="N590" s="613">
        <f t="shared" si="65"/>
        <v>0</v>
      </c>
      <c r="O590" s="613">
        <f t="shared" si="62"/>
        <v>0</v>
      </c>
      <c r="P590" s="613">
        <v>0</v>
      </c>
      <c r="Q590" s="613">
        <f t="shared" si="61"/>
        <v>0</v>
      </c>
      <c r="R590" s="1514"/>
      <c r="S590" s="1617" t="e">
        <f>SUMIF('[105]TB for financial'!$A:$A,A590,'[105]TB for financial'!$E:$E)</f>
        <v>#VALUE!</v>
      </c>
      <c r="T590" s="613"/>
    </row>
    <row r="591" spans="1:20">
      <c r="A591" s="608">
        <v>101845</v>
      </c>
      <c r="B591" s="609" t="s">
        <v>1517</v>
      </c>
      <c r="C591" s="610">
        <f t="shared" si="64"/>
        <v>0</v>
      </c>
      <c r="D591" s="611">
        <v>0</v>
      </c>
      <c r="E591" s="610">
        <f>SUMIF('Entries 24-25'!$B:$B,A:A,'Entries 24-25'!$D:$D)-SUMIF('Entries 24-25'!$B:$B,A:A,'Entries 24-25'!$E:$E)+SUMIF('IND AS entries 24-25'!$B:$B,A:A,'IND AS entries 24-25'!$D:$D)-SUMIF('IND AS entries 24-25'!$B:$B,A:A,'IND AS entries 24-25'!$E:$E)</f>
        <v>0</v>
      </c>
      <c r="F591" s="611">
        <f t="shared" si="66"/>
        <v>0</v>
      </c>
      <c r="G591" s="610"/>
      <c r="H591" s="610">
        <v>0</v>
      </c>
      <c r="I591" s="611">
        <v>0</v>
      </c>
      <c r="J591" s="610">
        <v>0</v>
      </c>
      <c r="K591" s="611">
        <f t="shared" si="67"/>
        <v>0</v>
      </c>
      <c r="L591" s="612" t="e">
        <f>VLOOKUP(A591,'BS Gr'!A:A,1,FALSE)</f>
        <v>#N/A</v>
      </c>
      <c r="M591" s="612">
        <f t="shared" si="63"/>
        <v>1</v>
      </c>
      <c r="N591" s="613">
        <f t="shared" si="65"/>
        <v>0</v>
      </c>
      <c r="O591" s="613">
        <f t="shared" si="62"/>
        <v>0</v>
      </c>
      <c r="P591" s="613">
        <v>0</v>
      </c>
      <c r="Q591" s="613">
        <f t="shared" si="61"/>
        <v>0</v>
      </c>
      <c r="R591" s="1514"/>
      <c r="S591" s="1617" t="e">
        <f>SUMIF('[105]TB for financial'!$A:$A,A591,'[105]TB for financial'!$E:$E)</f>
        <v>#VALUE!</v>
      </c>
      <c r="T591" s="613"/>
    </row>
    <row r="592" spans="1:20">
      <c r="A592" s="608">
        <v>101847</v>
      </c>
      <c r="B592" s="609" t="s">
        <v>1518</v>
      </c>
      <c r="C592" s="610">
        <f t="shared" si="64"/>
        <v>0</v>
      </c>
      <c r="D592" s="611">
        <v>0</v>
      </c>
      <c r="E592" s="610">
        <f>SUMIF('Entries 24-25'!$B:$B,A:A,'Entries 24-25'!$D:$D)-SUMIF('Entries 24-25'!$B:$B,A:A,'Entries 24-25'!$E:$E)+SUMIF('IND AS entries 24-25'!$B:$B,A:A,'IND AS entries 24-25'!$D:$D)-SUMIF('IND AS entries 24-25'!$B:$B,A:A,'IND AS entries 24-25'!$E:$E)</f>
        <v>0</v>
      </c>
      <c r="F592" s="611">
        <f t="shared" si="66"/>
        <v>0</v>
      </c>
      <c r="G592" s="610"/>
      <c r="H592" s="610">
        <v>0</v>
      </c>
      <c r="I592" s="611">
        <v>0</v>
      </c>
      <c r="J592" s="610">
        <v>0</v>
      </c>
      <c r="K592" s="611">
        <f t="shared" si="67"/>
        <v>0</v>
      </c>
      <c r="L592" s="612" t="e">
        <f>VLOOKUP(A592,'BS Gr'!A:A,1,FALSE)</f>
        <v>#N/A</v>
      </c>
      <c r="M592" s="612">
        <f t="shared" si="63"/>
        <v>1</v>
      </c>
      <c r="N592" s="613">
        <f t="shared" si="65"/>
        <v>0</v>
      </c>
      <c r="O592" s="613">
        <f t="shared" si="62"/>
        <v>0</v>
      </c>
      <c r="P592" s="613">
        <v>0</v>
      </c>
      <c r="Q592" s="613">
        <f t="shared" si="61"/>
        <v>0</v>
      </c>
      <c r="R592" s="1514"/>
      <c r="S592" s="1617" t="e">
        <f>SUMIF('[105]TB for financial'!$A:$A,A592,'[105]TB for financial'!$E:$E)</f>
        <v>#VALUE!</v>
      </c>
      <c r="T592" s="613"/>
    </row>
    <row r="593" spans="1:20">
      <c r="A593" s="608">
        <v>101846</v>
      </c>
      <c r="B593" s="609" t="s">
        <v>1518</v>
      </c>
      <c r="C593" s="610">
        <f t="shared" si="64"/>
        <v>0</v>
      </c>
      <c r="D593" s="611">
        <v>0</v>
      </c>
      <c r="E593" s="610">
        <f>SUMIF('Entries 24-25'!$B:$B,A:A,'Entries 24-25'!$D:$D)-SUMIF('Entries 24-25'!$B:$B,A:A,'Entries 24-25'!$E:$E)+SUMIF('IND AS entries 24-25'!$B:$B,A:A,'IND AS entries 24-25'!$D:$D)-SUMIF('IND AS entries 24-25'!$B:$B,A:A,'IND AS entries 24-25'!$E:$E)</f>
        <v>0</v>
      </c>
      <c r="F593" s="611">
        <f t="shared" si="66"/>
        <v>0</v>
      </c>
      <c r="G593" s="610"/>
      <c r="H593" s="610">
        <v>0</v>
      </c>
      <c r="I593" s="611">
        <v>0</v>
      </c>
      <c r="J593" s="610">
        <v>0</v>
      </c>
      <c r="K593" s="611">
        <f t="shared" si="67"/>
        <v>0</v>
      </c>
      <c r="L593" s="612" t="e">
        <f>VLOOKUP(A593,'BS Gr'!A:A,1,FALSE)</f>
        <v>#N/A</v>
      </c>
      <c r="M593" s="612">
        <f t="shared" si="63"/>
        <v>1</v>
      </c>
      <c r="N593" s="613">
        <f t="shared" si="65"/>
        <v>0</v>
      </c>
      <c r="O593" s="613">
        <f t="shared" si="62"/>
        <v>0</v>
      </c>
      <c r="P593" s="613">
        <v>0</v>
      </c>
      <c r="Q593" s="613">
        <f t="shared" si="61"/>
        <v>0</v>
      </c>
      <c r="R593" s="1514"/>
      <c r="S593" s="1617" t="e">
        <f>SUMIF('[105]TB for financial'!$A:$A,A593,'[105]TB for financial'!$E:$E)</f>
        <v>#VALUE!</v>
      </c>
      <c r="T593" s="613"/>
    </row>
    <row r="594" spans="1:20">
      <c r="A594" s="608">
        <v>110545</v>
      </c>
      <c r="B594" s="609" t="s">
        <v>1519</v>
      </c>
      <c r="C594" s="610">
        <f t="shared" si="64"/>
        <v>0</v>
      </c>
      <c r="D594" s="611">
        <v>0</v>
      </c>
      <c r="E594" s="610">
        <f>SUMIF('Entries 24-25'!$B:$B,A:A,'Entries 24-25'!$D:$D)-SUMIF('Entries 24-25'!$B:$B,A:A,'Entries 24-25'!$E:$E)+SUMIF('IND AS entries 24-25'!$B:$B,A:A,'IND AS entries 24-25'!$D:$D)-SUMIF('IND AS entries 24-25'!$B:$B,A:A,'IND AS entries 24-25'!$E:$E)</f>
        <v>0</v>
      </c>
      <c r="F594" s="611">
        <f t="shared" si="66"/>
        <v>0</v>
      </c>
      <c r="G594" s="610"/>
      <c r="H594" s="610">
        <v>0</v>
      </c>
      <c r="I594" s="611">
        <v>0</v>
      </c>
      <c r="J594" s="610">
        <v>0</v>
      </c>
      <c r="K594" s="611">
        <f t="shared" si="67"/>
        <v>0</v>
      </c>
      <c r="L594" s="612" t="e">
        <f>VLOOKUP(A594,'BS Gr'!A:A,1,FALSE)</f>
        <v>#N/A</v>
      </c>
      <c r="M594" s="612">
        <f t="shared" si="63"/>
        <v>1</v>
      </c>
      <c r="N594" s="613">
        <f t="shared" si="65"/>
        <v>0</v>
      </c>
      <c r="O594" s="613">
        <f t="shared" si="62"/>
        <v>0</v>
      </c>
      <c r="P594" s="613">
        <v>0</v>
      </c>
      <c r="Q594" s="613">
        <f t="shared" si="61"/>
        <v>0</v>
      </c>
      <c r="R594" s="1514"/>
      <c r="S594" s="1617" t="e">
        <f>SUMIF('[105]TB for financial'!$A:$A,A594,'[105]TB for financial'!$E:$E)</f>
        <v>#VALUE!</v>
      </c>
      <c r="T594" s="613"/>
    </row>
    <row r="595" spans="1:20">
      <c r="A595" s="608">
        <v>101781</v>
      </c>
      <c r="B595" s="609" t="s">
        <v>1519</v>
      </c>
      <c r="C595" s="610">
        <f t="shared" si="64"/>
        <v>0</v>
      </c>
      <c r="D595" s="611">
        <v>0</v>
      </c>
      <c r="E595" s="610">
        <f>SUMIF('Entries 24-25'!$B:$B,A:A,'Entries 24-25'!$D:$D)-SUMIF('Entries 24-25'!$B:$B,A:A,'Entries 24-25'!$E:$E)+SUMIF('IND AS entries 24-25'!$B:$B,A:A,'IND AS entries 24-25'!$D:$D)-SUMIF('IND AS entries 24-25'!$B:$B,A:A,'IND AS entries 24-25'!$E:$E)</f>
        <v>0</v>
      </c>
      <c r="F595" s="611">
        <f t="shared" si="66"/>
        <v>0</v>
      </c>
      <c r="G595" s="610"/>
      <c r="H595" s="610">
        <v>0</v>
      </c>
      <c r="I595" s="611">
        <v>0</v>
      </c>
      <c r="J595" s="610">
        <v>0</v>
      </c>
      <c r="K595" s="611">
        <f t="shared" si="67"/>
        <v>0</v>
      </c>
      <c r="L595" s="612" t="e">
        <f>VLOOKUP(A595,'BS Gr'!A:A,1,FALSE)</f>
        <v>#N/A</v>
      </c>
      <c r="M595" s="612">
        <f t="shared" si="63"/>
        <v>1</v>
      </c>
      <c r="N595" s="613">
        <f t="shared" si="65"/>
        <v>0</v>
      </c>
      <c r="O595" s="613">
        <f t="shared" si="62"/>
        <v>0</v>
      </c>
      <c r="P595" s="613">
        <v>0</v>
      </c>
      <c r="Q595" s="613">
        <f t="shared" si="61"/>
        <v>0</v>
      </c>
      <c r="R595" s="1514"/>
      <c r="S595" s="1617" t="e">
        <f>SUMIF('[105]TB for financial'!$A:$A,A595,'[105]TB for financial'!$E:$E)</f>
        <v>#VALUE!</v>
      </c>
      <c r="T595" s="613"/>
    </row>
    <row r="596" spans="1:20">
      <c r="A596" s="608">
        <v>200050</v>
      </c>
      <c r="B596" s="609" t="s">
        <v>1520</v>
      </c>
      <c r="C596" s="610">
        <f t="shared" si="64"/>
        <v>0</v>
      </c>
      <c r="D596" s="611">
        <v>0</v>
      </c>
      <c r="E596" s="610">
        <f>SUMIF('Entries 24-25'!$B:$B,A:A,'Entries 24-25'!$D:$D)-SUMIF('Entries 24-25'!$B:$B,A:A,'Entries 24-25'!$E:$E)+SUMIF('IND AS entries 24-25'!$B:$B,A:A,'IND AS entries 24-25'!$D:$D)-SUMIF('IND AS entries 24-25'!$B:$B,A:A,'IND AS entries 24-25'!$E:$E)</f>
        <v>0</v>
      </c>
      <c r="F596" s="611">
        <f t="shared" si="66"/>
        <v>0</v>
      </c>
      <c r="G596" s="610"/>
      <c r="H596" s="610">
        <v>0</v>
      </c>
      <c r="I596" s="611">
        <v>0</v>
      </c>
      <c r="J596" s="610">
        <v>0</v>
      </c>
      <c r="K596" s="611">
        <f t="shared" si="67"/>
        <v>0</v>
      </c>
      <c r="L596" s="612" t="e">
        <f>VLOOKUP(A596,'BS Gr'!A:A,1,FALSE)</f>
        <v>#N/A</v>
      </c>
      <c r="M596" s="612">
        <f t="shared" si="63"/>
        <v>1</v>
      </c>
      <c r="N596" s="613">
        <f t="shared" si="65"/>
        <v>0</v>
      </c>
      <c r="O596" s="613">
        <f t="shared" si="62"/>
        <v>0</v>
      </c>
      <c r="P596" s="613">
        <v>0</v>
      </c>
      <c r="Q596" s="613">
        <f t="shared" si="61"/>
        <v>0</v>
      </c>
      <c r="R596" s="1514"/>
      <c r="S596" s="1617" t="e">
        <f>SUMIF('[105]TB for financial'!$A:$A,A596,'[105]TB for financial'!$E:$E)</f>
        <v>#VALUE!</v>
      </c>
      <c r="T596" s="613"/>
    </row>
    <row r="597" spans="1:20">
      <c r="A597" s="608">
        <v>200040</v>
      </c>
      <c r="B597" s="609" t="s">
        <v>1520</v>
      </c>
      <c r="C597" s="610">
        <f t="shared" si="64"/>
        <v>0</v>
      </c>
      <c r="D597" s="611">
        <v>0</v>
      </c>
      <c r="E597" s="610">
        <f>SUMIF('Entries 24-25'!$B:$B,A:A,'Entries 24-25'!$D:$D)-SUMIF('Entries 24-25'!$B:$B,A:A,'Entries 24-25'!$E:$E)+SUMIF('IND AS entries 24-25'!$B:$B,A:A,'IND AS entries 24-25'!$D:$D)-SUMIF('IND AS entries 24-25'!$B:$B,A:A,'IND AS entries 24-25'!$E:$E)</f>
        <v>0</v>
      </c>
      <c r="F597" s="611">
        <f t="shared" si="66"/>
        <v>0</v>
      </c>
      <c r="G597" s="610"/>
      <c r="H597" s="610">
        <v>0</v>
      </c>
      <c r="I597" s="611">
        <v>0</v>
      </c>
      <c r="J597" s="610">
        <v>0</v>
      </c>
      <c r="K597" s="611">
        <f t="shared" si="67"/>
        <v>0</v>
      </c>
      <c r="L597" s="612" t="e">
        <f>VLOOKUP(A597,'BS Gr'!A:A,1,FALSE)</f>
        <v>#N/A</v>
      </c>
      <c r="M597" s="612">
        <f t="shared" si="63"/>
        <v>1</v>
      </c>
      <c r="N597" s="613">
        <f t="shared" si="65"/>
        <v>0</v>
      </c>
      <c r="O597" s="613">
        <f t="shared" si="62"/>
        <v>0</v>
      </c>
      <c r="P597" s="613">
        <v>0</v>
      </c>
      <c r="Q597" s="613">
        <f t="shared" si="61"/>
        <v>0</v>
      </c>
      <c r="R597" s="1514"/>
      <c r="S597" s="1617" t="e">
        <f>SUMIF('[105]TB for financial'!$A:$A,A597,'[105]TB for financial'!$E:$E)</f>
        <v>#VALUE!</v>
      </c>
      <c r="T597" s="613"/>
    </row>
    <row r="598" spans="1:20">
      <c r="A598" s="608">
        <v>201095</v>
      </c>
      <c r="B598" s="609" t="s">
        <v>1521</v>
      </c>
      <c r="C598" s="610">
        <f t="shared" si="64"/>
        <v>0</v>
      </c>
      <c r="D598" s="611">
        <v>0</v>
      </c>
      <c r="E598" s="610">
        <f>SUMIF('Entries 24-25'!$B:$B,A:A,'Entries 24-25'!$D:$D)-SUMIF('Entries 24-25'!$B:$B,A:A,'Entries 24-25'!$E:$E)+SUMIF('IND AS entries 24-25'!$B:$B,A:A,'IND AS entries 24-25'!$D:$D)-SUMIF('IND AS entries 24-25'!$B:$B,A:A,'IND AS entries 24-25'!$E:$E)</f>
        <v>0</v>
      </c>
      <c r="F598" s="611">
        <f t="shared" si="66"/>
        <v>0</v>
      </c>
      <c r="G598" s="610"/>
      <c r="H598" s="610">
        <v>0</v>
      </c>
      <c r="I598" s="611">
        <v>0</v>
      </c>
      <c r="J598" s="610">
        <v>0</v>
      </c>
      <c r="K598" s="611">
        <f t="shared" si="67"/>
        <v>0</v>
      </c>
      <c r="L598" s="612" t="e">
        <f>VLOOKUP(A598,'BS Gr'!A:A,1,FALSE)</f>
        <v>#N/A</v>
      </c>
      <c r="M598" s="612">
        <f t="shared" si="63"/>
        <v>1</v>
      </c>
      <c r="N598" s="613">
        <f t="shared" si="65"/>
        <v>0</v>
      </c>
      <c r="O598" s="613">
        <f t="shared" si="62"/>
        <v>0</v>
      </c>
      <c r="P598" s="613">
        <v>0</v>
      </c>
      <c r="Q598" s="613">
        <f t="shared" si="61"/>
        <v>0</v>
      </c>
      <c r="R598" s="1514"/>
      <c r="S598" s="1617" t="e">
        <f>SUMIF('[105]TB for financial'!$A:$A,A598,'[105]TB for financial'!$E:$E)</f>
        <v>#VALUE!</v>
      </c>
      <c r="T598" s="613"/>
    </row>
    <row r="599" spans="1:20">
      <c r="A599" s="608">
        <v>205035</v>
      </c>
      <c r="B599" s="609" t="s">
        <v>1522</v>
      </c>
      <c r="C599" s="610">
        <f t="shared" si="64"/>
        <v>0</v>
      </c>
      <c r="D599" s="611">
        <v>0</v>
      </c>
      <c r="E599" s="610">
        <f>SUMIF('Entries 24-25'!$B:$B,A:A,'Entries 24-25'!$D:$D)-SUMIF('Entries 24-25'!$B:$B,A:A,'Entries 24-25'!$E:$E)+SUMIF('IND AS entries 24-25'!$B:$B,A:A,'IND AS entries 24-25'!$D:$D)-SUMIF('IND AS entries 24-25'!$B:$B,A:A,'IND AS entries 24-25'!$E:$E)</f>
        <v>0</v>
      </c>
      <c r="F599" s="611">
        <f t="shared" si="66"/>
        <v>0</v>
      </c>
      <c r="G599" s="610"/>
      <c r="H599" s="610">
        <v>0</v>
      </c>
      <c r="I599" s="611">
        <v>0</v>
      </c>
      <c r="J599" s="610">
        <v>0</v>
      </c>
      <c r="K599" s="611">
        <f t="shared" si="67"/>
        <v>0</v>
      </c>
      <c r="L599" s="612" t="e">
        <f>VLOOKUP(A599,'BS Gr'!A:A,1,FALSE)</f>
        <v>#N/A</v>
      </c>
      <c r="M599" s="612">
        <f t="shared" si="63"/>
        <v>1</v>
      </c>
      <c r="N599" s="613">
        <f t="shared" si="65"/>
        <v>0</v>
      </c>
      <c r="O599" s="613">
        <f t="shared" si="62"/>
        <v>0</v>
      </c>
      <c r="P599" s="613">
        <v>0</v>
      </c>
      <c r="Q599" s="613">
        <f t="shared" si="61"/>
        <v>0</v>
      </c>
      <c r="R599" s="1514"/>
      <c r="S599" s="1617" t="e">
        <f>SUMIF('[105]TB for financial'!$A:$A,A599,'[105]TB for financial'!$E:$E)</f>
        <v>#VALUE!</v>
      </c>
      <c r="T599" s="613"/>
    </row>
    <row r="600" spans="1:20">
      <c r="A600" s="608">
        <v>205055</v>
      </c>
      <c r="B600" s="609" t="s">
        <v>1523</v>
      </c>
      <c r="C600" s="610">
        <f t="shared" si="64"/>
        <v>-352962.86</v>
      </c>
      <c r="D600" s="611">
        <v>0</v>
      </c>
      <c r="E600" s="610">
        <f>SUMIF('Entries 24-25'!$B:$B,A:A,'Entries 24-25'!$D:$D)-SUMIF('Entries 24-25'!$B:$B,A:A,'Entries 24-25'!$E:$E)+SUMIF('IND AS entries 24-25'!$B:$B,A:A,'IND AS entries 24-25'!$D:$D)-SUMIF('IND AS entries 24-25'!$B:$B,A:A,'IND AS entries 24-25'!$E:$E)</f>
        <v>0</v>
      </c>
      <c r="F600" s="611">
        <f t="shared" si="66"/>
        <v>-352962.86</v>
      </c>
      <c r="G600" s="610"/>
      <c r="H600" s="610">
        <v>-352962.86</v>
      </c>
      <c r="I600" s="611">
        <v>0</v>
      </c>
      <c r="J600" s="610">
        <v>0</v>
      </c>
      <c r="K600" s="611">
        <f t="shared" si="67"/>
        <v>-352962.86</v>
      </c>
      <c r="L600" s="612" t="e">
        <f>VLOOKUP(A600,'BS Gr'!A:A,1,FALSE)</f>
        <v>#N/A</v>
      </c>
      <c r="M600" s="612">
        <f t="shared" si="63"/>
        <v>1</v>
      </c>
      <c r="N600" s="613">
        <f t="shared" si="65"/>
        <v>0</v>
      </c>
      <c r="O600" s="613">
        <f t="shared" si="62"/>
        <v>0</v>
      </c>
      <c r="P600" s="613">
        <v>0</v>
      </c>
      <c r="Q600" s="613">
        <f t="shared" si="61"/>
        <v>-352962.86</v>
      </c>
      <c r="R600" s="1514"/>
      <c r="S600" s="1617" t="e">
        <f>SUMIF('[105]TB for financial'!$A:$A,A600,'[105]TB for financial'!$E:$E)</f>
        <v>#VALUE!</v>
      </c>
      <c r="T600" s="613"/>
    </row>
    <row r="601" spans="1:20">
      <c r="A601" s="608">
        <v>205065</v>
      </c>
      <c r="B601" s="609" t="s">
        <v>1524</v>
      </c>
      <c r="C601" s="610">
        <f t="shared" si="64"/>
        <v>0</v>
      </c>
      <c r="D601" s="611">
        <v>0</v>
      </c>
      <c r="E601" s="610">
        <f>SUMIF('Entries 24-25'!$B:$B,A:A,'Entries 24-25'!$D:$D)-SUMIF('Entries 24-25'!$B:$B,A:A,'Entries 24-25'!$E:$E)+SUMIF('IND AS entries 24-25'!$B:$B,A:A,'IND AS entries 24-25'!$D:$D)-SUMIF('IND AS entries 24-25'!$B:$B,A:A,'IND AS entries 24-25'!$E:$E)</f>
        <v>0</v>
      </c>
      <c r="F601" s="611">
        <f t="shared" si="66"/>
        <v>0</v>
      </c>
      <c r="G601" s="610"/>
      <c r="H601" s="610">
        <v>0</v>
      </c>
      <c r="I601" s="611">
        <v>0</v>
      </c>
      <c r="J601" s="610">
        <v>0</v>
      </c>
      <c r="K601" s="611">
        <f t="shared" si="67"/>
        <v>0</v>
      </c>
      <c r="L601" s="612" t="e">
        <f>VLOOKUP(A601,'BS Gr'!A:A,1,FALSE)</f>
        <v>#N/A</v>
      </c>
      <c r="M601" s="612">
        <f t="shared" si="63"/>
        <v>1</v>
      </c>
      <c r="N601" s="613">
        <f t="shared" si="65"/>
        <v>0</v>
      </c>
      <c r="O601" s="613">
        <f t="shared" si="62"/>
        <v>0</v>
      </c>
      <c r="P601" s="613">
        <v>0</v>
      </c>
      <c r="Q601" s="613">
        <f t="shared" si="61"/>
        <v>0</v>
      </c>
      <c r="R601" s="1514"/>
      <c r="S601" s="1617" t="e">
        <f>SUMIF('[105]TB for financial'!$A:$A,A601,'[105]TB for financial'!$E:$E)</f>
        <v>#VALUE!</v>
      </c>
      <c r="T601" s="613"/>
    </row>
    <row r="602" spans="1:20">
      <c r="A602" s="608">
        <v>205096</v>
      </c>
      <c r="B602" s="609" t="s">
        <v>1524</v>
      </c>
      <c r="C602" s="610">
        <f t="shared" si="64"/>
        <v>0</v>
      </c>
      <c r="D602" s="611">
        <v>0</v>
      </c>
      <c r="E602" s="610">
        <f>SUMIF('Entries 24-25'!$B:$B,A:A,'Entries 24-25'!$D:$D)-SUMIF('Entries 24-25'!$B:$B,A:A,'Entries 24-25'!$E:$E)+SUMIF('IND AS entries 24-25'!$B:$B,A:A,'IND AS entries 24-25'!$D:$D)-SUMIF('IND AS entries 24-25'!$B:$B,A:A,'IND AS entries 24-25'!$E:$E)</f>
        <v>0</v>
      </c>
      <c r="F602" s="611">
        <f t="shared" si="66"/>
        <v>0</v>
      </c>
      <c r="G602" s="610"/>
      <c r="H602" s="610">
        <v>0</v>
      </c>
      <c r="I602" s="611">
        <v>0</v>
      </c>
      <c r="J602" s="610">
        <v>0</v>
      </c>
      <c r="K602" s="611">
        <f t="shared" si="67"/>
        <v>0</v>
      </c>
      <c r="L602" s="612" t="e">
        <f>VLOOKUP(A602,'BS Gr'!A:A,1,FALSE)</f>
        <v>#N/A</v>
      </c>
      <c r="M602" s="612">
        <f t="shared" si="63"/>
        <v>1</v>
      </c>
      <c r="N602" s="613">
        <f t="shared" si="65"/>
        <v>0</v>
      </c>
      <c r="O602" s="613">
        <f t="shared" si="62"/>
        <v>0</v>
      </c>
      <c r="P602" s="613">
        <v>0</v>
      </c>
      <c r="Q602" s="613">
        <f t="shared" si="61"/>
        <v>0</v>
      </c>
      <c r="R602" s="1514"/>
      <c r="S602" s="1617" t="e">
        <f>SUMIF('[105]TB for financial'!$A:$A,A602,'[105]TB for financial'!$E:$E)</f>
        <v>#VALUE!</v>
      </c>
      <c r="T602" s="613"/>
    </row>
    <row r="603" spans="1:20">
      <c r="A603" s="608">
        <v>205097</v>
      </c>
      <c r="B603" s="609" t="s">
        <v>1521</v>
      </c>
      <c r="C603" s="610">
        <f t="shared" si="64"/>
        <v>0</v>
      </c>
      <c r="D603" s="611">
        <v>0</v>
      </c>
      <c r="E603" s="610">
        <f>SUMIF('Entries 24-25'!$B:$B,A:A,'Entries 24-25'!$D:$D)-SUMIF('Entries 24-25'!$B:$B,A:A,'Entries 24-25'!$E:$E)+SUMIF('IND AS entries 24-25'!$B:$B,A:A,'IND AS entries 24-25'!$D:$D)-SUMIF('IND AS entries 24-25'!$B:$B,A:A,'IND AS entries 24-25'!$E:$E)</f>
        <v>0</v>
      </c>
      <c r="F603" s="611">
        <f t="shared" si="66"/>
        <v>0</v>
      </c>
      <c r="G603" s="610"/>
      <c r="H603" s="610">
        <v>0</v>
      </c>
      <c r="I603" s="611">
        <v>0</v>
      </c>
      <c r="J603" s="610">
        <v>0</v>
      </c>
      <c r="K603" s="611">
        <f t="shared" si="67"/>
        <v>0</v>
      </c>
      <c r="L603" s="612" t="e">
        <f>VLOOKUP(A603,'BS Gr'!A:A,1,FALSE)</f>
        <v>#N/A</v>
      </c>
      <c r="M603" s="612">
        <f t="shared" si="63"/>
        <v>1</v>
      </c>
      <c r="N603" s="613">
        <f t="shared" si="65"/>
        <v>0</v>
      </c>
      <c r="O603" s="613">
        <f t="shared" si="62"/>
        <v>0</v>
      </c>
      <c r="P603" s="613">
        <v>0</v>
      </c>
      <c r="Q603" s="613">
        <f t="shared" si="61"/>
        <v>0</v>
      </c>
      <c r="R603" s="1514"/>
      <c r="S603" s="1617" t="e">
        <f>SUMIF('[105]TB for financial'!$A:$A,A603,'[105]TB for financial'!$E:$E)</f>
        <v>#VALUE!</v>
      </c>
      <c r="T603" s="613"/>
    </row>
    <row r="604" spans="1:20">
      <c r="A604" s="608">
        <v>205098</v>
      </c>
      <c r="B604" s="609" t="s">
        <v>1523</v>
      </c>
      <c r="C604" s="610">
        <f t="shared" si="64"/>
        <v>352962.86</v>
      </c>
      <c r="D604" s="611">
        <v>0</v>
      </c>
      <c r="E604" s="610">
        <f>SUMIF('Entries 24-25'!$B:$B,A:A,'Entries 24-25'!$D:$D)-SUMIF('Entries 24-25'!$B:$B,A:A,'Entries 24-25'!$E:$E)+SUMIF('IND AS entries 24-25'!$B:$B,A:A,'IND AS entries 24-25'!$D:$D)-SUMIF('IND AS entries 24-25'!$B:$B,A:A,'IND AS entries 24-25'!$E:$E)</f>
        <v>0</v>
      </c>
      <c r="F604" s="611">
        <f t="shared" si="66"/>
        <v>352962.86</v>
      </c>
      <c r="G604" s="610"/>
      <c r="H604" s="610">
        <v>352962.86</v>
      </c>
      <c r="I604" s="611">
        <v>0</v>
      </c>
      <c r="J604" s="610">
        <v>0</v>
      </c>
      <c r="K604" s="611">
        <f t="shared" si="67"/>
        <v>352962.86</v>
      </c>
      <c r="L604" s="612" t="e">
        <f>VLOOKUP(A604,'BS Gr'!A:A,1,FALSE)</f>
        <v>#N/A</v>
      </c>
      <c r="M604" s="612">
        <f t="shared" si="63"/>
        <v>1</v>
      </c>
      <c r="N604" s="613">
        <f t="shared" si="65"/>
        <v>0</v>
      </c>
      <c r="O604" s="613">
        <f t="shared" si="62"/>
        <v>0</v>
      </c>
      <c r="P604" s="613">
        <v>0</v>
      </c>
      <c r="Q604" s="613">
        <f t="shared" ref="Q604:Q615" si="68">+K604-P604</f>
        <v>352962.86</v>
      </c>
      <c r="R604" s="1514"/>
      <c r="S604" s="1617" t="e">
        <f>SUMIF('[105]TB for financial'!$A:$A,A604,'[105]TB for financial'!$E:$E)</f>
        <v>#VALUE!</v>
      </c>
      <c r="T604" s="613"/>
    </row>
    <row r="605" spans="1:20">
      <c r="A605" s="608">
        <v>301006</v>
      </c>
      <c r="B605" s="609" t="s">
        <v>1525</v>
      </c>
      <c r="C605" s="610">
        <f t="shared" si="64"/>
        <v>0</v>
      </c>
      <c r="D605" s="611">
        <v>0</v>
      </c>
      <c r="E605" s="610">
        <f>SUMIF('Entries 24-25'!$B:$B,A:A,'Entries 24-25'!$D:$D)-SUMIF('Entries 24-25'!$B:$B,A:A,'Entries 24-25'!$E:$E)+SUMIF('IND AS entries 24-25'!$B:$B,A:A,'IND AS entries 24-25'!$D:$D)-SUMIF('IND AS entries 24-25'!$B:$B,A:A,'IND AS entries 24-25'!$E:$E)</f>
        <v>0</v>
      </c>
      <c r="F605" s="611">
        <f t="shared" si="66"/>
        <v>0</v>
      </c>
      <c r="G605" s="610"/>
      <c r="H605" s="610">
        <v>0</v>
      </c>
      <c r="I605" s="611">
        <v>0</v>
      </c>
      <c r="J605" s="610">
        <v>0</v>
      </c>
      <c r="K605" s="611">
        <f t="shared" si="67"/>
        <v>0</v>
      </c>
      <c r="L605" s="612">
        <f>VLOOKUP(A605,'BS Gr'!A:A,1,FALSE)</f>
        <v>301006</v>
      </c>
      <c r="M605" s="612">
        <f t="shared" si="63"/>
        <v>1</v>
      </c>
      <c r="N605" s="613">
        <f t="shared" si="65"/>
        <v>0</v>
      </c>
      <c r="O605" s="613">
        <f t="shared" si="62"/>
        <v>0</v>
      </c>
      <c r="P605" s="613">
        <v>0</v>
      </c>
      <c r="Q605" s="613">
        <f t="shared" si="68"/>
        <v>0</v>
      </c>
      <c r="R605" s="1514"/>
      <c r="S605" s="1617" t="e">
        <f>SUMIF('[105]TB for financial'!$A:$A,A605,'[105]TB for financial'!$E:$E)</f>
        <v>#VALUE!</v>
      </c>
      <c r="T605" s="613"/>
    </row>
    <row r="606" spans="1:20">
      <c r="A606" s="608">
        <v>301007</v>
      </c>
      <c r="B606" s="609" t="s">
        <v>1526</v>
      </c>
      <c r="C606" s="610">
        <f t="shared" si="64"/>
        <v>0</v>
      </c>
      <c r="D606" s="1652">
        <v>0</v>
      </c>
      <c r="E606" s="610">
        <f>SUMIF('Entries 24-25'!$B:$B,A:A,'Entries 24-25'!$D:$D)-SUMIF('Entries 24-25'!$B:$B,A:A,'Entries 24-25'!$E:$E)+SUMIF('IND AS entries 24-25'!$B:$B,A:A,'IND AS entries 24-25'!$D:$D)-SUMIF('IND AS entries 24-25'!$B:$B,A:A,'IND AS entries 24-25'!$E:$E)</f>
        <v>0</v>
      </c>
      <c r="F606" s="611">
        <f t="shared" si="66"/>
        <v>0</v>
      </c>
      <c r="G606" s="610"/>
      <c r="H606" s="610">
        <v>0</v>
      </c>
      <c r="I606" s="611">
        <v>0</v>
      </c>
      <c r="J606" s="610">
        <v>0</v>
      </c>
      <c r="K606" s="611">
        <f t="shared" si="67"/>
        <v>0</v>
      </c>
      <c r="L606" s="612" t="e">
        <f>VLOOKUP(A606,'BS Gr'!A:A,1,FALSE)</f>
        <v>#N/A</v>
      </c>
      <c r="M606" s="612">
        <f t="shared" si="63"/>
        <v>1</v>
      </c>
      <c r="N606" s="613">
        <f t="shared" si="65"/>
        <v>0</v>
      </c>
      <c r="O606" s="613">
        <f t="shared" si="62"/>
        <v>0</v>
      </c>
      <c r="P606" s="613">
        <v>0</v>
      </c>
      <c r="Q606" s="613">
        <f t="shared" si="68"/>
        <v>0</v>
      </c>
      <c r="R606" s="1514"/>
      <c r="S606" s="1617" t="e">
        <f>SUMIF('[105]TB for financial'!$A:$A,A606,'[105]TB for financial'!$E:$E)</f>
        <v>#VALUE!</v>
      </c>
      <c r="T606" s="613"/>
    </row>
    <row r="607" spans="1:20">
      <c r="A607" s="608">
        <v>301008</v>
      </c>
      <c r="B607" s="609" t="s">
        <v>707</v>
      </c>
      <c r="C607" s="610">
        <f t="shared" si="64"/>
        <v>0</v>
      </c>
      <c r="D607" s="1652">
        <v>0</v>
      </c>
      <c r="E607" s="610">
        <f>SUMIF('Entries 24-25'!$B:$B,A:A,'Entries 24-25'!$D:$D)-SUMIF('Entries 24-25'!$B:$B,A:A,'Entries 24-25'!$E:$E)+SUMIF('IND AS entries 24-25'!$B:$B,A:A,'IND AS entries 24-25'!$D:$D)-SUMIF('IND AS entries 24-25'!$B:$B,A:A,'IND AS entries 24-25'!$E:$E)</f>
        <v>0</v>
      </c>
      <c r="F607" s="611">
        <f t="shared" si="66"/>
        <v>0</v>
      </c>
      <c r="G607" s="610"/>
      <c r="H607" s="610">
        <v>0</v>
      </c>
      <c r="I607" s="1519">
        <v>0</v>
      </c>
      <c r="J607" s="1524">
        <v>0</v>
      </c>
      <c r="K607" s="611">
        <f t="shared" si="67"/>
        <v>0</v>
      </c>
      <c r="L607" s="612">
        <f>VLOOKUP(A607,'BS Gr'!A:A,1,FALSE)</f>
        <v>301008</v>
      </c>
      <c r="M607" s="612">
        <f t="shared" si="63"/>
        <v>1</v>
      </c>
      <c r="N607" s="613">
        <f t="shared" si="65"/>
        <v>0</v>
      </c>
      <c r="O607" s="613">
        <f t="shared" si="62"/>
        <v>0</v>
      </c>
      <c r="P607" s="613">
        <v>-466940.97450000001</v>
      </c>
      <c r="Q607" s="613">
        <f t="shared" si="68"/>
        <v>466940.97450000001</v>
      </c>
      <c r="R607" s="1514"/>
      <c r="S607" s="1617" t="e">
        <f>SUMIF('[105]TB for financial'!$A:$A,A607,'[105]TB for financial'!$E:$E)</f>
        <v>#VALUE!</v>
      </c>
      <c r="T607" s="613"/>
    </row>
    <row r="608" spans="1:20">
      <c r="A608" s="608">
        <v>888913</v>
      </c>
      <c r="B608" s="609" t="s">
        <v>1527</v>
      </c>
      <c r="C608" s="610">
        <f t="shared" si="64"/>
        <v>0</v>
      </c>
      <c r="D608" s="611">
        <v>0</v>
      </c>
      <c r="E608" s="610">
        <f>SUMIF('Entries 24-25'!$B:$B,A:A,'Entries 24-25'!$D:$D)-SUMIF('Entries 24-25'!$B:$B,A:A,'Entries 24-25'!$E:$E)+SUMIF('IND AS entries 24-25'!$B:$B,A:A,'IND AS entries 24-25'!$D:$D)-SUMIF('IND AS entries 24-25'!$B:$B,A:A,'IND AS entries 24-25'!$E:$E)</f>
        <v>0</v>
      </c>
      <c r="F608" s="611">
        <f t="shared" si="66"/>
        <v>0</v>
      </c>
      <c r="G608" s="610"/>
      <c r="H608" s="610">
        <v>0</v>
      </c>
      <c r="I608" s="1519">
        <v>0</v>
      </c>
      <c r="J608" s="1524">
        <v>0</v>
      </c>
      <c r="K608" s="611">
        <f t="shared" si="67"/>
        <v>0</v>
      </c>
      <c r="L608" s="612" t="e">
        <f>VLOOKUP(A608,'BS Gr'!A:A,1,FALSE)</f>
        <v>#N/A</v>
      </c>
      <c r="M608" s="612">
        <f t="shared" si="63"/>
        <v>1</v>
      </c>
      <c r="N608" s="613">
        <f t="shared" si="65"/>
        <v>0</v>
      </c>
      <c r="O608" s="613">
        <f t="shared" si="62"/>
        <v>0</v>
      </c>
      <c r="P608" s="613">
        <v>0</v>
      </c>
      <c r="Q608" s="613">
        <f t="shared" si="68"/>
        <v>0</v>
      </c>
      <c r="R608" s="1514"/>
      <c r="S608" s="1617" t="e">
        <f>SUMIF('[105]TB for financial'!$A:$A,A608,'[105]TB for financial'!$E:$E)</f>
        <v>#VALUE!</v>
      </c>
      <c r="T608" s="613"/>
    </row>
    <row r="609" spans="1:20">
      <c r="A609" s="608">
        <v>888914</v>
      </c>
      <c r="B609" s="609" t="s">
        <v>1527</v>
      </c>
      <c r="C609" s="610">
        <f t="shared" si="64"/>
        <v>0</v>
      </c>
      <c r="D609" s="611">
        <v>0</v>
      </c>
      <c r="E609" s="610">
        <f>SUMIF('Entries 24-25'!$B:$B,A:A,'Entries 24-25'!$D:$D)-SUMIF('Entries 24-25'!$B:$B,A:A,'Entries 24-25'!$E:$E)+SUMIF('IND AS entries 24-25'!$B:$B,A:A,'IND AS entries 24-25'!$D:$D)-SUMIF('IND AS entries 24-25'!$B:$B,A:A,'IND AS entries 24-25'!$E:$E)</f>
        <v>0</v>
      </c>
      <c r="F609" s="611">
        <f t="shared" si="66"/>
        <v>0</v>
      </c>
      <c r="G609" s="610"/>
      <c r="H609" s="610">
        <v>0</v>
      </c>
      <c r="I609" s="611">
        <v>0</v>
      </c>
      <c r="J609" s="610">
        <v>0</v>
      </c>
      <c r="K609" s="611">
        <f t="shared" si="67"/>
        <v>0</v>
      </c>
      <c r="L609" s="612" t="e">
        <f>VLOOKUP(A609,'BS Gr'!A:A,1,FALSE)</f>
        <v>#N/A</v>
      </c>
      <c r="M609" s="612">
        <f t="shared" si="63"/>
        <v>1</v>
      </c>
      <c r="N609" s="613">
        <f t="shared" si="65"/>
        <v>0</v>
      </c>
      <c r="O609" s="613">
        <f t="shared" si="62"/>
        <v>0</v>
      </c>
      <c r="P609" s="613">
        <v>0</v>
      </c>
      <c r="Q609" s="613">
        <f t="shared" si="68"/>
        <v>0</v>
      </c>
      <c r="R609" s="1514"/>
      <c r="S609" s="1617" t="e">
        <f>SUMIF('[105]TB for financial'!$A:$A,A609,'[105]TB for financial'!$E:$E)</f>
        <v>#VALUE!</v>
      </c>
      <c r="T609" s="613"/>
    </row>
    <row r="610" spans="1:20">
      <c r="A610" s="608">
        <v>100512</v>
      </c>
      <c r="B610" s="609" t="s">
        <v>1528</v>
      </c>
      <c r="C610" s="610">
        <f t="shared" si="64"/>
        <v>0</v>
      </c>
      <c r="D610" s="611">
        <v>0</v>
      </c>
      <c r="E610" s="610">
        <f>SUMIF('Entries 24-25'!$B:$B,A:A,'Entries 24-25'!$D:$D)-SUMIF('Entries 24-25'!$B:$B,A:A,'Entries 24-25'!$E:$E)+SUMIF('IND AS entries 24-25'!$B:$B,A:A,'IND AS entries 24-25'!$D:$D)-SUMIF('IND AS entries 24-25'!$B:$B,A:A,'IND AS entries 24-25'!$E:$E)</f>
        <v>0</v>
      </c>
      <c r="F610" s="611">
        <f t="shared" si="66"/>
        <v>0</v>
      </c>
      <c r="G610" s="610"/>
      <c r="H610" s="610">
        <v>0</v>
      </c>
      <c r="I610" s="611">
        <v>0</v>
      </c>
      <c r="J610" s="610">
        <v>0</v>
      </c>
      <c r="K610" s="611">
        <f t="shared" si="67"/>
        <v>0</v>
      </c>
      <c r="L610" s="612" t="e">
        <f>VLOOKUP(A610,'BS Gr'!A:A,1,FALSE)</f>
        <v>#N/A</v>
      </c>
      <c r="M610" s="612">
        <f t="shared" si="63"/>
        <v>1</v>
      </c>
      <c r="N610" s="613">
        <f t="shared" si="65"/>
        <v>0</v>
      </c>
      <c r="O610" s="613">
        <f t="shared" si="62"/>
        <v>0</v>
      </c>
      <c r="P610" s="613">
        <v>0</v>
      </c>
      <c r="Q610" s="613">
        <f t="shared" si="68"/>
        <v>0</v>
      </c>
      <c r="R610" s="1514"/>
      <c r="S610" s="1617" t="e">
        <f>SUMIF('[105]TB for financial'!$A:$A,A610,'[105]TB for financial'!$E:$E)</f>
        <v>#VALUE!</v>
      </c>
      <c r="T610" s="613"/>
    </row>
    <row r="611" spans="1:20">
      <c r="A611" s="608">
        <v>100544</v>
      </c>
      <c r="B611" s="609" t="s">
        <v>1529</v>
      </c>
      <c r="C611" s="610">
        <f t="shared" si="64"/>
        <v>0</v>
      </c>
      <c r="D611" s="611">
        <v>0</v>
      </c>
      <c r="E611" s="610">
        <f>SUMIF('Entries 24-25'!$B:$B,A:A,'Entries 24-25'!$D:$D)-SUMIF('Entries 24-25'!$B:$B,A:A,'Entries 24-25'!$E:$E)+SUMIF('IND AS entries 24-25'!$B:$B,A:A,'IND AS entries 24-25'!$D:$D)-SUMIF('IND AS entries 24-25'!$B:$B,A:A,'IND AS entries 24-25'!$E:$E)</f>
        <v>0</v>
      </c>
      <c r="F611" s="611">
        <f t="shared" si="66"/>
        <v>0</v>
      </c>
      <c r="G611" s="610"/>
      <c r="H611" s="610">
        <v>0</v>
      </c>
      <c r="I611" s="611">
        <v>0</v>
      </c>
      <c r="J611" s="610">
        <v>0</v>
      </c>
      <c r="K611" s="611">
        <f t="shared" si="67"/>
        <v>0</v>
      </c>
      <c r="L611" s="612">
        <f>VLOOKUP(A611,'BS Gr'!A:A,1,FALSE)</f>
        <v>100544</v>
      </c>
      <c r="M611" s="612">
        <f t="shared" si="63"/>
        <v>1</v>
      </c>
      <c r="N611" s="613">
        <f t="shared" si="65"/>
        <v>0</v>
      </c>
      <c r="O611" s="613">
        <f t="shared" si="62"/>
        <v>0</v>
      </c>
      <c r="P611" s="613">
        <v>0</v>
      </c>
      <c r="Q611" s="613">
        <f t="shared" si="68"/>
        <v>0</v>
      </c>
      <c r="R611" s="1514"/>
      <c r="S611" s="1617" t="e">
        <f>SUMIF('[105]TB for financial'!$A:$A,A611,'[105]TB for financial'!$E:$E)</f>
        <v>#VALUE!</v>
      </c>
      <c r="T611" s="613"/>
    </row>
    <row r="612" spans="1:20">
      <c r="A612" s="608">
        <v>110511</v>
      </c>
      <c r="B612" s="609" t="s">
        <v>1530</v>
      </c>
      <c r="C612" s="610">
        <f t="shared" si="64"/>
        <v>0</v>
      </c>
      <c r="D612" s="611">
        <v>0</v>
      </c>
      <c r="E612" s="610">
        <f>SUMIF('Entries 24-25'!$B:$B,A:A,'Entries 24-25'!$D:$D)-SUMIF('Entries 24-25'!$B:$B,A:A,'Entries 24-25'!$E:$E)+SUMIF('IND AS entries 24-25'!$B:$B,A:A,'IND AS entries 24-25'!$D:$D)-SUMIF('IND AS entries 24-25'!$B:$B,A:A,'IND AS entries 24-25'!$E:$E)</f>
        <v>0</v>
      </c>
      <c r="F612" s="611">
        <f t="shared" si="66"/>
        <v>0</v>
      </c>
      <c r="G612" s="610"/>
      <c r="H612" s="610">
        <v>0</v>
      </c>
      <c r="I612" s="611">
        <v>0</v>
      </c>
      <c r="J612" s="610">
        <v>0</v>
      </c>
      <c r="K612" s="611">
        <f t="shared" si="67"/>
        <v>0</v>
      </c>
      <c r="L612" s="612" t="e">
        <f>VLOOKUP(A612,'BS Gr'!A:A,1,FALSE)</f>
        <v>#N/A</v>
      </c>
      <c r="M612" s="612">
        <f t="shared" si="63"/>
        <v>1</v>
      </c>
      <c r="N612" s="613">
        <f t="shared" si="65"/>
        <v>0</v>
      </c>
      <c r="O612" s="613">
        <f t="shared" si="62"/>
        <v>0</v>
      </c>
      <c r="P612" s="613">
        <v>0</v>
      </c>
      <c r="Q612" s="613">
        <f t="shared" si="68"/>
        <v>0</v>
      </c>
      <c r="R612" s="1514"/>
      <c r="S612" s="1617" t="e">
        <f>SUMIF('[105]TB for financial'!$A:$A,A612,'[105]TB for financial'!$E:$E)</f>
        <v>#VALUE!</v>
      </c>
      <c r="T612" s="613"/>
    </row>
    <row r="613" spans="1:20">
      <c r="A613" s="608">
        <v>110596</v>
      </c>
      <c r="B613" s="609" t="s">
        <v>1531</v>
      </c>
      <c r="C613" s="610">
        <f t="shared" si="64"/>
        <v>0</v>
      </c>
      <c r="D613" s="611">
        <v>0</v>
      </c>
      <c r="E613" s="610">
        <f>SUMIF('Entries 24-25'!$B:$B,A:A,'Entries 24-25'!$D:$D)-SUMIF('Entries 24-25'!$B:$B,A:A,'Entries 24-25'!$E:$E)+SUMIF('IND AS entries 24-25'!$B:$B,A:A,'IND AS entries 24-25'!$D:$D)-SUMIF('IND AS entries 24-25'!$B:$B,A:A,'IND AS entries 24-25'!$E:$E)</f>
        <v>0</v>
      </c>
      <c r="F613" s="611">
        <f t="shared" si="66"/>
        <v>0</v>
      </c>
      <c r="G613" s="610"/>
      <c r="H613" s="610">
        <v>0</v>
      </c>
      <c r="I613" s="611">
        <v>0</v>
      </c>
      <c r="J613" s="610">
        <v>0</v>
      </c>
      <c r="K613" s="611">
        <f t="shared" si="67"/>
        <v>0</v>
      </c>
      <c r="L613" s="612">
        <f>VLOOKUP(A613,'BS Gr'!A:A,1,FALSE)</f>
        <v>110596</v>
      </c>
      <c r="M613" s="612">
        <f t="shared" si="63"/>
        <v>1</v>
      </c>
      <c r="N613" s="613">
        <f t="shared" si="65"/>
        <v>0</v>
      </c>
      <c r="O613" s="613">
        <f t="shared" si="62"/>
        <v>0</v>
      </c>
      <c r="P613" s="613">
        <v>0</v>
      </c>
      <c r="Q613" s="613">
        <f t="shared" si="68"/>
        <v>0</v>
      </c>
      <c r="R613" s="1514"/>
      <c r="S613" s="1617" t="e">
        <f>SUMIF('[105]TB for financial'!$A:$A,A613,'[105]TB for financial'!$E:$E)</f>
        <v>#VALUE!</v>
      </c>
      <c r="T613" s="613"/>
    </row>
    <row r="614" spans="1:20">
      <c r="A614" s="608">
        <v>101873</v>
      </c>
      <c r="B614" s="609" t="s">
        <v>1532</v>
      </c>
      <c r="C614" s="610">
        <f t="shared" si="64"/>
        <v>0.5062559824436903</v>
      </c>
      <c r="D614" s="611">
        <v>0</v>
      </c>
      <c r="E614" s="610">
        <f>SUMIF('Entries 24-25'!$B:$B,A:A,'Entries 24-25'!$D:$D)-SUMIF('Entries 24-25'!$B:$B,A:A,'Entries 24-25'!$E:$E)+SUMIF('IND AS entries 24-25'!$B:$B,A:A,'IND AS entries 24-25'!$D:$D)-SUMIF('IND AS entries 24-25'!$B:$B,A:A,'IND AS entries 24-25'!$E:$E)</f>
        <v>0</v>
      </c>
      <c r="F614" s="611">
        <f t="shared" si="66"/>
        <v>0.5062559824436903</v>
      </c>
      <c r="G614" s="610"/>
      <c r="H614" s="610">
        <v>0.5062559824436903</v>
      </c>
      <c r="I614" s="611">
        <v>0</v>
      </c>
      <c r="J614" s="610">
        <v>0</v>
      </c>
      <c r="K614" s="611">
        <f t="shared" si="67"/>
        <v>0.5062559824436903</v>
      </c>
      <c r="L614" s="612">
        <f>VLOOKUP(A614,'BS Gr'!A:A,1,FALSE)</f>
        <v>101873</v>
      </c>
      <c r="M614" s="612">
        <f t="shared" si="63"/>
        <v>1</v>
      </c>
      <c r="N614" s="613">
        <f t="shared" si="65"/>
        <v>0</v>
      </c>
      <c r="O614" s="613">
        <f t="shared" si="62"/>
        <v>0</v>
      </c>
      <c r="P614" s="613">
        <v>0</v>
      </c>
      <c r="Q614" s="613">
        <f t="shared" si="68"/>
        <v>0.5062559824436903</v>
      </c>
      <c r="R614" s="1514"/>
      <c r="S614" s="1617" t="e">
        <f>SUMIF('[105]TB for financial'!$A:$A,A614,'[105]TB for financial'!$E:$E)</f>
        <v>#VALUE!</v>
      </c>
      <c r="T614" s="613"/>
    </row>
    <row r="615" spans="1:20">
      <c r="A615" s="608">
        <v>710102</v>
      </c>
      <c r="B615" s="609" t="s">
        <v>1533</v>
      </c>
      <c r="C615" s="610">
        <f t="shared" si="64"/>
        <v>0</v>
      </c>
      <c r="D615" s="611">
        <v>0</v>
      </c>
      <c r="E615" s="610">
        <f>SUMIF('Entries 24-25'!$B:$B,A:A,'Entries 24-25'!$D:$D)-SUMIF('Entries 24-25'!$B:$B,A:A,'Entries 24-25'!$E:$E)+SUMIF('IND AS entries 24-25'!$B:$B,A:A,'IND AS entries 24-25'!$D:$D)-SUMIF('IND AS entries 24-25'!$B:$B,A:A,'IND AS entries 24-25'!$E:$E)</f>
        <v>0</v>
      </c>
      <c r="F615" s="611">
        <f t="shared" si="66"/>
        <v>0</v>
      </c>
      <c r="G615" s="610"/>
      <c r="H615" s="610">
        <v>0</v>
      </c>
      <c r="I615" s="611">
        <v>0</v>
      </c>
      <c r="J615" s="610">
        <v>0</v>
      </c>
      <c r="K615" s="611">
        <f t="shared" si="67"/>
        <v>0</v>
      </c>
      <c r="L615" s="612">
        <f>VLOOKUP(A615,'BS Gr'!A:A,1,FALSE)</f>
        <v>710102</v>
      </c>
      <c r="M615" s="612">
        <f t="shared" si="63"/>
        <v>1</v>
      </c>
      <c r="N615" s="613">
        <f t="shared" si="65"/>
        <v>0</v>
      </c>
      <c r="O615" s="613">
        <f t="shared" si="62"/>
        <v>0</v>
      </c>
      <c r="P615" s="613">
        <v>0</v>
      </c>
      <c r="Q615" s="613">
        <f t="shared" si="68"/>
        <v>0</v>
      </c>
      <c r="R615" s="1514"/>
      <c r="S615" s="1617" t="e">
        <f>SUMIF('[105]TB for financial'!$A:$A,A615,'[105]TB for financial'!$E:$E)</f>
        <v>#VALUE!</v>
      </c>
      <c r="T615" s="613"/>
    </row>
    <row r="616" spans="1:20">
      <c r="A616" s="608">
        <v>300018</v>
      </c>
      <c r="B616" s="609" t="s">
        <v>1534</v>
      </c>
      <c r="C616" s="610">
        <f t="shared" si="64"/>
        <v>0</v>
      </c>
      <c r="D616" s="611">
        <v>0</v>
      </c>
      <c r="E616" s="610">
        <f>SUMIF('Entries 24-25'!$B:$B,A:A,'Entries 24-25'!$D:$D)-SUMIF('Entries 24-25'!$B:$B,A:A,'Entries 24-25'!$E:$E)+SUMIF('IND AS entries 24-25'!$B:$B,A:A,'IND AS entries 24-25'!$D:$D)-SUMIF('IND AS entries 24-25'!$B:$B,A:A,'IND AS entries 24-25'!$E:$E)</f>
        <v>0</v>
      </c>
      <c r="F616" s="611">
        <f t="shared" si="66"/>
        <v>0</v>
      </c>
      <c r="G616" s="610"/>
      <c r="H616" s="610">
        <v>0</v>
      </c>
      <c r="I616" s="611">
        <v>0</v>
      </c>
      <c r="J616" s="610">
        <v>0</v>
      </c>
      <c r="K616" s="611">
        <f t="shared" si="67"/>
        <v>0</v>
      </c>
      <c r="L616" s="612">
        <f>VLOOKUP(A616,'BS Gr'!A:A,1,FALSE)</f>
        <v>300018</v>
      </c>
      <c r="M616" s="612">
        <f t="shared" si="63"/>
        <v>1</v>
      </c>
      <c r="N616" s="613">
        <f t="shared" si="65"/>
        <v>0</v>
      </c>
      <c r="O616" s="613">
        <f>C616-K616</f>
        <v>0</v>
      </c>
      <c r="P616" s="613">
        <v>0</v>
      </c>
      <c r="Q616" s="613">
        <f>+K616-P616</f>
        <v>0</v>
      </c>
      <c r="R616" s="1514"/>
      <c r="S616" s="1617" t="e">
        <f>SUMIF('[105]TB for financial'!$A:$A,A616,'[105]TB for financial'!$E:$E)</f>
        <v>#VALUE!</v>
      </c>
      <c r="T616" s="613"/>
    </row>
    <row r="617" spans="1:20">
      <c r="A617" s="608">
        <v>300212</v>
      </c>
      <c r="B617" s="609" t="s">
        <v>1535</v>
      </c>
      <c r="C617" s="610">
        <f t="shared" si="64"/>
        <v>0</v>
      </c>
      <c r="D617" s="611">
        <v>0</v>
      </c>
      <c r="E617" s="610">
        <f>SUMIF('Entries 24-25'!$B:$B,A:A,'Entries 24-25'!$D:$D)-SUMIF('Entries 24-25'!$B:$B,A:A,'Entries 24-25'!$E:$E)+SUMIF('IND AS entries 24-25'!$B:$B,A:A,'IND AS entries 24-25'!$D:$D)-SUMIF('IND AS entries 24-25'!$B:$B,A:A,'IND AS entries 24-25'!$E:$E)</f>
        <v>0</v>
      </c>
      <c r="F617" s="611">
        <f t="shared" si="66"/>
        <v>0</v>
      </c>
      <c r="G617" s="610"/>
      <c r="H617" s="610">
        <v>0</v>
      </c>
      <c r="I617" s="611">
        <v>0</v>
      </c>
      <c r="J617" s="610">
        <v>0</v>
      </c>
      <c r="K617" s="611">
        <f t="shared" si="67"/>
        <v>0</v>
      </c>
      <c r="L617" s="612">
        <f>VLOOKUP(A617,'BS Gr'!A:A,1,FALSE)</f>
        <v>300212</v>
      </c>
      <c r="M617" s="612">
        <f t="shared" si="63"/>
        <v>1</v>
      </c>
      <c r="N617" s="613">
        <f t="shared" si="65"/>
        <v>0</v>
      </c>
      <c r="O617" s="613">
        <f>C617-K617</f>
        <v>0</v>
      </c>
      <c r="P617" s="613">
        <v>0</v>
      </c>
      <c r="Q617" s="613">
        <f>+K617-P617</f>
        <v>0</v>
      </c>
      <c r="R617" s="1514"/>
      <c r="S617" s="1617" t="e">
        <f>SUMIF('[105]TB for financial'!$A:$A,A617,'[105]TB for financial'!$E:$E)</f>
        <v>#VALUE!</v>
      </c>
      <c r="T617" s="613"/>
    </row>
    <row r="618" spans="1:20">
      <c r="A618" s="608">
        <v>110049</v>
      </c>
      <c r="B618" s="609" t="s">
        <v>2294</v>
      </c>
      <c r="C618" s="610">
        <f t="shared" si="64"/>
        <v>0</v>
      </c>
      <c r="D618" s="611">
        <v>0</v>
      </c>
      <c r="E618" s="610">
        <f>SUMIF('Entries 24-25'!$B:$B,A:A,'Entries 24-25'!$D:$D)-SUMIF('Entries 24-25'!$B:$B,A:A,'Entries 24-25'!$E:$E)+SUMIF('IND AS entries 24-25'!$B:$B,A:A,'IND AS entries 24-25'!$D:$D)-SUMIF('IND AS entries 24-25'!$B:$B,A:A,'IND AS entries 24-25'!$E:$E)</f>
        <v>0</v>
      </c>
      <c r="F618" s="611">
        <f t="shared" si="66"/>
        <v>0</v>
      </c>
      <c r="G618" s="610"/>
      <c r="H618" s="610">
        <v>0</v>
      </c>
      <c r="I618" s="611">
        <v>0</v>
      </c>
      <c r="J618" s="610">
        <v>0</v>
      </c>
      <c r="K618" s="611">
        <f t="shared" si="67"/>
        <v>0</v>
      </c>
      <c r="L618" s="612">
        <f>VLOOKUP(A618,'BS Gr'!A:A,1,FALSE)</f>
        <v>110049</v>
      </c>
      <c r="M618" s="612">
        <f t="shared" si="63"/>
        <v>1</v>
      </c>
      <c r="N618" s="613">
        <f t="shared" si="65"/>
        <v>0</v>
      </c>
      <c r="O618" s="613"/>
      <c r="P618" s="613"/>
      <c r="Q618" s="613"/>
      <c r="R618" s="1514"/>
      <c r="S618" s="1617" t="e">
        <f>SUMIF('[105]TB for financial'!$A:$A,A618,'[105]TB for financial'!$E:$E)</f>
        <v>#VALUE!</v>
      </c>
      <c r="T618" s="613"/>
    </row>
    <row r="619" spans="1:20">
      <c r="A619" s="608">
        <v>110156</v>
      </c>
      <c r="B619" s="609" t="s">
        <v>2300</v>
      </c>
      <c r="C619" s="610">
        <f t="shared" si="64"/>
        <v>0</v>
      </c>
      <c r="D619" s="611">
        <v>0</v>
      </c>
      <c r="E619" s="610">
        <f>SUMIF('Entries 24-25'!$B:$B,A:A,'Entries 24-25'!$D:$D)-SUMIF('Entries 24-25'!$B:$B,A:A,'Entries 24-25'!$E:$E)+SUMIF('IND AS entries 24-25'!$B:$B,A:A,'IND AS entries 24-25'!$D:$D)-SUMIF('IND AS entries 24-25'!$B:$B,A:A,'IND AS entries 24-25'!$E:$E)</f>
        <v>0</v>
      </c>
      <c r="F619" s="611">
        <f t="shared" si="66"/>
        <v>0</v>
      </c>
      <c r="G619" s="610"/>
      <c r="H619" s="610">
        <v>0</v>
      </c>
      <c r="I619" s="611">
        <v>0</v>
      </c>
      <c r="J619" s="610">
        <v>0</v>
      </c>
      <c r="K619" s="611">
        <f t="shared" si="67"/>
        <v>0</v>
      </c>
      <c r="L619" s="612">
        <f>VLOOKUP(A619,'BS Gr'!A:A,1,FALSE)</f>
        <v>110156</v>
      </c>
      <c r="M619" s="612">
        <f t="shared" si="63"/>
        <v>1</v>
      </c>
      <c r="N619" s="613">
        <f t="shared" si="65"/>
        <v>0</v>
      </c>
      <c r="O619" s="613"/>
      <c r="P619" s="613"/>
      <c r="Q619" s="613"/>
      <c r="R619" s="1514"/>
      <c r="S619" s="1617" t="e">
        <f>SUMIF('[105]TB for financial'!$A:$A,A619,'[105]TB for financial'!$E:$E)</f>
        <v>#VALUE!</v>
      </c>
      <c r="T619" s="613"/>
    </row>
    <row r="620" spans="1:20">
      <c r="A620" s="608">
        <v>240236</v>
      </c>
      <c r="B620" s="609" t="s">
        <v>2295</v>
      </c>
      <c r="C620" s="610">
        <f t="shared" si="64"/>
        <v>0</v>
      </c>
      <c r="D620" s="611">
        <v>0</v>
      </c>
      <c r="E620" s="610">
        <f>SUMIF('Entries 24-25'!$B:$B,A:A,'Entries 24-25'!$D:$D)-SUMIF('Entries 24-25'!$B:$B,A:A,'Entries 24-25'!$E:$E)+SUMIF('IND AS entries 24-25'!$B:$B,A:A,'IND AS entries 24-25'!$D:$D)-SUMIF('IND AS entries 24-25'!$B:$B,A:A,'IND AS entries 24-25'!$E:$E)</f>
        <v>0</v>
      </c>
      <c r="F620" s="611">
        <f t="shared" si="66"/>
        <v>0</v>
      </c>
      <c r="G620" s="610"/>
      <c r="H620" s="610">
        <v>0</v>
      </c>
      <c r="I620" s="611">
        <v>0</v>
      </c>
      <c r="J620" s="610">
        <v>0</v>
      </c>
      <c r="K620" s="611">
        <f t="shared" si="67"/>
        <v>0</v>
      </c>
      <c r="L620" s="612">
        <f>VLOOKUP(A620,'BS Gr'!A:A,1,FALSE)</f>
        <v>240236</v>
      </c>
      <c r="M620" s="612">
        <f t="shared" si="63"/>
        <v>1</v>
      </c>
      <c r="N620" s="613">
        <f t="shared" si="65"/>
        <v>0</v>
      </c>
      <c r="O620" s="613"/>
      <c r="P620" s="613"/>
      <c r="Q620" s="613"/>
      <c r="R620" s="1514"/>
      <c r="S620" s="1617" t="e">
        <f>SUMIF('[105]TB for financial'!$A:$A,A620,'[105]TB for financial'!$E:$E)</f>
        <v>#VALUE!</v>
      </c>
      <c r="T620" s="613"/>
    </row>
    <row r="621" spans="1:20">
      <c r="A621" s="608">
        <v>240237</v>
      </c>
      <c r="B621" s="609" t="s">
        <v>2296</v>
      </c>
      <c r="C621" s="610">
        <f t="shared" si="64"/>
        <v>0</v>
      </c>
      <c r="D621" s="611">
        <v>0</v>
      </c>
      <c r="E621" s="610">
        <f>SUMIF('Entries 24-25'!$B:$B,A:A,'Entries 24-25'!$D:$D)-SUMIF('Entries 24-25'!$B:$B,A:A,'Entries 24-25'!$E:$E)+SUMIF('IND AS entries 24-25'!$B:$B,A:A,'IND AS entries 24-25'!$D:$D)-SUMIF('IND AS entries 24-25'!$B:$B,A:A,'IND AS entries 24-25'!$E:$E)</f>
        <v>0</v>
      </c>
      <c r="F621" s="611">
        <f t="shared" si="66"/>
        <v>0</v>
      </c>
      <c r="G621" s="610"/>
      <c r="H621" s="610">
        <v>0</v>
      </c>
      <c r="I621" s="611">
        <v>0</v>
      </c>
      <c r="J621" s="610">
        <v>0</v>
      </c>
      <c r="K621" s="611">
        <f t="shared" si="67"/>
        <v>0</v>
      </c>
      <c r="L621" s="612">
        <f>VLOOKUP(A621,'BS Gr'!A:A,1,FALSE)</f>
        <v>240237</v>
      </c>
      <c r="M621" s="612">
        <f t="shared" si="63"/>
        <v>1</v>
      </c>
      <c r="N621" s="613">
        <f t="shared" si="65"/>
        <v>0</v>
      </c>
      <c r="O621" s="613"/>
      <c r="P621" s="613"/>
      <c r="Q621" s="613"/>
      <c r="R621" s="1514"/>
      <c r="S621" s="1617" t="e">
        <f>SUMIF('[105]TB for financial'!$A:$A,A621,'[105]TB for financial'!$E:$E)</f>
        <v>#VALUE!</v>
      </c>
      <c r="T621" s="613"/>
    </row>
    <row r="622" spans="1:20">
      <c r="A622" s="608">
        <v>205094</v>
      </c>
      <c r="B622" s="609" t="s">
        <v>2296</v>
      </c>
      <c r="C622" s="610">
        <f t="shared" si="64"/>
        <v>0</v>
      </c>
      <c r="D622" s="611">
        <v>0</v>
      </c>
      <c r="E622" s="610">
        <f>SUMIF('Entries 24-25'!$B:$B,A:A,'Entries 24-25'!$D:$D)-SUMIF('Entries 24-25'!$B:$B,A:A,'Entries 24-25'!$E:$E)+SUMIF('IND AS entries 24-25'!$B:$B,A:A,'IND AS entries 24-25'!$D:$D)-SUMIF('IND AS entries 24-25'!$B:$B,A:A,'IND AS entries 24-25'!$E:$E)</f>
        <v>0</v>
      </c>
      <c r="F622" s="611">
        <f t="shared" si="66"/>
        <v>0</v>
      </c>
      <c r="G622" s="610"/>
      <c r="H622" s="610">
        <v>0</v>
      </c>
      <c r="I622" s="611">
        <v>0</v>
      </c>
      <c r="J622" s="610">
        <v>0</v>
      </c>
      <c r="K622" s="611">
        <f t="shared" si="67"/>
        <v>0</v>
      </c>
      <c r="L622" s="612">
        <f>VLOOKUP(A622,'BS Gr'!A:A,1,FALSE)</f>
        <v>205094</v>
      </c>
      <c r="M622" s="612">
        <f t="shared" si="63"/>
        <v>1</v>
      </c>
      <c r="N622" s="613">
        <f t="shared" si="65"/>
        <v>0</v>
      </c>
      <c r="O622" s="613"/>
      <c r="P622" s="613"/>
      <c r="Q622" s="613"/>
      <c r="R622" s="1514"/>
      <c r="S622" s="1617" t="e">
        <f>SUMIF('[105]TB for financial'!$A:$A,A622,'[105]TB for financial'!$E:$E)</f>
        <v>#VALUE!</v>
      </c>
      <c r="T622" s="613"/>
    </row>
    <row r="623" spans="1:20">
      <c r="A623" s="608"/>
      <c r="B623" s="609"/>
      <c r="C623" s="610"/>
      <c r="D623" s="611">
        <v>0</v>
      </c>
      <c r="E623" s="610">
        <f>SUMIF('Entries 24-25'!$B:$B,A:A,'Entries 24-25'!$D:$D)-SUMIF('Entries 24-25'!$B:$B,A:A,'Entries 24-25'!$E:$E)+SUMIF('IND AS entries 24-25'!$B:$B,A:A,'IND AS entries 24-25'!$D:$D)-SUMIF('IND AS entries 24-25'!$B:$B,A:A,'IND AS entries 24-25'!$E:$E)</f>
        <v>0</v>
      </c>
      <c r="F623" s="611">
        <f t="shared" si="66"/>
        <v>0</v>
      </c>
      <c r="G623" s="610"/>
      <c r="H623" s="610"/>
      <c r="I623" s="611">
        <v>0</v>
      </c>
      <c r="J623" s="610"/>
      <c r="K623" s="611"/>
      <c r="L623" s="612"/>
      <c r="M623" s="612"/>
      <c r="N623" s="613">
        <f t="shared" si="65"/>
        <v>0</v>
      </c>
      <c r="O623" s="613"/>
      <c r="R623" s="1514"/>
      <c r="S623" s="1617"/>
    </row>
    <row r="624" spans="1:20" ht="12" customHeight="1">
      <c r="A624" s="1371" t="s">
        <v>2534</v>
      </c>
      <c r="B624" s="609" t="s">
        <v>2396</v>
      </c>
      <c r="C624" s="610">
        <f t="shared" si="64"/>
        <v>-100000</v>
      </c>
      <c r="D624" s="611">
        <v>0</v>
      </c>
      <c r="E624" s="610">
        <f>SUMIF('Entries 24-25'!$B:$B,A:A,'Entries 24-25'!$D:$D)-SUMIF('Entries 24-25'!$B:$B,A:A,'Entries 24-25'!$E:$E)+SUMIF('IND AS entries 24-25'!$B:$B,A:A,'IND AS entries 24-25'!$D:$D)-SUMIF('IND AS entries 24-25'!$B:$B,A:A,'IND AS entries 24-25'!$E:$E)</f>
        <v>0</v>
      </c>
      <c r="F624" s="611">
        <f t="shared" si="66"/>
        <v>-100000</v>
      </c>
      <c r="G624" s="610"/>
      <c r="H624" s="610">
        <v>-100000</v>
      </c>
      <c r="I624" s="611">
        <v>0</v>
      </c>
      <c r="J624" s="610">
        <v>0</v>
      </c>
      <c r="K624" s="611">
        <f t="shared" si="67"/>
        <v>-100000</v>
      </c>
      <c r="L624" s="612" t="str">
        <f>VLOOKUP(A624,'BS Gr'!A:A,1,FALSE)</f>
        <v>101300 - N</v>
      </c>
      <c r="M624" s="612">
        <f>COUNTIF(A:A,A624)</f>
        <v>1</v>
      </c>
      <c r="N624" s="613">
        <f t="shared" si="65"/>
        <v>0</v>
      </c>
      <c r="O624" s="613" t="e">
        <f>VLOOKUP(A624,'TB Download'!A:A,1,FALSE)</f>
        <v>#N/A</v>
      </c>
      <c r="R624" s="1514"/>
      <c r="S624" s="1617" t="e">
        <f>SUMIF('[105]TB for financial'!$A:$A,A624,'[105]TB for financial'!$E:$E)</f>
        <v>#VALUE!</v>
      </c>
      <c r="T624" s="613"/>
    </row>
    <row r="625" spans="1:19" ht="12" customHeight="1">
      <c r="A625" s="1371">
        <v>106810</v>
      </c>
      <c r="B625" s="609" t="s">
        <v>2397</v>
      </c>
      <c r="C625" s="610">
        <f t="shared" si="64"/>
        <v>1823.2139999996871</v>
      </c>
      <c r="D625" s="611">
        <v>0</v>
      </c>
      <c r="E625" s="610">
        <f>SUMIF('Entries 24-25'!$B:$B,A:A,'Entries 24-25'!$D:$D)-SUMIF('Entries 24-25'!$B:$B,A:A,'Entries 24-25'!$E:$E)+SUMIF('IND AS entries 24-25'!$B:$B,A:A,'IND AS entries 24-25'!$D:$D)-SUMIF('IND AS entries 24-25'!$B:$B,A:A,'IND AS entries 24-25'!$E:$E)</f>
        <v>0</v>
      </c>
      <c r="F625" s="611">
        <f t="shared" si="66"/>
        <v>1823.2139999996871</v>
      </c>
      <c r="G625" s="610"/>
      <c r="H625" s="610">
        <v>1823.2139999996871</v>
      </c>
      <c r="I625" s="611">
        <v>-8625780</v>
      </c>
      <c r="J625" s="610">
        <v>8625780</v>
      </c>
      <c r="K625" s="611">
        <f t="shared" si="67"/>
        <v>1823.2139999996871</v>
      </c>
      <c r="L625" s="612">
        <f>VLOOKUP(A625,'BS Gr'!A:A,1,FALSE)</f>
        <v>106810</v>
      </c>
      <c r="M625" s="612">
        <f>COUNTIF(A:A,A625)</f>
        <v>1</v>
      </c>
      <c r="N625" s="613">
        <f t="shared" si="65"/>
        <v>0</v>
      </c>
      <c r="O625" s="613">
        <f>VLOOKUP(A625,'TB Download'!A:A,1,FALSE)</f>
        <v>106810</v>
      </c>
      <c r="R625" s="1514"/>
      <c r="S625" s="1617" t="e">
        <f>SUMIF('[105]TB for financial'!$A:$A,A625,'[105]TB for financial'!$E:$E)</f>
        <v>#VALUE!</v>
      </c>
    </row>
    <row r="626" spans="1:19" ht="12" customHeight="1">
      <c r="A626" s="1371">
        <v>106960</v>
      </c>
      <c r="B626" s="609" t="s">
        <v>2478</v>
      </c>
      <c r="C626" s="610">
        <f t="shared" si="64"/>
        <v>-1079259.6171410084</v>
      </c>
      <c r="D626" s="1652">
        <v>0</v>
      </c>
      <c r="E626" s="610">
        <f>SUMIF('Entries 24-25'!$B:$B,A:A,'Entries 24-25'!$D:$D)-SUMIF('Entries 24-25'!$B:$B,A:A,'Entries 24-25'!$E:$E)+SUMIF('IND AS entries 24-25'!$B:$B,A:A,'IND AS entries 24-25'!$D:$D)-SUMIF('IND AS entries 24-25'!$B:$B,A:A,'IND AS entries 24-25'!$E:$E)</f>
        <v>33755</v>
      </c>
      <c r="F626" s="611">
        <f t="shared" si="66"/>
        <v>-1045504.6171410084</v>
      </c>
      <c r="G626" s="610"/>
      <c r="H626" s="610">
        <v>-1101040.6171410084</v>
      </c>
      <c r="I626" s="1519">
        <v>209786072.00164101</v>
      </c>
      <c r="J626" s="1524">
        <v>-209764291.00164101</v>
      </c>
      <c r="K626" s="611">
        <f t="shared" si="67"/>
        <v>-1079259.6171410084</v>
      </c>
      <c r="L626" s="612">
        <f>VLOOKUP(A626,'BS Gr'!A:A,1,FALSE)</f>
        <v>106960</v>
      </c>
      <c r="M626" s="612">
        <f>COUNTIF(A:A,A626)</f>
        <v>1</v>
      </c>
      <c r="N626" s="613">
        <f t="shared" si="65"/>
        <v>0</v>
      </c>
      <c r="O626" s="613">
        <f>VLOOKUP(A626,'TB Download'!A:A,1,FALSE)</f>
        <v>106960</v>
      </c>
      <c r="R626" s="1514"/>
      <c r="S626" s="1617" t="e">
        <f>SUMIF('[105]TB for financial'!$A:$A,A626,'[105]TB for financial'!$E:$E)</f>
        <v>#VALUE!</v>
      </c>
    </row>
    <row r="627" spans="1:19" ht="12" customHeight="1">
      <c r="A627" s="1371">
        <v>110000</v>
      </c>
      <c r="B627" s="609" t="s">
        <v>2400</v>
      </c>
      <c r="C627" s="610">
        <f>K627-41191470</f>
        <v>-64872652.853488535</v>
      </c>
      <c r="D627" s="1652">
        <v>-15206188.530000001</v>
      </c>
      <c r="E627" s="610">
        <f>SUMIF('Entries 24-25'!$B:$B,A:A,'Entries 24-25'!$D:$D)-SUMIF('Entries 24-25'!$B:$B,A:A,'Entries 24-25'!$E:$E)+SUMIF('IND AS entries 24-25'!$B:$B,A:A,'IND AS entries 24-25'!$D:$D)-SUMIF('IND AS entries 24-25'!$B:$B,A:A,'IND AS entries 24-25'!$E:$E)</f>
        <v>0</v>
      </c>
      <c r="F627" s="611">
        <f t="shared" si="66"/>
        <v>-80078841.383488536</v>
      </c>
      <c r="G627" s="610"/>
      <c r="H627" s="610">
        <v>-23681182.853488535</v>
      </c>
      <c r="I627" s="611">
        <v>-201256537.99814799</v>
      </c>
      <c r="J627" s="610">
        <v>201256537.99814799</v>
      </c>
      <c r="K627" s="611">
        <f t="shared" si="67"/>
        <v>-23681182.853488535</v>
      </c>
      <c r="L627" s="612">
        <f>VLOOKUP(A627,'BS Gr'!A:A,1,FALSE)</f>
        <v>110000</v>
      </c>
      <c r="M627" s="612">
        <f>COUNTIF(A:A,A627)</f>
        <v>1</v>
      </c>
      <c r="N627" s="613">
        <f t="shared" si="65"/>
        <v>-41191470</v>
      </c>
      <c r="O627" s="613">
        <f>VLOOKUP(A627,'TB Download'!A:A,1,FALSE)</f>
        <v>110000</v>
      </c>
      <c r="R627" s="1514"/>
      <c r="S627" s="1617" t="e">
        <f>SUMIF('[105]TB for financial'!$A:$A,A627,'[105]TB for financial'!$E:$E)</f>
        <v>#VALUE!</v>
      </c>
    </row>
    <row r="628" spans="1:19" ht="12" customHeight="1">
      <c r="A628" s="1371">
        <v>119000</v>
      </c>
      <c r="B628" s="609" t="s">
        <v>3018</v>
      </c>
      <c r="C628" s="610"/>
      <c r="D628" s="1652">
        <v>5181163.41</v>
      </c>
      <c r="E628" s="610">
        <f>SUMIF('Entries 24-25'!$B:$B,A:A,'Entries 24-25'!$D:$D)-SUMIF('Entries 24-25'!$B:$B,A:A,'Entries 24-25'!$E:$E)+SUMIF('IND AS entries 24-25'!$B:$B,A:A,'IND AS entries 24-25'!$D:$D)-SUMIF('IND AS entries 24-25'!$B:$B,A:A,'IND AS entries 24-25'!$E:$E)</f>
        <v>0</v>
      </c>
      <c r="F628" s="611">
        <f t="shared" si="66"/>
        <v>5181163.41</v>
      </c>
      <c r="G628" s="610"/>
      <c r="H628" s="610"/>
      <c r="I628" s="611"/>
      <c r="J628" s="610"/>
      <c r="K628" s="611"/>
      <c r="L628" s="612"/>
      <c r="M628" s="612"/>
      <c r="N628" s="613"/>
      <c r="O628" s="613"/>
      <c r="R628" s="1514"/>
      <c r="S628" s="1617"/>
    </row>
    <row r="629" spans="1:19" ht="12" customHeight="1">
      <c r="A629" s="1371">
        <v>120000</v>
      </c>
      <c r="B629" s="609" t="s">
        <v>3019</v>
      </c>
      <c r="C629" s="610"/>
      <c r="D629" s="1652">
        <v>10025025.120000001</v>
      </c>
      <c r="E629" s="610">
        <f>SUMIF('Entries 24-25'!$B:$B,A:A,'Entries 24-25'!$D:$D)-SUMIF('Entries 24-25'!$B:$B,A:A,'Entries 24-25'!$E:$E)+SUMIF('IND AS entries 24-25'!$B:$B,A:A,'IND AS entries 24-25'!$D:$D)-SUMIF('IND AS entries 24-25'!$B:$B,A:A,'IND AS entries 24-25'!$E:$E)</f>
        <v>0</v>
      </c>
      <c r="F629" s="611">
        <f t="shared" si="66"/>
        <v>10025025.120000001</v>
      </c>
      <c r="G629" s="610"/>
      <c r="H629" s="610"/>
      <c r="I629" s="611"/>
      <c r="J629" s="610"/>
      <c r="K629" s="611"/>
      <c r="L629" s="612"/>
      <c r="M629" s="612"/>
      <c r="N629" s="613"/>
      <c r="O629" s="613"/>
      <c r="R629" s="1514"/>
      <c r="S629" s="1617"/>
    </row>
    <row r="630" spans="1:19" ht="12" customHeight="1">
      <c r="A630" s="1371">
        <v>155000</v>
      </c>
      <c r="B630" s="609" t="s">
        <v>2401</v>
      </c>
      <c r="C630" s="610">
        <f t="shared" si="64"/>
        <v>3.4239999949932098E-2</v>
      </c>
      <c r="D630" s="611">
        <v>0</v>
      </c>
      <c r="E630" s="610">
        <f>SUMIF('Entries 24-25'!$B:$B,A:A,'Entries 24-25'!$D:$D)-SUMIF('Entries 24-25'!$B:$B,A:A,'Entries 24-25'!$E:$E)+SUMIF('IND AS entries 24-25'!$B:$B,A:A,'IND AS entries 24-25'!$D:$D)-SUMIF('IND AS entries 24-25'!$B:$B,A:A,'IND AS entries 24-25'!$E:$E)</f>
        <v>0</v>
      </c>
      <c r="F630" s="611">
        <f t="shared" si="66"/>
        <v>3.4239999949932098E-2</v>
      </c>
      <c r="G630" s="610"/>
      <c r="H630" s="610">
        <v>-26397166.281279996</v>
      </c>
      <c r="I630" s="611">
        <v>6793146.2806400005</v>
      </c>
      <c r="J630" s="610">
        <v>19604020.034879997</v>
      </c>
      <c r="K630" s="611">
        <f t="shared" si="67"/>
        <v>3.4239999949932098E-2</v>
      </c>
      <c r="L630" s="612">
        <f>VLOOKUP(A630,'BS Gr'!A:A,1,FALSE)</f>
        <v>155000</v>
      </c>
      <c r="M630" s="612">
        <f>COUNTIF(A:A,A630)</f>
        <v>1</v>
      </c>
      <c r="N630" s="613">
        <f t="shared" si="65"/>
        <v>0</v>
      </c>
      <c r="O630" s="613">
        <f>VLOOKUP(A630,'TB Download'!A:A,1,FALSE)</f>
        <v>155000</v>
      </c>
      <c r="R630" s="1514"/>
      <c r="S630" s="1617" t="e">
        <f>SUMIF('[105]TB for financial'!$A:$A,A630,'[105]TB for financial'!$E:$E)</f>
        <v>#VALUE!</v>
      </c>
    </row>
    <row r="631" spans="1:19" ht="12" customHeight="1">
      <c r="A631" s="1371">
        <v>159200</v>
      </c>
      <c r="B631" s="609" t="s">
        <v>2402</v>
      </c>
      <c r="C631" s="610">
        <f t="shared" si="64"/>
        <v>-2167853.3000000007</v>
      </c>
      <c r="D631" s="611">
        <v>683144</v>
      </c>
      <c r="E631" s="610">
        <f>SUMIF('Entries 24-25'!$B:$B,A:A,'Entries 24-25'!$D:$D)-SUMIF('Entries 24-25'!$B:$B,A:A,'Entries 24-25'!$E:$E)+SUMIF('IND AS entries 24-25'!$B:$B,A:A,'IND AS entries 24-25'!$D:$D)-SUMIF('IND AS entries 24-25'!$B:$B,A:A,'IND AS entries 24-25'!$E:$E)</f>
        <v>-22816</v>
      </c>
      <c r="F631" s="611">
        <f t="shared" si="66"/>
        <v>-1507525.3000000007</v>
      </c>
      <c r="G631" s="610"/>
      <c r="H631" s="610">
        <v>-2156799.3000000007</v>
      </c>
      <c r="I631" s="611">
        <v>-290624</v>
      </c>
      <c r="J631" s="610">
        <v>279570</v>
      </c>
      <c r="K631" s="611">
        <f t="shared" si="67"/>
        <v>-2167853.3000000007</v>
      </c>
      <c r="L631" s="612">
        <f>VLOOKUP(A631,'BS Gr'!A:A,1,FALSE)</f>
        <v>159200</v>
      </c>
      <c r="M631" s="612">
        <f>COUNTIF(A:A,A631)</f>
        <v>1</v>
      </c>
      <c r="N631" s="613">
        <f t="shared" si="65"/>
        <v>0</v>
      </c>
      <c r="O631" s="613">
        <f>VLOOKUP(A631,'TB Download'!A:A,1,FALSE)</f>
        <v>159200</v>
      </c>
      <c r="R631" s="1514"/>
      <c r="S631" s="1617" t="e">
        <f>SUMIF('[105]TB for financial'!$A:$A,A631,'[105]TB for financial'!$E:$E)</f>
        <v>#VALUE!</v>
      </c>
    </row>
    <row r="632" spans="1:19" ht="12" customHeight="1">
      <c r="A632" s="1371">
        <v>159300</v>
      </c>
      <c r="B632" s="609" t="s">
        <v>2479</v>
      </c>
      <c r="C632" s="610">
        <f t="shared" si="64"/>
        <v>-283264</v>
      </c>
      <c r="D632" s="611">
        <v>0</v>
      </c>
      <c r="E632" s="610">
        <f>SUMIF('Entries 24-25'!$B:$B,A:A,'Entries 24-25'!$D:$D)-SUMIF('Entries 24-25'!$B:$B,A:A,'Entries 24-25'!$E:$E)+SUMIF('IND AS entries 24-25'!$B:$B,A:A,'IND AS entries 24-25'!$D:$D)-SUMIF('IND AS entries 24-25'!$B:$B,A:A,'IND AS entries 24-25'!$E:$E)</f>
        <v>112710</v>
      </c>
      <c r="F632" s="611">
        <f t="shared" si="66"/>
        <v>-170554</v>
      </c>
      <c r="G632" s="610"/>
      <c r="H632" s="610">
        <v>-412933</v>
      </c>
      <c r="I632" s="611">
        <v>952448</v>
      </c>
      <c r="J632" s="610">
        <v>-822779</v>
      </c>
      <c r="K632" s="611">
        <f t="shared" si="67"/>
        <v>-283264</v>
      </c>
      <c r="L632" s="612">
        <f>VLOOKUP(A632,'BS Gr'!A:A,1,FALSE)</f>
        <v>159300</v>
      </c>
      <c r="M632" s="612">
        <f>COUNTIF(A:A,A632)</f>
        <v>1</v>
      </c>
      <c r="N632" s="613">
        <f t="shared" si="65"/>
        <v>0</v>
      </c>
      <c r="O632" s="613">
        <f>VLOOKUP(A632,'TB Download'!A:A,1,FALSE)</f>
        <v>159300</v>
      </c>
      <c r="R632" s="1514"/>
      <c r="S632" s="1617" t="e">
        <f>SUMIF('[105]TB for financial'!$A:$A,A632,'[105]TB for financial'!$E:$E)</f>
        <v>#VALUE!</v>
      </c>
    </row>
    <row r="633" spans="1:19" ht="12" customHeight="1">
      <c r="A633" s="1371">
        <v>167211</v>
      </c>
      <c r="B633" s="609" t="s">
        <v>2551</v>
      </c>
      <c r="C633" s="610">
        <f t="shared" si="64"/>
        <v>-7290062.1839530719</v>
      </c>
      <c r="D633" s="611">
        <v>0</v>
      </c>
      <c r="E633" s="610">
        <f>SUMIF('Entries 24-25'!$B:$B,A:A,'Entries 24-25'!$D:$D)-SUMIF('Entries 24-25'!$B:$B,A:A,'Entries 24-25'!$E:$E)+SUMIF('IND AS entries 24-25'!$B:$B,A:A,'IND AS entries 24-25'!$D:$D)-SUMIF('IND AS entries 24-25'!$B:$B,A:A,'IND AS entries 24-25'!$E:$E)</f>
        <v>3415049.2143190014</v>
      </c>
      <c r="F633" s="611">
        <f t="shared" si="66"/>
        <v>-3875012.9696340705</v>
      </c>
      <c r="G633" s="610"/>
      <c r="H633" s="610">
        <v>-10286497.660366822</v>
      </c>
      <c r="I633" s="611">
        <v>0</v>
      </c>
      <c r="J633" s="610">
        <v>2996435.4764137501</v>
      </c>
      <c r="K633" s="611">
        <f t="shared" si="67"/>
        <v>-7290062.1839530719</v>
      </c>
      <c r="L633" s="612">
        <f>VLOOKUP(A633,'BS Gr'!A:A,1,FALSE)</f>
        <v>167211</v>
      </c>
      <c r="M633" s="612">
        <f>COUNTIF(A:A,A633)</f>
        <v>3</v>
      </c>
      <c r="N633" s="613">
        <f t="shared" si="65"/>
        <v>0</v>
      </c>
      <c r="O633" s="613">
        <f>VLOOKUP(A633,'TB Download'!A:A,1,FALSE)</f>
        <v>167211</v>
      </c>
      <c r="R633" s="1514"/>
      <c r="S633" s="1617" t="e">
        <f>SUMIF('[105]TB for financial'!$A:$A,A633,'[105]TB for financial'!$E:$E)</f>
        <v>#VALUE!</v>
      </c>
    </row>
    <row r="634" spans="1:19" ht="12" customHeight="1">
      <c r="A634" s="1371">
        <v>168100</v>
      </c>
      <c r="B634" s="609" t="s">
        <v>2480</v>
      </c>
      <c r="C634" s="610">
        <f t="shared" si="64"/>
        <v>-235328517.39781535</v>
      </c>
      <c r="D634" s="611">
        <v>234403873.10000014</v>
      </c>
      <c r="E634" s="610">
        <f>SUMIF('Entries 24-25'!$B:$B,A:A,'Entries 24-25'!$D:$D)-SUMIF('Entries 24-25'!$B:$B,A:A,'Entries 24-25'!$E:$E)+SUMIF('IND AS entries 24-25'!$B:$B,A:A,'IND AS entries 24-25'!$D:$D)-SUMIF('IND AS entries 24-25'!$B:$B,A:A,'IND AS entries 24-25'!$E:$E)</f>
        <v>0</v>
      </c>
      <c r="F634" s="611">
        <f t="shared" si="66"/>
        <v>-924644.29781520367</v>
      </c>
      <c r="G634" s="610"/>
      <c r="H634" s="610">
        <v>-242325761.39781535</v>
      </c>
      <c r="I634" s="611">
        <v>6997244</v>
      </c>
      <c r="J634" s="610">
        <v>0</v>
      </c>
      <c r="K634" s="611">
        <f t="shared" si="67"/>
        <v>-235328517.39781535</v>
      </c>
      <c r="L634" s="612">
        <f>VLOOKUP(A634,'BS Gr'!A:A,1,FALSE)</f>
        <v>168100</v>
      </c>
      <c r="M634" s="612">
        <f>COUNTIF(A:A,A634)</f>
        <v>1</v>
      </c>
      <c r="N634" s="613">
        <f t="shared" si="65"/>
        <v>0</v>
      </c>
      <c r="O634" s="613">
        <f>VLOOKUP(A634,'TB Download'!A:A,1,FALSE)</f>
        <v>168100</v>
      </c>
      <c r="R634" s="1514"/>
      <c r="S634" s="1617" t="e">
        <f>SUMIF('[105]TB for financial'!$A:$A,A634,'[105]TB for financial'!$E:$E)</f>
        <v>#VALUE!</v>
      </c>
    </row>
    <row r="635" spans="1:19" ht="12" customHeight="1">
      <c r="A635" s="1371">
        <v>168150</v>
      </c>
      <c r="B635" s="609" t="s">
        <v>3020</v>
      </c>
      <c r="C635" s="610">
        <f t="shared" si="64"/>
        <v>0</v>
      </c>
      <c r="D635" s="611">
        <v>-245763082.10000002</v>
      </c>
      <c r="E635" s="610">
        <f>SUMIF('Entries 24-25'!$B:$B,A:A,'Entries 24-25'!$D:$D)-SUMIF('Entries 24-25'!$B:$B,A:A,'Entries 24-25'!$E:$E)+SUMIF('IND AS entries 24-25'!$B:$B,A:A,'IND AS entries 24-25'!$D:$D)-SUMIF('IND AS entries 24-25'!$B:$B,A:A,'IND AS entries 24-25'!$E:$E)</f>
        <v>6720</v>
      </c>
      <c r="F635" s="611">
        <f t="shared" si="66"/>
        <v>-245756362.10000002</v>
      </c>
      <c r="G635" s="610"/>
      <c r="H635" s="610"/>
      <c r="I635" s="611"/>
      <c r="J635" s="610"/>
      <c r="K635" s="611"/>
      <c r="L635" s="612"/>
      <c r="M635" s="612"/>
      <c r="N635" s="613"/>
      <c r="O635" s="613"/>
      <c r="R635" s="1514"/>
      <c r="S635" s="1617"/>
    </row>
    <row r="636" spans="1:19" ht="12" customHeight="1">
      <c r="A636" s="1371">
        <v>205000</v>
      </c>
      <c r="B636" s="609" t="s">
        <v>2453</v>
      </c>
      <c r="C636" s="610">
        <f t="shared" si="64"/>
        <v>6846730</v>
      </c>
      <c r="D636" s="611">
        <v>0</v>
      </c>
      <c r="E636" s="610">
        <f>SUMIF('Entries 24-25'!$B:$B,A:A,'Entries 24-25'!$D:$D)-SUMIF('Entries 24-25'!$B:$B,A:A,'Entries 24-25'!$E:$E)+SUMIF('IND AS entries 24-25'!$B:$B,A:A,'IND AS entries 24-25'!$D:$D)-SUMIF('IND AS entries 24-25'!$B:$B,A:A,'IND AS entries 24-25'!$E:$E)</f>
        <v>0</v>
      </c>
      <c r="F636" s="611">
        <f t="shared" si="66"/>
        <v>6846730</v>
      </c>
      <c r="G636" s="610"/>
      <c r="H636" s="610">
        <v>6846730</v>
      </c>
      <c r="I636" s="611">
        <v>0</v>
      </c>
      <c r="J636" s="610">
        <v>0</v>
      </c>
      <c r="K636" s="611">
        <f t="shared" si="67"/>
        <v>6846730</v>
      </c>
      <c r="L636" s="612">
        <f>VLOOKUP(A636,'BS Gr'!A:A,1,FALSE)</f>
        <v>205000</v>
      </c>
      <c r="M636" s="612">
        <f t="shared" ref="M636:M648" si="69">COUNTIF(A:A,A636)</f>
        <v>1</v>
      </c>
      <c r="N636" s="613">
        <f t="shared" si="65"/>
        <v>0</v>
      </c>
      <c r="O636" s="613">
        <f>VLOOKUP(A636,'TB Download'!A:A,1,FALSE)</f>
        <v>205000</v>
      </c>
      <c r="R636" s="1514"/>
      <c r="S636" s="1617" t="e">
        <f>SUMIF('[105]TB for financial'!$A:$A,A636,'[105]TB for financial'!$E:$E)</f>
        <v>#VALUE!</v>
      </c>
    </row>
    <row r="637" spans="1:19" ht="12" customHeight="1">
      <c r="A637" s="1371">
        <v>215500</v>
      </c>
      <c r="B637" s="609" t="s">
        <v>2451</v>
      </c>
      <c r="C637" s="610">
        <f t="shared" si="64"/>
        <v>13485280</v>
      </c>
      <c r="D637" s="611">
        <v>0</v>
      </c>
      <c r="E637" s="610">
        <f>SUMIF('Entries 24-25'!$B:$B,A:A,'Entries 24-25'!$D:$D)-SUMIF('Entries 24-25'!$B:$B,A:A,'Entries 24-25'!$E:$E)+SUMIF('IND AS entries 24-25'!$B:$B,A:A,'IND AS entries 24-25'!$D:$D)-SUMIF('IND AS entries 24-25'!$B:$B,A:A,'IND AS entries 24-25'!$E:$E)</f>
        <v>0</v>
      </c>
      <c r="F637" s="611">
        <f t="shared" si="66"/>
        <v>13485280</v>
      </c>
      <c r="G637" s="610"/>
      <c r="H637" s="610">
        <v>13485280</v>
      </c>
      <c r="I637" s="611">
        <v>0</v>
      </c>
      <c r="J637" s="610">
        <v>0</v>
      </c>
      <c r="K637" s="611">
        <f t="shared" si="67"/>
        <v>13485280</v>
      </c>
      <c r="L637" s="612">
        <f>VLOOKUP(A637,'BS Gr'!A:A,1,FALSE)</f>
        <v>215500</v>
      </c>
      <c r="M637" s="612">
        <f t="shared" si="69"/>
        <v>1</v>
      </c>
      <c r="N637" s="613">
        <f t="shared" si="65"/>
        <v>0</v>
      </c>
      <c r="O637" s="613">
        <f>VLOOKUP(A637,'TB Download'!A:A,1,FALSE)</f>
        <v>215500</v>
      </c>
      <c r="R637" s="1514"/>
      <c r="S637" s="1617" t="e">
        <f>SUMIF('[105]TB for financial'!$A:$A,A637,'[105]TB for financial'!$E:$E)</f>
        <v>#VALUE!</v>
      </c>
    </row>
    <row r="638" spans="1:19" ht="12" customHeight="1">
      <c r="A638" s="1371">
        <v>217000</v>
      </c>
      <c r="B638" s="609" t="s">
        <v>2546</v>
      </c>
      <c r="C638" s="610">
        <f t="shared" si="64"/>
        <v>16449632.583994618</v>
      </c>
      <c r="D638" s="611">
        <v>0</v>
      </c>
      <c r="E638" s="610">
        <f>SUMIF('Entries 24-25'!$B:$B,A:A,'Entries 24-25'!$D:$D)-SUMIF('Entries 24-25'!$B:$B,A:A,'Entries 24-25'!$E:$E)+SUMIF('IND AS entries 24-25'!$B:$B,A:A,'IND AS entries 24-25'!$D:$D)-SUMIF('IND AS entries 24-25'!$B:$B,A:A,'IND AS entries 24-25'!$E:$E)</f>
        <v>27451.828702584098</v>
      </c>
      <c r="F638" s="611">
        <f t="shared" si="66"/>
        <v>16477084.412697202</v>
      </c>
      <c r="G638" s="610"/>
      <c r="H638" s="610">
        <v>16413715.049975581</v>
      </c>
      <c r="I638" s="611">
        <v>0</v>
      </c>
      <c r="J638" s="610">
        <v>35917.534019037099</v>
      </c>
      <c r="K638" s="611">
        <f t="shared" si="67"/>
        <v>16449632.583994618</v>
      </c>
      <c r="L638" s="612">
        <f>VLOOKUP(A638,'BS Gr'!A:A,1,FALSE)</f>
        <v>217000</v>
      </c>
      <c r="M638" s="612">
        <f t="shared" si="69"/>
        <v>1</v>
      </c>
      <c r="N638" s="613">
        <f t="shared" si="65"/>
        <v>0</v>
      </c>
      <c r="O638" s="613">
        <f>VLOOKUP(A638,'TB Download'!A:A,1,FALSE)</f>
        <v>217000</v>
      </c>
      <c r="R638" s="1514"/>
      <c r="S638" s="1617" t="e">
        <f>SUMIF('[105]TB for financial'!$A:$A,A638,'[105]TB for financial'!$E:$E)</f>
        <v>#VALUE!</v>
      </c>
    </row>
    <row r="639" spans="1:19" ht="12" customHeight="1">
      <c r="A639" s="1371">
        <v>219000</v>
      </c>
      <c r="B639" s="609" t="s">
        <v>2452</v>
      </c>
      <c r="C639" s="610">
        <f t="shared" si="64"/>
        <v>72924</v>
      </c>
      <c r="D639" s="611">
        <v>0</v>
      </c>
      <c r="E639" s="610">
        <f>SUMIF('Entries 24-25'!$B:$B,A:A,'Entries 24-25'!$D:$D)-SUMIF('Entries 24-25'!$B:$B,A:A,'Entries 24-25'!$E:$E)+SUMIF('IND AS entries 24-25'!$B:$B,A:A,'IND AS entries 24-25'!$D:$D)-SUMIF('IND AS entries 24-25'!$B:$B,A:A,'IND AS entries 24-25'!$E:$E)</f>
        <v>0</v>
      </c>
      <c r="F639" s="611">
        <f t="shared" si="66"/>
        <v>72924</v>
      </c>
      <c r="G639" s="610"/>
      <c r="H639" s="610">
        <v>72924</v>
      </c>
      <c r="I639" s="611">
        <v>0</v>
      </c>
      <c r="J639" s="610">
        <v>0</v>
      </c>
      <c r="K639" s="611">
        <f t="shared" si="67"/>
        <v>72924</v>
      </c>
      <c r="L639" s="612">
        <f>VLOOKUP(A639,'BS Gr'!A:A,1,FALSE)</f>
        <v>219000</v>
      </c>
      <c r="M639" s="612">
        <f t="shared" si="69"/>
        <v>1</v>
      </c>
      <c r="N639" s="613">
        <f t="shared" si="65"/>
        <v>0</v>
      </c>
      <c r="O639" s="613">
        <f>VLOOKUP(A639,'TB Download'!A:A,1,FALSE)</f>
        <v>219000</v>
      </c>
      <c r="R639" s="1514"/>
      <c r="S639" s="1617" t="e">
        <f>SUMIF('[105]TB for financial'!$A:$A,A639,'[105]TB for financial'!$E:$E)</f>
        <v>#VALUE!</v>
      </c>
    </row>
    <row r="640" spans="1:19" ht="12" customHeight="1">
      <c r="A640" s="1371">
        <v>275000</v>
      </c>
      <c r="B640" s="609" t="s">
        <v>2481</v>
      </c>
      <c r="C640" s="610">
        <f t="shared" si="64"/>
        <v>-9180.5300000000861</v>
      </c>
      <c r="D640" s="611">
        <v>0</v>
      </c>
      <c r="E640" s="610">
        <f>SUMIF('Entries 24-25'!$B:$B,A:A,'Entries 24-25'!$D:$D)-SUMIF('Entries 24-25'!$B:$B,A:A,'Entries 24-25'!$E:$E)+SUMIF('IND AS entries 24-25'!$B:$B,A:A,'IND AS entries 24-25'!$D:$D)-SUMIF('IND AS entries 24-25'!$B:$B,A:A,'IND AS entries 24-25'!$E:$E)</f>
        <v>0</v>
      </c>
      <c r="F640" s="611">
        <f t="shared" si="66"/>
        <v>-9180.5300000000861</v>
      </c>
      <c r="G640" s="610"/>
      <c r="H640" s="610">
        <v>-9180.5300000000861</v>
      </c>
      <c r="I640" s="611">
        <v>0</v>
      </c>
      <c r="J640" s="610">
        <v>0</v>
      </c>
      <c r="K640" s="611">
        <f t="shared" si="67"/>
        <v>-9180.5300000000861</v>
      </c>
      <c r="L640" s="612">
        <f>VLOOKUP(A640,'BS Gr'!A:A,1,FALSE)</f>
        <v>275000</v>
      </c>
      <c r="M640" s="612">
        <f t="shared" si="69"/>
        <v>1</v>
      </c>
      <c r="N640" s="613">
        <f t="shared" si="65"/>
        <v>0</v>
      </c>
      <c r="O640" s="613">
        <f>VLOOKUP(A640,'TB Download'!A:A,1,FALSE)</f>
        <v>275000</v>
      </c>
      <c r="R640" s="1514"/>
      <c r="S640" s="1617" t="e">
        <f>SUMIF('[105]TB for financial'!$A:$A,A640,'[105]TB for financial'!$E:$E)</f>
        <v>#VALUE!</v>
      </c>
    </row>
    <row r="641" spans="1:19" ht="12" customHeight="1">
      <c r="A641" s="1371">
        <v>276840</v>
      </c>
      <c r="B641" s="609" t="s">
        <v>2405</v>
      </c>
      <c r="C641" s="610">
        <f t="shared" si="64"/>
        <v>1580010.5300000021</v>
      </c>
      <c r="D641" s="611">
        <v>258343.94000000134</v>
      </c>
      <c r="E641" s="610">
        <f>SUMIF('Entries 24-25'!$B:$B,A:A,'Entries 24-25'!$D:$D)-SUMIF('Entries 24-25'!$B:$B,A:A,'Entries 24-25'!$E:$E)+SUMIF('IND AS entries 24-25'!$B:$B,A:A,'IND AS entries 24-25'!$D:$D)-SUMIF('IND AS entries 24-25'!$B:$B,A:A,'IND AS entries 24-25'!$E:$E)</f>
        <v>30004.092602852732</v>
      </c>
      <c r="F641" s="611">
        <f t="shared" si="66"/>
        <v>1868358.5626028562</v>
      </c>
      <c r="G641" s="610"/>
      <c r="H641" s="610">
        <v>1381029.7000000002</v>
      </c>
      <c r="I641" s="611">
        <v>198980.83000000194</v>
      </c>
      <c r="J641" s="610">
        <v>0</v>
      </c>
      <c r="K641" s="611">
        <f t="shared" si="67"/>
        <v>1580010.5300000021</v>
      </c>
      <c r="L641" s="612">
        <f>VLOOKUP(A641,'BS Gr'!A:A,1,FALSE)</f>
        <v>276840</v>
      </c>
      <c r="M641" s="612">
        <f t="shared" si="69"/>
        <v>1</v>
      </c>
      <c r="N641" s="613">
        <f t="shared" si="65"/>
        <v>0</v>
      </c>
      <c r="O641" s="613">
        <f>VLOOKUP(A641,'TB Download'!A:A,1,FALSE)</f>
        <v>276840</v>
      </c>
      <c r="R641" s="1514"/>
      <c r="S641" s="1617" t="e">
        <f>SUMIF('[105]TB for financial'!$A:$A,A641,'[105]TB for financial'!$E:$E)</f>
        <v>#VALUE!</v>
      </c>
    </row>
    <row r="642" spans="1:19" ht="12" customHeight="1">
      <c r="A642" s="1371">
        <v>280500</v>
      </c>
      <c r="B642" s="609" t="s">
        <v>2456</v>
      </c>
      <c r="C642" s="610">
        <f t="shared" si="64"/>
        <v>-6846731.4186301362</v>
      </c>
      <c r="D642" s="611">
        <v>0</v>
      </c>
      <c r="E642" s="610">
        <f>SUMIF('Entries 24-25'!$B:$B,A:A,'Entries 24-25'!$D:$D)-SUMIF('Entries 24-25'!$B:$B,A:A,'Entries 24-25'!$E:$E)+SUMIF('IND AS entries 24-25'!$B:$B,A:A,'IND AS entries 24-25'!$D:$D)-SUMIF('IND AS entries 24-25'!$B:$B,A:A,'IND AS entries 24-25'!$E:$E)</f>
        <v>0</v>
      </c>
      <c r="F642" s="611">
        <f t="shared" si="66"/>
        <v>-6846731.4186301362</v>
      </c>
      <c r="G642" s="610"/>
      <c r="H642" s="610">
        <v>-6846731.4186301362</v>
      </c>
      <c r="I642" s="611">
        <v>0</v>
      </c>
      <c r="J642" s="610">
        <v>0</v>
      </c>
      <c r="K642" s="611">
        <f t="shared" si="67"/>
        <v>-6846731.4186301362</v>
      </c>
      <c r="L642" s="612">
        <f>VLOOKUP(A642,'BS Gr'!A:A,1,FALSE)</f>
        <v>280500</v>
      </c>
      <c r="M642" s="612">
        <f t="shared" si="69"/>
        <v>1</v>
      </c>
      <c r="N642" s="613">
        <f t="shared" si="65"/>
        <v>0</v>
      </c>
      <c r="O642" s="613">
        <f>VLOOKUP(A642,'TB Download'!A:A,1,FALSE)</f>
        <v>280500</v>
      </c>
      <c r="R642" s="1514"/>
      <c r="S642" s="1617" t="e">
        <f>SUMIF('[105]TB for financial'!$A:$A,A642,'[105]TB for financial'!$E:$E)</f>
        <v>#VALUE!</v>
      </c>
    </row>
    <row r="643" spans="1:19" ht="12" customHeight="1">
      <c r="A643" s="1371">
        <v>281550</v>
      </c>
      <c r="B643" s="609" t="s">
        <v>2454</v>
      </c>
      <c r="C643" s="610">
        <f t="shared" si="64"/>
        <v>-13485281</v>
      </c>
      <c r="D643" s="611">
        <v>0</v>
      </c>
      <c r="E643" s="610">
        <f>SUMIF('Entries 24-25'!$B:$B,A:A,'Entries 24-25'!$D:$D)-SUMIF('Entries 24-25'!$B:$B,A:A,'Entries 24-25'!$E:$E)+SUMIF('IND AS entries 24-25'!$B:$B,A:A,'IND AS entries 24-25'!$D:$D)-SUMIF('IND AS entries 24-25'!$B:$B,A:A,'IND AS entries 24-25'!$E:$E)</f>
        <v>0</v>
      </c>
      <c r="F643" s="611">
        <f t="shared" si="66"/>
        <v>-13485281</v>
      </c>
      <c r="G643" s="610"/>
      <c r="H643" s="610">
        <v>-13485281</v>
      </c>
      <c r="I643" s="611">
        <v>0</v>
      </c>
      <c r="J643" s="610">
        <v>0</v>
      </c>
      <c r="K643" s="611">
        <f t="shared" si="67"/>
        <v>-13485281</v>
      </c>
      <c r="L643" s="612">
        <f>VLOOKUP(A643,'BS Gr'!A:A,1,FALSE)</f>
        <v>281550</v>
      </c>
      <c r="M643" s="612">
        <f t="shared" si="69"/>
        <v>1</v>
      </c>
      <c r="N643" s="613">
        <f t="shared" si="65"/>
        <v>0</v>
      </c>
      <c r="O643" s="613">
        <f>VLOOKUP(A643,'TB Download'!A:A,1,FALSE)</f>
        <v>281550</v>
      </c>
      <c r="R643" s="1514"/>
      <c r="S643" s="1617" t="e">
        <f>SUMIF('[105]TB for financial'!$A:$A,A643,'[105]TB for financial'!$E:$E)</f>
        <v>#VALUE!</v>
      </c>
    </row>
    <row r="644" spans="1:19" ht="12" customHeight="1">
      <c r="A644" s="1371">
        <v>281700</v>
      </c>
      <c r="B644" s="609" t="s">
        <v>2547</v>
      </c>
      <c r="C644" s="610">
        <f t="shared" si="64"/>
        <v>-10051810.022772595</v>
      </c>
      <c r="D644" s="611">
        <v>0</v>
      </c>
      <c r="E644" s="610">
        <f>SUMIF('Entries 24-25'!$B:$B,A:A,'Entries 24-25'!$D:$D)-SUMIF('Entries 24-25'!$B:$B,A:A,'Entries 24-25'!$E:$E)+SUMIF('IND AS entries 24-25'!$B:$B,A:A,'IND AS entries 24-25'!$D:$D)-SUMIF('IND AS entries 24-25'!$B:$B,A:A,'IND AS entries 24-25'!$E:$E)</f>
        <v>-3206673.7313862974</v>
      </c>
      <c r="F644" s="611">
        <f t="shared" si="66"/>
        <v>-13258483.754158892</v>
      </c>
      <c r="G644" s="610"/>
      <c r="H644" s="610">
        <v>-6870857.0113862976</v>
      </c>
      <c r="I644" s="611">
        <v>0</v>
      </c>
      <c r="J644" s="610">
        <v>-3180953.0113862976</v>
      </c>
      <c r="K644" s="611">
        <f t="shared" si="67"/>
        <v>-10051810.022772595</v>
      </c>
      <c r="L644" s="612">
        <f>VLOOKUP(A644,'BS Gr'!A:A,1,FALSE)</f>
        <v>281700</v>
      </c>
      <c r="M644" s="612">
        <f t="shared" si="69"/>
        <v>1</v>
      </c>
      <c r="N644" s="613">
        <f t="shared" si="65"/>
        <v>0</v>
      </c>
      <c r="O644" s="613">
        <f>VLOOKUP(A644,'TB Download'!A:A,1,FALSE)</f>
        <v>281700</v>
      </c>
      <c r="R644" s="1514"/>
      <c r="S644" s="1617" t="e">
        <f>SUMIF('[105]TB for financial'!$A:$A,A644,'[105]TB for financial'!$E:$E)</f>
        <v>#VALUE!</v>
      </c>
    </row>
    <row r="645" spans="1:19" ht="12" customHeight="1">
      <c r="A645" s="1371">
        <v>281900</v>
      </c>
      <c r="B645" s="609" t="s">
        <v>2455</v>
      </c>
      <c r="C645" s="610">
        <f t="shared" si="64"/>
        <v>-72924</v>
      </c>
      <c r="D645" s="611">
        <v>0</v>
      </c>
      <c r="E645" s="610">
        <f>SUMIF('Entries 24-25'!$B:$B,A:A,'Entries 24-25'!$D:$D)-SUMIF('Entries 24-25'!$B:$B,A:A,'Entries 24-25'!$E:$E)+SUMIF('IND AS entries 24-25'!$B:$B,A:A,'IND AS entries 24-25'!$D:$D)-SUMIF('IND AS entries 24-25'!$B:$B,A:A,'IND AS entries 24-25'!$E:$E)</f>
        <v>0</v>
      </c>
      <c r="F645" s="611">
        <f t="shared" si="66"/>
        <v>-72924</v>
      </c>
      <c r="G645" s="610"/>
      <c r="H645" s="610">
        <v>-72924</v>
      </c>
      <c r="I645" s="611">
        <v>0</v>
      </c>
      <c r="J645" s="610">
        <v>0</v>
      </c>
      <c r="K645" s="611">
        <f t="shared" si="67"/>
        <v>-72924</v>
      </c>
      <c r="L645" s="612">
        <f>VLOOKUP(A645,'BS Gr'!A:A,1,FALSE)</f>
        <v>281900</v>
      </c>
      <c r="M645" s="612">
        <f t="shared" si="69"/>
        <v>1</v>
      </c>
      <c r="N645" s="613">
        <f t="shared" si="65"/>
        <v>0</v>
      </c>
      <c r="O645" s="613">
        <f>VLOOKUP(A645,'TB Download'!A:A,1,FALSE)</f>
        <v>281900</v>
      </c>
      <c r="R645" s="1514"/>
      <c r="S645" s="1617" t="e">
        <f>SUMIF('[105]TB for financial'!$A:$A,A645,'[105]TB for financial'!$E:$E)</f>
        <v>#VALUE!</v>
      </c>
    </row>
    <row r="646" spans="1:19" ht="12" customHeight="1">
      <c r="A646" s="1371">
        <v>401100</v>
      </c>
      <c r="B646" s="609" t="s">
        <v>2482</v>
      </c>
      <c r="C646" s="610">
        <f t="shared" si="64"/>
        <v>-18474.879999999801</v>
      </c>
      <c r="D646" s="611">
        <v>18590.800000000279</v>
      </c>
      <c r="E646" s="610">
        <f>SUMIF('Entries 24-25'!$B:$B,A:A,'Entries 24-25'!$D:$D)-SUMIF('Entries 24-25'!$B:$B,A:A,'Entries 24-25'!$E:$E)+SUMIF('IND AS entries 24-25'!$B:$B,A:A,'IND AS entries 24-25'!$D:$D)-SUMIF('IND AS entries 24-25'!$B:$B,A:A,'IND AS entries 24-25'!$E:$E)</f>
        <v>-402</v>
      </c>
      <c r="F646" s="611">
        <f t="shared" si="66"/>
        <v>-286.07999999952153</v>
      </c>
      <c r="G646" s="610"/>
      <c r="H646" s="610">
        <v>-75969.079999999987</v>
      </c>
      <c r="I646" s="611">
        <v>106588.20000000019</v>
      </c>
      <c r="J646" s="610">
        <v>-49094</v>
      </c>
      <c r="K646" s="611">
        <f t="shared" si="67"/>
        <v>-18474.879999999801</v>
      </c>
      <c r="L646" s="612">
        <f>VLOOKUP(A646,'BS Gr'!A:A,1,FALSE)</f>
        <v>401100</v>
      </c>
      <c r="M646" s="612">
        <f t="shared" si="69"/>
        <v>1</v>
      </c>
      <c r="N646" s="613">
        <f t="shared" si="65"/>
        <v>0</v>
      </c>
      <c r="O646" s="613">
        <f>VLOOKUP(A646,'TB Download'!A:A,1,FALSE)</f>
        <v>401100</v>
      </c>
      <c r="R646" s="1514"/>
      <c r="S646" s="1617" t="e">
        <f>SUMIF('[105]TB for financial'!$A:$A,A646,'[105]TB for financial'!$E:$E)</f>
        <v>#VALUE!</v>
      </c>
    </row>
    <row r="647" spans="1:19" ht="12" customHeight="1">
      <c r="A647" s="1371">
        <v>401450</v>
      </c>
      <c r="B647" s="609" t="s">
        <v>2483</v>
      </c>
      <c r="C647" s="610">
        <f t="shared" si="64"/>
        <v>17553.169999999973</v>
      </c>
      <c r="D647" s="611">
        <v>-196860.13000000035</v>
      </c>
      <c r="E647" s="610">
        <f>SUMIF('Entries 24-25'!$B:$B,A:A,'Entries 24-25'!$D:$D)-SUMIF('Entries 24-25'!$B:$B,A:A,'Entries 24-25'!$E:$E)+SUMIF('IND AS entries 24-25'!$B:$B,A:A,'IND AS entries 24-25'!$D:$D)-SUMIF('IND AS entries 24-25'!$B:$B,A:A,'IND AS entries 24-25'!$E:$E)</f>
        <v>0</v>
      </c>
      <c r="F647" s="1519">
        <f t="shared" si="66"/>
        <v>-179306.96000000037</v>
      </c>
      <c r="G647" s="610"/>
      <c r="H647" s="610">
        <v>-19079.099999999929</v>
      </c>
      <c r="I647" s="611">
        <v>36542.069999999832</v>
      </c>
      <c r="J647" s="610">
        <v>90.200000000069849</v>
      </c>
      <c r="K647" s="611">
        <f>SUM(H647:J647)</f>
        <v>17553.169999999973</v>
      </c>
      <c r="L647" s="612">
        <f>VLOOKUP(A647,'BS Gr'!A:A,1,FALSE)</f>
        <v>401450</v>
      </c>
      <c r="M647" s="612">
        <f t="shared" si="69"/>
        <v>1</v>
      </c>
      <c r="N647" s="613">
        <f t="shared" si="65"/>
        <v>0</v>
      </c>
      <c r="O647" s="613">
        <f>VLOOKUP(A647,'TB Download'!A:A,1,FALSE)</f>
        <v>401450</v>
      </c>
      <c r="R647" s="1514"/>
      <c r="S647" s="1617" t="e">
        <f>SUMIF('[105]TB for financial'!$A:$A,A647,'[105]TB for financial'!$E:$E)</f>
        <v>#VALUE!</v>
      </c>
    </row>
    <row r="648" spans="1:19" ht="12" customHeight="1">
      <c r="A648" s="1371">
        <v>401500</v>
      </c>
      <c r="B648" s="609" t="s">
        <v>2482</v>
      </c>
      <c r="C648" s="610">
        <f t="shared" si="64"/>
        <v>-1105238.4999999984</v>
      </c>
      <c r="D648" s="611">
        <v>-544586.62999999523</v>
      </c>
      <c r="E648" s="610">
        <f>SUMIF('Entries 24-25'!$B:$B,A:A,'Entries 24-25'!$D:$D)-SUMIF('Entries 24-25'!$B:$B,A:A,'Entries 24-25'!$E:$E)+SUMIF('IND AS entries 24-25'!$B:$B,A:A,'IND AS entries 24-25'!$D:$D)-SUMIF('IND AS entries 24-25'!$B:$B,A:A,'IND AS entries 24-25'!$E:$E)</f>
        <v>-3360</v>
      </c>
      <c r="F648" s="611">
        <f t="shared" si="66"/>
        <v>-1653185.1299999936</v>
      </c>
      <c r="G648" s="610"/>
      <c r="H648" s="610">
        <v>-1115075.0000000002</v>
      </c>
      <c r="I648" s="611">
        <v>6476.5000000018626</v>
      </c>
      <c r="J648" s="610">
        <v>3360</v>
      </c>
      <c r="K648" s="611">
        <f t="shared" si="67"/>
        <v>-1105238.4999999984</v>
      </c>
      <c r="L648" s="612">
        <f>VLOOKUP(A648,'BS Gr'!A:A,1,FALSE)</f>
        <v>401500</v>
      </c>
      <c r="M648" s="612">
        <f t="shared" si="69"/>
        <v>1</v>
      </c>
      <c r="N648" s="613">
        <f t="shared" si="65"/>
        <v>0</v>
      </c>
      <c r="O648" s="613">
        <f>VLOOKUP(A648,'TB Download'!A:A,1,FALSE)</f>
        <v>401500</v>
      </c>
      <c r="R648" s="1514"/>
      <c r="S648" s="1617" t="e">
        <f>SUMIF('[105]TB for financial'!$A:$A,A648,'[105]TB for financial'!$E:$E)</f>
        <v>#VALUE!</v>
      </c>
    </row>
    <row r="649" spans="1:19" ht="12" customHeight="1">
      <c r="A649" s="1371">
        <v>401996</v>
      </c>
      <c r="B649" s="609" t="s">
        <v>3021</v>
      </c>
      <c r="C649" s="610"/>
      <c r="D649" s="611">
        <v>-38157.020000000019</v>
      </c>
      <c r="E649" s="610">
        <f>SUMIF('Entries 24-25'!$B:$B,A:A,'Entries 24-25'!$D:$D)-SUMIF('Entries 24-25'!$B:$B,A:A,'Entries 24-25'!$E:$E)+SUMIF('IND AS entries 24-25'!$B:$B,A:A,'IND AS entries 24-25'!$D:$D)-SUMIF('IND AS entries 24-25'!$B:$B,A:A,'IND AS entries 24-25'!$E:$E)</f>
        <v>-162158</v>
      </c>
      <c r="F649" s="611">
        <f t="shared" si="66"/>
        <v>-200315.02000000002</v>
      </c>
      <c r="G649" s="610"/>
      <c r="H649" s="610"/>
      <c r="I649" s="611"/>
      <c r="J649" s="610"/>
      <c r="K649" s="611"/>
      <c r="L649" s="612"/>
      <c r="M649" s="612"/>
      <c r="N649" s="613"/>
      <c r="O649" s="613"/>
      <c r="R649" s="1514"/>
      <c r="S649" s="1617"/>
    </row>
    <row r="650" spans="1:19" ht="12" customHeight="1">
      <c r="A650" s="1371">
        <v>401998</v>
      </c>
      <c r="B650" s="609" t="s">
        <v>2484</v>
      </c>
      <c r="C650" s="610">
        <f t="shared" ref="C650:C715" si="70">K650</f>
        <v>-181259.25000000084</v>
      </c>
      <c r="D650" s="611">
        <v>35301.250000003725</v>
      </c>
      <c r="E650" s="610">
        <f>SUMIF('Entries 24-25'!$B:$B,A:A,'Entries 24-25'!$D:$D)-SUMIF('Entries 24-25'!$B:$B,A:A,'Entries 24-25'!$E:$E)+SUMIF('IND AS entries 24-25'!$B:$B,A:A,'IND AS entries 24-25'!$D:$D)-SUMIF('IND AS entries 24-25'!$B:$B,A:A,'IND AS entries 24-25'!$E:$E)</f>
        <v>145958</v>
      </c>
      <c r="F650" s="611">
        <f t="shared" si="66"/>
        <v>2.8812792152166367E-9</v>
      </c>
      <c r="G650" s="610"/>
      <c r="H650" s="610">
        <v>-170879.52851063854</v>
      </c>
      <c r="I650" s="611">
        <v>135578.2785106377</v>
      </c>
      <c r="J650" s="610">
        <v>-145958</v>
      </c>
      <c r="K650" s="611">
        <f t="shared" si="67"/>
        <v>-181259.25000000084</v>
      </c>
      <c r="L650" s="612">
        <f>VLOOKUP(A650,'BS Gr'!A:A,1,FALSE)</f>
        <v>401998</v>
      </c>
      <c r="M650" s="612">
        <f>COUNTIF(A:A,A650)</f>
        <v>1</v>
      </c>
      <c r="N650" s="613">
        <f t="shared" ref="N650:N719" si="71">C650-K650</f>
        <v>0</v>
      </c>
      <c r="O650" s="613">
        <f>VLOOKUP(A650,'TB Download'!A:A,1,FALSE)</f>
        <v>401998</v>
      </c>
      <c r="R650" s="1514"/>
      <c r="S650" s="1617" t="e">
        <f>SUMIF('[105]TB for financial'!$A:$A,A650,'[105]TB for financial'!$E:$E)</f>
        <v>#VALUE!</v>
      </c>
    </row>
    <row r="651" spans="1:19" ht="12" customHeight="1">
      <c r="A651" s="1371">
        <v>408120</v>
      </c>
      <c r="B651" s="609" t="s">
        <v>2485</v>
      </c>
      <c r="C651" s="610">
        <f t="shared" si="70"/>
        <v>-65372.259999999544</v>
      </c>
      <c r="D651" s="611">
        <v>65670.680000000168</v>
      </c>
      <c r="E651" s="610">
        <f>SUMIF('Entries 24-25'!$B:$B,A:A,'Entries 24-25'!$D:$D)-SUMIF('Entries 24-25'!$B:$B,A:A,'Entries 24-25'!$E:$E)+SUMIF('IND AS entries 24-25'!$B:$B,A:A,'IND AS entries 24-25'!$D:$D)-SUMIF('IND AS entries 24-25'!$B:$B,A:A,'IND AS entries 24-25'!$E:$E)</f>
        <v>0</v>
      </c>
      <c r="F651" s="1519">
        <f t="shared" si="66"/>
        <v>298.42000000062399</v>
      </c>
      <c r="G651" s="610"/>
      <c r="H651" s="610">
        <v>-147715.53000000003</v>
      </c>
      <c r="I651" s="611">
        <v>82343.270000000484</v>
      </c>
      <c r="J651" s="610">
        <v>0</v>
      </c>
      <c r="K651" s="611">
        <f t="shared" si="67"/>
        <v>-65372.259999999544</v>
      </c>
      <c r="L651" s="612">
        <f>VLOOKUP(A651,'BS Gr'!A:A,1,FALSE)</f>
        <v>408120</v>
      </c>
      <c r="M651" s="612">
        <f>COUNTIF(A:A,A651)</f>
        <v>1</v>
      </c>
      <c r="N651" s="613">
        <f t="shared" si="71"/>
        <v>0</v>
      </c>
      <c r="O651" s="613">
        <f>VLOOKUP(A651,'TB Download'!A:A,1,FALSE)</f>
        <v>408120</v>
      </c>
      <c r="R651" s="1514"/>
      <c r="S651" s="1617" t="e">
        <f>SUMIF('[105]TB for financial'!$A:$A,A651,'[105]TB for financial'!$E:$E)</f>
        <v>#VALUE!</v>
      </c>
    </row>
    <row r="652" spans="1:19" ht="12" customHeight="1">
      <c r="A652" s="1371">
        <v>408151</v>
      </c>
      <c r="B652" s="609" t="s">
        <v>2410</v>
      </c>
      <c r="C652" s="610">
        <f t="shared" si="70"/>
        <v>-1332978</v>
      </c>
      <c r="D652" s="611">
        <v>-373007.96000000089</v>
      </c>
      <c r="E652" s="610">
        <f>SUMIF('Entries 24-25'!$B:$B,A:A,'Entries 24-25'!$D:$D)-SUMIF('Entries 24-25'!$B:$B,A:A,'Entries 24-25'!$E:$E)+SUMIF('IND AS entries 24-25'!$B:$B,A:A,'IND AS entries 24-25'!$D:$D)-SUMIF('IND AS entries 24-25'!$B:$B,A:A,'IND AS entries 24-25'!$E:$E)</f>
        <v>62055.960000000021</v>
      </c>
      <c r="F652" s="1519">
        <f t="shared" ref="F652:F717" si="72">SUM(C652:E652)</f>
        <v>-1643930.0000000009</v>
      </c>
      <c r="G652" s="610"/>
      <c r="H652" s="610">
        <v>-978505</v>
      </c>
      <c r="I652" s="611">
        <v>-466779</v>
      </c>
      <c r="J652" s="610">
        <v>112306</v>
      </c>
      <c r="K652" s="611">
        <f t="shared" ref="K652:K717" si="73">SUM(H652:J652)</f>
        <v>-1332978</v>
      </c>
      <c r="L652" s="612">
        <f>VLOOKUP(A652,'BS Gr'!A:A,1,FALSE)</f>
        <v>408151</v>
      </c>
      <c r="M652" s="612">
        <f>COUNTIF(A:A,A652)</f>
        <v>1</v>
      </c>
      <c r="N652" s="613">
        <f t="shared" si="71"/>
        <v>0</v>
      </c>
      <c r="O652" s="613">
        <f>VLOOKUP(A652,'TB Download'!A:A,1,FALSE)</f>
        <v>408151</v>
      </c>
      <c r="R652" s="1514"/>
      <c r="S652" s="1617" t="e">
        <f>SUMIF('[105]TB for financial'!$A:$A,A652,'[105]TB for financial'!$E:$E)</f>
        <v>#VALUE!</v>
      </c>
    </row>
    <row r="653" spans="1:19" ht="12" customHeight="1">
      <c r="A653" s="1371">
        <v>408500</v>
      </c>
      <c r="B653" s="609" t="s">
        <v>2486</v>
      </c>
      <c r="C653" s="610">
        <f t="shared" si="70"/>
        <v>-435053.58000000007</v>
      </c>
      <c r="D653" s="611">
        <v>419228.65000000037</v>
      </c>
      <c r="E653" s="610">
        <f>SUMIF('Entries 24-25'!$B:$B,A:A,'Entries 24-25'!$D:$D)-SUMIF('Entries 24-25'!$B:$B,A:A,'Entries 24-25'!$E:$E)+SUMIF('IND AS entries 24-25'!$B:$B,A:A,'IND AS entries 24-25'!$D:$D)-SUMIF('IND AS entries 24-25'!$B:$B,A:A,'IND AS entries 24-25'!$E:$E)</f>
        <v>-490729</v>
      </c>
      <c r="F653" s="1519">
        <f t="shared" si="72"/>
        <v>-506553.9299999997</v>
      </c>
      <c r="G653" s="610"/>
      <c r="H653" s="610">
        <v>-370808</v>
      </c>
      <c r="I653" s="611">
        <v>-506083.58000000007</v>
      </c>
      <c r="J653" s="610">
        <v>441838</v>
      </c>
      <c r="K653" s="611">
        <f t="shared" si="73"/>
        <v>-435053.58000000007</v>
      </c>
      <c r="L653" s="612">
        <f>VLOOKUP(A653,'BS Gr'!A:A,1,FALSE)</f>
        <v>408500</v>
      </c>
      <c r="M653" s="612">
        <f>COUNTIF(A:A,A653)</f>
        <v>1</v>
      </c>
      <c r="N653" s="613">
        <f t="shared" si="71"/>
        <v>0</v>
      </c>
      <c r="O653" s="613">
        <f>VLOOKUP(A653,'TB Download'!A:A,1,FALSE)</f>
        <v>408500</v>
      </c>
      <c r="R653" s="1514"/>
      <c r="S653" s="1617" t="e">
        <f>SUMIF('[105]TB for financial'!$A:$A,A653,'[105]TB for financial'!$E:$E)</f>
        <v>#VALUE!</v>
      </c>
    </row>
    <row r="654" spans="1:19" ht="12" customHeight="1">
      <c r="A654" s="1371">
        <v>408998</v>
      </c>
      <c r="B654" s="609" t="s">
        <v>3022</v>
      </c>
      <c r="C654" s="610">
        <f t="shared" si="70"/>
        <v>0</v>
      </c>
      <c r="D654" s="611">
        <v>73.64</v>
      </c>
      <c r="E654" s="610">
        <f>SUMIF('Entries 24-25'!$B:$B,A:A,'Entries 24-25'!$D:$D)-SUMIF('Entries 24-25'!$B:$B,A:A,'Entries 24-25'!$E:$E)+SUMIF('IND AS entries 24-25'!$B:$B,A:A,'IND AS entries 24-25'!$D:$D)-SUMIF('IND AS entries 24-25'!$B:$B,A:A,'IND AS entries 24-25'!$E:$E)</f>
        <v>0</v>
      </c>
      <c r="F654" s="611">
        <f t="shared" si="72"/>
        <v>73.64</v>
      </c>
      <c r="G654" s="610"/>
      <c r="H654" s="610"/>
      <c r="I654" s="611"/>
      <c r="J654" s="610"/>
      <c r="K654" s="611"/>
      <c r="L654" s="612"/>
      <c r="M654" s="612"/>
      <c r="N654" s="613"/>
      <c r="O654" s="613"/>
      <c r="R654" s="1514"/>
      <c r="S654" s="1617"/>
    </row>
    <row r="655" spans="1:19" ht="12" customHeight="1">
      <c r="A655" s="1371">
        <v>411450</v>
      </c>
      <c r="B655" s="609" t="s">
        <v>2487</v>
      </c>
      <c r="C655" s="610">
        <f t="shared" si="70"/>
        <v>1816954.7100000009</v>
      </c>
      <c r="D655" s="611">
        <v>6547523.25</v>
      </c>
      <c r="E655" s="610">
        <f>SUMIF('Entries 24-25'!$B:$B,A:A,'Entries 24-25'!$D:$D)-SUMIF('Entries 24-25'!$B:$B,A:A,'Entries 24-25'!$E:$E)+SUMIF('IND AS entries 24-25'!$B:$B,A:A,'IND AS entries 24-25'!$D:$D)-SUMIF('IND AS entries 24-25'!$B:$B,A:A,'IND AS entries 24-25'!$E:$E)</f>
        <v>-98431</v>
      </c>
      <c r="F655" s="611">
        <f t="shared" si="72"/>
        <v>8266046.9600000009</v>
      </c>
      <c r="G655" s="610"/>
      <c r="H655" s="610">
        <v>6500696.4199999999</v>
      </c>
      <c r="I655" s="611">
        <v>-4683741.709999999</v>
      </c>
      <c r="J655" s="610">
        <v>0</v>
      </c>
      <c r="K655" s="611">
        <f t="shared" si="73"/>
        <v>1816954.7100000009</v>
      </c>
      <c r="L655" s="612">
        <f>VLOOKUP(A655,'BS Gr'!A:A,1,FALSE)</f>
        <v>411450</v>
      </c>
      <c r="M655" s="612">
        <f>COUNTIF(A:A,A655)</f>
        <v>1</v>
      </c>
      <c r="N655" s="613">
        <f t="shared" si="71"/>
        <v>0</v>
      </c>
      <c r="O655" s="613">
        <f>VLOOKUP(A655,'TB Download'!A:A,1,FALSE)</f>
        <v>411450</v>
      </c>
      <c r="R655" s="1514"/>
      <c r="S655" s="1617" t="e">
        <f>SUMIF('[105]TB for financial'!$A:$A,A655,'[105]TB for financial'!$E:$E)</f>
        <v>#VALUE!</v>
      </c>
    </row>
    <row r="656" spans="1:19" ht="12" customHeight="1">
      <c r="A656" s="1371">
        <v>411500</v>
      </c>
      <c r="B656" s="609" t="s">
        <v>2488</v>
      </c>
      <c r="C656" s="610">
        <f t="shared" si="70"/>
        <v>0</v>
      </c>
      <c r="D656" s="611">
        <v>-98431</v>
      </c>
      <c r="E656" s="610">
        <f>SUMIF('Entries 24-25'!$B:$B,A:A,'Entries 24-25'!$D:$D)-SUMIF('Entries 24-25'!$B:$B,A:A,'Entries 24-25'!$E:$E)+SUMIF('IND AS entries 24-25'!$B:$B,A:A,'IND AS entries 24-25'!$D:$D)-SUMIF('IND AS entries 24-25'!$B:$B,A:A,'IND AS entries 24-25'!$E:$E)</f>
        <v>98431</v>
      </c>
      <c r="F656" s="611">
        <f t="shared" si="72"/>
        <v>0</v>
      </c>
      <c r="G656" s="610"/>
      <c r="H656" s="610">
        <v>0</v>
      </c>
      <c r="I656" s="611">
        <v>0</v>
      </c>
      <c r="J656" s="610">
        <v>0</v>
      </c>
      <c r="K656" s="611">
        <f t="shared" si="73"/>
        <v>0</v>
      </c>
      <c r="L656" s="612">
        <f>VLOOKUP(A656,'BS Gr'!A:A,1,FALSE)</f>
        <v>411500</v>
      </c>
      <c r="M656" s="612">
        <f>COUNTIF(A:A,A656)</f>
        <v>1</v>
      </c>
      <c r="N656" s="613">
        <f t="shared" si="71"/>
        <v>0</v>
      </c>
      <c r="O656" s="613">
        <f>VLOOKUP(A656,'TB Download'!A:A,1,FALSE)</f>
        <v>411500</v>
      </c>
      <c r="R656" s="1514"/>
      <c r="S656" s="1617" t="e">
        <f>SUMIF('[105]TB for financial'!$A:$A,A656,'[105]TB for financial'!$E:$E)</f>
        <v>#VALUE!</v>
      </c>
    </row>
    <row r="657" spans="1:19" ht="12" customHeight="1">
      <c r="A657" s="1371">
        <v>411700</v>
      </c>
      <c r="B657" s="609" t="s">
        <v>2450</v>
      </c>
      <c r="C657" s="610">
        <f t="shared" si="70"/>
        <v>2602786.3991782027</v>
      </c>
      <c r="D657" s="611">
        <v>-144240</v>
      </c>
      <c r="E657" s="610">
        <f>SUMIF('Entries 24-25'!$B:$B,A:A,'Entries 24-25'!$D:$D)-SUMIF('Entries 24-25'!$B:$B,A:A,'Entries 24-25'!$E:$E)+SUMIF('IND AS entries 24-25'!$B:$B,A:A,'IND AS entries 24-25'!$D:$D)-SUMIF('IND AS entries 24-25'!$B:$B,A:A,'IND AS entries 24-25'!$E:$E)</f>
        <v>485917.14573459612</v>
      </c>
      <c r="F657" s="611">
        <f t="shared" si="72"/>
        <v>2944463.5449127988</v>
      </c>
      <c r="G657" s="610"/>
      <c r="H657" s="610">
        <v>2306140.9383299858</v>
      </c>
      <c r="I657" s="611">
        <v>144240</v>
      </c>
      <c r="J657" s="610">
        <v>152405.46084821707</v>
      </c>
      <c r="K657" s="611">
        <f t="shared" si="73"/>
        <v>2602786.3991782027</v>
      </c>
      <c r="L657" s="612">
        <f>VLOOKUP(A657,'BS Gr'!A:A,1,FALSE)</f>
        <v>411700</v>
      </c>
      <c r="M657" s="612">
        <f>COUNTIF(A:A,A657)</f>
        <v>1</v>
      </c>
      <c r="N657" s="613">
        <f t="shared" si="71"/>
        <v>0</v>
      </c>
      <c r="O657" s="613">
        <f>VLOOKUP(A657,'TB Download'!A:A,1,FALSE)</f>
        <v>411700</v>
      </c>
      <c r="R657" s="1514"/>
      <c r="S657" s="1617" t="e">
        <f>SUMIF('[105]TB for financial'!$A:$A,A657,'[105]TB for financial'!$E:$E)</f>
        <v>#VALUE!</v>
      </c>
    </row>
    <row r="658" spans="1:19" ht="12" customHeight="1">
      <c r="A658" s="1371">
        <v>411996</v>
      </c>
      <c r="B658" s="609" t="s">
        <v>3023</v>
      </c>
      <c r="C658" s="610">
        <f t="shared" si="70"/>
        <v>0</v>
      </c>
      <c r="D658" s="611">
        <v>127495.85000000003</v>
      </c>
      <c r="E658" s="610">
        <f>SUMIF('Entries 24-25'!$B:$B,A:A,'Entries 24-25'!$D:$D)-SUMIF('Entries 24-25'!$B:$B,A:A,'Entries 24-25'!$E:$E)+SUMIF('IND AS entries 24-25'!$B:$B,A:A,'IND AS entries 24-25'!$D:$D)-SUMIF('IND AS entries 24-25'!$B:$B,A:A,'IND AS entries 24-25'!$E:$E)</f>
        <v>0</v>
      </c>
      <c r="F658" s="611">
        <f t="shared" si="72"/>
        <v>127495.85000000003</v>
      </c>
      <c r="G658" s="610"/>
      <c r="H658" s="610"/>
      <c r="I658" s="611"/>
      <c r="J658" s="610"/>
      <c r="K658" s="611"/>
      <c r="L658" s="612"/>
      <c r="M658" s="612"/>
      <c r="N658" s="613"/>
      <c r="O658" s="613"/>
      <c r="R658" s="1514"/>
      <c r="S658" s="1617"/>
    </row>
    <row r="659" spans="1:19" ht="12" customHeight="1">
      <c r="A659" s="1371">
        <v>418150</v>
      </c>
      <c r="B659" s="609" t="s">
        <v>2489</v>
      </c>
      <c r="C659" s="610">
        <f t="shared" si="70"/>
        <v>59269.002649285831</v>
      </c>
      <c r="D659" s="611">
        <v>-60007</v>
      </c>
      <c r="E659" s="610">
        <f>SUMIF('Entries 24-25'!$B:$B,A:A,'Entries 24-25'!$D:$D)-SUMIF('Entries 24-25'!$B:$B,A:A,'Entries 24-25'!$E:$E)+SUMIF('IND AS entries 24-25'!$B:$B,A:A,'IND AS entries 24-25'!$D:$D)-SUMIF('IND AS entries 24-25'!$B:$B,A:A,'IND AS entries 24-25'!$E:$E)</f>
        <v>214702</v>
      </c>
      <c r="F659" s="611">
        <f t="shared" si="72"/>
        <v>213964.00264928583</v>
      </c>
      <c r="G659" s="610"/>
      <c r="H659" s="610">
        <v>725408.1500916474</v>
      </c>
      <c r="I659" s="611">
        <v>0</v>
      </c>
      <c r="J659" s="610">
        <v>-666139.14744236157</v>
      </c>
      <c r="K659" s="611">
        <f t="shared" si="73"/>
        <v>59269.002649285831</v>
      </c>
      <c r="L659" s="612">
        <f>VLOOKUP(A659,'BS Gr'!A:A,1,FALSE)</f>
        <v>418150</v>
      </c>
      <c r="M659" s="612">
        <f t="shared" ref="M659:M667" si="74">COUNTIF(A:A,A659)</f>
        <v>1</v>
      </c>
      <c r="N659" s="613">
        <f t="shared" si="71"/>
        <v>0</v>
      </c>
      <c r="O659" s="613">
        <f>VLOOKUP(A659,'TB Download'!A:A,1,FALSE)</f>
        <v>418150</v>
      </c>
      <c r="R659" s="1514"/>
      <c r="S659" s="1617" t="e">
        <f>SUMIF('[105]TB for financial'!$A:$A,A659,'[105]TB for financial'!$E:$E)</f>
        <v>#VALUE!</v>
      </c>
    </row>
    <row r="660" spans="1:19" ht="12" customHeight="1">
      <c r="A660" s="1371">
        <v>425000</v>
      </c>
      <c r="B660" s="609" t="s">
        <v>2416</v>
      </c>
      <c r="C660" s="610">
        <f t="shared" si="70"/>
        <v>0.3999999999650754</v>
      </c>
      <c r="D660" s="611">
        <v>-151443</v>
      </c>
      <c r="E660" s="610">
        <f>SUMIF('Entries 24-25'!$B:$B,A:A,'Entries 24-25'!$D:$D)-SUMIF('Entries 24-25'!$B:$B,A:A,'Entries 24-25'!$E:$E)+SUMIF('IND AS entries 24-25'!$B:$B,A:A,'IND AS entries 24-25'!$D:$D)-SUMIF('IND AS entries 24-25'!$B:$B,A:A,'IND AS entries 24-25'!$E:$E)</f>
        <v>-33336</v>
      </c>
      <c r="F660" s="611">
        <f t="shared" si="72"/>
        <v>-184778.60000000003</v>
      </c>
      <c r="G660" s="610"/>
      <c r="H660" s="610">
        <v>0.39999999995052349</v>
      </c>
      <c r="I660" s="611">
        <v>151443</v>
      </c>
      <c r="J660" s="610">
        <v>-151443</v>
      </c>
      <c r="K660" s="611">
        <f t="shared" si="73"/>
        <v>0.3999999999650754</v>
      </c>
      <c r="L660" s="612">
        <f>VLOOKUP(A660,'BS Gr'!A:A,1,FALSE)</f>
        <v>425000</v>
      </c>
      <c r="M660" s="612">
        <f t="shared" si="74"/>
        <v>1</v>
      </c>
      <c r="N660" s="613">
        <f t="shared" si="71"/>
        <v>0</v>
      </c>
      <c r="O660" s="613">
        <f>VLOOKUP(A660,'TB Download'!A:A,1,FALSE)</f>
        <v>425000</v>
      </c>
      <c r="R660" s="1514"/>
      <c r="S660" s="1617" t="e">
        <f>SUMIF('[105]TB for financial'!$A:$A,A660,'[105]TB for financial'!$E:$E)</f>
        <v>#VALUE!</v>
      </c>
    </row>
    <row r="661" spans="1:19" ht="12" customHeight="1">
      <c r="A661" s="1371">
        <v>425004</v>
      </c>
      <c r="B661" s="609" t="s">
        <v>2417</v>
      </c>
      <c r="C661" s="610">
        <f t="shared" si="70"/>
        <v>216669</v>
      </c>
      <c r="D661" s="611">
        <v>-250005</v>
      </c>
      <c r="E661" s="610">
        <f>SUMIF('Entries 24-25'!$B:$B,A:A,'Entries 24-25'!$D:$D)-SUMIF('Entries 24-25'!$B:$B,A:A,'Entries 24-25'!$E:$E)+SUMIF('IND AS entries 24-25'!$B:$B,A:A,'IND AS entries 24-25'!$D:$D)-SUMIF('IND AS entries 24-25'!$B:$B,A:A,'IND AS entries 24-25'!$E:$E)</f>
        <v>33336</v>
      </c>
      <c r="F661" s="611">
        <f t="shared" si="72"/>
        <v>0</v>
      </c>
      <c r="G661" s="610"/>
      <c r="H661" s="610">
        <v>4</v>
      </c>
      <c r="I661" s="611">
        <v>300000</v>
      </c>
      <c r="J661" s="610">
        <v>-83335</v>
      </c>
      <c r="K661" s="611">
        <f t="shared" si="73"/>
        <v>216669</v>
      </c>
      <c r="L661" s="612">
        <f>VLOOKUP(A661,'BS Gr'!A:A,1,FALSE)</f>
        <v>425004</v>
      </c>
      <c r="M661" s="612">
        <f t="shared" si="74"/>
        <v>1</v>
      </c>
      <c r="N661" s="613">
        <f t="shared" si="71"/>
        <v>0</v>
      </c>
      <c r="O661" s="613">
        <f>VLOOKUP(A661,'TB Download'!A:A,1,FALSE)</f>
        <v>425004</v>
      </c>
      <c r="R661" s="1514"/>
      <c r="S661" s="1617" t="e">
        <f>SUMIF('[105]TB for financial'!$A:$A,A661,'[105]TB for financial'!$E:$E)</f>
        <v>#VALUE!</v>
      </c>
    </row>
    <row r="662" spans="1:19" ht="12" customHeight="1">
      <c r="A662" s="1371">
        <v>427100</v>
      </c>
      <c r="B662" s="609" t="s">
        <v>2418</v>
      </c>
      <c r="C662" s="610">
        <f t="shared" si="70"/>
        <v>-466163.67999999993</v>
      </c>
      <c r="D662" s="611">
        <v>245898.99999999988</v>
      </c>
      <c r="E662" s="610">
        <f>SUMIF('Entries 24-25'!$B:$B,A:A,'Entries 24-25'!$D:$D)-SUMIF('Entries 24-25'!$B:$B,A:A,'Entries 24-25'!$E:$E)+SUMIF('IND AS entries 24-25'!$B:$B,A:A,'IND AS entries 24-25'!$D:$D)-SUMIF('IND AS entries 24-25'!$B:$B,A:A,'IND AS entries 24-25'!$E:$E)</f>
        <v>0</v>
      </c>
      <c r="F662" s="611">
        <f t="shared" si="72"/>
        <v>-220264.68000000005</v>
      </c>
      <c r="G662" s="610"/>
      <c r="H662" s="610">
        <v>-465246.67999999993</v>
      </c>
      <c r="I662" s="611">
        <v>151227</v>
      </c>
      <c r="J662" s="610">
        <v>-152144</v>
      </c>
      <c r="K662" s="611">
        <f t="shared" si="73"/>
        <v>-466163.67999999993</v>
      </c>
      <c r="L662" s="612">
        <f>VLOOKUP(A662,'BS Gr'!A:A,1,FALSE)</f>
        <v>427100</v>
      </c>
      <c r="M662" s="612">
        <f t="shared" si="74"/>
        <v>1</v>
      </c>
      <c r="N662" s="613">
        <f t="shared" si="71"/>
        <v>0</v>
      </c>
      <c r="O662" s="613">
        <f>VLOOKUP(A662,'TB Download'!A:A,1,FALSE)</f>
        <v>427100</v>
      </c>
      <c r="R662" s="1514"/>
      <c r="S662" s="1617" t="e">
        <f>SUMIF('[105]TB for financial'!$A:$A,A662,'[105]TB for financial'!$E:$E)</f>
        <v>#VALUE!</v>
      </c>
    </row>
    <row r="663" spans="1:19" ht="12" customHeight="1">
      <c r="A663" s="1371">
        <v>427101</v>
      </c>
      <c r="B663" s="609" t="s">
        <v>2419</v>
      </c>
      <c r="C663" s="610">
        <f t="shared" si="70"/>
        <v>-119574</v>
      </c>
      <c r="D663" s="611">
        <v>135385</v>
      </c>
      <c r="E663" s="610">
        <f>SUMIF('Entries 24-25'!$B:$B,A:A,'Entries 24-25'!$D:$D)-SUMIF('Entries 24-25'!$B:$B,A:A,'Entries 24-25'!$E:$E)+SUMIF('IND AS entries 24-25'!$B:$B,A:A,'IND AS entries 24-25'!$D:$D)-SUMIF('IND AS entries 24-25'!$B:$B,A:A,'IND AS entries 24-25'!$E:$E)</f>
        <v>0</v>
      </c>
      <c r="F663" s="611">
        <f t="shared" si="72"/>
        <v>15811</v>
      </c>
      <c r="G663" s="610"/>
      <c r="H663" s="610">
        <v>15811</v>
      </c>
      <c r="I663" s="611">
        <v>-135385</v>
      </c>
      <c r="J663" s="610">
        <v>0</v>
      </c>
      <c r="K663" s="611">
        <f t="shared" si="73"/>
        <v>-119574</v>
      </c>
      <c r="L663" s="612">
        <f>VLOOKUP(A663,'BS Gr'!A:A,1,FALSE)</f>
        <v>427101</v>
      </c>
      <c r="M663" s="612">
        <f t="shared" si="74"/>
        <v>1</v>
      </c>
      <c r="N663" s="613">
        <f t="shared" si="71"/>
        <v>0</v>
      </c>
      <c r="O663" s="613">
        <f>VLOOKUP(A663,'TB Download'!A:A,1,FALSE)</f>
        <v>427101</v>
      </c>
      <c r="R663" s="1514"/>
      <c r="S663" s="1617" t="e">
        <f>SUMIF('[105]TB for financial'!$A:$A,A663,'[105]TB for financial'!$E:$E)</f>
        <v>#VALUE!</v>
      </c>
    </row>
    <row r="664" spans="1:19" ht="12" customHeight="1">
      <c r="A664" s="1371">
        <v>427103</v>
      </c>
      <c r="B664" s="609" t="s">
        <v>2420</v>
      </c>
      <c r="C664" s="610">
        <f t="shared" si="70"/>
        <v>-187245.51</v>
      </c>
      <c r="D664" s="611">
        <v>47570</v>
      </c>
      <c r="E664" s="610">
        <f>SUMIF('Entries 24-25'!$B:$B,A:A,'Entries 24-25'!$D:$D)-SUMIF('Entries 24-25'!$B:$B,A:A,'Entries 24-25'!$E:$E)+SUMIF('IND AS entries 24-25'!$B:$B,A:A,'IND AS entries 24-25'!$D:$D)-SUMIF('IND AS entries 24-25'!$B:$B,A:A,'IND AS entries 24-25'!$E:$E)</f>
        <v>0</v>
      </c>
      <c r="F664" s="611">
        <f t="shared" si="72"/>
        <v>-139675.51</v>
      </c>
      <c r="G664" s="610"/>
      <c r="H664" s="610">
        <v>-174495.51</v>
      </c>
      <c r="I664" s="611">
        <v>-12750</v>
      </c>
      <c r="J664" s="610">
        <v>0</v>
      </c>
      <c r="K664" s="611">
        <f t="shared" si="73"/>
        <v>-187245.51</v>
      </c>
      <c r="L664" s="612">
        <f>VLOOKUP(A664,'BS Gr'!A:A,1,FALSE)</f>
        <v>427103</v>
      </c>
      <c r="M664" s="612">
        <f t="shared" si="74"/>
        <v>1</v>
      </c>
      <c r="N664" s="613">
        <f t="shared" si="71"/>
        <v>0</v>
      </c>
      <c r="O664" s="613">
        <f>VLOOKUP(A664,'TB Download'!A:A,1,FALSE)</f>
        <v>427103</v>
      </c>
      <c r="R664" s="1514"/>
      <c r="S664" s="1617" t="e">
        <f>SUMIF('[105]TB for financial'!$A:$A,A664,'[105]TB for financial'!$E:$E)</f>
        <v>#VALUE!</v>
      </c>
    </row>
    <row r="665" spans="1:19" ht="12" customHeight="1">
      <c r="A665" s="1371">
        <v>428200</v>
      </c>
      <c r="B665" s="609" t="s">
        <v>2421</v>
      </c>
      <c r="C665" s="610">
        <f t="shared" si="70"/>
        <v>34924.874999999069</v>
      </c>
      <c r="D665" s="611">
        <v>-49436</v>
      </c>
      <c r="E665" s="610">
        <f>SUMIF('Entries 24-25'!$B:$B,A:A,'Entries 24-25'!$D:$D)-SUMIF('Entries 24-25'!$B:$B,A:A,'Entries 24-25'!$E:$E)+SUMIF('IND AS entries 24-25'!$B:$B,A:A,'IND AS entries 24-25'!$D:$D)-SUMIF('IND AS entries 24-25'!$B:$B,A:A,'IND AS entries 24-25'!$E:$E)</f>
        <v>0</v>
      </c>
      <c r="F665" s="611">
        <f t="shared" si="72"/>
        <v>-14511.125000000931</v>
      </c>
      <c r="G665" s="610"/>
      <c r="H665" s="610">
        <v>89667.874999999069</v>
      </c>
      <c r="I665" s="611">
        <v>-54743</v>
      </c>
      <c r="J665" s="610">
        <v>0</v>
      </c>
      <c r="K665" s="611">
        <f t="shared" si="73"/>
        <v>34924.874999999069</v>
      </c>
      <c r="L665" s="612">
        <f>VLOOKUP(A665,'BS Gr'!A:A,1,FALSE)</f>
        <v>428200</v>
      </c>
      <c r="M665" s="612">
        <f t="shared" si="74"/>
        <v>1</v>
      </c>
      <c r="N665" s="613">
        <f t="shared" si="71"/>
        <v>0</v>
      </c>
      <c r="O665" s="613">
        <f>VLOOKUP(A665,'TB Download'!A:A,1,FALSE)</f>
        <v>428200</v>
      </c>
      <c r="R665" s="1514"/>
      <c r="S665" s="1617" t="e">
        <f>SUMIF('[105]TB for financial'!$A:$A,A665,'[105]TB for financial'!$E:$E)</f>
        <v>#VALUE!</v>
      </c>
    </row>
    <row r="666" spans="1:19" ht="12" customHeight="1">
      <c r="A666" s="1371">
        <v>428400</v>
      </c>
      <c r="B666" s="609" t="s">
        <v>2422</v>
      </c>
      <c r="C666" s="610">
        <f t="shared" si="70"/>
        <v>163</v>
      </c>
      <c r="D666" s="611">
        <v>0</v>
      </c>
      <c r="E666" s="610">
        <f>SUMIF('Entries 24-25'!$B:$B,A:A,'Entries 24-25'!$D:$D)-SUMIF('Entries 24-25'!$B:$B,A:A,'Entries 24-25'!$E:$E)+SUMIF('IND AS entries 24-25'!$B:$B,A:A,'IND AS entries 24-25'!$D:$D)-SUMIF('IND AS entries 24-25'!$B:$B,A:A,'IND AS entries 24-25'!$E:$E)</f>
        <v>0</v>
      </c>
      <c r="F666" s="611">
        <f t="shared" si="72"/>
        <v>163</v>
      </c>
      <c r="G666" s="610"/>
      <c r="H666" s="610">
        <v>163</v>
      </c>
      <c r="I666" s="611">
        <v>0</v>
      </c>
      <c r="J666" s="610">
        <v>0</v>
      </c>
      <c r="K666" s="611">
        <f t="shared" si="73"/>
        <v>163</v>
      </c>
      <c r="L666" s="612">
        <f>VLOOKUP(A666,'BS Gr'!A:A,1,FALSE)</f>
        <v>428400</v>
      </c>
      <c r="M666" s="612">
        <f t="shared" si="74"/>
        <v>1</v>
      </c>
      <c r="N666" s="613">
        <f t="shared" si="71"/>
        <v>0</v>
      </c>
      <c r="O666" s="613">
        <f>VLOOKUP(A666,'TB Download'!A:A,1,FALSE)</f>
        <v>428400</v>
      </c>
      <c r="R666" s="1514"/>
      <c r="S666" s="1617" t="e">
        <f>SUMIF('[105]TB for financial'!$A:$A,A666,'[105]TB for financial'!$E:$E)</f>
        <v>#VALUE!</v>
      </c>
    </row>
    <row r="667" spans="1:19" ht="12" customHeight="1">
      <c r="A667" s="1371">
        <v>428610</v>
      </c>
      <c r="B667" s="609" t="s">
        <v>2423</v>
      </c>
      <c r="C667" s="610">
        <f t="shared" si="70"/>
        <v>-68528.999999999942</v>
      </c>
      <c r="D667" s="611">
        <f>-59024-32959.29</f>
        <v>-91983.290000000008</v>
      </c>
      <c r="E667" s="610">
        <f>SUMIF('Entries 24-25'!$B:$B,A:A,'Entries 24-25'!$D:$D)-SUMIF('Entries 24-25'!$B:$B,A:A,'Entries 24-25'!$E:$E)+SUMIF('IND AS entries 24-25'!$B:$B,A:A,'IND AS entries 24-25'!$D:$D)-SUMIF('IND AS entries 24-25'!$B:$B,A:A,'IND AS entries 24-25'!$E:$E)</f>
        <v>32959.29</v>
      </c>
      <c r="F667" s="611">
        <f t="shared" si="72"/>
        <v>-127552.99999999994</v>
      </c>
      <c r="G667" s="610"/>
      <c r="H667" s="610">
        <v>-30710.28999999995</v>
      </c>
      <c r="I667" s="611">
        <v>-61985</v>
      </c>
      <c r="J667" s="610">
        <v>24166.29</v>
      </c>
      <c r="K667" s="611">
        <f t="shared" si="73"/>
        <v>-68528.999999999942</v>
      </c>
      <c r="L667" s="612">
        <f>VLOOKUP(A667,'BS Gr'!A:A,1,FALSE)</f>
        <v>428610</v>
      </c>
      <c r="M667" s="612">
        <f t="shared" si="74"/>
        <v>1</v>
      </c>
      <c r="N667" s="613">
        <f t="shared" si="71"/>
        <v>0</v>
      </c>
      <c r="O667" s="613">
        <f>VLOOKUP(A667,'TB Download'!A:A,1,FALSE)</f>
        <v>428610</v>
      </c>
      <c r="R667" s="1514"/>
      <c r="S667" s="1617" t="e">
        <f>SUMIF('[105]TB for financial'!$A:$A,A667,'[105]TB for financial'!$E:$E)</f>
        <v>#VALUE!</v>
      </c>
    </row>
    <row r="668" spans="1:19" ht="12" customHeight="1">
      <c r="A668" s="1371">
        <v>428611</v>
      </c>
      <c r="B668" s="609" t="s">
        <v>2844</v>
      </c>
      <c r="C668" s="610">
        <f t="shared" si="70"/>
        <v>0</v>
      </c>
      <c r="D668" s="611">
        <v>32160</v>
      </c>
      <c r="E668" s="610">
        <f>SUMIF('Entries 24-25'!$B:$B,A:A,'Entries 24-25'!$D:$D)-SUMIF('Entries 24-25'!$B:$B,A:A,'Entries 24-25'!$E:$E)+SUMIF('IND AS entries 24-25'!$B:$B,A:A,'IND AS entries 24-25'!$D:$D)-SUMIF('IND AS entries 24-25'!$B:$B,A:A,'IND AS entries 24-25'!$E:$E)</f>
        <v>0</v>
      </c>
      <c r="F668" s="611">
        <f t="shared" si="72"/>
        <v>32160</v>
      </c>
      <c r="G668" s="610"/>
      <c r="H668" s="610">
        <v>0</v>
      </c>
      <c r="I668" s="611">
        <v>-32160</v>
      </c>
      <c r="J668" s="610">
        <v>32160</v>
      </c>
      <c r="K668" s="611">
        <f t="shared" si="73"/>
        <v>0</v>
      </c>
      <c r="L668" s="612"/>
      <c r="M668" s="612"/>
      <c r="N668" s="613"/>
      <c r="O668" s="613"/>
      <c r="R668" s="1514"/>
      <c r="S668" s="1617" t="e">
        <f>SUMIF('[105]TB for financial'!$A:$A,A668,'[105]TB for financial'!$E:$E)</f>
        <v>#VALUE!</v>
      </c>
    </row>
    <row r="669" spans="1:19" ht="12" customHeight="1">
      <c r="A669" s="1371">
        <v>428616</v>
      </c>
      <c r="B669" s="609" t="s">
        <v>2490</v>
      </c>
      <c r="C669" s="610">
        <f t="shared" si="70"/>
        <v>-21343.600000000006</v>
      </c>
      <c r="D669" s="611">
        <v>5171</v>
      </c>
      <c r="E669" s="610">
        <f>SUMIF('Entries 24-25'!$B:$B,A:A,'Entries 24-25'!$D:$D)-SUMIF('Entries 24-25'!$B:$B,A:A,'Entries 24-25'!$E:$E)+SUMIF('IND AS entries 24-25'!$B:$B,A:A,'IND AS entries 24-25'!$D:$D)-SUMIF('IND AS entries 24-25'!$B:$B,A:A,'IND AS entries 24-25'!$E:$E)</f>
        <v>0</v>
      </c>
      <c r="F669" s="611">
        <f t="shared" si="72"/>
        <v>-16172.600000000006</v>
      </c>
      <c r="G669" s="610"/>
      <c r="H669" s="610">
        <v>-1343.6000000000058</v>
      </c>
      <c r="I669" s="611">
        <v>-20000</v>
      </c>
      <c r="J669" s="610">
        <v>0</v>
      </c>
      <c r="K669" s="611">
        <f t="shared" si="73"/>
        <v>-21343.600000000006</v>
      </c>
      <c r="L669" s="612">
        <f>VLOOKUP(A669,'BS Gr'!A:A,1,FALSE)</f>
        <v>428616</v>
      </c>
      <c r="M669" s="612">
        <f>COUNTIF(A:A,A669)</f>
        <v>1</v>
      </c>
      <c r="N669" s="613">
        <f t="shared" si="71"/>
        <v>0</v>
      </c>
      <c r="O669" s="613">
        <f>VLOOKUP(A669,'TB Download'!A:A,1,FALSE)</f>
        <v>428616</v>
      </c>
      <c r="R669" s="1514"/>
      <c r="S669" s="1617" t="e">
        <f>SUMIF('[105]TB for financial'!$A:$A,A669,'[105]TB for financial'!$E:$E)</f>
        <v>#VALUE!</v>
      </c>
    </row>
    <row r="670" spans="1:19" ht="12" customHeight="1">
      <c r="A670" s="1371">
        <v>437000</v>
      </c>
      <c r="B670" s="609" t="s">
        <v>2845</v>
      </c>
      <c r="C670" s="610">
        <f t="shared" si="70"/>
        <v>-67156</v>
      </c>
      <c r="D670" s="611">
        <v>-52022</v>
      </c>
      <c r="E670" s="610">
        <f>SUMIF('Entries 24-25'!$B:$B,A:A,'Entries 24-25'!$D:$D)-SUMIF('Entries 24-25'!$B:$B,A:A,'Entries 24-25'!$E:$E)+SUMIF('IND AS entries 24-25'!$B:$B,A:A,'IND AS entries 24-25'!$D:$D)-SUMIF('IND AS entries 24-25'!$B:$B,A:A,'IND AS entries 24-25'!$E:$E)</f>
        <v>0</v>
      </c>
      <c r="F670" s="611">
        <f t="shared" si="72"/>
        <v>-119178</v>
      </c>
      <c r="G670" s="610"/>
      <c r="H670" s="610">
        <v>0</v>
      </c>
      <c r="I670" s="611">
        <v>-22701</v>
      </c>
      <c r="J670" s="610">
        <v>-44455</v>
      </c>
      <c r="K670" s="611">
        <f t="shared" si="73"/>
        <v>-67156</v>
      </c>
      <c r="L670" s="612"/>
      <c r="M670" s="612"/>
      <c r="N670" s="613"/>
      <c r="O670" s="613"/>
      <c r="R670" s="1514"/>
      <c r="S670" s="1617" t="e">
        <f>SUMIF('[105]TB for financial'!$A:$A,A670,'[105]TB for financial'!$E:$E)</f>
        <v>#VALUE!</v>
      </c>
    </row>
    <row r="671" spans="1:19" ht="12" customHeight="1">
      <c r="A671" s="1371">
        <v>437200</v>
      </c>
      <c r="B671" s="609" t="s">
        <v>2426</v>
      </c>
      <c r="C671" s="610">
        <f t="shared" si="70"/>
        <v>-300</v>
      </c>
      <c r="D671" s="611">
        <v>100</v>
      </c>
      <c r="E671" s="610">
        <f>SUMIF('Entries 24-25'!$B:$B,A:A,'Entries 24-25'!$D:$D)-SUMIF('Entries 24-25'!$B:$B,A:A,'Entries 24-25'!$E:$E)+SUMIF('IND AS entries 24-25'!$B:$B,A:A,'IND AS entries 24-25'!$D:$D)-SUMIF('IND AS entries 24-25'!$B:$B,A:A,'IND AS entries 24-25'!$E:$E)</f>
        <v>0</v>
      </c>
      <c r="F671" s="611">
        <f t="shared" si="72"/>
        <v>-200</v>
      </c>
      <c r="G671" s="610"/>
      <c r="H671" s="610">
        <v>-250</v>
      </c>
      <c r="I671" s="611">
        <v>600</v>
      </c>
      <c r="J671" s="610">
        <v>-650</v>
      </c>
      <c r="K671" s="611">
        <f t="shared" si="73"/>
        <v>-300</v>
      </c>
      <c r="L671" s="612">
        <f>VLOOKUP(A671,'BS Gr'!A:A,1,FALSE)</f>
        <v>437200</v>
      </c>
      <c r="M671" s="612">
        <f t="shared" ref="M671:M693" si="75">COUNTIF(A:A,A671)</f>
        <v>1</v>
      </c>
      <c r="N671" s="613">
        <f t="shared" si="71"/>
        <v>0</v>
      </c>
      <c r="O671" s="613">
        <f>VLOOKUP(A671,'TB Download'!A:A,1,FALSE)</f>
        <v>437200</v>
      </c>
      <c r="R671" s="1514"/>
      <c r="S671" s="1617" t="e">
        <f>SUMIF('[105]TB for financial'!$A:$A,A671,'[105]TB for financial'!$E:$E)</f>
        <v>#VALUE!</v>
      </c>
    </row>
    <row r="672" spans="1:19" ht="12" customHeight="1">
      <c r="A672" s="1371">
        <v>437407</v>
      </c>
      <c r="B672" s="609" t="s">
        <v>1427</v>
      </c>
      <c r="C672" s="610">
        <f t="shared" si="70"/>
        <v>-26652.499999998799</v>
      </c>
      <c r="D672" s="611">
        <v>-1272.8000000007451</v>
      </c>
      <c r="E672" s="610">
        <f>SUMIF('Entries 24-25'!$B:$B,A:A,'Entries 24-25'!$D:$D)-SUMIF('Entries 24-25'!$B:$B,A:A,'Entries 24-25'!$E:$E)+SUMIF('IND AS entries 24-25'!$B:$B,A:A,'IND AS entries 24-25'!$D:$D)-SUMIF('IND AS entries 24-25'!$B:$B,A:A,'IND AS entries 24-25'!$E:$E)</f>
        <v>-3883</v>
      </c>
      <c r="F672" s="611">
        <f t="shared" si="72"/>
        <v>-31808.299999999545</v>
      </c>
      <c r="G672" s="610"/>
      <c r="H672" s="610">
        <v>-34976.099999999009</v>
      </c>
      <c r="I672" s="611">
        <v>15889.700000000208</v>
      </c>
      <c r="J672" s="610">
        <v>-7566.1</v>
      </c>
      <c r="K672" s="611">
        <f t="shared" si="73"/>
        <v>-26652.499999998799</v>
      </c>
      <c r="L672" s="612">
        <f>VLOOKUP(A672,'BS Gr'!A:A,1,FALSE)</f>
        <v>437407</v>
      </c>
      <c r="M672" s="612">
        <f t="shared" si="75"/>
        <v>1</v>
      </c>
      <c r="N672" s="613">
        <f t="shared" si="71"/>
        <v>0</v>
      </c>
      <c r="O672" s="613">
        <f>VLOOKUP(A672,'TB Download'!A:A,1,FALSE)</f>
        <v>437407</v>
      </c>
      <c r="R672" s="1514"/>
      <c r="S672" s="1617" t="e">
        <f>SUMIF('[105]TB for financial'!$A:$A,A672,'[105]TB for financial'!$E:$E)</f>
        <v>#VALUE!</v>
      </c>
    </row>
    <row r="673" spans="1:19" ht="12" customHeight="1">
      <c r="A673" s="1371">
        <v>437408</v>
      </c>
      <c r="B673" s="609" t="s">
        <v>2427</v>
      </c>
      <c r="C673" s="610">
        <f t="shared" si="70"/>
        <v>-88406.621840000327</v>
      </c>
      <c r="D673" s="611">
        <v>-32162.850000000559</v>
      </c>
      <c r="E673" s="610">
        <f>SUMIF('Entries 24-25'!$B:$B,A:A,'Entries 24-25'!$D:$D)-SUMIF('Entries 24-25'!$B:$B,A:A,'Entries 24-25'!$E:$E)+SUMIF('IND AS entries 24-25'!$B:$B,A:A,'IND AS entries 24-25'!$D:$D)-SUMIF('IND AS entries 24-25'!$B:$B,A:A,'IND AS entries 24-25'!$E:$E)</f>
        <v>-43888</v>
      </c>
      <c r="F673" s="611">
        <f t="shared" si="72"/>
        <v>-164457.47184000089</v>
      </c>
      <c r="G673" s="610"/>
      <c r="H673" s="610">
        <v>-221759.40184000024</v>
      </c>
      <c r="I673" s="611">
        <v>185788.77999999991</v>
      </c>
      <c r="J673" s="610">
        <v>-52436</v>
      </c>
      <c r="K673" s="611">
        <f t="shared" si="73"/>
        <v>-88406.621840000327</v>
      </c>
      <c r="L673" s="612">
        <f>VLOOKUP(A673,'BS Gr'!A:A,1,FALSE)</f>
        <v>437408</v>
      </c>
      <c r="M673" s="612">
        <f t="shared" si="75"/>
        <v>1</v>
      </c>
      <c r="N673" s="613">
        <f t="shared" si="71"/>
        <v>0</v>
      </c>
      <c r="O673" s="613">
        <f>VLOOKUP(A673,'TB Download'!A:A,1,FALSE)</f>
        <v>437408</v>
      </c>
      <c r="R673" s="1514"/>
      <c r="S673" s="1617" t="e">
        <f>SUMIF('[105]TB for financial'!$A:$A,A673,'[105]TB for financial'!$E:$E)</f>
        <v>#VALUE!</v>
      </c>
    </row>
    <row r="674" spans="1:19" ht="12" customHeight="1">
      <c r="A674" s="1371">
        <v>437409</v>
      </c>
      <c r="B674" s="609" t="s">
        <v>2659</v>
      </c>
      <c r="C674" s="610">
        <f t="shared" si="70"/>
        <v>-42542.810000000005</v>
      </c>
      <c r="D674" s="611">
        <v>10600.159999999916</v>
      </c>
      <c r="E674" s="610">
        <f>SUMIF('Entries 24-25'!$B:$B,A:A,'Entries 24-25'!$D:$D)-SUMIF('Entries 24-25'!$B:$B,A:A,'Entries 24-25'!$E:$E)+SUMIF('IND AS entries 24-25'!$B:$B,A:A,'IND AS entries 24-25'!$D:$D)-SUMIF('IND AS entries 24-25'!$B:$B,A:A,'IND AS entries 24-25'!$E:$E)</f>
        <v>28287</v>
      </c>
      <c r="F674" s="611">
        <f t="shared" si="72"/>
        <v>-3655.6500000000888</v>
      </c>
      <c r="G674" s="610"/>
      <c r="H674" s="610">
        <v>64.069999999999993</v>
      </c>
      <c r="I674" s="611">
        <v>-42606.880000000005</v>
      </c>
      <c r="J674" s="610">
        <v>0</v>
      </c>
      <c r="K674" s="611">
        <f t="shared" si="73"/>
        <v>-42542.810000000005</v>
      </c>
      <c r="L674" s="612">
        <f>VLOOKUP(A674,'BS Gr'!A:A,1,FALSE)</f>
        <v>437409</v>
      </c>
      <c r="M674" s="612">
        <f t="shared" si="75"/>
        <v>1</v>
      </c>
      <c r="N674" s="613">
        <f t="shared" si="71"/>
        <v>0</v>
      </c>
      <c r="O674" s="613">
        <f>VLOOKUP(A674,'TB Download'!A:A,1,FALSE)</f>
        <v>437409</v>
      </c>
      <c r="R674" s="1514"/>
      <c r="S674" s="1617" t="e">
        <f>SUMIF('[105]TB for financial'!$A:$A,A674,'[105]TB for financial'!$E:$E)</f>
        <v>#VALUE!</v>
      </c>
    </row>
    <row r="675" spans="1:19" ht="12" customHeight="1">
      <c r="A675" s="1371">
        <v>437425</v>
      </c>
      <c r="B675" s="609" t="s">
        <v>2428</v>
      </c>
      <c r="C675" s="610">
        <f t="shared" si="70"/>
        <v>-20291.989999999976</v>
      </c>
      <c r="D675" s="611">
        <v>9075</v>
      </c>
      <c r="E675" s="610">
        <f>SUMIF('Entries 24-25'!$B:$B,A:A,'Entries 24-25'!$D:$D)-SUMIF('Entries 24-25'!$B:$B,A:A,'Entries 24-25'!$E:$E)+SUMIF('IND AS entries 24-25'!$B:$B,A:A,'IND AS entries 24-25'!$D:$D)-SUMIF('IND AS entries 24-25'!$B:$B,A:A,'IND AS entries 24-25'!$E:$E)</f>
        <v>-3783</v>
      </c>
      <c r="F675" s="611">
        <f t="shared" si="72"/>
        <v>-14999.989999999976</v>
      </c>
      <c r="G675" s="610"/>
      <c r="H675" s="610">
        <v>-23459.569999999992</v>
      </c>
      <c r="I675" s="611">
        <v>2733.5800000000163</v>
      </c>
      <c r="J675" s="610">
        <v>434</v>
      </c>
      <c r="K675" s="611">
        <f t="shared" si="73"/>
        <v>-20291.989999999976</v>
      </c>
      <c r="L675" s="612">
        <f>VLOOKUP(A675,'BS Gr'!A:A,1,FALSE)</f>
        <v>437425</v>
      </c>
      <c r="M675" s="612">
        <f t="shared" si="75"/>
        <v>1</v>
      </c>
      <c r="N675" s="613">
        <f t="shared" si="71"/>
        <v>0</v>
      </c>
      <c r="O675" s="613">
        <f>VLOOKUP(A675,'TB Download'!A:A,1,FALSE)</f>
        <v>437425</v>
      </c>
      <c r="R675" s="1514"/>
      <c r="S675" s="1617" t="e">
        <f>SUMIF('[105]TB for financial'!$A:$A,A675,'[105]TB for financial'!$E:$E)</f>
        <v>#VALUE!</v>
      </c>
    </row>
    <row r="676" spans="1:19" ht="12" customHeight="1">
      <c r="A676" s="1371">
        <v>437427</v>
      </c>
      <c r="B676" s="609" t="s">
        <v>2429</v>
      </c>
      <c r="C676" s="610">
        <f t="shared" si="70"/>
        <v>-281</v>
      </c>
      <c r="D676" s="611">
        <v>20</v>
      </c>
      <c r="E676" s="610">
        <f>SUMIF('Entries 24-25'!$B:$B,A:A,'Entries 24-25'!$D:$D)-SUMIF('Entries 24-25'!$B:$B,A:A,'Entries 24-25'!$E:$E)+SUMIF('IND AS entries 24-25'!$B:$B,A:A,'IND AS entries 24-25'!$D:$D)-SUMIF('IND AS entries 24-25'!$B:$B,A:A,'IND AS entries 24-25'!$E:$E)</f>
        <v>0</v>
      </c>
      <c r="F676" s="611">
        <f t="shared" si="72"/>
        <v>-261</v>
      </c>
      <c r="G676" s="610"/>
      <c r="H676" s="610">
        <v>-301</v>
      </c>
      <c r="I676" s="611">
        <v>20</v>
      </c>
      <c r="J676" s="610">
        <v>0</v>
      </c>
      <c r="K676" s="611">
        <f t="shared" si="73"/>
        <v>-281</v>
      </c>
      <c r="L676" s="612">
        <f>VLOOKUP(A676,'BS Gr'!A:A,1,FALSE)</f>
        <v>437427</v>
      </c>
      <c r="M676" s="612">
        <f t="shared" si="75"/>
        <v>1</v>
      </c>
      <c r="N676" s="613">
        <f t="shared" si="71"/>
        <v>0</v>
      </c>
      <c r="O676" s="613">
        <f>VLOOKUP(A676,'TB Download'!A:A,1,FALSE)</f>
        <v>437427</v>
      </c>
      <c r="R676" s="1514"/>
      <c r="S676" s="1617" t="e">
        <f>SUMIF('[105]TB for financial'!$A:$A,A676,'[105]TB for financial'!$E:$E)</f>
        <v>#VALUE!</v>
      </c>
    </row>
    <row r="677" spans="1:19" ht="12" customHeight="1">
      <c r="A677" s="1371">
        <v>437522</v>
      </c>
      <c r="B677" s="609" t="s">
        <v>2491</v>
      </c>
      <c r="C677" s="610">
        <f t="shared" si="70"/>
        <v>-266</v>
      </c>
      <c r="D677" s="611">
        <v>400</v>
      </c>
      <c r="E677" s="610">
        <f>SUMIF('Entries 24-25'!$B:$B,A:A,'Entries 24-25'!$D:$D)-SUMIF('Entries 24-25'!$B:$B,A:A,'Entries 24-25'!$E:$E)+SUMIF('IND AS entries 24-25'!$B:$B,A:A,'IND AS entries 24-25'!$D:$D)-SUMIF('IND AS entries 24-25'!$B:$B,A:A,'IND AS entries 24-25'!$E:$E)</f>
        <v>0</v>
      </c>
      <c r="F677" s="611">
        <f t="shared" si="72"/>
        <v>134</v>
      </c>
      <c r="G677" s="610"/>
      <c r="H677" s="610">
        <v>-266</v>
      </c>
      <c r="I677" s="611">
        <v>0</v>
      </c>
      <c r="J677" s="610">
        <v>0</v>
      </c>
      <c r="K677" s="611">
        <f t="shared" si="73"/>
        <v>-266</v>
      </c>
      <c r="L677" s="612">
        <f>VLOOKUP(A677,'BS Gr'!A:A,1,FALSE)</f>
        <v>437522</v>
      </c>
      <c r="M677" s="612">
        <f t="shared" si="75"/>
        <v>1</v>
      </c>
      <c r="N677" s="613">
        <f t="shared" si="71"/>
        <v>0</v>
      </c>
      <c r="O677" s="613">
        <f>VLOOKUP(A677,'TB Download'!A:A,1,FALSE)</f>
        <v>437522</v>
      </c>
      <c r="R677" s="1514"/>
      <c r="S677" s="1617" t="e">
        <f>SUMIF('[105]TB for financial'!$A:$A,A677,'[105]TB for financial'!$E:$E)</f>
        <v>#VALUE!</v>
      </c>
    </row>
    <row r="678" spans="1:19" ht="12" customHeight="1">
      <c r="A678" s="1371">
        <v>438666</v>
      </c>
      <c r="B678" s="609" t="s">
        <v>2431</v>
      </c>
      <c r="C678" s="610">
        <f t="shared" si="70"/>
        <v>-120654</v>
      </c>
      <c r="D678" s="611">
        <v>72338</v>
      </c>
      <c r="E678" s="610">
        <f>SUMIF('Entries 24-25'!$B:$B,A:A,'Entries 24-25'!$D:$D)-SUMIF('Entries 24-25'!$B:$B,A:A,'Entries 24-25'!$E:$E)+SUMIF('IND AS entries 24-25'!$B:$B,A:A,'IND AS entries 24-25'!$D:$D)-SUMIF('IND AS entries 24-25'!$B:$B,A:A,'IND AS entries 24-25'!$E:$E)</f>
        <v>0</v>
      </c>
      <c r="F678" s="611">
        <f t="shared" si="72"/>
        <v>-48316</v>
      </c>
      <c r="G678" s="610"/>
      <c r="H678" s="610">
        <v>-147234</v>
      </c>
      <c r="I678" s="611">
        <v>17569</v>
      </c>
      <c r="J678" s="610">
        <v>9011</v>
      </c>
      <c r="K678" s="611">
        <f t="shared" si="73"/>
        <v>-120654</v>
      </c>
      <c r="L678" s="612">
        <f>VLOOKUP(A678,'BS Gr'!A:A,1,FALSE)</f>
        <v>438666</v>
      </c>
      <c r="M678" s="612">
        <f t="shared" si="75"/>
        <v>1</v>
      </c>
      <c r="N678" s="613">
        <f t="shared" si="71"/>
        <v>0</v>
      </c>
      <c r="O678" s="613">
        <f>VLOOKUP(A678,'TB Download'!A:A,1,FALSE)</f>
        <v>438666</v>
      </c>
      <c r="R678" s="1514"/>
      <c r="S678" s="1617" t="e">
        <f>SUMIF('[105]TB for financial'!$A:$A,A678,'[105]TB for financial'!$E:$E)</f>
        <v>#VALUE!</v>
      </c>
    </row>
    <row r="679" spans="1:19" ht="12" customHeight="1">
      <c r="A679" s="1371">
        <v>444000</v>
      </c>
      <c r="B679" s="609" t="s">
        <v>2492</v>
      </c>
      <c r="C679" s="610">
        <f t="shared" si="70"/>
        <v>-246662002.97564703</v>
      </c>
      <c r="D679" s="611">
        <v>0</v>
      </c>
      <c r="E679" s="610">
        <f>SUMIF('Entries 24-25'!$B:$B,A:A,'Entries 24-25'!$D:$D)-SUMIF('Entries 24-25'!$B:$B,A:A,'Entries 24-25'!$E:$E)+SUMIF('IND AS entries 24-25'!$B:$B,A:A,'IND AS entries 24-25'!$D:$D)-SUMIF('IND AS entries 24-25'!$B:$B,A:A,'IND AS entries 24-25'!$E:$E)</f>
        <v>-42613708.547614634</v>
      </c>
      <c r="F679" s="611">
        <f t="shared" si="72"/>
        <v>-289275711.52326167</v>
      </c>
      <c r="G679" s="610"/>
      <c r="H679" s="610">
        <v>-242626701.56028086</v>
      </c>
      <c r="I679" s="611">
        <v>-595400</v>
      </c>
      <c r="J679" s="610">
        <v>-3439901.4153661877</v>
      </c>
      <c r="K679" s="611">
        <f t="shared" si="73"/>
        <v>-246662002.97564703</v>
      </c>
      <c r="L679" s="612">
        <f>VLOOKUP(A679,'BS Gr'!A:A,1,FALSE)</f>
        <v>444000</v>
      </c>
      <c r="M679" s="612">
        <f t="shared" si="75"/>
        <v>1</v>
      </c>
      <c r="N679" s="613">
        <f t="shared" si="71"/>
        <v>0</v>
      </c>
      <c r="O679" s="613">
        <f>VLOOKUP(A679,'TB Download'!A:A,1,FALSE)</f>
        <v>444000</v>
      </c>
      <c r="R679" s="1514"/>
      <c r="S679" s="1617" t="e">
        <f>SUMIF('[105]TB for financial'!$A:$A,A679,'[105]TB for financial'!$E:$E)</f>
        <v>#VALUE!</v>
      </c>
    </row>
    <row r="680" spans="1:19" ht="12" customHeight="1">
      <c r="A680" s="1371">
        <v>444400</v>
      </c>
      <c r="B680" s="609" t="s">
        <v>2542</v>
      </c>
      <c r="C680" s="610">
        <f t="shared" si="70"/>
        <v>-595069.25999999978</v>
      </c>
      <c r="D680" s="611">
        <v>0</v>
      </c>
      <c r="E680" s="610">
        <f>SUMIF('Entries 24-25'!$B:$B,A:A,'Entries 24-25'!$D:$D)-SUMIF('Entries 24-25'!$B:$B,A:A,'Entries 24-25'!$E:$E)+SUMIF('IND AS entries 24-25'!$B:$B,A:A,'IND AS entries 24-25'!$D:$D)-SUMIF('IND AS entries 24-25'!$B:$B,A:A,'IND AS entries 24-25'!$E:$E)</f>
        <v>0</v>
      </c>
      <c r="F680" s="611">
        <f t="shared" si="72"/>
        <v>-595069.25999999978</v>
      </c>
      <c r="G680" s="610"/>
      <c r="H680" s="610">
        <v>0</v>
      </c>
      <c r="I680" s="611">
        <v>-13804781.7250554</v>
      </c>
      <c r="J680" s="610">
        <v>13209712.465055401</v>
      </c>
      <c r="K680" s="611">
        <f t="shared" si="73"/>
        <v>-595069.25999999978</v>
      </c>
      <c r="L680" s="612">
        <f>VLOOKUP(A680,'BS Gr'!A:A,1,FALSE)</f>
        <v>444400</v>
      </c>
      <c r="M680" s="612">
        <f t="shared" si="75"/>
        <v>1</v>
      </c>
      <c r="N680" s="613">
        <f t="shared" si="71"/>
        <v>0</v>
      </c>
      <c r="O680" s="613">
        <f>VLOOKUP(A680,'TB Download'!A:A,1,FALSE)</f>
        <v>444400</v>
      </c>
      <c r="R680" s="1514"/>
      <c r="S680" s="1617" t="e">
        <f>SUMIF('[105]TB for financial'!$A:$A,A680,'[105]TB for financial'!$E:$E)</f>
        <v>#VALUE!</v>
      </c>
    </row>
    <row r="681" spans="1:19" ht="12" customHeight="1">
      <c r="A681" s="1371">
        <v>444410</v>
      </c>
      <c r="B681" s="609" t="s">
        <v>2543</v>
      </c>
      <c r="C681" s="610">
        <f t="shared" si="70"/>
        <v>357044.11226824485</v>
      </c>
      <c r="D681" s="611">
        <v>0</v>
      </c>
      <c r="E681" s="610">
        <f>SUMIF('Entries 24-25'!$B:$B,A:A,'Entries 24-25'!$D:$D)-SUMIF('Entries 24-25'!$B:$B,A:A,'Entries 24-25'!$E:$E)+SUMIF('IND AS entries 24-25'!$B:$B,A:A,'IND AS entries 24-25'!$D:$D)-SUMIF('IND AS entries 24-25'!$B:$B,A:A,'IND AS entries 24-25'!$E:$E)</f>
        <v>0</v>
      </c>
      <c r="F681" s="611">
        <f t="shared" si="72"/>
        <v>357044.11226824485</v>
      </c>
      <c r="G681" s="610"/>
      <c r="H681" s="610">
        <v>0</v>
      </c>
      <c r="I681" s="611">
        <v>12501924.629999999</v>
      </c>
      <c r="J681" s="610">
        <v>-12144880.517731754</v>
      </c>
      <c r="K681" s="611">
        <f t="shared" si="73"/>
        <v>357044.11226824485</v>
      </c>
      <c r="L681" s="612">
        <f>VLOOKUP(A681,'BS Gr'!A:A,1,FALSE)</f>
        <v>444410</v>
      </c>
      <c r="M681" s="612">
        <f t="shared" si="75"/>
        <v>1</v>
      </c>
      <c r="N681" s="613">
        <f t="shared" si="71"/>
        <v>0</v>
      </c>
      <c r="O681" s="613">
        <f>VLOOKUP(A681,'TB Download'!A:A,1,FALSE)</f>
        <v>444410</v>
      </c>
      <c r="R681" s="1514"/>
      <c r="S681" s="1617" t="e">
        <f>SUMIF('[105]TB for financial'!$A:$A,A681,'[105]TB for financial'!$E:$E)</f>
        <v>#VALUE!</v>
      </c>
    </row>
    <row r="682" spans="1:19" ht="12" customHeight="1">
      <c r="A682" s="1371">
        <v>444042</v>
      </c>
      <c r="B682" s="609" t="s">
        <v>2433</v>
      </c>
      <c r="C682" s="610">
        <f t="shared" si="70"/>
        <v>0</v>
      </c>
      <c r="D682" s="611">
        <v>0</v>
      </c>
      <c r="E682" s="610">
        <f>SUMIF('Entries 24-25'!$B:$B,A:A,'Entries 24-25'!$D:$D)-SUMIF('Entries 24-25'!$B:$B,A:A,'Entries 24-25'!$E:$E)+SUMIF('IND AS entries 24-25'!$B:$B,A:A,'IND AS entries 24-25'!$D:$D)-SUMIF('IND AS entries 24-25'!$B:$B,A:A,'IND AS entries 24-25'!$E:$E)</f>
        <v>0</v>
      </c>
      <c r="F682" s="611">
        <f t="shared" si="72"/>
        <v>0</v>
      </c>
      <c r="G682" s="610"/>
      <c r="H682" s="610">
        <v>0</v>
      </c>
      <c r="I682" s="611">
        <v>0</v>
      </c>
      <c r="J682" s="610">
        <v>0</v>
      </c>
      <c r="K682" s="611">
        <f t="shared" si="73"/>
        <v>0</v>
      </c>
      <c r="L682" s="612">
        <f>VLOOKUP(A682,'BS Gr'!A:A,1,FALSE)</f>
        <v>444042</v>
      </c>
      <c r="M682" s="612">
        <f t="shared" si="75"/>
        <v>1</v>
      </c>
      <c r="N682" s="613">
        <f t="shared" si="71"/>
        <v>0</v>
      </c>
      <c r="O682" s="613" t="e">
        <f>VLOOKUP(A682,'TB Download'!A:A,1,FALSE)</f>
        <v>#N/A</v>
      </c>
      <c r="R682" s="1514"/>
      <c r="S682" s="1617" t="e">
        <f>SUMIF('[105]TB for financial'!$A:$A,A682,'[105]TB for financial'!$E:$E)</f>
        <v>#VALUE!</v>
      </c>
    </row>
    <row r="683" spans="1:19" ht="12" customHeight="1">
      <c r="A683" s="1371">
        <v>444508</v>
      </c>
      <c r="B683" s="609" t="s">
        <v>2545</v>
      </c>
      <c r="C683" s="610">
        <f t="shared" si="70"/>
        <v>270524733</v>
      </c>
      <c r="D683" s="611">
        <v>0</v>
      </c>
      <c r="E683" s="610">
        <f>SUMIF('Entries 24-25'!$B:$B,A:A,'Entries 24-25'!$D:$D)-SUMIF('Entries 24-25'!$B:$B,A:A,'Entries 24-25'!$E:$E)+SUMIF('IND AS entries 24-25'!$B:$B,A:A,'IND AS entries 24-25'!$D:$D)-SUMIF('IND AS entries 24-25'!$B:$B,A:A,'IND AS entries 24-25'!$E:$E)</f>
        <v>0</v>
      </c>
      <c r="F683" s="611">
        <f t="shared" si="72"/>
        <v>270524733</v>
      </c>
      <c r="G683" s="610"/>
      <c r="H683" s="610">
        <v>268024733</v>
      </c>
      <c r="I683" s="611">
        <v>2500000</v>
      </c>
      <c r="J683" s="610">
        <v>0</v>
      </c>
      <c r="K683" s="611">
        <f t="shared" si="73"/>
        <v>270524733</v>
      </c>
      <c r="L683" s="612">
        <f>VLOOKUP(A683,'BS Gr'!A:A,1,FALSE)</f>
        <v>444508</v>
      </c>
      <c r="M683" s="612">
        <f t="shared" si="75"/>
        <v>1</v>
      </c>
      <c r="N683" s="613">
        <f t="shared" si="71"/>
        <v>0</v>
      </c>
      <c r="O683" s="613">
        <f>VLOOKUP(A683,'TB Download'!A:A,1,FALSE)</f>
        <v>444508</v>
      </c>
      <c r="R683" s="1514"/>
      <c r="S683" s="1617" t="e">
        <f>SUMIF('[105]TB for financial'!$A:$A,A683,'[105]TB for financial'!$E:$E)</f>
        <v>#VALUE!</v>
      </c>
    </row>
    <row r="684" spans="1:19" ht="12" customHeight="1">
      <c r="A684" s="1371">
        <v>444550</v>
      </c>
      <c r="B684" s="609" t="s">
        <v>2434</v>
      </c>
      <c r="C684" s="610">
        <f t="shared" si="70"/>
        <v>182830</v>
      </c>
      <c r="D684" s="611">
        <v>0</v>
      </c>
      <c r="E684" s="610">
        <f>SUMIF('Entries 24-25'!$B:$B,A:A,'Entries 24-25'!$D:$D)-SUMIF('Entries 24-25'!$B:$B,A:A,'Entries 24-25'!$E:$E)+SUMIF('IND AS entries 24-25'!$B:$B,A:A,'IND AS entries 24-25'!$D:$D)-SUMIF('IND AS entries 24-25'!$B:$B,A:A,'IND AS entries 24-25'!$E:$E)</f>
        <v>0</v>
      </c>
      <c r="F684" s="611">
        <f t="shared" si="72"/>
        <v>182830</v>
      </c>
      <c r="G684" s="610"/>
      <c r="H684" s="610">
        <v>182830</v>
      </c>
      <c r="I684" s="611">
        <v>0</v>
      </c>
      <c r="J684" s="610">
        <v>0</v>
      </c>
      <c r="K684" s="611">
        <f t="shared" si="73"/>
        <v>182830</v>
      </c>
      <c r="L684" s="612">
        <f>VLOOKUP(A684,'BS Gr'!A:A,1,FALSE)</f>
        <v>444550</v>
      </c>
      <c r="M684" s="612">
        <f t="shared" si="75"/>
        <v>1</v>
      </c>
      <c r="N684" s="613">
        <f t="shared" si="71"/>
        <v>0</v>
      </c>
      <c r="O684" s="613">
        <f>VLOOKUP(A684,'TB Download'!A:A,1,FALSE)</f>
        <v>444550</v>
      </c>
      <c r="R684" s="1514"/>
      <c r="S684" s="1617" t="e">
        <f>SUMIF('[105]TB for financial'!$A:$A,A684,'[105]TB for financial'!$E:$E)</f>
        <v>#VALUE!</v>
      </c>
    </row>
    <row r="685" spans="1:19" ht="12" customHeight="1">
      <c r="A685" s="1371">
        <v>444562</v>
      </c>
      <c r="B685" s="609" t="s">
        <v>2493</v>
      </c>
      <c r="C685" s="610">
        <f t="shared" si="70"/>
        <v>16857039.799999993</v>
      </c>
      <c r="D685" s="611">
        <v>1105802.6499999999</v>
      </c>
      <c r="E685" s="610">
        <f>SUMIF('Entries 24-25'!$B:$B,A:A,'Entries 24-25'!$D:$D)-SUMIF('Entries 24-25'!$B:$B,A:A,'Entries 24-25'!$E:$E)+SUMIF('IND AS entries 24-25'!$B:$B,A:A,'IND AS entries 24-25'!$D:$D)-SUMIF('IND AS entries 24-25'!$B:$B,A:A,'IND AS entries 24-25'!$E:$E)</f>
        <v>0</v>
      </c>
      <c r="F685" s="611">
        <f t="shared" si="72"/>
        <v>17962842.449999992</v>
      </c>
      <c r="G685" s="610"/>
      <c r="H685" s="610">
        <v>16435215.409999995</v>
      </c>
      <c r="I685" s="611">
        <v>421824.3899999999</v>
      </c>
      <c r="J685" s="610">
        <v>0</v>
      </c>
      <c r="K685" s="611">
        <f t="shared" si="73"/>
        <v>16857039.799999993</v>
      </c>
      <c r="L685" s="612">
        <f>VLOOKUP(A685,'BS Gr'!A:A,1,FALSE)</f>
        <v>444562</v>
      </c>
      <c r="M685" s="612">
        <f t="shared" si="75"/>
        <v>1</v>
      </c>
      <c r="N685" s="613">
        <f t="shared" si="71"/>
        <v>0</v>
      </c>
      <c r="O685" s="613">
        <f>VLOOKUP(A685,'TB Download'!A:A,1,FALSE)</f>
        <v>444562</v>
      </c>
      <c r="R685" s="1514"/>
      <c r="S685" s="1617" t="e">
        <f>SUMIF('[105]TB for financial'!$A:$A,A685,'[105]TB for financial'!$E:$E)</f>
        <v>#VALUE!</v>
      </c>
    </row>
    <row r="686" spans="1:19" ht="12" customHeight="1">
      <c r="A686" s="1371">
        <v>444566</v>
      </c>
      <c r="B686" s="609" t="s">
        <v>2544</v>
      </c>
      <c r="C686" s="610">
        <f t="shared" si="70"/>
        <v>186521.27999999997</v>
      </c>
      <c r="D686" s="611">
        <v>0</v>
      </c>
      <c r="E686" s="610">
        <f>SUMIF('Entries 24-25'!$B:$B,A:A,'Entries 24-25'!$D:$D)-SUMIF('Entries 24-25'!$B:$B,A:A,'Entries 24-25'!$E:$E)+SUMIF('IND AS entries 24-25'!$B:$B,A:A,'IND AS entries 24-25'!$D:$D)-SUMIF('IND AS entries 24-25'!$B:$B,A:A,'IND AS entries 24-25'!$E:$E)</f>
        <v>0</v>
      </c>
      <c r="F686" s="611">
        <f t="shared" si="72"/>
        <v>186521.27999999997</v>
      </c>
      <c r="G686" s="610"/>
      <c r="H686" s="610">
        <v>186521.27999999997</v>
      </c>
      <c r="I686" s="611">
        <v>0</v>
      </c>
      <c r="J686" s="610">
        <v>0</v>
      </c>
      <c r="K686" s="611">
        <f t="shared" si="73"/>
        <v>186521.27999999997</v>
      </c>
      <c r="L686" s="612">
        <f>VLOOKUP(A686,'BS Gr'!A:A,1,FALSE)</f>
        <v>444566</v>
      </c>
      <c r="M686" s="612">
        <f t="shared" si="75"/>
        <v>1</v>
      </c>
      <c r="N686" s="613">
        <f t="shared" si="71"/>
        <v>0</v>
      </c>
      <c r="O686" s="613">
        <f>VLOOKUP(A686,'TB Download'!A:A,1,FALSE)</f>
        <v>444566</v>
      </c>
      <c r="R686" s="1514"/>
      <c r="S686" s="1617" t="e">
        <f>SUMIF('[105]TB for financial'!$A:$A,A686,'[105]TB for financial'!$E:$E)</f>
        <v>#VALUE!</v>
      </c>
    </row>
    <row r="687" spans="1:19" ht="12" customHeight="1">
      <c r="A687" s="1371">
        <v>445614</v>
      </c>
      <c r="B687" s="609" t="s">
        <v>1228</v>
      </c>
      <c r="C687" s="610">
        <f t="shared" si="70"/>
        <v>932963</v>
      </c>
      <c r="D687" s="611">
        <v>0</v>
      </c>
      <c r="E687" s="610">
        <f>SUMIF('Entries 24-25'!$B:$B,A:A,'Entries 24-25'!$D:$D)-SUMIF('Entries 24-25'!$B:$B,A:A,'Entries 24-25'!$E:$E)+SUMIF('IND AS entries 24-25'!$B:$B,A:A,'IND AS entries 24-25'!$D:$D)-SUMIF('IND AS entries 24-25'!$B:$B,A:A,'IND AS entries 24-25'!$E:$E)</f>
        <v>0</v>
      </c>
      <c r="F687" s="611">
        <f t="shared" si="72"/>
        <v>932963</v>
      </c>
      <c r="G687" s="610"/>
      <c r="H687" s="610">
        <v>932963</v>
      </c>
      <c r="I687" s="611">
        <v>0</v>
      </c>
      <c r="J687" s="610">
        <v>0</v>
      </c>
      <c r="K687" s="611">
        <f t="shared" si="73"/>
        <v>932963</v>
      </c>
      <c r="L687" s="612">
        <f>VLOOKUP(A687,'BS Gr'!A:A,1,FALSE)</f>
        <v>445614</v>
      </c>
      <c r="M687" s="612">
        <f t="shared" si="75"/>
        <v>1</v>
      </c>
      <c r="N687" s="613">
        <f t="shared" si="71"/>
        <v>0</v>
      </c>
      <c r="O687" s="613">
        <f>VLOOKUP(A687,'TB Download'!A:A,1,FALSE)</f>
        <v>445614</v>
      </c>
      <c r="R687" s="1514"/>
      <c r="S687" s="1617" t="e">
        <f>SUMIF('[105]TB for financial'!$A:$A,A687,'[105]TB for financial'!$E:$E)</f>
        <v>#VALUE!</v>
      </c>
    </row>
    <row r="688" spans="1:19" ht="12" customHeight="1">
      <c r="A688" s="1371">
        <v>445616</v>
      </c>
      <c r="B688" s="609" t="s">
        <v>1230</v>
      </c>
      <c r="C688" s="610">
        <f t="shared" si="70"/>
        <v>223</v>
      </c>
      <c r="D688" s="611">
        <v>0</v>
      </c>
      <c r="E688" s="610">
        <f>SUMIF('Entries 24-25'!$B:$B,A:A,'Entries 24-25'!$D:$D)-SUMIF('Entries 24-25'!$B:$B,A:A,'Entries 24-25'!$E:$E)+SUMIF('IND AS entries 24-25'!$B:$B,A:A,'IND AS entries 24-25'!$D:$D)-SUMIF('IND AS entries 24-25'!$B:$B,A:A,'IND AS entries 24-25'!$E:$E)</f>
        <v>0</v>
      </c>
      <c r="F688" s="611">
        <f t="shared" si="72"/>
        <v>223</v>
      </c>
      <c r="G688" s="610"/>
      <c r="H688" s="610">
        <v>223</v>
      </c>
      <c r="I688" s="611">
        <v>0</v>
      </c>
      <c r="J688" s="610">
        <v>0</v>
      </c>
      <c r="K688" s="611">
        <f t="shared" si="73"/>
        <v>223</v>
      </c>
      <c r="L688" s="612">
        <f>VLOOKUP(A688,'BS Gr'!A:A,1,FALSE)</f>
        <v>445616</v>
      </c>
      <c r="M688" s="612">
        <f t="shared" si="75"/>
        <v>1</v>
      </c>
      <c r="N688" s="613">
        <f t="shared" si="71"/>
        <v>0</v>
      </c>
      <c r="O688" s="613" t="e">
        <f>VLOOKUP(A688,'TB Download'!A:A,1,FALSE)</f>
        <v>#N/A</v>
      </c>
      <c r="R688" s="1514"/>
      <c r="S688" s="1617" t="e">
        <f>SUMIF('[105]TB for financial'!$A:$A,A688,'[105]TB for financial'!$E:$E)</f>
        <v>#VALUE!</v>
      </c>
    </row>
    <row r="689" spans="1:19" ht="12" customHeight="1">
      <c r="A689" s="1371">
        <v>445780</v>
      </c>
      <c r="B689" s="609" t="s">
        <v>1449</v>
      </c>
      <c r="C689" s="610">
        <f t="shared" si="70"/>
        <v>41275.340000000004</v>
      </c>
      <c r="D689" s="611">
        <v>0</v>
      </c>
      <c r="E689" s="610">
        <f>SUMIF('Entries 24-25'!$B:$B,A:A,'Entries 24-25'!$D:$D)-SUMIF('Entries 24-25'!$B:$B,A:A,'Entries 24-25'!$E:$E)+SUMIF('IND AS entries 24-25'!$B:$B,A:A,'IND AS entries 24-25'!$D:$D)-SUMIF('IND AS entries 24-25'!$B:$B,A:A,'IND AS entries 24-25'!$E:$E)</f>
        <v>0</v>
      </c>
      <c r="F689" s="611">
        <f t="shared" si="72"/>
        <v>41275.340000000004</v>
      </c>
      <c r="G689" s="610"/>
      <c r="H689" s="610">
        <v>49997.340000000004</v>
      </c>
      <c r="I689" s="611">
        <v>-8722</v>
      </c>
      <c r="J689" s="610">
        <v>0</v>
      </c>
      <c r="K689" s="611">
        <f t="shared" si="73"/>
        <v>41275.340000000004</v>
      </c>
      <c r="L689" s="612">
        <f>VLOOKUP(A689,'BS Gr'!A:A,1,FALSE)</f>
        <v>445780</v>
      </c>
      <c r="M689" s="612">
        <f t="shared" si="75"/>
        <v>1</v>
      </c>
      <c r="N689" s="613">
        <f t="shared" si="71"/>
        <v>0</v>
      </c>
      <c r="O689" s="613">
        <f>VLOOKUP(A689,'TB Download'!A:A,1,FALSE)</f>
        <v>445780</v>
      </c>
      <c r="R689" s="1514"/>
      <c r="S689" s="1617" t="e">
        <f>SUMIF('[105]TB for financial'!$A:$A,A689,'[105]TB for financial'!$E:$E)</f>
        <v>#VALUE!</v>
      </c>
    </row>
    <row r="690" spans="1:19" ht="12" customHeight="1">
      <c r="A690" s="1371">
        <v>445882</v>
      </c>
      <c r="B690" s="609" t="s">
        <v>2436</v>
      </c>
      <c r="C690" s="610">
        <f t="shared" si="70"/>
        <v>5421844.3000000007</v>
      </c>
      <c r="D690" s="611">
        <v>0</v>
      </c>
      <c r="E690" s="610">
        <f>SUMIF('Entries 24-25'!$B:$B,A:A,'Entries 24-25'!$D:$D)-SUMIF('Entries 24-25'!$B:$B,A:A,'Entries 24-25'!$E:$E)+SUMIF('IND AS entries 24-25'!$B:$B,A:A,'IND AS entries 24-25'!$D:$D)-SUMIF('IND AS entries 24-25'!$B:$B,A:A,'IND AS entries 24-25'!$E:$E)</f>
        <v>0</v>
      </c>
      <c r="F690" s="611">
        <f t="shared" si="72"/>
        <v>5421844.3000000007</v>
      </c>
      <c r="G690" s="610"/>
      <c r="H690" s="610">
        <v>5421844.3000000007</v>
      </c>
      <c r="I690" s="611">
        <v>0</v>
      </c>
      <c r="J690" s="610">
        <v>0</v>
      </c>
      <c r="K690" s="611">
        <f t="shared" si="73"/>
        <v>5421844.3000000007</v>
      </c>
      <c r="L690" s="612">
        <f>VLOOKUP(A690,'BS Gr'!A:A,1,FALSE)</f>
        <v>445882</v>
      </c>
      <c r="M690" s="612">
        <f t="shared" si="75"/>
        <v>1</v>
      </c>
      <c r="N690" s="613">
        <f t="shared" si="71"/>
        <v>0</v>
      </c>
      <c r="O690" s="613">
        <f>VLOOKUP(A690,'TB Download'!A:A,1,FALSE)</f>
        <v>445882</v>
      </c>
      <c r="R690" s="1514"/>
      <c r="S690" s="1617" t="e">
        <f>SUMIF('[105]TB for financial'!$A:$A,A690,'[105]TB for financial'!$E:$E)</f>
        <v>#VALUE!</v>
      </c>
    </row>
    <row r="691" spans="1:19" ht="12" customHeight="1">
      <c r="A691" s="1371">
        <v>445885</v>
      </c>
      <c r="B691" s="609" t="s">
        <v>2539</v>
      </c>
      <c r="C691" s="610">
        <f t="shared" si="70"/>
        <v>2550.8099999999977</v>
      </c>
      <c r="D691" s="611">
        <v>0</v>
      </c>
      <c r="E691" s="610">
        <f>SUMIF('Entries 24-25'!$B:$B,A:A,'Entries 24-25'!$D:$D)-SUMIF('Entries 24-25'!$B:$B,A:A,'Entries 24-25'!$E:$E)+SUMIF('IND AS entries 24-25'!$B:$B,A:A,'IND AS entries 24-25'!$D:$D)-SUMIF('IND AS entries 24-25'!$B:$B,A:A,'IND AS entries 24-25'!$E:$E)</f>
        <v>0</v>
      </c>
      <c r="F691" s="611">
        <f t="shared" si="72"/>
        <v>2550.8099999999977</v>
      </c>
      <c r="G691" s="610"/>
      <c r="H691" s="610">
        <v>2550.8099999999977</v>
      </c>
      <c r="I691" s="611">
        <v>0</v>
      </c>
      <c r="J691" s="610">
        <v>0</v>
      </c>
      <c r="K691" s="611">
        <f t="shared" si="73"/>
        <v>2550.8099999999977</v>
      </c>
      <c r="L691" s="612">
        <f>VLOOKUP(A691,'BS Gr'!A:A,1,FALSE)</f>
        <v>445885</v>
      </c>
      <c r="M691" s="612">
        <f t="shared" si="75"/>
        <v>1</v>
      </c>
      <c r="N691" s="613">
        <f t="shared" si="71"/>
        <v>0</v>
      </c>
      <c r="O691" s="613" t="e">
        <f>VLOOKUP(A691,'TB Download'!A:A,1,FALSE)</f>
        <v>#N/A</v>
      </c>
      <c r="R691" s="1514"/>
      <c r="S691" s="1617" t="e">
        <f>SUMIF('[105]TB for financial'!$A:$A,A691,'[105]TB for financial'!$E:$E)</f>
        <v>#VALUE!</v>
      </c>
    </row>
    <row r="692" spans="1:19" ht="12" customHeight="1">
      <c r="A692" s="1371">
        <v>445886</v>
      </c>
      <c r="B692" s="609" t="s">
        <v>2540</v>
      </c>
      <c r="C692" s="610">
        <f t="shared" si="70"/>
        <v>-3390.0800000000004</v>
      </c>
      <c r="D692" s="611">
        <v>0</v>
      </c>
      <c r="E692" s="610">
        <f>SUMIF('Entries 24-25'!$B:$B,A:A,'Entries 24-25'!$D:$D)-SUMIF('Entries 24-25'!$B:$B,A:A,'Entries 24-25'!$E:$E)+SUMIF('IND AS entries 24-25'!$B:$B,A:A,'IND AS entries 24-25'!$D:$D)-SUMIF('IND AS entries 24-25'!$B:$B,A:A,'IND AS entries 24-25'!$E:$E)</f>
        <v>0</v>
      </c>
      <c r="F692" s="611">
        <f t="shared" si="72"/>
        <v>-3390.0800000000004</v>
      </c>
      <c r="G692" s="610"/>
      <c r="H692" s="610">
        <v>-3390.0800000000004</v>
      </c>
      <c r="I692" s="611">
        <v>0</v>
      </c>
      <c r="J692" s="610">
        <v>0</v>
      </c>
      <c r="K692" s="611">
        <f t="shared" si="73"/>
        <v>-3390.0800000000004</v>
      </c>
      <c r="L692" s="612">
        <f>VLOOKUP(A692,'BS Gr'!A:A,1,FALSE)</f>
        <v>445886</v>
      </c>
      <c r="M692" s="612">
        <f t="shared" si="75"/>
        <v>1</v>
      </c>
      <c r="N692" s="613">
        <f t="shared" si="71"/>
        <v>0</v>
      </c>
      <c r="O692" s="613" t="e">
        <f>VLOOKUP(A692,'TB Download'!A:A,1,FALSE)</f>
        <v>#N/A</v>
      </c>
      <c r="R692" s="1514"/>
      <c r="S692" s="1617" t="e">
        <f>SUMIF('[105]TB for financial'!$A:$A,A692,'[105]TB for financial'!$E:$E)</f>
        <v>#VALUE!</v>
      </c>
    </row>
    <row r="693" spans="1:19" ht="12" customHeight="1">
      <c r="A693" s="1371">
        <v>445888</v>
      </c>
      <c r="B693" s="609" t="s">
        <v>2541</v>
      </c>
      <c r="C693" s="610">
        <f t="shared" si="70"/>
        <v>13382.400000000001</v>
      </c>
      <c r="D693" s="611">
        <v>0</v>
      </c>
      <c r="E693" s="610">
        <f>SUMIF('Entries 24-25'!$B:$B,A:A,'Entries 24-25'!$D:$D)-SUMIF('Entries 24-25'!$B:$B,A:A,'Entries 24-25'!$E:$E)+SUMIF('IND AS entries 24-25'!$B:$B,A:A,'IND AS entries 24-25'!$D:$D)-SUMIF('IND AS entries 24-25'!$B:$B,A:A,'IND AS entries 24-25'!$E:$E)</f>
        <v>0</v>
      </c>
      <c r="F693" s="611">
        <f t="shared" si="72"/>
        <v>13382.400000000001</v>
      </c>
      <c r="G693" s="610"/>
      <c r="H693" s="610">
        <v>13382.400000000001</v>
      </c>
      <c r="I693" s="611">
        <v>0</v>
      </c>
      <c r="J693" s="610">
        <v>0</v>
      </c>
      <c r="K693" s="611">
        <f t="shared" si="73"/>
        <v>13382.400000000001</v>
      </c>
      <c r="L693" s="612">
        <f>VLOOKUP(A693,'BS Gr'!A:A,1,FALSE)</f>
        <v>445888</v>
      </c>
      <c r="M693" s="612">
        <f t="shared" si="75"/>
        <v>1</v>
      </c>
      <c r="N693" s="613">
        <f t="shared" si="71"/>
        <v>0</v>
      </c>
      <c r="O693" s="613" t="e">
        <f>VLOOKUP(A693,'TB Download'!A:A,1,FALSE)</f>
        <v>#N/A</v>
      </c>
      <c r="R693" s="1514"/>
      <c r="S693" s="1617" t="e">
        <f>SUMIF('[105]TB for financial'!$A:$A,A693,'[105]TB for financial'!$E:$E)</f>
        <v>#VALUE!</v>
      </c>
    </row>
    <row r="694" spans="1:19" ht="12" customHeight="1">
      <c r="A694" s="1371">
        <v>445889</v>
      </c>
      <c r="B694" s="609" t="s">
        <v>2846</v>
      </c>
      <c r="C694" s="610">
        <f t="shared" si="70"/>
        <v>3.24</v>
      </c>
      <c r="D694" s="611">
        <v>9000</v>
      </c>
      <c r="E694" s="610">
        <f>SUMIF('Entries 24-25'!$B:$B,A:A,'Entries 24-25'!$D:$D)-SUMIF('Entries 24-25'!$B:$B,A:A,'Entries 24-25'!$E:$E)+SUMIF('IND AS entries 24-25'!$B:$B,A:A,'IND AS entries 24-25'!$D:$D)-SUMIF('IND AS entries 24-25'!$B:$B,A:A,'IND AS entries 24-25'!$E:$E)</f>
        <v>0</v>
      </c>
      <c r="F694" s="611">
        <f t="shared" si="72"/>
        <v>9003.24</v>
      </c>
      <c r="G694" s="610"/>
      <c r="H694" s="610">
        <v>0</v>
      </c>
      <c r="I694" s="611">
        <v>3.24</v>
      </c>
      <c r="J694" s="610">
        <v>0</v>
      </c>
      <c r="K694" s="611">
        <f t="shared" si="73"/>
        <v>3.24</v>
      </c>
      <c r="L694" s="612"/>
      <c r="M694" s="612"/>
      <c r="N694" s="613"/>
      <c r="O694" s="613"/>
      <c r="R694" s="1514"/>
      <c r="S694" s="1617" t="e">
        <f>SUMIF('[105]TB for financial'!$A:$A,A694,'[105]TB for financial'!$E:$E)</f>
        <v>#VALUE!</v>
      </c>
    </row>
    <row r="695" spans="1:19" ht="12" customHeight="1">
      <c r="A695" s="1371">
        <v>445890</v>
      </c>
      <c r="B695" s="609" t="s">
        <v>2847</v>
      </c>
      <c r="C695" s="610">
        <f t="shared" si="70"/>
        <v>3.24</v>
      </c>
      <c r="D695" s="611">
        <v>9000</v>
      </c>
      <c r="E695" s="610">
        <f>SUMIF('Entries 24-25'!$B:$B,A:A,'Entries 24-25'!$D:$D)-SUMIF('Entries 24-25'!$B:$B,A:A,'Entries 24-25'!$E:$E)+SUMIF('IND AS entries 24-25'!$B:$B,A:A,'IND AS entries 24-25'!$D:$D)-SUMIF('IND AS entries 24-25'!$B:$B,A:A,'IND AS entries 24-25'!$E:$E)</f>
        <v>0</v>
      </c>
      <c r="F695" s="611">
        <f t="shared" si="72"/>
        <v>9003.24</v>
      </c>
      <c r="G695" s="610"/>
      <c r="H695" s="610">
        <v>0</v>
      </c>
      <c r="I695" s="611">
        <v>3.24</v>
      </c>
      <c r="J695" s="610">
        <v>0</v>
      </c>
      <c r="K695" s="611">
        <f t="shared" si="73"/>
        <v>3.24</v>
      </c>
      <c r="L695" s="612"/>
      <c r="M695" s="612"/>
      <c r="N695" s="613"/>
      <c r="O695" s="613"/>
      <c r="R695" s="1514"/>
      <c r="S695" s="1617" t="e">
        <f>SUMIF('[105]TB for financial'!$A:$A,A695,'[105]TB for financial'!$E:$E)</f>
        <v>#VALUE!</v>
      </c>
    </row>
    <row r="696" spans="1:19" ht="12" customHeight="1">
      <c r="A696" s="1371">
        <v>445891</v>
      </c>
      <c r="B696" s="609" t="s">
        <v>2660</v>
      </c>
      <c r="C696" s="610">
        <f t="shared" si="70"/>
        <v>11952</v>
      </c>
      <c r="D696" s="611">
        <v>3024</v>
      </c>
      <c r="E696" s="610">
        <f>SUMIF('Entries 24-25'!$B:$B,A:A,'Entries 24-25'!$D:$D)-SUMIF('Entries 24-25'!$B:$B,A:A,'Entries 24-25'!$E:$E)+SUMIF('IND AS entries 24-25'!$B:$B,A:A,'IND AS entries 24-25'!$D:$D)-SUMIF('IND AS entries 24-25'!$B:$B,A:A,'IND AS entries 24-25'!$E:$E)</f>
        <v>0</v>
      </c>
      <c r="F696" s="611">
        <f t="shared" si="72"/>
        <v>14976</v>
      </c>
      <c r="G696" s="610"/>
      <c r="H696" s="610">
        <v>2880</v>
      </c>
      <c r="I696" s="611">
        <v>9072</v>
      </c>
      <c r="J696" s="610">
        <v>0</v>
      </c>
      <c r="K696" s="611">
        <f t="shared" si="73"/>
        <v>11952</v>
      </c>
      <c r="L696" s="612">
        <f>VLOOKUP(A696,'BS Gr'!A:A,1,FALSE)</f>
        <v>445891</v>
      </c>
      <c r="M696" s="612">
        <f t="shared" ref="M696:M727" si="76">COUNTIF(A:A,A696)</f>
        <v>1</v>
      </c>
      <c r="N696" s="613">
        <f t="shared" si="71"/>
        <v>0</v>
      </c>
      <c r="O696" s="613">
        <f>VLOOKUP(A696,'TB Download'!A:A,1,FALSE)</f>
        <v>445891</v>
      </c>
      <c r="R696" s="1514"/>
      <c r="S696" s="1617" t="e">
        <f>SUMIF('[105]TB for financial'!$A:$A,A696,'[105]TB for financial'!$E:$E)</f>
        <v>#VALUE!</v>
      </c>
    </row>
    <row r="697" spans="1:19" ht="12" customHeight="1">
      <c r="A697" s="1371">
        <v>445916</v>
      </c>
      <c r="B697" s="609" t="s">
        <v>1438</v>
      </c>
      <c r="C697" s="610">
        <f t="shared" si="70"/>
        <v>-123099.47000000003</v>
      </c>
      <c r="D697" s="611">
        <v>0</v>
      </c>
      <c r="E697" s="610">
        <f>SUMIF('Entries 24-25'!$B:$B,A:A,'Entries 24-25'!$D:$D)-SUMIF('Entries 24-25'!$B:$B,A:A,'Entries 24-25'!$E:$E)+SUMIF('IND AS entries 24-25'!$B:$B,A:A,'IND AS entries 24-25'!$D:$D)-SUMIF('IND AS entries 24-25'!$B:$B,A:A,'IND AS entries 24-25'!$E:$E)</f>
        <v>0</v>
      </c>
      <c r="F697" s="611">
        <f t="shared" si="72"/>
        <v>-123099.47000000003</v>
      </c>
      <c r="G697" s="610"/>
      <c r="H697" s="610">
        <v>-123099.47000000003</v>
      </c>
      <c r="I697" s="611">
        <v>0</v>
      </c>
      <c r="J697" s="610">
        <v>0</v>
      </c>
      <c r="K697" s="611">
        <f t="shared" si="73"/>
        <v>-123099.47000000003</v>
      </c>
      <c r="L697" s="612">
        <f>VLOOKUP(A697,'BS Gr'!A:A,1,FALSE)</f>
        <v>445916</v>
      </c>
      <c r="M697" s="612">
        <f t="shared" si="76"/>
        <v>1</v>
      </c>
      <c r="N697" s="613">
        <f t="shared" si="71"/>
        <v>0</v>
      </c>
      <c r="O697" s="613" t="e">
        <f>VLOOKUP(A697,'TB Download'!A:A,1,FALSE)</f>
        <v>#N/A</v>
      </c>
      <c r="R697" s="1514"/>
      <c r="S697" s="1617" t="e">
        <f>SUMIF('[105]TB for financial'!$A:$A,A697,'[105]TB for financial'!$E:$E)</f>
        <v>#VALUE!</v>
      </c>
    </row>
    <row r="698" spans="1:19" ht="12" customHeight="1">
      <c r="A698" s="1371">
        <v>445960</v>
      </c>
      <c r="B698" s="609" t="s">
        <v>1208</v>
      </c>
      <c r="C698" s="610">
        <f t="shared" si="70"/>
        <v>5502.25</v>
      </c>
      <c r="D698" s="611">
        <v>0</v>
      </c>
      <c r="E698" s="610">
        <f>SUMIF('Entries 24-25'!$B:$B,A:A,'Entries 24-25'!$D:$D)-SUMIF('Entries 24-25'!$B:$B,A:A,'Entries 24-25'!$E:$E)+SUMIF('IND AS entries 24-25'!$B:$B,A:A,'IND AS entries 24-25'!$D:$D)-SUMIF('IND AS entries 24-25'!$B:$B,A:A,'IND AS entries 24-25'!$E:$E)</f>
        <v>-5502</v>
      </c>
      <c r="F698" s="611">
        <f t="shared" si="72"/>
        <v>0.25</v>
      </c>
      <c r="G698" s="610"/>
      <c r="H698" s="610">
        <v>5502.25</v>
      </c>
      <c r="I698" s="611">
        <v>0</v>
      </c>
      <c r="J698" s="610">
        <v>0</v>
      </c>
      <c r="K698" s="611">
        <f t="shared" si="73"/>
        <v>5502.25</v>
      </c>
      <c r="L698" s="612">
        <f>VLOOKUP(A698,'BS Gr'!A:A,1,FALSE)</f>
        <v>445960</v>
      </c>
      <c r="M698" s="612">
        <f t="shared" si="76"/>
        <v>1</v>
      </c>
      <c r="N698" s="613">
        <f t="shared" si="71"/>
        <v>0</v>
      </c>
      <c r="O698" s="613">
        <f>VLOOKUP(A698,'TB Download'!A:A,1,FALSE)</f>
        <v>445960</v>
      </c>
      <c r="R698" s="1514"/>
      <c r="S698" s="1617" t="e">
        <f>SUMIF('[105]TB for financial'!$A:$A,A698,'[105]TB for financial'!$E:$E)</f>
        <v>#VALUE!</v>
      </c>
    </row>
    <row r="699" spans="1:19" ht="12" customHeight="1">
      <c r="A699" s="1371">
        <v>445970</v>
      </c>
      <c r="B699" s="609" t="s">
        <v>1207</v>
      </c>
      <c r="C699" s="610">
        <f t="shared" si="70"/>
        <v>5502.26</v>
      </c>
      <c r="D699" s="611">
        <v>0</v>
      </c>
      <c r="E699" s="610">
        <f>SUMIF('Entries 24-25'!$B:$B,A:A,'Entries 24-25'!$D:$D)-SUMIF('Entries 24-25'!$B:$B,A:A,'Entries 24-25'!$E:$E)+SUMIF('IND AS entries 24-25'!$B:$B,A:A,'IND AS entries 24-25'!$D:$D)-SUMIF('IND AS entries 24-25'!$B:$B,A:A,'IND AS entries 24-25'!$E:$E)</f>
        <v>-5502</v>
      </c>
      <c r="F699" s="611">
        <f t="shared" si="72"/>
        <v>0.26000000000021828</v>
      </c>
      <c r="G699" s="610"/>
      <c r="H699" s="610">
        <v>5502.26</v>
      </c>
      <c r="I699" s="611">
        <v>0</v>
      </c>
      <c r="J699" s="610">
        <v>0</v>
      </c>
      <c r="K699" s="611">
        <f t="shared" si="73"/>
        <v>5502.26</v>
      </c>
      <c r="L699" s="612">
        <f>VLOOKUP(A699,'BS Gr'!A:A,1,FALSE)</f>
        <v>445970</v>
      </c>
      <c r="M699" s="612">
        <f t="shared" si="76"/>
        <v>1</v>
      </c>
      <c r="N699" s="613">
        <f t="shared" si="71"/>
        <v>0</v>
      </c>
      <c r="O699" s="613">
        <f>VLOOKUP(A699,'TB Download'!A:A,1,FALSE)</f>
        <v>445970</v>
      </c>
      <c r="R699" s="1514"/>
      <c r="S699" s="1617" t="e">
        <f>SUMIF('[105]TB for financial'!$A:$A,A699,'[105]TB for financial'!$E:$E)</f>
        <v>#VALUE!</v>
      </c>
    </row>
    <row r="700" spans="1:19" ht="12" customHeight="1">
      <c r="A700" s="1371">
        <v>445980</v>
      </c>
      <c r="B700" s="609" t="s">
        <v>1209</v>
      </c>
      <c r="C700" s="610">
        <f t="shared" si="70"/>
        <v>3286.9400000000032</v>
      </c>
      <c r="D700" s="611">
        <v>0</v>
      </c>
      <c r="E700" s="610">
        <f>SUMIF('Entries 24-25'!$B:$B,A:A,'Entries 24-25'!$D:$D)-SUMIF('Entries 24-25'!$B:$B,A:A,'Entries 24-25'!$E:$E)+SUMIF('IND AS entries 24-25'!$B:$B,A:A,'IND AS entries 24-25'!$D:$D)-SUMIF('IND AS entries 24-25'!$B:$B,A:A,'IND AS entries 24-25'!$E:$E)</f>
        <v>0</v>
      </c>
      <c r="F700" s="611">
        <f t="shared" si="72"/>
        <v>3286.9400000000032</v>
      </c>
      <c r="G700" s="610"/>
      <c r="H700" s="610">
        <v>3286.9400000000032</v>
      </c>
      <c r="I700" s="611">
        <v>0</v>
      </c>
      <c r="J700" s="610">
        <v>0</v>
      </c>
      <c r="K700" s="611">
        <f t="shared" si="73"/>
        <v>3286.9400000000032</v>
      </c>
      <c r="L700" s="612">
        <f>VLOOKUP(A700,'BS Gr'!A:A,1,FALSE)</f>
        <v>445980</v>
      </c>
      <c r="M700" s="612">
        <f t="shared" si="76"/>
        <v>1</v>
      </c>
      <c r="N700" s="613">
        <f t="shared" si="71"/>
        <v>0</v>
      </c>
      <c r="O700" s="613">
        <f>VLOOKUP(A700,'TB Download'!A:A,1,FALSE)</f>
        <v>445980</v>
      </c>
      <c r="R700" s="1514"/>
      <c r="S700" s="1617" t="e">
        <f>SUMIF('[105]TB for financial'!$A:$A,A700,'[105]TB for financial'!$E:$E)</f>
        <v>#VALUE!</v>
      </c>
    </row>
    <row r="701" spans="1:19" ht="12" customHeight="1">
      <c r="A701" s="1371">
        <v>451099</v>
      </c>
      <c r="B701" s="609" t="s">
        <v>2437</v>
      </c>
      <c r="C701" s="610">
        <f t="shared" si="70"/>
        <v>693308.52000000793</v>
      </c>
      <c r="D701" s="611">
        <v>0</v>
      </c>
      <c r="E701" s="610">
        <f>SUMIF('Entries 24-25'!$B:$B,A:A,'Entries 24-25'!$D:$D)-SUMIF('Entries 24-25'!$B:$B,A:A,'Entries 24-25'!$E:$E)+SUMIF('IND AS entries 24-25'!$B:$B,A:A,'IND AS entries 24-25'!$D:$D)-SUMIF('IND AS entries 24-25'!$B:$B,A:A,'IND AS entries 24-25'!$E:$E)</f>
        <v>16200</v>
      </c>
      <c r="F701" s="611">
        <f t="shared" si="72"/>
        <v>709508.52000000793</v>
      </c>
      <c r="G701" s="610"/>
      <c r="H701" s="610">
        <v>683439.34851064638</v>
      </c>
      <c r="I701" s="611">
        <v>-48418.948510638322</v>
      </c>
      <c r="J701" s="610">
        <v>58288.119999999879</v>
      </c>
      <c r="K701" s="611">
        <f>SUM(H701:J701)</f>
        <v>693308.52000000793</v>
      </c>
      <c r="L701" s="612">
        <f>VLOOKUP(A701,'BS Gr'!A:A,1,FALSE)</f>
        <v>451099</v>
      </c>
      <c r="M701" s="612">
        <f t="shared" si="76"/>
        <v>1</v>
      </c>
      <c r="N701" s="613">
        <f t="shared" si="71"/>
        <v>0</v>
      </c>
      <c r="O701" s="613">
        <f>VLOOKUP(A701,'TB Download'!A:A,1,FALSE)</f>
        <v>451099</v>
      </c>
      <c r="R701" s="1514"/>
      <c r="S701" s="1617" t="e">
        <f>SUMIF('[105]TB for financial'!$A:$A,A701,'[105]TB for financial'!$E:$E)</f>
        <v>#VALUE!</v>
      </c>
    </row>
    <row r="702" spans="1:19" ht="12" customHeight="1">
      <c r="A702" s="1371">
        <v>451115</v>
      </c>
      <c r="B702" s="609" t="s">
        <v>2438</v>
      </c>
      <c r="C702" s="610">
        <f t="shared" si="70"/>
        <v>-1017231</v>
      </c>
      <c r="D702" s="611">
        <v>0</v>
      </c>
      <c r="E702" s="610">
        <f>SUMIF('Entries 24-25'!$B:$B,A:A,'Entries 24-25'!$D:$D)-SUMIF('Entries 24-25'!$B:$B,A:A,'Entries 24-25'!$E:$E)+SUMIF('IND AS entries 24-25'!$B:$B,A:A,'IND AS entries 24-25'!$D:$D)-SUMIF('IND AS entries 24-25'!$B:$B,A:A,'IND AS entries 24-25'!$E:$E)</f>
        <v>0</v>
      </c>
      <c r="F702" s="611">
        <f t="shared" si="72"/>
        <v>-1017231</v>
      </c>
      <c r="G702" s="610"/>
      <c r="H702" s="610">
        <v>-1017231</v>
      </c>
      <c r="I702" s="611">
        <v>0</v>
      </c>
      <c r="J702" s="610">
        <v>0</v>
      </c>
      <c r="K702" s="611">
        <f t="shared" si="73"/>
        <v>-1017231</v>
      </c>
      <c r="L702" s="612">
        <f>VLOOKUP(A702,'BS Gr'!A:A,1,FALSE)</f>
        <v>451115</v>
      </c>
      <c r="M702" s="612">
        <f t="shared" si="76"/>
        <v>1</v>
      </c>
      <c r="N702" s="613">
        <f t="shared" si="71"/>
        <v>0</v>
      </c>
      <c r="O702" s="613">
        <f>VLOOKUP(A702,'TB Download'!A:A,1,FALSE)</f>
        <v>451115</v>
      </c>
      <c r="R702" s="1514"/>
      <c r="S702" s="1617" t="e">
        <f>SUMIF('[105]TB for financial'!$A:$A,A702,'[105]TB for financial'!$E:$E)</f>
        <v>#VALUE!</v>
      </c>
    </row>
    <row r="703" spans="1:19" ht="12" customHeight="1">
      <c r="A703" s="1371">
        <v>451998</v>
      </c>
      <c r="B703" s="609" t="s">
        <v>2494</v>
      </c>
      <c r="C703" s="610">
        <f t="shared" si="70"/>
        <v>-29571.52</v>
      </c>
      <c r="D703" s="611">
        <v>0</v>
      </c>
      <c r="E703" s="610">
        <f>SUMIF('Entries 24-25'!$B:$B,A:A,'Entries 24-25'!$D:$D)-SUMIF('Entries 24-25'!$B:$B,A:A,'Entries 24-25'!$E:$E)+SUMIF('IND AS entries 24-25'!$B:$B,A:A,'IND AS entries 24-25'!$D:$D)-SUMIF('IND AS entries 24-25'!$B:$B,A:A,'IND AS entries 24-25'!$E:$E)</f>
        <v>0</v>
      </c>
      <c r="F703" s="611">
        <f t="shared" si="72"/>
        <v>-29571.52</v>
      </c>
      <c r="G703" s="610"/>
      <c r="H703" s="610">
        <v>-29571.52</v>
      </c>
      <c r="I703" s="611">
        <v>0</v>
      </c>
      <c r="J703" s="610">
        <v>0</v>
      </c>
      <c r="K703" s="611">
        <f t="shared" si="73"/>
        <v>-29571.52</v>
      </c>
      <c r="L703" s="612">
        <f>VLOOKUP(A703,'BS Gr'!A:A,1,FALSE)</f>
        <v>451998</v>
      </c>
      <c r="M703" s="612">
        <f t="shared" si="76"/>
        <v>1</v>
      </c>
      <c r="N703" s="613">
        <f t="shared" si="71"/>
        <v>0</v>
      </c>
      <c r="O703" s="613">
        <f>VLOOKUP(A703,'TB Download'!A:A,1,FALSE)</f>
        <v>451998</v>
      </c>
      <c r="R703" s="1514"/>
      <c r="S703" s="1617" t="e">
        <f>SUMIF('[105]TB for financial'!$A:$A,A703,'[105]TB for financial'!$E:$E)</f>
        <v>#VALUE!</v>
      </c>
    </row>
    <row r="704" spans="1:19" ht="12" customHeight="1">
      <c r="A704" s="1371">
        <v>457000</v>
      </c>
      <c r="B704" s="609" t="s">
        <v>2549</v>
      </c>
      <c r="C704" s="610">
        <f t="shared" si="70"/>
        <v>0</v>
      </c>
      <c r="D704" s="611">
        <v>3360</v>
      </c>
      <c r="E704" s="610">
        <f>SUMIF('Entries 24-25'!$B:$B,A:A,'Entries 24-25'!$D:$D)-SUMIF('Entries 24-25'!$B:$B,A:A,'Entries 24-25'!$E:$E)+SUMIF('IND AS entries 24-25'!$B:$B,A:A,'IND AS entries 24-25'!$D:$D)-SUMIF('IND AS entries 24-25'!$B:$B,A:A,'IND AS entries 24-25'!$E:$E)</f>
        <v>-3360</v>
      </c>
      <c r="F704" s="611">
        <f t="shared" si="72"/>
        <v>0</v>
      </c>
      <c r="G704" s="610"/>
      <c r="H704" s="610">
        <v>-3360</v>
      </c>
      <c r="I704" s="611">
        <v>3360</v>
      </c>
      <c r="J704" s="610">
        <v>0</v>
      </c>
      <c r="K704" s="611">
        <f t="shared" si="73"/>
        <v>0</v>
      </c>
      <c r="L704" s="612">
        <f>VLOOKUP(A704,'BS Gr'!A:A,1,FALSE)</f>
        <v>457000</v>
      </c>
      <c r="M704" s="612">
        <f t="shared" si="76"/>
        <v>1</v>
      </c>
      <c r="N704" s="613">
        <f t="shared" si="71"/>
        <v>0</v>
      </c>
      <c r="O704" s="613">
        <f>VLOOKUP(A704,'TB Download'!A:A,1,FALSE)</f>
        <v>457000</v>
      </c>
      <c r="R704" s="1514"/>
      <c r="S704" s="1617" t="e">
        <f>SUMIF('[105]TB for financial'!$A:$A,A704,'[105]TB for financial'!$E:$E)</f>
        <v>#VALUE!</v>
      </c>
    </row>
    <row r="705" spans="1:19" ht="12" customHeight="1">
      <c r="A705" s="1371">
        <v>467010</v>
      </c>
      <c r="B705" s="609" t="s">
        <v>2440</v>
      </c>
      <c r="C705" s="610">
        <f t="shared" si="70"/>
        <v>6610544.7400000002</v>
      </c>
      <c r="D705" s="611">
        <v>0</v>
      </c>
      <c r="E705" s="610">
        <f>SUMIF('Entries 24-25'!$B:$B,A:A,'Entries 24-25'!$D:$D)-SUMIF('Entries 24-25'!$B:$B,A:A,'Entries 24-25'!$E:$E)+SUMIF('IND AS entries 24-25'!$B:$B,A:A,'IND AS entries 24-25'!$D:$D)-SUMIF('IND AS entries 24-25'!$B:$B,A:A,'IND AS entries 24-25'!$E:$E)</f>
        <v>0</v>
      </c>
      <c r="F705" s="611">
        <f t="shared" si="72"/>
        <v>6610544.7400000002</v>
      </c>
      <c r="G705" s="610"/>
      <c r="H705" s="610">
        <v>6654407.7400000002</v>
      </c>
      <c r="I705" s="611">
        <v>-43863</v>
      </c>
      <c r="J705" s="610">
        <v>0</v>
      </c>
      <c r="K705" s="611">
        <f t="shared" si="73"/>
        <v>6610544.7400000002</v>
      </c>
      <c r="L705" s="612">
        <f>VLOOKUP(A705,'BS Gr'!A:A,1,FALSE)</f>
        <v>467010</v>
      </c>
      <c r="M705" s="612">
        <f t="shared" si="76"/>
        <v>1</v>
      </c>
      <c r="N705" s="613">
        <f t="shared" si="71"/>
        <v>0</v>
      </c>
      <c r="O705" s="613">
        <f>VLOOKUP(A705,'TB Download'!A:A,1,FALSE)</f>
        <v>467010</v>
      </c>
      <c r="R705" s="1514"/>
      <c r="S705" s="1617" t="e">
        <f>SUMIF('[105]TB for financial'!$A:$A,A705,'[105]TB for financial'!$E:$E)</f>
        <v>#VALUE!</v>
      </c>
    </row>
    <row r="706" spans="1:19" ht="12" customHeight="1">
      <c r="A706" s="1371">
        <v>467100</v>
      </c>
      <c r="B706" s="609" t="s">
        <v>2548</v>
      </c>
      <c r="C706" s="610">
        <f t="shared" si="70"/>
        <v>0</v>
      </c>
      <c r="D706" s="611">
        <v>0</v>
      </c>
      <c r="E706" s="610">
        <f>SUMIF('Entries 24-25'!$B:$B,A:A,'Entries 24-25'!$D:$D)-SUMIF('Entries 24-25'!$B:$B,A:A,'Entries 24-25'!$E:$E)+SUMIF('IND AS entries 24-25'!$B:$B,A:A,'IND AS entries 24-25'!$D:$D)-SUMIF('IND AS entries 24-25'!$B:$B,A:A,'IND AS entries 24-25'!$E:$E)</f>
        <v>0</v>
      </c>
      <c r="F706" s="611">
        <f t="shared" si="72"/>
        <v>0</v>
      </c>
      <c r="G706" s="610"/>
      <c r="H706" s="610">
        <v>0</v>
      </c>
      <c r="I706" s="611">
        <v>-100000</v>
      </c>
      <c r="J706" s="610">
        <v>100000</v>
      </c>
      <c r="K706" s="611">
        <f t="shared" si="73"/>
        <v>0</v>
      </c>
      <c r="L706" s="612">
        <f>VLOOKUP(A706,'BS Gr'!A:A,1,FALSE)</f>
        <v>467100</v>
      </c>
      <c r="M706" s="612">
        <f t="shared" si="76"/>
        <v>1</v>
      </c>
      <c r="N706" s="613">
        <f t="shared" si="71"/>
        <v>0</v>
      </c>
      <c r="O706" s="613">
        <f>VLOOKUP(A706,'TB Download'!A:A,1,FALSE)</f>
        <v>467100</v>
      </c>
      <c r="R706" s="1514"/>
      <c r="S706" s="1617" t="e">
        <f>SUMIF('[105]TB for financial'!$A:$A,A706,'[105]TB for financial'!$E:$E)</f>
        <v>#VALUE!</v>
      </c>
    </row>
    <row r="707" spans="1:19" ht="12" customHeight="1">
      <c r="A707" s="1371">
        <v>468701</v>
      </c>
      <c r="B707" s="609" t="s">
        <v>2441</v>
      </c>
      <c r="C707" s="610">
        <f t="shared" si="70"/>
        <v>15629.260000000007</v>
      </c>
      <c r="D707" s="611">
        <v>0</v>
      </c>
      <c r="E707" s="610">
        <f>SUMIF('Entries 24-25'!$B:$B,A:A,'Entries 24-25'!$D:$D)-SUMIF('Entries 24-25'!$B:$B,A:A,'Entries 24-25'!$E:$E)+SUMIF('IND AS entries 24-25'!$B:$B,A:A,'IND AS entries 24-25'!$D:$D)-SUMIF('IND AS entries 24-25'!$B:$B,A:A,'IND AS entries 24-25'!$E:$E)</f>
        <v>0</v>
      </c>
      <c r="F707" s="611">
        <f t="shared" si="72"/>
        <v>15629.260000000007</v>
      </c>
      <c r="G707" s="610"/>
      <c r="H707" s="610">
        <v>15629.260000000007</v>
      </c>
      <c r="I707" s="611">
        <v>0</v>
      </c>
      <c r="J707" s="610">
        <v>0</v>
      </c>
      <c r="K707" s="611">
        <f t="shared" si="73"/>
        <v>15629.260000000007</v>
      </c>
      <c r="L707" s="612">
        <f>VLOOKUP(A707,'BS Gr'!A:A,1,FALSE)</f>
        <v>468701</v>
      </c>
      <c r="M707" s="612">
        <f t="shared" si="76"/>
        <v>1</v>
      </c>
      <c r="N707" s="613">
        <f t="shared" si="71"/>
        <v>0</v>
      </c>
      <c r="O707" s="613">
        <f>VLOOKUP(A707,'TB Download'!A:A,1,FALSE)</f>
        <v>468701</v>
      </c>
      <c r="R707" s="1514"/>
      <c r="S707" s="1617" t="e">
        <f>SUMIF('[105]TB for financial'!$A:$A,A707,'[105]TB for financial'!$E:$E)</f>
        <v>#VALUE!</v>
      </c>
    </row>
    <row r="708" spans="1:19" ht="12" customHeight="1">
      <c r="A708" s="1371">
        <v>481100</v>
      </c>
      <c r="B708" s="609" t="s">
        <v>2552</v>
      </c>
      <c r="C708" s="610">
        <f t="shared" si="70"/>
        <v>0</v>
      </c>
      <c r="D708" s="611">
        <v>0</v>
      </c>
      <c r="E708" s="610">
        <f>SUMIF('Entries 24-25'!$B:$B,A:A,'Entries 24-25'!$D:$D)-SUMIF('Entries 24-25'!$B:$B,A:A,'Entries 24-25'!$E:$E)+SUMIF('IND AS entries 24-25'!$B:$B,A:A,'IND AS entries 24-25'!$D:$D)-SUMIF('IND AS entries 24-25'!$B:$B,A:A,'IND AS entries 24-25'!$E:$E)</f>
        <v>0</v>
      </c>
      <c r="F708" s="611">
        <f t="shared" si="72"/>
        <v>0</v>
      </c>
      <c r="G708" s="610"/>
      <c r="H708" s="610">
        <v>0</v>
      </c>
      <c r="I708" s="611">
        <v>0</v>
      </c>
      <c r="J708" s="610">
        <v>0</v>
      </c>
      <c r="K708" s="611">
        <f t="shared" si="73"/>
        <v>0</v>
      </c>
      <c r="L708" s="612">
        <f>VLOOKUP(A708,'BS Gr'!A:A,1,FALSE)</f>
        <v>481100</v>
      </c>
      <c r="M708" s="612">
        <f t="shared" si="76"/>
        <v>1</v>
      </c>
      <c r="N708" s="613">
        <f t="shared" si="71"/>
        <v>0</v>
      </c>
      <c r="O708" s="613" t="e">
        <f>VLOOKUP(A708,'TB Download'!A:A,1,FALSE)</f>
        <v>#N/A</v>
      </c>
      <c r="R708" s="1514"/>
      <c r="S708" s="1617" t="e">
        <f>SUMIF('[105]TB for financial'!$A:$A,A708,'[105]TB for financial'!$E:$E)</f>
        <v>#VALUE!</v>
      </c>
    </row>
    <row r="709" spans="1:19" ht="12" customHeight="1">
      <c r="A709" s="1371">
        <v>486200</v>
      </c>
      <c r="B709" s="609" t="s">
        <v>2495</v>
      </c>
      <c r="C709" s="610">
        <f t="shared" si="70"/>
        <v>0.52300000000104774</v>
      </c>
      <c r="D709" s="611">
        <v>0</v>
      </c>
      <c r="E709" s="610">
        <f>SUMIF('Entries 24-25'!$B:$B,A:A,'Entries 24-25'!$D:$D)-SUMIF('Entries 24-25'!$B:$B,A:A,'Entries 24-25'!$E:$E)+SUMIF('IND AS entries 24-25'!$B:$B,A:A,'IND AS entries 24-25'!$D:$D)-SUMIF('IND AS entries 24-25'!$B:$B,A:A,'IND AS entries 24-25'!$E:$E)</f>
        <v>0</v>
      </c>
      <c r="F709" s="611">
        <f t="shared" si="72"/>
        <v>0.52300000000104774</v>
      </c>
      <c r="G709" s="610"/>
      <c r="H709" s="610">
        <v>26609.523000000001</v>
      </c>
      <c r="I709" s="611">
        <v>-26609</v>
      </c>
      <c r="J709" s="610">
        <v>0</v>
      </c>
      <c r="K709" s="611">
        <f t="shared" si="73"/>
        <v>0.52300000000104774</v>
      </c>
      <c r="L709" s="612">
        <f>VLOOKUP(A709,'BS Gr'!A:A,1,FALSE)</f>
        <v>486200</v>
      </c>
      <c r="M709" s="612">
        <f t="shared" si="76"/>
        <v>1</v>
      </c>
      <c r="N709" s="613">
        <f t="shared" si="71"/>
        <v>0</v>
      </c>
      <c r="O709" s="613">
        <f>VLOOKUP(A709,'TB Download'!A:A,1,FALSE)</f>
        <v>486200</v>
      </c>
      <c r="R709" s="1514"/>
      <c r="S709" s="1617" t="e">
        <f>SUMIF('[105]TB for financial'!$A:$A,A709,'[105]TB for financial'!$E:$E)</f>
        <v>#VALUE!</v>
      </c>
    </row>
    <row r="710" spans="1:19" ht="12" customHeight="1">
      <c r="A710" s="1371">
        <v>488000</v>
      </c>
      <c r="B710" s="609" t="s">
        <v>2443</v>
      </c>
      <c r="C710" s="610">
        <f t="shared" si="70"/>
        <v>955402.21562015684</v>
      </c>
      <c r="D710" s="611">
        <v>-2676094</v>
      </c>
      <c r="E710" s="610">
        <f>SUMIF('Entries 24-25'!$B:$B,A:A,'Entries 24-25'!$D:$D)-SUMIF('Entries 24-25'!$B:$B,A:A,'Entries 24-25'!$E:$E)+SUMIF('IND AS entries 24-25'!$B:$B,A:A,'IND AS entries 24-25'!$D:$D)-SUMIF('IND AS entries 24-25'!$B:$B,A:A,'IND AS entries 24-25'!$E:$E)</f>
        <v>2414169</v>
      </c>
      <c r="F710" s="611">
        <f t="shared" si="72"/>
        <v>693477.21562015684</v>
      </c>
      <c r="G710" s="610"/>
      <c r="H710" s="610">
        <v>909220.21562015684</v>
      </c>
      <c r="I710" s="611">
        <v>-3661502.9999999995</v>
      </c>
      <c r="J710" s="610">
        <v>3707684.9999999995</v>
      </c>
      <c r="K710" s="611">
        <f t="shared" si="73"/>
        <v>955402.21562015684</v>
      </c>
      <c r="L710" s="612">
        <f>VLOOKUP(A710,'BS Gr'!A:A,1,FALSE)</f>
        <v>488000</v>
      </c>
      <c r="M710" s="612">
        <f t="shared" si="76"/>
        <v>1</v>
      </c>
      <c r="N710" s="613">
        <f t="shared" si="71"/>
        <v>0</v>
      </c>
      <c r="O710" s="613">
        <f>VLOOKUP(A710,'TB Download'!A:A,1,FALSE)</f>
        <v>488000</v>
      </c>
      <c r="R710" s="1514"/>
      <c r="S710" s="1617" t="e">
        <f>SUMIF('[105]TB for financial'!$A:$A,A710,'[105]TB for financial'!$E:$E)</f>
        <v>#VALUE!</v>
      </c>
    </row>
    <row r="711" spans="1:19" ht="12" customHeight="1">
      <c r="A711" s="1371">
        <v>488010</v>
      </c>
      <c r="B711" s="609" t="s">
        <v>2496</v>
      </c>
      <c r="C711" s="610">
        <f t="shared" si="70"/>
        <v>0</v>
      </c>
      <c r="D711" s="611">
        <v>0</v>
      </c>
      <c r="E711" s="610">
        <f>SUMIF('Entries 24-25'!$B:$B,A:A,'Entries 24-25'!$D:$D)-SUMIF('Entries 24-25'!$B:$B,A:A,'Entries 24-25'!$E:$E)+SUMIF('IND AS entries 24-25'!$B:$B,A:A,'IND AS entries 24-25'!$D:$D)-SUMIF('IND AS entries 24-25'!$B:$B,A:A,'IND AS entries 24-25'!$E:$E)</f>
        <v>0</v>
      </c>
      <c r="F711" s="611">
        <f t="shared" si="72"/>
        <v>0</v>
      </c>
      <c r="G711" s="610"/>
      <c r="H711" s="610">
        <v>0</v>
      </c>
      <c r="I711" s="611">
        <v>0</v>
      </c>
      <c r="J711" s="610">
        <v>0</v>
      </c>
      <c r="K711" s="611">
        <f t="shared" si="73"/>
        <v>0</v>
      </c>
      <c r="L711" s="612" t="e">
        <f>VLOOKUP(A711,'BS Gr'!A:A,1,FALSE)</f>
        <v>#N/A</v>
      </c>
      <c r="M711" s="612">
        <f t="shared" si="76"/>
        <v>1</v>
      </c>
      <c r="N711" s="613">
        <f t="shared" si="71"/>
        <v>0</v>
      </c>
      <c r="O711" s="613" t="e">
        <f>VLOOKUP(A711,'TB Download'!A:A,1,FALSE)</f>
        <v>#N/A</v>
      </c>
      <c r="R711" s="1514"/>
      <c r="S711" s="1617" t="e">
        <f>SUMIF('[105]TB for financial'!$A:$A,A711,'[105]TB for financial'!$E:$E)</f>
        <v>#VALUE!</v>
      </c>
    </row>
    <row r="712" spans="1:19" ht="12" customHeight="1">
      <c r="A712" s="1371">
        <v>488120</v>
      </c>
      <c r="B712" s="609" t="s">
        <v>2550</v>
      </c>
      <c r="C712" s="610">
        <f t="shared" si="70"/>
        <v>5812472.5826533157</v>
      </c>
      <c r="D712" s="611">
        <v>0</v>
      </c>
      <c r="E712" s="610">
        <f>SUMIF('Entries 24-25'!$B:$B,A:A,'Entries 24-25'!$D:$D)-SUMIF('Entries 24-25'!$B:$B,A:A,'Entries 24-25'!$E:$E)+SUMIF('IND AS entries 24-25'!$B:$B,A:A,'IND AS entries 24-25'!$D:$D)-SUMIF('IND AS entries 24-25'!$B:$B,A:A,'IND AS entries 24-25'!$E:$E)</f>
        <v>-3177086.4153661877</v>
      </c>
      <c r="F712" s="611">
        <f t="shared" si="72"/>
        <v>2635386.167287128</v>
      </c>
      <c r="G712" s="610"/>
      <c r="H712" s="610">
        <v>6216586.0304017663</v>
      </c>
      <c r="I712" s="611">
        <v>2846895</v>
      </c>
      <c r="J712" s="610">
        <v>-3251008.4477484501</v>
      </c>
      <c r="K712" s="611">
        <f t="shared" si="73"/>
        <v>5812472.5826533157</v>
      </c>
      <c r="L712" s="612">
        <f>VLOOKUP(A712,'BS Gr'!A:A,1,FALSE)</f>
        <v>488120</v>
      </c>
      <c r="M712" s="612">
        <f t="shared" si="76"/>
        <v>1</v>
      </c>
      <c r="N712" s="613">
        <f t="shared" si="71"/>
        <v>0</v>
      </c>
      <c r="O712" s="613">
        <f>VLOOKUP(A712,'TB Download'!A:A,1,FALSE)</f>
        <v>488120</v>
      </c>
      <c r="R712" s="1514"/>
      <c r="S712" s="1617" t="e">
        <f>SUMIF('[105]TB for financial'!$A:$A,A712,'[105]TB for financial'!$E:$E)</f>
        <v>#VALUE!</v>
      </c>
    </row>
    <row r="713" spans="1:19" ht="12" customHeight="1">
      <c r="A713" s="1371">
        <v>409100</v>
      </c>
      <c r="B713" s="609" t="s">
        <v>2658</v>
      </c>
      <c r="C713" s="610">
        <f t="shared" si="70"/>
        <v>265115</v>
      </c>
      <c r="D713" s="611">
        <v>151075</v>
      </c>
      <c r="E713" s="610">
        <f>SUMIF('Entries 24-25'!$B:$B,A:A,'Entries 24-25'!$D:$D)-SUMIF('Entries 24-25'!$B:$B,A:A,'Entries 24-25'!$E:$E)+SUMIF('IND AS entries 24-25'!$B:$B,A:A,'IND AS entries 24-25'!$D:$D)-SUMIF('IND AS entries 24-25'!$B:$B,A:A,'IND AS entries 24-25'!$E:$E)</f>
        <v>402</v>
      </c>
      <c r="F713" s="1519">
        <f t="shared" si="72"/>
        <v>416592</v>
      </c>
      <c r="G713" s="610"/>
      <c r="H713" s="610">
        <v>4698</v>
      </c>
      <c r="I713" s="611">
        <v>211323</v>
      </c>
      <c r="J713" s="610">
        <v>49094</v>
      </c>
      <c r="K713" s="611">
        <f t="shared" si="73"/>
        <v>265115</v>
      </c>
      <c r="L713" s="612">
        <f>VLOOKUP(A713,'BS Gr'!A:A,1,FALSE)</f>
        <v>409100</v>
      </c>
      <c r="M713" s="612">
        <f t="shared" si="76"/>
        <v>1</v>
      </c>
      <c r="N713" s="613">
        <f t="shared" si="71"/>
        <v>0</v>
      </c>
      <c r="O713" s="613"/>
      <c r="R713" s="1514"/>
      <c r="S713" s="1617" t="e">
        <f>SUMIF('[105]TB for financial'!$A:$A,A713,'[105]TB for financial'!$E:$E)</f>
        <v>#VALUE!</v>
      </c>
    </row>
    <row r="714" spans="1:19" ht="12" customHeight="1">
      <c r="A714" s="1371">
        <v>496700</v>
      </c>
      <c r="B714" s="609" t="s">
        <v>2538</v>
      </c>
      <c r="C714" s="610">
        <f t="shared" si="70"/>
        <v>-1539511</v>
      </c>
      <c r="D714" s="611">
        <v>0</v>
      </c>
      <c r="E714" s="610">
        <f>SUMIF('Entries 24-25'!$B:$B,A:A,'Entries 24-25'!$D:$D)-SUMIF('Entries 24-25'!$B:$B,A:A,'Entries 24-25'!$E:$E)+SUMIF('IND AS entries 24-25'!$B:$B,A:A,'IND AS entries 24-25'!$D:$D)-SUMIF('IND AS entries 24-25'!$B:$B,A:A,'IND AS entries 24-25'!$E:$E)</f>
        <v>0</v>
      </c>
      <c r="F714" s="611">
        <f t="shared" si="72"/>
        <v>-1539511</v>
      </c>
      <c r="G714" s="610"/>
      <c r="H714" s="610">
        <v>-1539511</v>
      </c>
      <c r="I714" s="611">
        <v>0</v>
      </c>
      <c r="J714" s="610">
        <v>0</v>
      </c>
      <c r="K714" s="611">
        <f t="shared" si="73"/>
        <v>-1539511</v>
      </c>
      <c r="L714" s="612">
        <f>VLOOKUP(A714,'BS Gr'!A:A,1,FALSE)</f>
        <v>496700</v>
      </c>
      <c r="M714" s="612">
        <f t="shared" si="76"/>
        <v>1</v>
      </c>
      <c r="N714" s="613">
        <f t="shared" si="71"/>
        <v>0</v>
      </c>
      <c r="O714" s="613" t="e">
        <f>VLOOKUP(A714,'TB Download'!A:A,1,FALSE)</f>
        <v>#N/A</v>
      </c>
      <c r="R714" s="1514"/>
      <c r="S714" s="1617" t="e">
        <f>SUMIF('[105]TB for financial'!$A:$A,A714,'[105]TB for financial'!$E:$E)</f>
        <v>#VALUE!</v>
      </c>
    </row>
    <row r="715" spans="1:19" ht="12" customHeight="1">
      <c r="A715" s="1371">
        <v>508200</v>
      </c>
      <c r="B715" s="609" t="s">
        <v>2446</v>
      </c>
      <c r="C715" s="610">
        <f t="shared" si="70"/>
        <v>0</v>
      </c>
      <c r="D715" s="611">
        <v>0</v>
      </c>
      <c r="E715" s="610">
        <f>SUMIF('Entries 24-25'!$B:$B,A:A,'Entries 24-25'!$D:$D)-SUMIF('Entries 24-25'!$B:$B,A:A,'Entries 24-25'!$E:$E)+SUMIF('IND AS entries 24-25'!$B:$B,A:A,'IND AS entries 24-25'!$D:$D)-SUMIF('IND AS entries 24-25'!$B:$B,A:A,'IND AS entries 24-25'!$E:$E)</f>
        <v>0</v>
      </c>
      <c r="F715" s="611">
        <f t="shared" si="72"/>
        <v>0</v>
      </c>
      <c r="G715" s="610"/>
      <c r="H715" s="610">
        <v>0</v>
      </c>
      <c r="I715" s="611">
        <v>0</v>
      </c>
      <c r="J715" s="610">
        <v>0</v>
      </c>
      <c r="K715" s="611">
        <f t="shared" si="73"/>
        <v>0</v>
      </c>
      <c r="L715" s="612">
        <f>VLOOKUP(A715,'BS Gr'!A:A,1,FALSE)</f>
        <v>508200</v>
      </c>
      <c r="M715" s="612">
        <f t="shared" si="76"/>
        <v>1</v>
      </c>
      <c r="N715" s="613">
        <f t="shared" si="71"/>
        <v>0</v>
      </c>
      <c r="O715" s="613" t="e">
        <f>VLOOKUP(A715,'TB Download'!A:A,1,FALSE)</f>
        <v>#N/A</v>
      </c>
      <c r="R715" s="1514"/>
      <c r="S715" s="1617" t="e">
        <f>SUMIF('[105]TB for financial'!$A:$A,A715,'[105]TB for financial'!$E:$E)</f>
        <v>#VALUE!</v>
      </c>
    </row>
    <row r="716" spans="1:19" ht="12" customHeight="1">
      <c r="A716" s="1371">
        <v>508226</v>
      </c>
      <c r="B716" s="609" t="s">
        <v>2661</v>
      </c>
      <c r="C716" s="610">
        <f t="shared" ref="C716:C779" si="77">K716</f>
        <v>238700000</v>
      </c>
      <c r="D716" s="611">
        <v>-238700000</v>
      </c>
      <c r="E716" s="610">
        <f>SUMIF('Entries 24-25'!$B:$B,A:A,'Entries 24-25'!$D:$D)-SUMIF('Entries 24-25'!$B:$B,A:A,'Entries 24-25'!$E:$E)+SUMIF('IND AS entries 24-25'!$B:$B,A:A,'IND AS entries 24-25'!$D:$D)-SUMIF('IND AS entries 24-25'!$B:$B,A:A,'IND AS entries 24-25'!$E:$E)</f>
        <v>0</v>
      </c>
      <c r="F716" s="611">
        <f t="shared" si="72"/>
        <v>0</v>
      </c>
      <c r="G716" s="610"/>
      <c r="H716" s="610">
        <v>222200000</v>
      </c>
      <c r="I716" s="611">
        <v>16500000</v>
      </c>
      <c r="J716" s="610">
        <v>0</v>
      </c>
      <c r="K716" s="1519">
        <f t="shared" si="73"/>
        <v>238700000</v>
      </c>
      <c r="L716" s="612">
        <f>VLOOKUP(A716,'BS Gr'!A:A,1,FALSE)</f>
        <v>508226</v>
      </c>
      <c r="M716" s="612">
        <f t="shared" si="76"/>
        <v>1</v>
      </c>
      <c r="N716" s="613">
        <f t="shared" si="71"/>
        <v>0</v>
      </c>
      <c r="O716" s="613">
        <f>VLOOKUP(A716,'TB Download'!A:A,1,FALSE)</f>
        <v>508226</v>
      </c>
      <c r="R716" s="1514"/>
      <c r="S716" s="1617" t="e">
        <f>SUMIF('[105]TB for financial'!$A:$A,A716,'[105]TB for financial'!$E:$E)</f>
        <v>#VALUE!</v>
      </c>
    </row>
    <row r="717" spans="1:19" ht="12" customHeight="1">
      <c r="A717" s="1371">
        <v>508227</v>
      </c>
      <c r="B717" s="609" t="s">
        <v>2662</v>
      </c>
      <c r="C717" s="610">
        <f t="shared" si="77"/>
        <v>4500000</v>
      </c>
      <c r="D717" s="611">
        <v>238750000</v>
      </c>
      <c r="E717" s="610">
        <f>SUMIF('Entries 24-25'!$B:$B,A:A,'Entries 24-25'!$D:$D)-SUMIF('Entries 24-25'!$B:$B,A:A,'Entries 24-25'!$E:$E)+SUMIF('IND AS entries 24-25'!$B:$B,A:A,'IND AS entries 24-25'!$D:$D)-SUMIF('IND AS entries 24-25'!$B:$B,A:A,'IND AS entries 24-25'!$E:$E)</f>
        <v>0</v>
      </c>
      <c r="F717" s="611">
        <f t="shared" si="72"/>
        <v>243250000</v>
      </c>
      <c r="G717" s="610"/>
      <c r="H717" s="610">
        <v>6250000</v>
      </c>
      <c r="I717" s="611">
        <v>-1750000</v>
      </c>
      <c r="J717" s="610">
        <v>0</v>
      </c>
      <c r="K717" s="1519">
        <f t="shared" si="73"/>
        <v>4500000</v>
      </c>
      <c r="L717" s="612">
        <f>VLOOKUP(A717,'BS Gr'!A:A,1,FALSE)</f>
        <v>508227</v>
      </c>
      <c r="M717" s="612">
        <f t="shared" si="76"/>
        <v>1</v>
      </c>
      <c r="N717" s="613">
        <f t="shared" si="71"/>
        <v>0</v>
      </c>
      <c r="O717" s="613">
        <f>VLOOKUP(A717,'TB Download'!A:A,1,FALSE)</f>
        <v>508227</v>
      </c>
      <c r="R717" s="1514"/>
      <c r="S717" s="1617" t="e">
        <f>SUMIF('[105]TB for financial'!$A:$A,A717,'[105]TB for financial'!$E:$E)</f>
        <v>#VALUE!</v>
      </c>
    </row>
    <row r="718" spans="1:19" ht="12" customHeight="1">
      <c r="A718" s="1371">
        <v>511998</v>
      </c>
      <c r="B718" s="609" t="s">
        <v>2689</v>
      </c>
      <c r="C718" s="610">
        <f t="shared" si="77"/>
        <v>87942.840000000026</v>
      </c>
      <c r="D718" s="611">
        <v>-87942.840000000084</v>
      </c>
      <c r="E718" s="610">
        <f>SUMIF('Entries 24-25'!$B:$B,A:A,'Entries 24-25'!$D:$D)-SUMIF('Entries 24-25'!$B:$B,A:A,'Entries 24-25'!$E:$E)+SUMIF('IND AS entries 24-25'!$B:$B,A:A,'IND AS entries 24-25'!$D:$D)-SUMIF('IND AS entries 24-25'!$B:$B,A:A,'IND AS entries 24-25'!$E:$E)</f>
        <v>0</v>
      </c>
      <c r="F718" s="611">
        <f t="shared" ref="F718:F781" si="78">SUM(C718:E718)</f>
        <v>-5.8207660913467407E-11</v>
      </c>
      <c r="G718" s="610"/>
      <c r="H718" s="610">
        <v>101645.56</v>
      </c>
      <c r="I718" s="611">
        <v>-13702.719999999972</v>
      </c>
      <c r="J718" s="610">
        <v>0</v>
      </c>
      <c r="K718" s="1519">
        <f t="shared" ref="K718:K750" si="79">SUM(H718:J718)</f>
        <v>87942.840000000026</v>
      </c>
      <c r="L718" s="612">
        <f>VLOOKUP(A718,'BS Gr'!A:A,1,FALSE)</f>
        <v>511998</v>
      </c>
      <c r="M718" s="612">
        <f t="shared" si="76"/>
        <v>1</v>
      </c>
      <c r="N718" s="613">
        <f t="shared" si="71"/>
        <v>0</v>
      </c>
      <c r="O718" s="613">
        <f>VLOOKUP(A718,'TB Download'!A:A,1,FALSE)</f>
        <v>511998</v>
      </c>
      <c r="R718" s="1514"/>
      <c r="S718" s="1617" t="e">
        <f>SUMIF('[105]TB for financial'!$A:$A,A718,'[105]TB for financial'!$E:$E)</f>
        <v>#VALUE!</v>
      </c>
    </row>
    <row r="719" spans="1:19" ht="12" customHeight="1">
      <c r="A719" s="1371">
        <v>5120276</v>
      </c>
      <c r="B719" s="609" t="s">
        <v>2678</v>
      </c>
      <c r="C719" s="610">
        <f t="shared" si="77"/>
        <v>-87942.840000000899</v>
      </c>
      <c r="D719" s="611">
        <v>87942.839999999851</v>
      </c>
      <c r="E719" s="610">
        <f>SUMIF('Entries 24-25'!$B:$B,A:A,'Entries 24-25'!$D:$D)-SUMIF('Entries 24-25'!$B:$B,A:A,'Entries 24-25'!$E:$E)+SUMIF('IND AS entries 24-25'!$B:$B,A:A,'IND AS entries 24-25'!$D:$D)-SUMIF('IND AS entries 24-25'!$B:$B,A:A,'IND AS entries 24-25'!$E:$E)</f>
        <v>0</v>
      </c>
      <c r="F719" s="611">
        <f t="shared" si="78"/>
        <v>-1.0477378964424133E-9</v>
      </c>
      <c r="G719" s="610"/>
      <c r="H719" s="610">
        <v>660.87</v>
      </c>
      <c r="I719" s="611">
        <v>-88603.710000000894</v>
      </c>
      <c r="J719" s="610">
        <v>0</v>
      </c>
      <c r="K719" s="1519">
        <f t="shared" si="79"/>
        <v>-87942.840000000899</v>
      </c>
      <c r="L719" s="612">
        <f>VLOOKUP(A719,'BS Gr'!A:A,1,FALSE)</f>
        <v>5120276</v>
      </c>
      <c r="M719" s="612">
        <f t="shared" si="76"/>
        <v>1</v>
      </c>
      <c r="N719" s="613">
        <f t="shared" si="71"/>
        <v>0</v>
      </c>
      <c r="O719" s="613">
        <f>VLOOKUP(A719,'TB Download'!A:A,1,FALSE)</f>
        <v>5120276</v>
      </c>
      <c r="R719" s="1514"/>
      <c r="S719" s="1617" t="e">
        <f>SUMIF('[105]TB for financial'!$A:$A,A719,'[105]TB for financial'!$E:$E)</f>
        <v>#VALUE!</v>
      </c>
    </row>
    <row r="720" spans="1:19" ht="12" customHeight="1">
      <c r="A720" s="1371">
        <v>5890000</v>
      </c>
      <c r="B720" s="609" t="s">
        <v>2525</v>
      </c>
      <c r="C720" s="610">
        <f t="shared" si="77"/>
        <v>0</v>
      </c>
      <c r="D720" s="611">
        <v>0</v>
      </c>
      <c r="E720" s="610">
        <f>SUMIF('Entries 24-25'!$B:$B,A:A,'Entries 24-25'!$D:$D)-SUMIF('Entries 24-25'!$B:$B,A:A,'Entries 24-25'!$E:$E)+SUMIF('IND AS entries 24-25'!$B:$B,A:A,'IND AS entries 24-25'!$D:$D)-SUMIF('IND AS entries 24-25'!$B:$B,A:A,'IND AS entries 24-25'!$E:$E)</f>
        <v>0</v>
      </c>
      <c r="F720" s="611">
        <f t="shared" si="78"/>
        <v>0</v>
      </c>
      <c r="G720" s="610"/>
      <c r="H720" s="610">
        <v>0</v>
      </c>
      <c r="I720" s="611">
        <v>0</v>
      </c>
      <c r="J720" s="610">
        <v>0</v>
      </c>
      <c r="K720" s="611">
        <f t="shared" si="79"/>
        <v>0</v>
      </c>
      <c r="L720" s="612">
        <f>VLOOKUP(A720,'BS Gr'!A:A,1,FALSE)</f>
        <v>5890000</v>
      </c>
      <c r="M720" s="612">
        <f t="shared" si="76"/>
        <v>1</v>
      </c>
      <c r="N720" s="613">
        <f t="shared" ref="N720:N783" si="80">C720-K720</f>
        <v>0</v>
      </c>
      <c r="O720" s="613" t="e">
        <f>VLOOKUP(A720,'TB Download'!A:A,1,FALSE)</f>
        <v>#N/A</v>
      </c>
      <c r="R720" s="1514"/>
      <c r="S720" s="1617" t="e">
        <f>SUMIF('[105]TB for financial'!$A:$A,A720,'[105]TB for financial'!$E:$E)</f>
        <v>#VALUE!</v>
      </c>
    </row>
    <row r="721" spans="1:19" ht="12" customHeight="1">
      <c r="A721" s="1371">
        <v>51120215</v>
      </c>
      <c r="B721" s="609" t="s">
        <v>2526</v>
      </c>
      <c r="C721" s="610">
        <f t="shared" si="77"/>
        <v>0</v>
      </c>
      <c r="D721" s="611">
        <v>0</v>
      </c>
      <c r="E721" s="610">
        <f>SUMIF('Entries 24-25'!$B:$B,A:A,'Entries 24-25'!$D:$D)-SUMIF('Entries 24-25'!$B:$B,A:A,'Entries 24-25'!$E:$E)+SUMIF('IND AS entries 24-25'!$B:$B,A:A,'IND AS entries 24-25'!$D:$D)-SUMIF('IND AS entries 24-25'!$B:$B,A:A,'IND AS entries 24-25'!$E:$E)</f>
        <v>0</v>
      </c>
      <c r="F721" s="611">
        <f t="shared" si="78"/>
        <v>0</v>
      </c>
      <c r="G721" s="610"/>
      <c r="H721" s="610">
        <v>0</v>
      </c>
      <c r="I721" s="611">
        <v>3000000</v>
      </c>
      <c r="J721" s="610">
        <v>-3000000</v>
      </c>
      <c r="K721" s="611">
        <f t="shared" si="79"/>
        <v>0</v>
      </c>
      <c r="L721" s="612">
        <f>VLOOKUP(A721,'BS Gr'!A:A,1,FALSE)</f>
        <v>51120215</v>
      </c>
      <c r="M721" s="612">
        <f t="shared" si="76"/>
        <v>1</v>
      </c>
      <c r="N721" s="613">
        <f t="shared" si="80"/>
        <v>0</v>
      </c>
      <c r="O721" s="613">
        <f>VLOOKUP(A721,'TB Download'!A:A,1,FALSE)</f>
        <v>51120215</v>
      </c>
      <c r="R721" s="1514"/>
      <c r="S721" s="1617" t="e">
        <f>SUMIF('[105]TB for financial'!$A:$A,A721,'[105]TB for financial'!$E:$E)</f>
        <v>#VALUE!</v>
      </c>
    </row>
    <row r="722" spans="1:19" ht="12" customHeight="1">
      <c r="A722" s="1371">
        <v>51120216</v>
      </c>
      <c r="B722" s="609" t="s">
        <v>2526</v>
      </c>
      <c r="C722" s="610">
        <f t="shared" si="77"/>
        <v>0</v>
      </c>
      <c r="D722" s="611">
        <v>0</v>
      </c>
      <c r="E722" s="610">
        <f>SUMIF('Entries 24-25'!$B:$B,A:A,'Entries 24-25'!$D:$D)-SUMIF('Entries 24-25'!$B:$B,A:A,'Entries 24-25'!$E:$E)+SUMIF('IND AS entries 24-25'!$B:$B,A:A,'IND AS entries 24-25'!$D:$D)-SUMIF('IND AS entries 24-25'!$B:$B,A:A,'IND AS entries 24-25'!$E:$E)</f>
        <v>0</v>
      </c>
      <c r="F722" s="611">
        <f t="shared" si="78"/>
        <v>0</v>
      </c>
      <c r="G722" s="610"/>
      <c r="H722" s="610">
        <v>0</v>
      </c>
      <c r="I722" s="611">
        <v>0</v>
      </c>
      <c r="J722" s="610">
        <v>0</v>
      </c>
      <c r="K722" s="611">
        <f t="shared" si="79"/>
        <v>0</v>
      </c>
      <c r="L722" s="612">
        <f>VLOOKUP(A722,'BS Gr'!A:A,1,FALSE)</f>
        <v>51120216</v>
      </c>
      <c r="M722" s="612">
        <f t="shared" si="76"/>
        <v>1</v>
      </c>
      <c r="N722" s="613">
        <f t="shared" si="80"/>
        <v>0</v>
      </c>
      <c r="O722" s="613" t="e">
        <f>VLOOKUP(A722,'TB Download'!A:A,1,FALSE)</f>
        <v>#N/A</v>
      </c>
      <c r="R722" s="1514"/>
      <c r="S722" s="1617" t="e">
        <f>SUMIF('[105]TB for financial'!$A:$A,A722,'[105]TB for financial'!$E:$E)</f>
        <v>#VALUE!</v>
      </c>
    </row>
    <row r="723" spans="1:19" ht="12" customHeight="1">
      <c r="A723" s="1371">
        <v>51120217</v>
      </c>
      <c r="B723" s="609" t="s">
        <v>2526</v>
      </c>
      <c r="C723" s="610">
        <f t="shared" si="77"/>
        <v>0</v>
      </c>
      <c r="D723" s="611">
        <v>0</v>
      </c>
      <c r="E723" s="610">
        <f>SUMIF('Entries 24-25'!$B:$B,A:A,'Entries 24-25'!$D:$D)-SUMIF('Entries 24-25'!$B:$B,A:A,'Entries 24-25'!$E:$E)+SUMIF('IND AS entries 24-25'!$B:$B,A:A,'IND AS entries 24-25'!$D:$D)-SUMIF('IND AS entries 24-25'!$B:$B,A:A,'IND AS entries 24-25'!$E:$E)</f>
        <v>0</v>
      </c>
      <c r="F723" s="611">
        <f t="shared" si="78"/>
        <v>0</v>
      </c>
      <c r="G723" s="610"/>
      <c r="H723" s="610">
        <v>0</v>
      </c>
      <c r="I723" s="611">
        <v>20900000</v>
      </c>
      <c r="J723" s="610">
        <v>-20900000</v>
      </c>
      <c r="K723" s="611">
        <f t="shared" si="79"/>
        <v>0</v>
      </c>
      <c r="L723" s="612">
        <f>VLOOKUP(A723,'BS Gr'!A:A,1,FALSE)</f>
        <v>51120217</v>
      </c>
      <c r="M723" s="612">
        <f t="shared" si="76"/>
        <v>1</v>
      </c>
      <c r="N723" s="613">
        <f t="shared" si="80"/>
        <v>0</v>
      </c>
      <c r="O723" s="613">
        <f>VLOOKUP(A723,'TB Download'!A:A,1,FALSE)</f>
        <v>51120217</v>
      </c>
      <c r="R723" s="1514"/>
      <c r="S723" s="1617" t="e">
        <f>SUMIF('[105]TB for financial'!$A:$A,A723,'[105]TB for financial'!$E:$E)</f>
        <v>#VALUE!</v>
      </c>
    </row>
    <row r="724" spans="1:19" ht="12" customHeight="1">
      <c r="A724" s="1371">
        <v>51150215</v>
      </c>
      <c r="B724" s="609" t="s">
        <v>2527</v>
      </c>
      <c r="C724" s="610">
        <f t="shared" si="77"/>
        <v>0</v>
      </c>
      <c r="D724" s="611">
        <v>0</v>
      </c>
      <c r="E724" s="610">
        <f>SUMIF('Entries 24-25'!$B:$B,A:A,'Entries 24-25'!$D:$D)-SUMIF('Entries 24-25'!$B:$B,A:A,'Entries 24-25'!$E:$E)+SUMIF('IND AS entries 24-25'!$B:$B,A:A,'IND AS entries 24-25'!$D:$D)-SUMIF('IND AS entries 24-25'!$B:$B,A:A,'IND AS entries 24-25'!$E:$E)</f>
        <v>0</v>
      </c>
      <c r="F724" s="611">
        <f t="shared" si="78"/>
        <v>0</v>
      </c>
      <c r="G724" s="610"/>
      <c r="H724" s="610">
        <v>0</v>
      </c>
      <c r="I724" s="611">
        <v>-1259372</v>
      </c>
      <c r="J724" s="610">
        <v>1259372</v>
      </c>
      <c r="K724" s="611">
        <f t="shared" si="79"/>
        <v>0</v>
      </c>
      <c r="L724" s="612">
        <f>VLOOKUP(A724,'BS Gr'!A:A,1,FALSE)</f>
        <v>51150215</v>
      </c>
      <c r="M724" s="612">
        <f t="shared" si="76"/>
        <v>1</v>
      </c>
      <c r="N724" s="613">
        <f t="shared" si="80"/>
        <v>0</v>
      </c>
      <c r="O724" s="613">
        <f>VLOOKUP(A724,'TB Download'!A:A,1,FALSE)</f>
        <v>51150215</v>
      </c>
      <c r="R724" s="1514"/>
      <c r="S724" s="1617" t="e">
        <f>SUMIF('[105]TB for financial'!$A:$A,A724,'[105]TB for financial'!$E:$E)</f>
        <v>#VALUE!</v>
      </c>
    </row>
    <row r="725" spans="1:19" ht="12" customHeight="1">
      <c r="A725" s="1371">
        <v>51150216</v>
      </c>
      <c r="B725" s="609" t="s">
        <v>2527</v>
      </c>
      <c r="C725" s="610">
        <f t="shared" si="77"/>
        <v>0</v>
      </c>
      <c r="D725" s="611">
        <v>0</v>
      </c>
      <c r="E725" s="610">
        <f>SUMIF('Entries 24-25'!$B:$B,A:A,'Entries 24-25'!$D:$D)-SUMIF('Entries 24-25'!$B:$B,A:A,'Entries 24-25'!$E:$E)+SUMIF('IND AS entries 24-25'!$B:$B,A:A,'IND AS entries 24-25'!$D:$D)-SUMIF('IND AS entries 24-25'!$B:$B,A:A,'IND AS entries 24-25'!$E:$E)</f>
        <v>0</v>
      </c>
      <c r="F725" s="611">
        <f t="shared" si="78"/>
        <v>0</v>
      </c>
      <c r="G725" s="610"/>
      <c r="H725" s="610">
        <v>0</v>
      </c>
      <c r="I725" s="611">
        <v>-431085</v>
      </c>
      <c r="J725" s="610">
        <v>431085</v>
      </c>
      <c r="K725" s="611">
        <f t="shared" si="79"/>
        <v>0</v>
      </c>
      <c r="L725" s="612">
        <f>VLOOKUP(A725,'BS Gr'!A:A,1,FALSE)</f>
        <v>51150216</v>
      </c>
      <c r="M725" s="612">
        <f t="shared" si="76"/>
        <v>1</v>
      </c>
      <c r="N725" s="613">
        <f t="shared" si="80"/>
        <v>0</v>
      </c>
      <c r="O725" s="613">
        <f>VLOOKUP(A725,'TB Download'!A:A,1,FALSE)</f>
        <v>51150216</v>
      </c>
      <c r="R725" s="1514"/>
      <c r="S725" s="1617" t="e">
        <f>SUMIF('[105]TB for financial'!$A:$A,A725,'[105]TB for financial'!$E:$E)</f>
        <v>#VALUE!</v>
      </c>
    </row>
    <row r="726" spans="1:19" ht="12" customHeight="1">
      <c r="A726" s="1371">
        <v>51150217</v>
      </c>
      <c r="B726" s="609" t="s">
        <v>2527</v>
      </c>
      <c r="C726" s="610">
        <f t="shared" si="77"/>
        <v>0</v>
      </c>
      <c r="D726" s="611">
        <v>0</v>
      </c>
      <c r="E726" s="610">
        <f>SUMIF('Entries 24-25'!$B:$B,A:A,'Entries 24-25'!$D:$D)-SUMIF('Entries 24-25'!$B:$B,A:A,'Entries 24-25'!$E:$E)+SUMIF('IND AS entries 24-25'!$B:$B,A:A,'IND AS entries 24-25'!$D:$D)-SUMIF('IND AS entries 24-25'!$B:$B,A:A,'IND AS entries 24-25'!$E:$E)</f>
        <v>0</v>
      </c>
      <c r="F726" s="611">
        <f t="shared" si="78"/>
        <v>0</v>
      </c>
      <c r="G726" s="610"/>
      <c r="H726" s="610">
        <v>0</v>
      </c>
      <c r="I726" s="611">
        <v>-22000000</v>
      </c>
      <c r="J726" s="610">
        <v>22000000</v>
      </c>
      <c r="K726" s="611">
        <f t="shared" si="79"/>
        <v>0</v>
      </c>
      <c r="L726" s="612">
        <f>VLOOKUP(A726,'BS Gr'!A:A,1,FALSE)</f>
        <v>51150217</v>
      </c>
      <c r="M726" s="612">
        <f t="shared" si="76"/>
        <v>1</v>
      </c>
      <c r="N726" s="613">
        <f t="shared" si="80"/>
        <v>0</v>
      </c>
      <c r="O726" s="613">
        <f>VLOOKUP(A726,'TB Download'!A:A,1,FALSE)</f>
        <v>51150217</v>
      </c>
      <c r="R726" s="1514"/>
      <c r="S726" s="1617" t="e">
        <f>SUMIF('[105]TB for financial'!$A:$A,A726,'[105]TB for financial'!$E:$E)</f>
        <v>#VALUE!</v>
      </c>
    </row>
    <row r="727" spans="1:19" ht="12" customHeight="1">
      <c r="A727" s="1371">
        <v>51200208</v>
      </c>
      <c r="B727" s="609" t="s">
        <v>2447</v>
      </c>
      <c r="C727" s="610">
        <f t="shared" si="77"/>
        <v>11753.500000007451</v>
      </c>
      <c r="D727" s="611">
        <v>0</v>
      </c>
      <c r="E727" s="610">
        <f>SUMIF('Entries 24-25'!$B:$B,A:A,'Entries 24-25'!$D:$D)-SUMIF('Entries 24-25'!$B:$B,A:A,'Entries 24-25'!$E:$E)+SUMIF('IND AS entries 24-25'!$B:$B,A:A,'IND AS entries 24-25'!$D:$D)-SUMIF('IND AS entries 24-25'!$B:$B,A:A,'IND AS entries 24-25'!$E:$E)</f>
        <v>0</v>
      </c>
      <c r="F727" s="611">
        <f t="shared" si="78"/>
        <v>11753.500000007451</v>
      </c>
      <c r="G727" s="610"/>
      <c r="H727" s="610">
        <v>11753.500000007451</v>
      </c>
      <c r="I727" s="611">
        <v>0</v>
      </c>
      <c r="J727" s="610">
        <v>0</v>
      </c>
      <c r="K727" s="1519">
        <f t="shared" si="79"/>
        <v>11753.500000007451</v>
      </c>
      <c r="L727" s="612">
        <f>VLOOKUP(A727,'BS Gr'!A:A,1,FALSE)</f>
        <v>51200208</v>
      </c>
      <c r="M727" s="612">
        <f t="shared" si="76"/>
        <v>1</v>
      </c>
      <c r="N727" s="613">
        <f t="shared" si="80"/>
        <v>0</v>
      </c>
      <c r="O727" s="613">
        <f>VLOOKUP(A727,'TB Download'!A:A,1,FALSE)</f>
        <v>51200208</v>
      </c>
      <c r="R727" s="1514"/>
      <c r="S727" s="1617" t="e">
        <f>SUMIF('[105]TB for financial'!$A:$A,A727,'[105]TB for financial'!$E:$E)</f>
        <v>#VALUE!</v>
      </c>
    </row>
    <row r="728" spans="1:19" ht="12" customHeight="1">
      <c r="A728" s="1371">
        <v>51200215</v>
      </c>
      <c r="B728" s="609" t="s">
        <v>2448</v>
      </c>
      <c r="C728" s="610">
        <f t="shared" si="77"/>
        <v>593429.48999998439</v>
      </c>
      <c r="D728" s="611">
        <v>-195665.94000005722</v>
      </c>
      <c r="E728" s="610">
        <f>SUMIF('Entries 24-25'!$B:$B,A:A,'Entries 24-25'!$D:$D)-SUMIF('Entries 24-25'!$B:$B,A:A,'Entries 24-25'!$E:$E)+SUMIF('IND AS entries 24-25'!$B:$B,A:A,'IND AS entries 24-25'!$D:$D)-SUMIF('IND AS entries 24-25'!$B:$B,A:A,'IND AS entries 24-25'!$E:$E)</f>
        <v>0</v>
      </c>
      <c r="F728" s="611">
        <f t="shared" si="78"/>
        <v>397763.54999992717</v>
      </c>
      <c r="G728" s="610"/>
      <c r="H728" s="610">
        <v>379291.02000000048</v>
      </c>
      <c r="I728" s="611">
        <v>-1537995.9400000162</v>
      </c>
      <c r="J728" s="610">
        <v>1752134.4100000001</v>
      </c>
      <c r="K728" s="1519">
        <f t="shared" si="79"/>
        <v>593429.48999998439</v>
      </c>
      <c r="L728" s="612">
        <f>VLOOKUP(A728,'BS Gr'!A:A,1,FALSE)</f>
        <v>51200215</v>
      </c>
      <c r="M728" s="612">
        <f t="shared" ref="M728:M750" si="81">COUNTIF(A:A,A728)</f>
        <v>1</v>
      </c>
      <c r="N728" s="613">
        <f t="shared" si="80"/>
        <v>0</v>
      </c>
      <c r="O728" s="613">
        <f>VLOOKUP(A728,'TB Download'!A:A,1,FALSE)</f>
        <v>51200215</v>
      </c>
      <c r="R728" s="1514"/>
      <c r="S728" s="1617" t="e">
        <f>SUMIF('[105]TB for financial'!$A:$A,A728,'[105]TB for financial'!$E:$E)</f>
        <v>#VALUE!</v>
      </c>
    </row>
    <row r="729" spans="1:19" ht="12" customHeight="1">
      <c r="A729" s="1371">
        <v>51200217</v>
      </c>
      <c r="B729" s="609" t="s">
        <v>2448</v>
      </c>
      <c r="C729" s="610">
        <f t="shared" si="77"/>
        <v>6.0000002384185791E-2</v>
      </c>
      <c r="D729" s="611">
        <v>0</v>
      </c>
      <c r="E729" s="610">
        <f>SUMIF('Entries 24-25'!$B:$B,A:A,'Entries 24-25'!$D:$D)-SUMIF('Entries 24-25'!$B:$B,A:A,'Entries 24-25'!$E:$E)+SUMIF('IND AS entries 24-25'!$B:$B,A:A,'IND AS entries 24-25'!$D:$D)-SUMIF('IND AS entries 24-25'!$B:$B,A:A,'IND AS entries 24-25'!$E:$E)</f>
        <v>0</v>
      </c>
      <c r="F729" s="611">
        <f t="shared" si="78"/>
        <v>6.0000002384185791E-2</v>
      </c>
      <c r="G729" s="610"/>
      <c r="H729" s="610">
        <v>6.0000002384185791E-2</v>
      </c>
      <c r="I729" s="611">
        <v>1100000</v>
      </c>
      <c r="J729" s="610">
        <v>-1100000</v>
      </c>
      <c r="K729" s="611">
        <f t="shared" si="79"/>
        <v>6.0000002384185791E-2</v>
      </c>
      <c r="L729" s="612">
        <f>VLOOKUP(A729,'BS Gr'!A:A,1,FALSE)</f>
        <v>51200217</v>
      </c>
      <c r="M729" s="612">
        <f t="shared" si="81"/>
        <v>1</v>
      </c>
      <c r="N729" s="613">
        <f t="shared" si="80"/>
        <v>0</v>
      </c>
      <c r="O729" s="613">
        <f>VLOOKUP(A729,'TB Download'!A:A,1,FALSE)</f>
        <v>51200217</v>
      </c>
      <c r="R729" s="1514"/>
      <c r="S729" s="1617" t="e">
        <f>SUMIF('[105]TB for financial'!$A:$A,A729,'[105]TB for financial'!$E:$E)</f>
        <v>#VALUE!</v>
      </c>
    </row>
    <row r="730" spans="1:19" ht="12" customHeight="1">
      <c r="A730" s="1371">
        <v>411998</v>
      </c>
      <c r="B730" s="609" t="s">
        <v>2414</v>
      </c>
      <c r="C730" s="610">
        <f t="shared" si="77"/>
        <v>36271</v>
      </c>
      <c r="D730" s="611">
        <v>-36271</v>
      </c>
      <c r="E730" s="610">
        <f>SUMIF('Entries 24-25'!$B:$B,A:A,'Entries 24-25'!$D:$D)-SUMIF('Entries 24-25'!$B:$B,A:A,'Entries 24-25'!$E:$E)+SUMIF('IND AS entries 24-25'!$B:$B,A:A,'IND AS entries 24-25'!$D:$D)-SUMIF('IND AS entries 24-25'!$B:$B,A:A,'IND AS entries 24-25'!$E:$E)</f>
        <v>0</v>
      </c>
      <c r="F730" s="611">
        <f t="shared" si="78"/>
        <v>0</v>
      </c>
      <c r="G730" s="610"/>
      <c r="H730" s="610">
        <v>506481.9</v>
      </c>
      <c r="I730" s="611">
        <v>-470210.9</v>
      </c>
      <c r="J730" s="610">
        <v>0</v>
      </c>
      <c r="K730" s="611">
        <f t="shared" si="79"/>
        <v>36271</v>
      </c>
      <c r="L730" s="612">
        <f>VLOOKUP(A730,'BS Gr'!A:A,1,FALSE)</f>
        <v>411998</v>
      </c>
      <c r="M730" s="612">
        <f t="shared" si="81"/>
        <v>1</v>
      </c>
      <c r="N730" s="613">
        <f t="shared" si="80"/>
        <v>0</v>
      </c>
      <c r="O730" s="613">
        <f>VLOOKUP(A730,'TB Download'!A:A,1,FALSE)</f>
        <v>411998</v>
      </c>
      <c r="R730" s="1514"/>
      <c r="S730" s="1617" t="e">
        <f>SUMIF('[105]TB for financial'!$A:$A,A730,'[105]TB for financial'!$E:$E)</f>
        <v>#VALUE!</v>
      </c>
    </row>
    <row r="731" spans="1:19" ht="12" customHeight="1">
      <c r="A731" s="1371">
        <v>428650</v>
      </c>
      <c r="B731" s="609" t="s">
        <v>2425</v>
      </c>
      <c r="C731" s="610">
        <f t="shared" si="77"/>
        <v>0</v>
      </c>
      <c r="D731" s="611">
        <v>0</v>
      </c>
      <c r="E731" s="610">
        <f>SUMIF('Entries 24-25'!$B:$B,A:A,'Entries 24-25'!$D:$D)-SUMIF('Entries 24-25'!$B:$B,A:A,'Entries 24-25'!$E:$E)+SUMIF('IND AS entries 24-25'!$B:$B,A:A,'IND AS entries 24-25'!$D:$D)-SUMIF('IND AS entries 24-25'!$B:$B,A:A,'IND AS entries 24-25'!$E:$E)</f>
        <v>0</v>
      </c>
      <c r="F731" s="611">
        <f t="shared" si="78"/>
        <v>0</v>
      </c>
      <c r="G731" s="610"/>
      <c r="H731" s="610">
        <v>0</v>
      </c>
      <c r="I731" s="611">
        <v>0</v>
      </c>
      <c r="J731" s="610">
        <v>0</v>
      </c>
      <c r="K731" s="611">
        <f t="shared" si="79"/>
        <v>0</v>
      </c>
      <c r="L731" s="612">
        <f>VLOOKUP(A731,'BS Gr'!A:A,1,FALSE)</f>
        <v>428650</v>
      </c>
      <c r="M731" s="612">
        <f t="shared" si="81"/>
        <v>1</v>
      </c>
      <c r="N731" s="613">
        <f t="shared" si="80"/>
        <v>0</v>
      </c>
      <c r="O731" s="613" t="e">
        <f>VLOOKUP(A731,'TB Download'!A:A,1,FALSE)</f>
        <v>#N/A</v>
      </c>
      <c r="R731" s="1514"/>
      <c r="S731" s="1617" t="e">
        <f>SUMIF('[105]TB for financial'!$A:$A,A731,'[105]TB for financial'!$E:$E)</f>
        <v>#VALUE!</v>
      </c>
    </row>
    <row r="732" spans="1:19" ht="12" customHeight="1">
      <c r="A732" s="1371">
        <v>1013001</v>
      </c>
      <c r="B732" s="609" t="s">
        <v>2396</v>
      </c>
      <c r="C732" s="610">
        <f t="shared" si="77"/>
        <v>0</v>
      </c>
      <c r="D732" s="611">
        <v>0</v>
      </c>
      <c r="E732" s="610">
        <f>SUMIF('Entries 24-25'!$B:$B,A:A,'Entries 24-25'!$D:$D)-SUMIF('Entries 24-25'!$B:$B,A:A,'Entries 24-25'!$E:$E)+SUMIF('IND AS entries 24-25'!$B:$B,A:A,'IND AS entries 24-25'!$D:$D)-SUMIF('IND AS entries 24-25'!$B:$B,A:A,'IND AS entries 24-25'!$E:$E)</f>
        <v>0</v>
      </c>
      <c r="F732" s="611">
        <f t="shared" si="78"/>
        <v>0</v>
      </c>
      <c r="G732" s="610"/>
      <c r="H732" s="610">
        <v>0</v>
      </c>
      <c r="I732" s="611">
        <v>-54000</v>
      </c>
      <c r="J732" s="610">
        <v>54000</v>
      </c>
      <c r="K732" s="611">
        <f t="shared" si="79"/>
        <v>0</v>
      </c>
      <c r="L732" s="612">
        <f>VLOOKUP(A732,'BS Gr'!A:A,1,FALSE)</f>
        <v>1013001</v>
      </c>
      <c r="M732" s="612">
        <f t="shared" si="81"/>
        <v>1</v>
      </c>
      <c r="N732" s="613">
        <f t="shared" si="80"/>
        <v>0</v>
      </c>
      <c r="O732" s="613">
        <f>VLOOKUP(A732,'TB Download'!A:A,1,FALSE)</f>
        <v>1013001</v>
      </c>
      <c r="R732" s="1514"/>
      <c r="S732" s="1617" t="e">
        <f>SUMIF('[105]TB for financial'!$A:$A,A732,'[105]TB for financial'!$E:$E)</f>
        <v>#VALUE!</v>
      </c>
    </row>
    <row r="733" spans="1:19" ht="12" customHeight="1">
      <c r="A733" s="1371">
        <v>4014500</v>
      </c>
      <c r="B733" s="609" t="s">
        <v>2406</v>
      </c>
      <c r="C733" s="610">
        <f t="shared" si="77"/>
        <v>-90.199999999953434</v>
      </c>
      <c r="D733" s="611">
        <v>0</v>
      </c>
      <c r="E733" s="610">
        <f>SUMIF('Entries 24-25'!$B:$B,A:A,'Entries 24-25'!$D:$D)-SUMIF('Entries 24-25'!$B:$B,A:A,'Entries 24-25'!$E:$E)+SUMIF('IND AS entries 24-25'!$B:$B,A:A,'IND AS entries 24-25'!$D:$D)-SUMIF('IND AS entries 24-25'!$B:$B,A:A,'IND AS entries 24-25'!$E:$E)</f>
        <v>0</v>
      </c>
      <c r="F733" s="611">
        <f t="shared" si="78"/>
        <v>-90.199999999953434</v>
      </c>
      <c r="G733" s="610"/>
      <c r="H733" s="610">
        <v>0</v>
      </c>
      <c r="I733" s="611">
        <v>535614.2300000001</v>
      </c>
      <c r="J733" s="610">
        <v>-535704.43000000005</v>
      </c>
      <c r="K733" s="611">
        <f>SUM(H733:J733)</f>
        <v>-90.199999999953434</v>
      </c>
      <c r="L733" s="612">
        <f>VLOOKUP(A733,'BS Gr'!A:A,1,FALSE)</f>
        <v>4014500</v>
      </c>
      <c r="M733" s="612">
        <f t="shared" si="81"/>
        <v>1</v>
      </c>
      <c r="N733" s="613">
        <f t="shared" si="80"/>
        <v>0</v>
      </c>
      <c r="O733" s="613">
        <f>VLOOKUP(A733,'TB Download'!A:A,1,FALSE)</f>
        <v>4014500</v>
      </c>
      <c r="R733" s="1514"/>
      <c r="S733" s="1617" t="e">
        <f>SUMIF('[105]TB for financial'!$A:$A,A733,'[105]TB for financial'!$E:$E)</f>
        <v>#VALUE!</v>
      </c>
    </row>
    <row r="734" spans="1:19" ht="12" customHeight="1">
      <c r="A734" s="1371">
        <v>4015000</v>
      </c>
      <c r="B734" s="609" t="s">
        <v>2407</v>
      </c>
      <c r="C734" s="610">
        <f t="shared" si="77"/>
        <v>0</v>
      </c>
      <c r="D734" s="611">
        <v>0</v>
      </c>
      <c r="E734" s="610">
        <f>SUMIF('Entries 24-25'!$B:$B,A:A,'Entries 24-25'!$D:$D)-SUMIF('Entries 24-25'!$B:$B,A:A,'Entries 24-25'!$E:$E)+SUMIF('IND AS entries 24-25'!$B:$B,A:A,'IND AS entries 24-25'!$D:$D)-SUMIF('IND AS entries 24-25'!$B:$B,A:A,'IND AS entries 24-25'!$E:$E)</f>
        <v>0</v>
      </c>
      <c r="F734" s="611">
        <f t="shared" si="78"/>
        <v>0</v>
      </c>
      <c r="G734" s="610"/>
      <c r="H734" s="610">
        <v>0</v>
      </c>
      <c r="I734" s="611">
        <v>3360</v>
      </c>
      <c r="J734" s="610">
        <v>-3360</v>
      </c>
      <c r="K734" s="611">
        <f t="shared" si="79"/>
        <v>0</v>
      </c>
      <c r="L734" s="612">
        <f>VLOOKUP(A734,'BS Gr'!A:A,1,FALSE)</f>
        <v>4015000</v>
      </c>
      <c r="M734" s="612">
        <f t="shared" si="81"/>
        <v>1</v>
      </c>
      <c r="N734" s="613">
        <f t="shared" si="80"/>
        <v>0</v>
      </c>
      <c r="O734" s="613">
        <f>VLOOKUP(A734,'TB Download'!A:A,1,FALSE)</f>
        <v>4015000</v>
      </c>
      <c r="R734" s="1514"/>
      <c r="S734" s="1617" t="e">
        <f>SUMIF('[105]TB for financial'!$A:$A,A734,'[105]TB for financial'!$E:$E)</f>
        <v>#VALUE!</v>
      </c>
    </row>
    <row r="735" spans="1:19" ht="12" customHeight="1">
      <c r="A735" s="1371">
        <v>4081510</v>
      </c>
      <c r="B735" s="609" t="s">
        <v>2410</v>
      </c>
      <c r="C735" s="610">
        <f t="shared" si="77"/>
        <v>-6.0000000023865141</v>
      </c>
      <c r="D735" s="611">
        <v>0</v>
      </c>
      <c r="E735" s="610">
        <f>SUMIF('Entries 24-25'!$B:$B,A:A,'Entries 24-25'!$D:$D)-SUMIF('Entries 24-25'!$B:$B,A:A,'Entries 24-25'!$E:$E)+SUMIF('IND AS entries 24-25'!$B:$B,A:A,'IND AS entries 24-25'!$D:$D)-SUMIF('IND AS entries 24-25'!$B:$B,A:A,'IND AS entries 24-25'!$E:$E)</f>
        <v>0</v>
      </c>
      <c r="F735" s="611">
        <f t="shared" si="78"/>
        <v>-6.0000000023865141</v>
      </c>
      <c r="G735" s="610"/>
      <c r="H735" s="610">
        <v>-6.0000000023865141</v>
      </c>
      <c r="I735" s="611">
        <v>452660.81000000238</v>
      </c>
      <c r="J735" s="610">
        <v>-452660.81000000238</v>
      </c>
      <c r="K735" s="611">
        <f t="shared" si="79"/>
        <v>-6.0000000023865141</v>
      </c>
      <c r="L735" s="612">
        <f>VLOOKUP(A735,'BS Gr'!A:A,1,FALSE)</f>
        <v>4081510</v>
      </c>
      <c r="M735" s="612">
        <f t="shared" si="81"/>
        <v>1</v>
      </c>
      <c r="N735" s="613">
        <f t="shared" si="80"/>
        <v>0</v>
      </c>
      <c r="O735" s="613">
        <f>VLOOKUP(A735,'TB Download'!A:A,1,FALSE)</f>
        <v>4081510</v>
      </c>
      <c r="R735" s="1514"/>
      <c r="S735" s="1617" t="e">
        <f>SUMIF('[105]TB for financial'!$A:$A,A735,'[105]TB for financial'!$E:$E)</f>
        <v>#VALUE!</v>
      </c>
    </row>
    <row r="736" spans="1:19" ht="12" customHeight="1">
      <c r="A736" s="1371">
        <v>4085000</v>
      </c>
      <c r="B736" s="609" t="s">
        <v>2657</v>
      </c>
      <c r="C736" s="610">
        <f t="shared" si="77"/>
        <v>0</v>
      </c>
      <c r="D736" s="611">
        <v>0</v>
      </c>
      <c r="E736" s="610">
        <f>SUMIF('Entries 24-25'!$B:$B,A:A,'Entries 24-25'!$D:$D)-SUMIF('Entries 24-25'!$B:$B,A:A,'Entries 24-25'!$E:$E)+SUMIF('IND AS entries 24-25'!$B:$B,A:A,'IND AS entries 24-25'!$D:$D)-SUMIF('IND AS entries 24-25'!$B:$B,A:A,'IND AS entries 24-25'!$E:$E)</f>
        <v>0</v>
      </c>
      <c r="F736" s="611">
        <f t="shared" si="78"/>
        <v>0</v>
      </c>
      <c r="G736" s="610"/>
      <c r="H736" s="610">
        <v>0</v>
      </c>
      <c r="I736" s="611">
        <v>-97259</v>
      </c>
      <c r="J736" s="610">
        <v>97259</v>
      </c>
      <c r="K736" s="611">
        <f t="shared" si="79"/>
        <v>0</v>
      </c>
      <c r="L736" s="612">
        <f>VLOOKUP(A736,'BS Gr'!A:A,1,FALSE)</f>
        <v>4085000</v>
      </c>
      <c r="M736" s="612">
        <f t="shared" si="81"/>
        <v>1</v>
      </c>
      <c r="N736" s="613">
        <f t="shared" si="80"/>
        <v>0</v>
      </c>
      <c r="O736" s="613">
        <f>VLOOKUP(A736,'TB Download'!A:A,1,FALSE)</f>
        <v>4085000</v>
      </c>
      <c r="R736" s="1514"/>
      <c r="S736" s="1617" t="e">
        <f>SUMIF('[105]TB for financial'!$A:$A,A736,'[105]TB for financial'!$E:$E)</f>
        <v>#VALUE!</v>
      </c>
    </row>
    <row r="737" spans="1:19" ht="12" customHeight="1">
      <c r="A737" s="1371">
        <v>4115000</v>
      </c>
      <c r="B737" s="609" t="s">
        <v>2413</v>
      </c>
      <c r="C737" s="610">
        <f t="shared" si="77"/>
        <v>2.3865140974521637E-9</v>
      </c>
      <c r="D737" s="611">
        <v>0</v>
      </c>
      <c r="E737" s="610">
        <f>SUMIF('Entries 24-25'!$B:$B,A:A,'Entries 24-25'!$D:$D)-SUMIF('Entries 24-25'!$B:$B,A:A,'Entries 24-25'!$E:$E)+SUMIF('IND AS entries 24-25'!$B:$B,A:A,'IND AS entries 24-25'!$D:$D)-SUMIF('IND AS entries 24-25'!$B:$B,A:A,'IND AS entries 24-25'!$E:$E)</f>
        <v>0</v>
      </c>
      <c r="F737" s="611">
        <f t="shared" si="78"/>
        <v>2.3865140974521637E-9</v>
      </c>
      <c r="G737" s="610"/>
      <c r="H737" s="610">
        <v>2.3865140974521637E-9</v>
      </c>
      <c r="I737" s="611">
        <v>-241132.81000000238</v>
      </c>
      <c r="J737" s="610">
        <v>241132.81000000238</v>
      </c>
      <c r="K737" s="611">
        <f t="shared" si="79"/>
        <v>2.3865140974521637E-9</v>
      </c>
      <c r="L737" s="612">
        <f>VLOOKUP(A737,'BS Gr'!A:A,1,FALSE)</f>
        <v>4115000</v>
      </c>
      <c r="M737" s="612">
        <f t="shared" si="81"/>
        <v>1</v>
      </c>
      <c r="N737" s="613">
        <f t="shared" si="80"/>
        <v>0</v>
      </c>
      <c r="O737" s="613">
        <f>VLOOKUP(A737,'TB Download'!A:A,1,FALSE)</f>
        <v>4115000</v>
      </c>
      <c r="R737" s="1514"/>
      <c r="S737" s="1617" t="e">
        <f>SUMIF('[105]TB for financial'!$A:$A,A737,'[105]TB for financial'!$E:$E)</f>
        <v>#VALUE!</v>
      </c>
    </row>
    <row r="738" spans="1:19" ht="12" customHeight="1">
      <c r="A738" s="1371">
        <v>4181500</v>
      </c>
      <c r="B738" s="609" t="s">
        <v>2680</v>
      </c>
      <c r="C738" s="610">
        <f t="shared" si="77"/>
        <v>0</v>
      </c>
      <c r="D738" s="611">
        <v>0</v>
      </c>
      <c r="E738" s="610">
        <f>SUMIF('Entries 24-25'!$B:$B,A:A,'Entries 24-25'!$D:$D)-SUMIF('Entries 24-25'!$B:$B,A:A,'Entries 24-25'!$E:$E)+SUMIF('IND AS entries 24-25'!$B:$B,A:A,'IND AS entries 24-25'!$D:$D)-SUMIF('IND AS entries 24-25'!$B:$B,A:A,'IND AS entries 24-25'!$E:$E)</f>
        <v>0</v>
      </c>
      <c r="F738" s="611">
        <f t="shared" si="78"/>
        <v>0</v>
      </c>
      <c r="G738" s="610"/>
      <c r="H738" s="610">
        <v>2.6492855395190418E-3</v>
      </c>
      <c r="I738" s="611">
        <v>-626977.15009164729</v>
      </c>
      <c r="J738" s="610">
        <v>626977.14744236157</v>
      </c>
      <c r="K738" s="611">
        <f t="shared" si="79"/>
        <v>0</v>
      </c>
      <c r="L738" s="612">
        <f>VLOOKUP(A738,'BS Gr'!A:A,1,FALSE)</f>
        <v>4181500</v>
      </c>
      <c r="M738" s="612">
        <f t="shared" si="81"/>
        <v>1</v>
      </c>
      <c r="N738" s="613">
        <f t="shared" si="80"/>
        <v>0</v>
      </c>
      <c r="O738" s="613">
        <f>VLOOKUP(A738,'TB Download'!A:A,1,FALSE)</f>
        <v>4181500</v>
      </c>
      <c r="Q738" s="613"/>
      <c r="R738" s="1514"/>
      <c r="S738" s="1617" t="e">
        <f>SUMIF('[105]TB for financial'!$A:$A,A738,'[105]TB for financial'!$E:$E)</f>
        <v>#VALUE!</v>
      </c>
    </row>
    <row r="739" spans="1:19" ht="12" customHeight="1">
      <c r="A739" s="1371">
        <v>4210100</v>
      </c>
      <c r="B739" s="609" t="s">
        <v>2681</v>
      </c>
      <c r="C739" s="610">
        <f t="shared" si="77"/>
        <v>0</v>
      </c>
      <c r="D739" s="611">
        <v>0</v>
      </c>
      <c r="E739" s="610">
        <f>SUMIF('Entries 24-25'!$B:$B,A:A,'Entries 24-25'!$D:$D)-SUMIF('Entries 24-25'!$B:$B,A:A,'Entries 24-25'!$E:$E)+SUMIF('IND AS entries 24-25'!$B:$B,A:A,'IND AS entries 24-25'!$D:$D)-SUMIF('IND AS entries 24-25'!$B:$B,A:A,'IND AS entries 24-25'!$E:$E)</f>
        <v>0</v>
      </c>
      <c r="F739" s="611">
        <f t="shared" si="78"/>
        <v>0</v>
      </c>
      <c r="G739" s="610"/>
      <c r="H739" s="610">
        <v>0</v>
      </c>
      <c r="I739" s="611">
        <v>-431377</v>
      </c>
      <c r="J739" s="610">
        <v>431377</v>
      </c>
      <c r="K739" s="611">
        <f t="shared" si="79"/>
        <v>0</v>
      </c>
      <c r="L739" s="612">
        <f>VLOOKUP(A739,'BS Gr'!A:A,1,FALSE)</f>
        <v>4210100</v>
      </c>
      <c r="M739" s="612">
        <f t="shared" si="81"/>
        <v>1</v>
      </c>
      <c r="N739" s="613">
        <f t="shared" si="80"/>
        <v>0</v>
      </c>
      <c r="O739" s="613">
        <f>VLOOKUP(A739,'TB Download'!A:A,1,FALSE)</f>
        <v>4210100</v>
      </c>
      <c r="R739" s="1514"/>
      <c r="S739" s="1617" t="e">
        <f>SUMIF('[105]TB for financial'!$A:$A,A739,'[105]TB for financial'!$E:$E)</f>
        <v>#VALUE!</v>
      </c>
    </row>
    <row r="740" spans="1:19" ht="12" customHeight="1">
      <c r="A740" s="1371">
        <v>4286100</v>
      </c>
      <c r="B740" s="609" t="s">
        <v>2423</v>
      </c>
      <c r="C740" s="610">
        <f t="shared" si="77"/>
        <v>0</v>
      </c>
      <c r="D740" s="611">
        <v>0</v>
      </c>
      <c r="E740" s="610">
        <f>SUMIF('Entries 24-25'!$B:$B,A:A,'Entries 24-25'!$D:$D)-SUMIF('Entries 24-25'!$B:$B,A:A,'Entries 24-25'!$E:$E)+SUMIF('IND AS entries 24-25'!$B:$B,A:A,'IND AS entries 24-25'!$D:$D)-SUMIF('IND AS entries 24-25'!$B:$B,A:A,'IND AS entries 24-25'!$E:$E)</f>
        <v>0</v>
      </c>
      <c r="F740" s="611">
        <f t="shared" si="78"/>
        <v>0</v>
      </c>
      <c r="G740" s="610"/>
      <c r="H740" s="610">
        <v>0</v>
      </c>
      <c r="I740" s="611">
        <v>-8793</v>
      </c>
      <c r="J740" s="610">
        <v>8793</v>
      </c>
      <c r="K740" s="611">
        <f t="shared" si="79"/>
        <v>0</v>
      </c>
      <c r="L740" s="612">
        <f>VLOOKUP(A740,'BS Gr'!A:A,1,FALSE)</f>
        <v>4286100</v>
      </c>
      <c r="M740" s="612">
        <f t="shared" si="81"/>
        <v>1</v>
      </c>
      <c r="N740" s="613">
        <f t="shared" si="80"/>
        <v>0</v>
      </c>
      <c r="O740" s="613">
        <f>VLOOKUP(A740,'TB Download'!A:A,1,FALSE)</f>
        <v>4286100</v>
      </c>
      <c r="R740" s="1514"/>
      <c r="S740" s="1617" t="e">
        <f>SUMIF('[105]TB for financial'!$A:$A,A740,'[105]TB for financial'!$E:$E)</f>
        <v>#VALUE!</v>
      </c>
    </row>
    <row r="741" spans="1:19" ht="12" customHeight="1">
      <c r="A741" s="1371">
        <v>4372000</v>
      </c>
      <c r="B741" s="609" t="s">
        <v>2426</v>
      </c>
      <c r="C741" s="610">
        <f t="shared" si="77"/>
        <v>0</v>
      </c>
      <c r="D741" s="611">
        <v>0</v>
      </c>
      <c r="E741" s="610">
        <f>SUMIF('Entries 24-25'!$B:$B,A:A,'Entries 24-25'!$D:$D)-SUMIF('Entries 24-25'!$B:$B,A:A,'Entries 24-25'!$E:$E)+SUMIF('IND AS entries 24-25'!$B:$B,A:A,'IND AS entries 24-25'!$D:$D)-SUMIF('IND AS entries 24-25'!$B:$B,A:A,'IND AS entries 24-25'!$E:$E)</f>
        <v>0</v>
      </c>
      <c r="F741" s="611">
        <f t="shared" si="78"/>
        <v>0</v>
      </c>
      <c r="G741" s="610"/>
      <c r="H741" s="610">
        <v>0</v>
      </c>
      <c r="I741" s="611">
        <v>-650</v>
      </c>
      <c r="J741" s="610">
        <v>650</v>
      </c>
      <c r="K741" s="611">
        <f t="shared" si="79"/>
        <v>0</v>
      </c>
      <c r="L741" s="612">
        <f>VLOOKUP(A741,'BS Gr'!A:A,1,FALSE)</f>
        <v>4372000</v>
      </c>
      <c r="M741" s="612">
        <f t="shared" si="81"/>
        <v>1</v>
      </c>
      <c r="N741" s="613">
        <f t="shared" si="80"/>
        <v>0</v>
      </c>
      <c r="O741" s="613">
        <f>VLOOKUP(A741,'TB Download'!A:A,1,FALSE)</f>
        <v>4372000</v>
      </c>
      <c r="R741" s="1514"/>
      <c r="S741" s="1617" t="e">
        <f>SUMIF('[105]TB for financial'!$A:$A,A741,'[105]TB for financial'!$E:$E)</f>
        <v>#VALUE!</v>
      </c>
    </row>
    <row r="742" spans="1:19" ht="12" customHeight="1">
      <c r="A742" s="1371">
        <v>4373000</v>
      </c>
      <c r="B742" s="609" t="s">
        <v>2682</v>
      </c>
      <c r="C742" s="610">
        <f t="shared" si="77"/>
        <v>0</v>
      </c>
      <c r="D742" s="611">
        <v>0</v>
      </c>
      <c r="E742" s="610">
        <f>SUMIF('Entries 24-25'!$B:$B,A:A,'Entries 24-25'!$D:$D)-SUMIF('Entries 24-25'!$B:$B,A:A,'Entries 24-25'!$E:$E)+SUMIF('IND AS entries 24-25'!$B:$B,A:A,'IND AS entries 24-25'!$D:$D)-SUMIF('IND AS entries 24-25'!$B:$B,A:A,'IND AS entries 24-25'!$E:$E)</f>
        <v>0</v>
      </c>
      <c r="F742" s="611">
        <f t="shared" si="78"/>
        <v>0</v>
      </c>
      <c r="G742" s="610"/>
      <c r="H742" s="610">
        <v>0</v>
      </c>
      <c r="I742" s="611">
        <v>434</v>
      </c>
      <c r="J742" s="610">
        <v>-434</v>
      </c>
      <c r="K742" s="611">
        <f t="shared" si="79"/>
        <v>0</v>
      </c>
      <c r="L742" s="612">
        <f>VLOOKUP(A742,'BS Gr'!A:A,1,FALSE)</f>
        <v>4373000</v>
      </c>
      <c r="M742" s="612">
        <f t="shared" si="81"/>
        <v>1</v>
      </c>
      <c r="N742" s="613">
        <f t="shared" si="80"/>
        <v>0</v>
      </c>
      <c r="O742" s="613">
        <f>VLOOKUP(A742,'TB Download'!A:A,1,FALSE)</f>
        <v>4373000</v>
      </c>
      <c r="R742" s="1514"/>
      <c r="S742" s="1617" t="e">
        <f>SUMIF('[105]TB for financial'!$A:$A,A742,'[105]TB for financial'!$E:$E)</f>
        <v>#VALUE!</v>
      </c>
    </row>
    <row r="743" spans="1:19" ht="12" customHeight="1">
      <c r="A743" s="1371">
        <v>4374070</v>
      </c>
      <c r="B743" s="609" t="s">
        <v>1427</v>
      </c>
      <c r="C743" s="610">
        <f t="shared" si="77"/>
        <v>0</v>
      </c>
      <c r="D743" s="611">
        <v>0</v>
      </c>
      <c r="E743" s="610">
        <f>SUMIF('Entries 24-25'!$B:$B,A:A,'Entries 24-25'!$D:$D)-SUMIF('Entries 24-25'!$B:$B,A:A,'Entries 24-25'!$E:$E)+SUMIF('IND AS entries 24-25'!$B:$B,A:A,'IND AS entries 24-25'!$D:$D)-SUMIF('IND AS entries 24-25'!$B:$B,A:A,'IND AS entries 24-25'!$E:$E)</f>
        <v>0</v>
      </c>
      <c r="F743" s="611">
        <f t="shared" si="78"/>
        <v>0</v>
      </c>
      <c r="G743" s="610"/>
      <c r="H743" s="610">
        <v>0</v>
      </c>
      <c r="I743" s="611">
        <v>-10786.1</v>
      </c>
      <c r="J743" s="610">
        <v>10786.1</v>
      </c>
      <c r="K743" s="611">
        <f t="shared" si="79"/>
        <v>0</v>
      </c>
      <c r="L743" s="612">
        <f>VLOOKUP(A743,'BS Gr'!A:A,1,FALSE)</f>
        <v>4374070</v>
      </c>
      <c r="M743" s="612">
        <f t="shared" si="81"/>
        <v>1</v>
      </c>
      <c r="N743" s="613">
        <f t="shared" si="80"/>
        <v>0</v>
      </c>
      <c r="O743" s="613">
        <f>VLOOKUP(A743,'TB Download'!A:A,1,FALSE)</f>
        <v>4374070</v>
      </c>
      <c r="R743" s="1514"/>
      <c r="S743" s="1617" t="e">
        <f>SUMIF('[105]TB for financial'!$A:$A,A743,'[105]TB for financial'!$E:$E)</f>
        <v>#VALUE!</v>
      </c>
    </row>
    <row r="744" spans="1:19" ht="12" customHeight="1">
      <c r="A744" s="1371">
        <v>4374080</v>
      </c>
      <c r="B744" s="609" t="s">
        <v>2427</v>
      </c>
      <c r="C744" s="610">
        <f t="shared" si="77"/>
        <v>0</v>
      </c>
      <c r="D744" s="611">
        <v>0</v>
      </c>
      <c r="E744" s="610">
        <f>SUMIF('Entries 24-25'!$B:$B,A:A,'Entries 24-25'!$D:$D)-SUMIF('Entries 24-25'!$B:$B,A:A,'Entries 24-25'!$E:$E)+SUMIF('IND AS entries 24-25'!$B:$B,A:A,'IND AS entries 24-25'!$D:$D)-SUMIF('IND AS entries 24-25'!$B:$B,A:A,'IND AS entries 24-25'!$E:$E)</f>
        <v>0</v>
      </c>
      <c r="F744" s="611">
        <f t="shared" si="78"/>
        <v>0</v>
      </c>
      <c r="G744" s="610"/>
      <c r="H744" s="610">
        <v>0</v>
      </c>
      <c r="I744" s="611">
        <v>21199</v>
      </c>
      <c r="J744" s="610">
        <v>-21199</v>
      </c>
      <c r="K744" s="611">
        <f t="shared" si="79"/>
        <v>0</v>
      </c>
      <c r="L744" s="612">
        <f>VLOOKUP(A744,'BS Gr'!A:A,1,FALSE)</f>
        <v>4374080</v>
      </c>
      <c r="M744" s="612">
        <f t="shared" si="81"/>
        <v>1</v>
      </c>
      <c r="N744" s="613">
        <f t="shared" si="80"/>
        <v>0</v>
      </c>
      <c r="O744" s="613">
        <f>VLOOKUP(A744,'TB Download'!A:A,1,FALSE)</f>
        <v>4374080</v>
      </c>
      <c r="R744" s="1514"/>
      <c r="S744" s="1617" t="e">
        <f>SUMIF('[105]TB for financial'!$A:$A,A744,'[105]TB for financial'!$E:$E)</f>
        <v>#VALUE!</v>
      </c>
    </row>
    <row r="745" spans="1:19" ht="12" customHeight="1">
      <c r="A745" s="1371">
        <v>4386660</v>
      </c>
      <c r="B745" s="609" t="s">
        <v>2431</v>
      </c>
      <c r="C745" s="610">
        <f t="shared" si="77"/>
        <v>0</v>
      </c>
      <c r="D745" s="611">
        <v>0</v>
      </c>
      <c r="E745" s="610">
        <f>SUMIF('Entries 24-25'!$B:$B,A:A,'Entries 24-25'!$D:$D)-SUMIF('Entries 24-25'!$B:$B,A:A,'Entries 24-25'!$E:$E)+SUMIF('IND AS entries 24-25'!$B:$B,A:A,'IND AS entries 24-25'!$D:$D)-SUMIF('IND AS entries 24-25'!$B:$B,A:A,'IND AS entries 24-25'!$E:$E)</f>
        <v>0</v>
      </c>
      <c r="F745" s="611">
        <f t="shared" si="78"/>
        <v>0</v>
      </c>
      <c r="G745" s="610"/>
      <c r="H745" s="610">
        <v>0</v>
      </c>
      <c r="I745" s="611">
        <v>9011</v>
      </c>
      <c r="J745" s="610">
        <v>-9011</v>
      </c>
      <c r="K745" s="611">
        <f t="shared" si="79"/>
        <v>0</v>
      </c>
      <c r="L745" s="612">
        <f>VLOOKUP(A745,'BS Gr'!A:A,1,FALSE)</f>
        <v>4386660</v>
      </c>
      <c r="M745" s="612">
        <f t="shared" si="81"/>
        <v>1</v>
      </c>
      <c r="N745" s="613">
        <f t="shared" si="80"/>
        <v>0</v>
      </c>
      <c r="O745" s="613">
        <f>VLOOKUP(A745,'TB Download'!A:A,1,FALSE)</f>
        <v>4386660</v>
      </c>
      <c r="R745" s="1514"/>
      <c r="S745" s="1617" t="e">
        <f>SUMIF('[105]TB for financial'!$A:$A,A745,'[105]TB for financial'!$E:$E)</f>
        <v>#VALUE!</v>
      </c>
    </row>
    <row r="746" spans="1:19" ht="12" customHeight="1">
      <c r="A746" s="1371">
        <v>4510000</v>
      </c>
      <c r="B746" s="609" t="s">
        <v>2683</v>
      </c>
      <c r="C746" s="610">
        <f t="shared" si="77"/>
        <v>0</v>
      </c>
      <c r="D746" s="611">
        <v>0</v>
      </c>
      <c r="E746" s="610">
        <f>SUMIF('Entries 24-25'!$B:$B,A:A,'Entries 24-25'!$D:$D)-SUMIF('Entries 24-25'!$B:$B,A:A,'Entries 24-25'!$E:$E)+SUMIF('IND AS entries 24-25'!$B:$B,A:A,'IND AS entries 24-25'!$D:$D)-SUMIF('IND AS entries 24-25'!$B:$B,A:A,'IND AS entries 24-25'!$E:$E)</f>
        <v>0</v>
      </c>
      <c r="F746" s="611">
        <f t="shared" si="78"/>
        <v>0</v>
      </c>
      <c r="G746" s="610"/>
      <c r="H746" s="610">
        <v>0</v>
      </c>
      <c r="I746" s="611">
        <v>442591.41000000015</v>
      </c>
      <c r="J746" s="610">
        <v>-442591.41000000015</v>
      </c>
      <c r="K746" s="611">
        <f t="shared" si="79"/>
        <v>0</v>
      </c>
      <c r="L746" s="612">
        <f>VLOOKUP(A746,'BS Gr'!A:A,1,FALSE)</f>
        <v>4510000</v>
      </c>
      <c r="M746" s="612">
        <f t="shared" si="81"/>
        <v>1</v>
      </c>
      <c r="N746" s="613">
        <f t="shared" si="80"/>
        <v>0</v>
      </c>
      <c r="O746" s="613">
        <f>VLOOKUP(A746,'TB Download'!A:A,1,FALSE)</f>
        <v>4510000</v>
      </c>
      <c r="R746" s="1514"/>
      <c r="S746" s="1617" t="e">
        <f>SUMIF('[105]TB for financial'!$A:$A,A746,'[105]TB for financial'!$E:$E)</f>
        <v>#VALUE!</v>
      </c>
    </row>
    <row r="747" spans="1:19" ht="12" customHeight="1">
      <c r="A747" s="1371">
        <v>4550000</v>
      </c>
      <c r="B747" s="609" t="s">
        <v>2684</v>
      </c>
      <c r="C747" s="610">
        <f t="shared" si="77"/>
        <v>1.0000000125728548E-2</v>
      </c>
      <c r="D747" s="611">
        <v>0</v>
      </c>
      <c r="E747" s="610">
        <f>SUMIF('Entries 24-25'!$B:$B,A:A,'Entries 24-25'!$D:$D)-SUMIF('Entries 24-25'!$B:$B,A:A,'Entries 24-25'!$E:$E)+SUMIF('IND AS entries 24-25'!$B:$B,A:A,'IND AS entries 24-25'!$D:$D)-SUMIF('IND AS entries 24-25'!$B:$B,A:A,'IND AS entries 24-25'!$E:$E)</f>
        <v>0</v>
      </c>
      <c r="F747" s="611">
        <f t="shared" si="78"/>
        <v>1.0000000125728548E-2</v>
      </c>
      <c r="G747" s="610"/>
      <c r="H747" s="610">
        <v>1.0000000125728548E-2</v>
      </c>
      <c r="I747" s="611">
        <v>-623284.12000000011</v>
      </c>
      <c r="J747" s="610">
        <v>623284.12000000011</v>
      </c>
      <c r="K747" s="611">
        <f>SUM(H747:J747)</f>
        <v>1.0000000125728548E-2</v>
      </c>
      <c r="L747" s="612">
        <f>VLOOKUP(A747,'BS Gr'!A:A,1,FALSE)</f>
        <v>4550000</v>
      </c>
      <c r="M747" s="612">
        <f t="shared" si="81"/>
        <v>1</v>
      </c>
      <c r="N747" s="613">
        <f t="shared" si="80"/>
        <v>0</v>
      </c>
      <c r="O747" s="613">
        <f>VLOOKUP(A747,'TB Download'!A:A,1,FALSE)</f>
        <v>4550000</v>
      </c>
      <c r="R747" s="1514"/>
      <c r="S747" s="1617" t="e">
        <f>SUMIF('[105]TB for financial'!$A:$A,A747,'[105]TB for financial'!$E:$E)</f>
        <v>#VALUE!</v>
      </c>
    </row>
    <row r="748" spans="1:19" ht="12" customHeight="1">
      <c r="A748" s="1371">
        <v>4880000</v>
      </c>
      <c r="B748" s="609" t="s">
        <v>2443</v>
      </c>
      <c r="C748" s="610">
        <f t="shared" si="77"/>
        <v>0</v>
      </c>
      <c r="D748" s="611">
        <v>0</v>
      </c>
      <c r="E748" s="610">
        <f>SUMIF('Entries 24-25'!$B:$B,A:A,'Entries 24-25'!$D:$D)-SUMIF('Entries 24-25'!$B:$B,A:A,'Entries 24-25'!$E:$E)+SUMIF('IND AS entries 24-25'!$B:$B,A:A,'IND AS entries 24-25'!$D:$D)-SUMIF('IND AS entries 24-25'!$B:$B,A:A,'IND AS entries 24-25'!$E:$E)</f>
        <v>0</v>
      </c>
      <c r="F748" s="611">
        <f t="shared" si="78"/>
        <v>0</v>
      </c>
      <c r="G748" s="610"/>
      <c r="H748" s="610">
        <v>0</v>
      </c>
      <c r="I748" s="611">
        <v>-182719.09999999998</v>
      </c>
      <c r="J748" s="610">
        <v>182719.1</v>
      </c>
      <c r="K748" s="611">
        <f t="shared" si="79"/>
        <v>0</v>
      </c>
      <c r="L748" s="612">
        <f>VLOOKUP(A748,'BS Gr'!A:A,1,FALSE)</f>
        <v>4880000</v>
      </c>
      <c r="M748" s="612">
        <f t="shared" si="81"/>
        <v>1</v>
      </c>
      <c r="N748" s="613">
        <f t="shared" si="80"/>
        <v>0</v>
      </c>
      <c r="O748" s="613">
        <f>VLOOKUP(A748,'TB Download'!A:A,1,FALSE)</f>
        <v>4880000</v>
      </c>
      <c r="R748" s="1514"/>
      <c r="S748" s="1617" t="e">
        <f>SUMIF('[105]TB for financial'!$A:$A,A748,'[105]TB for financial'!$E:$E)</f>
        <v>#VALUE!</v>
      </c>
    </row>
    <row r="749" spans="1:19" ht="12" customHeight="1">
      <c r="A749" s="1371">
        <v>4459160</v>
      </c>
      <c r="B749" s="609" t="s">
        <v>2698</v>
      </c>
      <c r="C749" s="610">
        <f t="shared" si="77"/>
        <v>399960</v>
      </c>
      <c r="D749" s="611">
        <v>0</v>
      </c>
      <c r="E749" s="610">
        <f>SUMIF('Entries 24-25'!$B:$B,A:A,'Entries 24-25'!$D:$D)-SUMIF('Entries 24-25'!$B:$B,A:A,'Entries 24-25'!$E:$E)+SUMIF('IND AS entries 24-25'!$B:$B,A:A,'IND AS entries 24-25'!$D:$D)-SUMIF('IND AS entries 24-25'!$B:$B,A:A,'IND AS entries 24-25'!$E:$E)</f>
        <v>0</v>
      </c>
      <c r="F749" s="611">
        <f t="shared" si="78"/>
        <v>399960</v>
      </c>
      <c r="G749" s="610"/>
      <c r="H749" s="610">
        <v>399960</v>
      </c>
      <c r="I749" s="611">
        <v>0</v>
      </c>
      <c r="J749" s="610">
        <v>0</v>
      </c>
      <c r="K749" s="611">
        <f t="shared" si="79"/>
        <v>399960</v>
      </c>
      <c r="L749" s="612">
        <f>VLOOKUP(A749,'BS Gr'!A:A,1,FALSE)</f>
        <v>4459160</v>
      </c>
      <c r="M749" s="612">
        <f t="shared" si="81"/>
        <v>1</v>
      </c>
      <c r="N749" s="613">
        <f t="shared" si="80"/>
        <v>0</v>
      </c>
      <c r="O749" s="613">
        <f>VLOOKUP(A749,'TB Download'!A:A,1,FALSE)</f>
        <v>4459160</v>
      </c>
      <c r="R749" s="1514"/>
      <c r="S749" s="1617" t="e">
        <f>SUMIF('[105]TB for financial'!$A:$A,A749,'[105]TB for financial'!$E:$E)</f>
        <v>#VALUE!</v>
      </c>
    </row>
    <row r="750" spans="1:19" ht="12" customHeight="1">
      <c r="A750" s="1371">
        <v>4458700</v>
      </c>
      <c r="B750" s="609" t="s">
        <v>2697</v>
      </c>
      <c r="C750" s="610">
        <f t="shared" si="77"/>
        <v>-399960</v>
      </c>
      <c r="D750" s="611">
        <v>0</v>
      </c>
      <c r="E750" s="610">
        <f>SUMIF('Entries 24-25'!$B:$B,A:A,'Entries 24-25'!$D:$D)-SUMIF('Entries 24-25'!$B:$B,A:A,'Entries 24-25'!$E:$E)+SUMIF('IND AS entries 24-25'!$B:$B,A:A,'IND AS entries 24-25'!$D:$D)-SUMIF('IND AS entries 24-25'!$B:$B,A:A,'IND AS entries 24-25'!$E:$E)</f>
        <v>0</v>
      </c>
      <c r="F750" s="611">
        <f t="shared" si="78"/>
        <v>-399960</v>
      </c>
      <c r="G750" s="610"/>
      <c r="H750" s="610">
        <v>-399960</v>
      </c>
      <c r="I750" s="611">
        <v>0</v>
      </c>
      <c r="J750" s="610">
        <v>0</v>
      </c>
      <c r="K750" s="611">
        <f t="shared" si="79"/>
        <v>-399960</v>
      </c>
      <c r="L750" s="612">
        <f>VLOOKUP(A750,'BS Gr'!A:A,1,FALSE)</f>
        <v>4458700</v>
      </c>
      <c r="M750" s="612">
        <f t="shared" si="81"/>
        <v>1</v>
      </c>
      <c r="N750" s="613">
        <f t="shared" si="80"/>
        <v>0</v>
      </c>
      <c r="O750" s="613">
        <f>VLOOKUP(A750,'TB Download'!A:A,1,FALSE)</f>
        <v>4458700</v>
      </c>
      <c r="R750" s="1514"/>
      <c r="S750" s="1617" t="e">
        <f>SUMIF('[105]TB for financial'!$A:$A,A750,'[105]TB for financial'!$E:$E)</f>
        <v>#VALUE!</v>
      </c>
    </row>
    <row r="751" spans="1:19" ht="3.75" customHeight="1">
      <c r="A751" s="608"/>
      <c r="B751" s="609"/>
      <c r="C751" s="610"/>
      <c r="D751" s="611">
        <v>0</v>
      </c>
      <c r="E751" s="610">
        <f>SUMIF('Entries 24-25'!$B:$B,A:A,'Entries 24-25'!$D:$D)-SUMIF('Entries 24-25'!$B:$B,A:A,'Entries 24-25'!$E:$E)+SUMIF('IND AS entries 24-25'!$B:$B,A:A,'IND AS entries 24-25'!$D:$D)-SUMIF('IND AS entries 24-25'!$B:$B,A:A,'IND AS entries 24-25'!$E:$E)</f>
        <v>0</v>
      </c>
      <c r="F751" s="611">
        <f t="shared" si="78"/>
        <v>0</v>
      </c>
      <c r="G751" s="610"/>
      <c r="H751" s="610"/>
      <c r="I751" s="611">
        <v>0</v>
      </c>
      <c r="J751" s="610"/>
      <c r="K751" s="611"/>
      <c r="L751" s="612"/>
      <c r="M751" s="612"/>
      <c r="N751" s="613">
        <f t="shared" si="80"/>
        <v>0</v>
      </c>
      <c r="O751" s="613"/>
      <c r="R751" s="1514"/>
      <c r="S751" s="1617"/>
    </row>
    <row r="752" spans="1:19">
      <c r="A752" s="608">
        <v>400010</v>
      </c>
      <c r="B752" s="609" t="s">
        <v>1536</v>
      </c>
      <c r="C752" s="610">
        <f t="shared" si="77"/>
        <v>0</v>
      </c>
      <c r="D752" s="611">
        <v>0</v>
      </c>
      <c r="E752" s="610">
        <f>SUMIF('Entries 24-25'!$B:$B,A:A,'Entries 24-25'!$D:$D)-SUMIF('Entries 24-25'!$B:$B,A:A,'Entries 24-25'!$E:$E)+SUMIF('IND AS entries 24-25'!$B:$B,A:A,'IND AS entries 24-25'!$D:$D)-SUMIF('IND AS entries 24-25'!$B:$B,A:A,'IND AS entries 24-25'!$E:$E)</f>
        <v>0</v>
      </c>
      <c r="F752" s="611">
        <f t="shared" si="78"/>
        <v>0</v>
      </c>
      <c r="G752" s="610"/>
      <c r="H752" s="610"/>
      <c r="I752" s="611">
        <v>0</v>
      </c>
      <c r="J752" s="610">
        <v>0</v>
      </c>
      <c r="K752" s="611">
        <f t="shared" ref="K752:K816" si="82">SUM(H752:J752)</f>
        <v>0</v>
      </c>
      <c r="L752" s="612">
        <f>VLOOKUP(A752,'PL Gr'!A:A,1,0)</f>
        <v>400010</v>
      </c>
      <c r="M752" s="612">
        <f t="shared" ref="M752:M783" si="83">COUNTIF(A:A,A752)</f>
        <v>1</v>
      </c>
      <c r="N752" s="613">
        <f t="shared" si="80"/>
        <v>0</v>
      </c>
      <c r="O752" s="613">
        <f>VLOOKUP(A752,'PL Gr'!A:A,1,FALSE)</f>
        <v>400010</v>
      </c>
      <c r="P752" s="613">
        <v>-26360221.6173</v>
      </c>
      <c r="Q752" s="613">
        <f>+K752-P752</f>
        <v>26360221.6173</v>
      </c>
      <c r="R752" s="1514"/>
      <c r="S752" s="1617" t="e">
        <f>SUMIF('[105]TB for financial'!$A:$A,A752,'[105]TB for financial'!$E:$E)</f>
        <v>#VALUE!</v>
      </c>
    </row>
    <row r="753" spans="1:19">
      <c r="A753" s="608">
        <v>400020</v>
      </c>
      <c r="B753" s="609" t="s">
        <v>1537</v>
      </c>
      <c r="C753" s="610">
        <f t="shared" si="77"/>
        <v>0</v>
      </c>
      <c r="D753" s="611">
        <v>0</v>
      </c>
      <c r="E753" s="610">
        <f>SUMIF('Entries 24-25'!$B:$B,A:A,'Entries 24-25'!$D:$D)-SUMIF('Entries 24-25'!$B:$B,A:A,'Entries 24-25'!$E:$E)+SUMIF('IND AS entries 24-25'!$B:$B,A:A,'IND AS entries 24-25'!$D:$D)-SUMIF('IND AS entries 24-25'!$B:$B,A:A,'IND AS entries 24-25'!$E:$E)</f>
        <v>0</v>
      </c>
      <c r="F753" s="611">
        <f t="shared" si="78"/>
        <v>0</v>
      </c>
      <c r="G753" s="610"/>
      <c r="H753" s="610"/>
      <c r="I753" s="611">
        <v>0</v>
      </c>
      <c r="J753" s="610">
        <v>0</v>
      </c>
      <c r="K753" s="611">
        <f t="shared" si="82"/>
        <v>0</v>
      </c>
      <c r="L753" s="612">
        <f>VLOOKUP(A753,'PL Gr'!A:A,1,0)</f>
        <v>400020</v>
      </c>
      <c r="M753" s="612">
        <f t="shared" si="83"/>
        <v>1</v>
      </c>
      <c r="N753" s="613">
        <f t="shared" si="80"/>
        <v>0</v>
      </c>
      <c r="O753" s="613">
        <f>VLOOKUP(A753,'PL Gr'!A:A,1,FALSE)</f>
        <v>400020</v>
      </c>
      <c r="P753" s="613">
        <v>0</v>
      </c>
      <c r="Q753" s="613">
        <f t="shared" ref="Q753:Q817" si="84">+K753-P753</f>
        <v>0</v>
      </c>
      <c r="R753" s="1514"/>
      <c r="S753" s="1617" t="e">
        <f>SUMIF('[105]TB for financial'!$A:$A,A753,'[105]TB for financial'!$E:$E)</f>
        <v>#VALUE!</v>
      </c>
    </row>
    <row r="754" spans="1:19">
      <c r="A754" s="608">
        <v>400021</v>
      </c>
      <c r="B754" s="609" t="s">
        <v>1538</v>
      </c>
      <c r="C754" s="610">
        <f t="shared" si="77"/>
        <v>0</v>
      </c>
      <c r="D754" s="611">
        <v>0</v>
      </c>
      <c r="E754" s="610">
        <f>SUMIF('Entries 24-25'!$B:$B,A:A,'Entries 24-25'!$D:$D)-SUMIF('Entries 24-25'!$B:$B,A:A,'Entries 24-25'!$E:$E)+SUMIF('IND AS entries 24-25'!$B:$B,A:A,'IND AS entries 24-25'!$D:$D)-SUMIF('IND AS entries 24-25'!$B:$B,A:A,'IND AS entries 24-25'!$E:$E)</f>
        <v>0</v>
      </c>
      <c r="F754" s="611">
        <f t="shared" si="78"/>
        <v>0</v>
      </c>
      <c r="G754" s="610"/>
      <c r="H754" s="610"/>
      <c r="I754" s="611">
        <v>0</v>
      </c>
      <c r="J754" s="610">
        <v>0</v>
      </c>
      <c r="K754" s="611">
        <f t="shared" si="82"/>
        <v>0</v>
      </c>
      <c r="L754" s="612">
        <f>VLOOKUP(A754,'PL Gr'!A:A,1,0)</f>
        <v>400021</v>
      </c>
      <c r="M754" s="612">
        <f t="shared" si="83"/>
        <v>1</v>
      </c>
      <c r="N754" s="613">
        <f t="shared" si="80"/>
        <v>0</v>
      </c>
      <c r="O754" s="613">
        <f>VLOOKUP(A754,'PL Gr'!A:A,1,FALSE)</f>
        <v>400021</v>
      </c>
      <c r="P754" s="613">
        <v>-3184272.41</v>
      </c>
      <c r="Q754" s="613">
        <f t="shared" si="84"/>
        <v>3184272.41</v>
      </c>
      <c r="R754" s="1514"/>
      <c r="S754" s="1617" t="e">
        <f>SUMIF('[105]TB for financial'!$A:$A,A754,'[105]TB for financial'!$E:$E)</f>
        <v>#VALUE!</v>
      </c>
    </row>
    <row r="755" spans="1:19">
      <c r="A755" s="608">
        <v>400030</v>
      </c>
      <c r="B755" s="609" t="s">
        <v>1539</v>
      </c>
      <c r="C755" s="610">
        <f t="shared" si="77"/>
        <v>0</v>
      </c>
      <c r="D755" s="611">
        <v>0</v>
      </c>
      <c r="E755" s="610">
        <f>SUMIF('Entries 24-25'!$B:$B,A:A,'Entries 24-25'!$D:$D)-SUMIF('Entries 24-25'!$B:$B,A:A,'Entries 24-25'!$E:$E)+SUMIF('IND AS entries 24-25'!$B:$B,A:A,'IND AS entries 24-25'!$D:$D)-SUMIF('IND AS entries 24-25'!$B:$B,A:A,'IND AS entries 24-25'!$E:$E)</f>
        <v>0</v>
      </c>
      <c r="F755" s="611">
        <f t="shared" si="78"/>
        <v>0</v>
      </c>
      <c r="G755" s="610"/>
      <c r="H755" s="610"/>
      <c r="I755" s="611">
        <v>0</v>
      </c>
      <c r="J755" s="610">
        <v>0</v>
      </c>
      <c r="K755" s="611">
        <f t="shared" si="82"/>
        <v>0</v>
      </c>
      <c r="L755" s="612">
        <f>VLOOKUP(A755,'PL Gr'!A:A,1,0)</f>
        <v>400030</v>
      </c>
      <c r="M755" s="612">
        <f t="shared" si="83"/>
        <v>1</v>
      </c>
      <c r="N755" s="613">
        <f t="shared" si="80"/>
        <v>0</v>
      </c>
      <c r="O755" s="613">
        <f>VLOOKUP(A755,'PL Gr'!A:A,1,FALSE)</f>
        <v>400030</v>
      </c>
      <c r="P755" s="613">
        <v>-24931730.620000001</v>
      </c>
      <c r="Q755" s="613">
        <f t="shared" si="84"/>
        <v>24931730.620000001</v>
      </c>
      <c r="R755" s="1514"/>
      <c r="S755" s="1617" t="e">
        <f>SUMIF('[105]TB for financial'!$A:$A,A755,'[105]TB for financial'!$E:$E)</f>
        <v>#VALUE!</v>
      </c>
    </row>
    <row r="756" spans="1:19">
      <c r="A756" s="608">
        <v>400040</v>
      </c>
      <c r="B756" s="609" t="s">
        <v>1540</v>
      </c>
      <c r="C756" s="610">
        <f t="shared" si="77"/>
        <v>0</v>
      </c>
      <c r="D756" s="611">
        <v>0</v>
      </c>
      <c r="E756" s="610">
        <f>SUMIF('Entries 24-25'!$B:$B,A:A,'Entries 24-25'!$D:$D)-SUMIF('Entries 24-25'!$B:$B,A:A,'Entries 24-25'!$E:$E)+SUMIF('IND AS entries 24-25'!$B:$B,A:A,'IND AS entries 24-25'!$D:$D)-SUMIF('IND AS entries 24-25'!$B:$B,A:A,'IND AS entries 24-25'!$E:$E)</f>
        <v>0</v>
      </c>
      <c r="F756" s="611">
        <f t="shared" si="78"/>
        <v>0</v>
      </c>
      <c r="G756" s="610"/>
      <c r="H756" s="610"/>
      <c r="I756" s="611">
        <v>0</v>
      </c>
      <c r="J756" s="610">
        <v>0</v>
      </c>
      <c r="K756" s="611">
        <f t="shared" si="82"/>
        <v>0</v>
      </c>
      <c r="L756" s="612">
        <f>VLOOKUP(A756,'PL Gr'!A:A,1,0)</f>
        <v>400040</v>
      </c>
      <c r="M756" s="612">
        <f t="shared" si="83"/>
        <v>1</v>
      </c>
      <c r="N756" s="613">
        <f t="shared" si="80"/>
        <v>0</v>
      </c>
      <c r="O756" s="613">
        <f>VLOOKUP(A756,'PL Gr'!A:A,1,FALSE)</f>
        <v>400040</v>
      </c>
      <c r="P756" s="613">
        <v>0</v>
      </c>
      <c r="Q756" s="613">
        <f t="shared" si="84"/>
        <v>0</v>
      </c>
      <c r="R756" s="1514"/>
      <c r="S756" s="1617" t="e">
        <f>SUMIF('[105]TB for financial'!$A:$A,A756,'[105]TB for financial'!$E:$E)</f>
        <v>#VALUE!</v>
      </c>
    </row>
    <row r="757" spans="1:19">
      <c r="A757" s="608">
        <v>400050</v>
      </c>
      <c r="B757" s="609" t="s">
        <v>1541</v>
      </c>
      <c r="C757" s="610">
        <f t="shared" si="77"/>
        <v>0</v>
      </c>
      <c r="D757" s="611">
        <v>0</v>
      </c>
      <c r="E757" s="610">
        <f>SUMIF('Entries 24-25'!$B:$B,A:A,'Entries 24-25'!$D:$D)-SUMIF('Entries 24-25'!$B:$B,A:A,'Entries 24-25'!$E:$E)+SUMIF('IND AS entries 24-25'!$B:$B,A:A,'IND AS entries 24-25'!$D:$D)-SUMIF('IND AS entries 24-25'!$B:$B,A:A,'IND AS entries 24-25'!$E:$E)</f>
        <v>0</v>
      </c>
      <c r="F757" s="611">
        <f t="shared" si="78"/>
        <v>0</v>
      </c>
      <c r="G757" s="610"/>
      <c r="H757" s="610"/>
      <c r="I757" s="611">
        <v>0</v>
      </c>
      <c r="J757" s="610">
        <v>0</v>
      </c>
      <c r="K757" s="611">
        <f t="shared" si="82"/>
        <v>0</v>
      </c>
      <c r="L757" s="612">
        <f>VLOOKUP(A757,'PL Gr'!A:A,1,0)</f>
        <v>400050</v>
      </c>
      <c r="M757" s="612">
        <f t="shared" si="83"/>
        <v>1</v>
      </c>
      <c r="N757" s="613">
        <f t="shared" si="80"/>
        <v>0</v>
      </c>
      <c r="O757" s="613">
        <f>VLOOKUP(A757,'PL Gr'!A:A,1,FALSE)</f>
        <v>400050</v>
      </c>
      <c r="P757" s="613">
        <v>0</v>
      </c>
      <c r="Q757" s="613">
        <f t="shared" si="84"/>
        <v>0</v>
      </c>
      <c r="R757" s="1514"/>
      <c r="S757" s="1617" t="e">
        <f>SUMIF('[105]TB for financial'!$A:$A,A757,'[105]TB for financial'!$E:$E)</f>
        <v>#VALUE!</v>
      </c>
    </row>
    <row r="758" spans="1:19">
      <c r="A758" s="608">
        <v>400060</v>
      </c>
      <c r="B758" s="609" t="s">
        <v>1542</v>
      </c>
      <c r="C758" s="610">
        <f t="shared" si="77"/>
        <v>0</v>
      </c>
      <c r="D758" s="611">
        <v>0</v>
      </c>
      <c r="E758" s="610">
        <f>SUMIF('Entries 24-25'!$B:$B,A:A,'Entries 24-25'!$D:$D)-SUMIF('Entries 24-25'!$B:$B,A:A,'Entries 24-25'!$E:$E)+SUMIF('IND AS entries 24-25'!$B:$B,A:A,'IND AS entries 24-25'!$D:$D)-SUMIF('IND AS entries 24-25'!$B:$B,A:A,'IND AS entries 24-25'!$E:$E)</f>
        <v>0</v>
      </c>
      <c r="F758" s="611">
        <f t="shared" si="78"/>
        <v>0</v>
      </c>
      <c r="G758" s="610"/>
      <c r="H758" s="610"/>
      <c r="I758" s="611">
        <v>0</v>
      </c>
      <c r="J758" s="610">
        <v>0</v>
      </c>
      <c r="K758" s="611">
        <f t="shared" si="82"/>
        <v>0</v>
      </c>
      <c r="L758" s="612">
        <f>VLOOKUP(A758,'PL Gr'!A:A,1,0)</f>
        <v>400060</v>
      </c>
      <c r="M758" s="612">
        <f t="shared" si="83"/>
        <v>1</v>
      </c>
      <c r="N758" s="613">
        <f t="shared" si="80"/>
        <v>0</v>
      </c>
      <c r="O758" s="613">
        <f>VLOOKUP(A758,'PL Gr'!A:A,1,FALSE)</f>
        <v>400060</v>
      </c>
      <c r="P758" s="613">
        <v>0</v>
      </c>
      <c r="Q758" s="613">
        <f t="shared" si="84"/>
        <v>0</v>
      </c>
      <c r="R758" s="1514"/>
      <c r="S758" s="1617" t="e">
        <f>SUMIF('[105]TB for financial'!$A:$A,A758,'[105]TB for financial'!$E:$E)</f>
        <v>#VALUE!</v>
      </c>
    </row>
    <row r="759" spans="1:19">
      <c r="A759" s="608">
        <v>400061</v>
      </c>
      <c r="B759" s="609" t="s">
        <v>1543</v>
      </c>
      <c r="C759" s="610">
        <f t="shared" si="77"/>
        <v>0</v>
      </c>
      <c r="D759" s="611">
        <v>0</v>
      </c>
      <c r="E759" s="610">
        <f>SUMIF('Entries 24-25'!$B:$B,A:A,'Entries 24-25'!$D:$D)-SUMIF('Entries 24-25'!$B:$B,A:A,'Entries 24-25'!$E:$E)+SUMIF('IND AS entries 24-25'!$B:$B,A:A,'IND AS entries 24-25'!$D:$D)-SUMIF('IND AS entries 24-25'!$B:$B,A:A,'IND AS entries 24-25'!$E:$E)</f>
        <v>0</v>
      </c>
      <c r="F759" s="611">
        <f t="shared" si="78"/>
        <v>0</v>
      </c>
      <c r="G759" s="610"/>
      <c r="H759" s="610"/>
      <c r="I759" s="611">
        <v>0</v>
      </c>
      <c r="J759" s="610">
        <v>0</v>
      </c>
      <c r="K759" s="611">
        <f t="shared" si="82"/>
        <v>0</v>
      </c>
      <c r="L759" s="612">
        <f>VLOOKUP(A759,'PL Gr'!A:A,1,0)</f>
        <v>400061</v>
      </c>
      <c r="M759" s="612">
        <f t="shared" si="83"/>
        <v>1</v>
      </c>
      <c r="N759" s="613">
        <f t="shared" si="80"/>
        <v>0</v>
      </c>
      <c r="O759" s="613">
        <f>VLOOKUP(A759,'PL Gr'!A:A,1,FALSE)</f>
        <v>400061</v>
      </c>
      <c r="P759" s="613">
        <v>0</v>
      </c>
      <c r="Q759" s="613">
        <f t="shared" si="84"/>
        <v>0</v>
      </c>
      <c r="R759" s="1514"/>
      <c r="S759" s="1617" t="e">
        <f>SUMIF('[105]TB for financial'!$A:$A,A759,'[105]TB for financial'!$E:$E)</f>
        <v>#VALUE!</v>
      </c>
    </row>
    <row r="760" spans="1:19">
      <c r="A760" s="608">
        <v>400070</v>
      </c>
      <c r="B760" s="609" t="s">
        <v>766</v>
      </c>
      <c r="C760" s="610">
        <f t="shared" si="77"/>
        <v>0</v>
      </c>
      <c r="D760" s="611">
        <v>0</v>
      </c>
      <c r="E760" s="610">
        <f>SUMIF('Entries 24-25'!$B:$B,A:A,'Entries 24-25'!$D:$D)-SUMIF('Entries 24-25'!$B:$B,A:A,'Entries 24-25'!$E:$E)+SUMIF('IND AS entries 24-25'!$B:$B,A:A,'IND AS entries 24-25'!$D:$D)-SUMIF('IND AS entries 24-25'!$B:$B,A:A,'IND AS entries 24-25'!$E:$E)</f>
        <v>0</v>
      </c>
      <c r="F760" s="611">
        <f t="shared" si="78"/>
        <v>0</v>
      </c>
      <c r="G760" s="610"/>
      <c r="H760" s="610"/>
      <c r="I760" s="611">
        <v>0</v>
      </c>
      <c r="J760" s="610">
        <v>0</v>
      </c>
      <c r="K760" s="611">
        <f t="shared" si="82"/>
        <v>0</v>
      </c>
      <c r="L760" s="612">
        <f>VLOOKUP(A760,'PL Gr'!A:A,1,0)</f>
        <v>400070</v>
      </c>
      <c r="M760" s="612">
        <f t="shared" si="83"/>
        <v>1</v>
      </c>
      <c r="N760" s="613">
        <f t="shared" si="80"/>
        <v>0</v>
      </c>
      <c r="O760" s="613">
        <f>VLOOKUP(A760,'PL Gr'!A:A,1,FALSE)</f>
        <v>400070</v>
      </c>
      <c r="P760" s="613">
        <v>-2635471.2966960571</v>
      </c>
      <c r="Q760" s="613">
        <f t="shared" si="84"/>
        <v>2635471.2966960571</v>
      </c>
      <c r="R760" s="1514"/>
      <c r="S760" s="1617" t="e">
        <f>SUMIF('[105]TB for financial'!$A:$A,A760,'[105]TB for financial'!$E:$E)</f>
        <v>#VALUE!</v>
      </c>
    </row>
    <row r="761" spans="1:19">
      <c r="A761" s="608">
        <v>400071</v>
      </c>
      <c r="B761" s="609" t="s">
        <v>1544</v>
      </c>
      <c r="C761" s="610">
        <f t="shared" si="77"/>
        <v>0</v>
      </c>
      <c r="D761" s="611">
        <v>0</v>
      </c>
      <c r="E761" s="610">
        <f>SUMIF('Entries 24-25'!$B:$B,A:A,'Entries 24-25'!$D:$D)-SUMIF('Entries 24-25'!$B:$B,A:A,'Entries 24-25'!$E:$E)+SUMIF('IND AS entries 24-25'!$B:$B,A:A,'IND AS entries 24-25'!$D:$D)-SUMIF('IND AS entries 24-25'!$B:$B,A:A,'IND AS entries 24-25'!$E:$E)</f>
        <v>0</v>
      </c>
      <c r="F761" s="611">
        <f t="shared" si="78"/>
        <v>0</v>
      </c>
      <c r="G761" s="610"/>
      <c r="H761" s="610"/>
      <c r="I761" s="611">
        <v>0</v>
      </c>
      <c r="J761" s="610">
        <v>0</v>
      </c>
      <c r="K761" s="611">
        <f t="shared" si="82"/>
        <v>0</v>
      </c>
      <c r="L761" s="612">
        <f>VLOOKUP(A761,'PL Gr'!A:A,1,0)</f>
        <v>400071</v>
      </c>
      <c r="M761" s="612">
        <f t="shared" si="83"/>
        <v>1</v>
      </c>
      <c r="N761" s="613">
        <f t="shared" si="80"/>
        <v>0</v>
      </c>
      <c r="O761" s="613">
        <f>VLOOKUP(A761,'PL Gr'!A:A,1,FALSE)</f>
        <v>400071</v>
      </c>
      <c r="P761" s="613">
        <v>-39402115.8979</v>
      </c>
      <c r="Q761" s="613">
        <f t="shared" si="84"/>
        <v>39402115.8979</v>
      </c>
      <c r="R761" s="1514"/>
      <c r="S761" s="1617" t="e">
        <f>SUMIF('[105]TB for financial'!$A:$A,A761,'[105]TB for financial'!$E:$E)</f>
        <v>#VALUE!</v>
      </c>
    </row>
    <row r="762" spans="1:19">
      <c r="A762" s="608">
        <v>400072</v>
      </c>
      <c r="B762" s="609" t="s">
        <v>1545</v>
      </c>
      <c r="C762" s="610">
        <f t="shared" si="77"/>
        <v>0</v>
      </c>
      <c r="D762" s="611">
        <v>0</v>
      </c>
      <c r="E762" s="610">
        <f>SUMIF('Entries 24-25'!$B:$B,A:A,'Entries 24-25'!$D:$D)-SUMIF('Entries 24-25'!$B:$B,A:A,'Entries 24-25'!$E:$E)+SUMIF('IND AS entries 24-25'!$B:$B,A:A,'IND AS entries 24-25'!$D:$D)-SUMIF('IND AS entries 24-25'!$B:$B,A:A,'IND AS entries 24-25'!$E:$E)</f>
        <v>0</v>
      </c>
      <c r="F762" s="611">
        <f t="shared" si="78"/>
        <v>0</v>
      </c>
      <c r="G762" s="610"/>
      <c r="H762" s="610"/>
      <c r="I762" s="611">
        <v>0</v>
      </c>
      <c r="J762" s="610">
        <v>0</v>
      </c>
      <c r="K762" s="611">
        <f t="shared" si="82"/>
        <v>0</v>
      </c>
      <c r="L762" s="612">
        <f>VLOOKUP(A762,'PL Gr'!A:A,1,0)</f>
        <v>400072</v>
      </c>
      <c r="M762" s="612">
        <f t="shared" si="83"/>
        <v>1</v>
      </c>
      <c r="N762" s="613">
        <f t="shared" si="80"/>
        <v>0</v>
      </c>
      <c r="O762" s="613">
        <f>VLOOKUP(A762,'PL Gr'!A:A,1,FALSE)</f>
        <v>400072</v>
      </c>
      <c r="P762" s="613"/>
      <c r="Q762" s="613"/>
      <c r="R762" s="1514"/>
      <c r="S762" s="1617" t="e">
        <f>SUMIF('[105]TB for financial'!$A:$A,A762,'[105]TB for financial'!$E:$E)</f>
        <v>#VALUE!</v>
      </c>
    </row>
    <row r="763" spans="1:19">
      <c r="A763" s="608">
        <v>400073</v>
      </c>
      <c r="B763" s="609" t="s">
        <v>1546</v>
      </c>
      <c r="C763" s="610">
        <f t="shared" si="77"/>
        <v>0</v>
      </c>
      <c r="D763" s="611">
        <v>0</v>
      </c>
      <c r="E763" s="610">
        <f>SUMIF('Entries 24-25'!$B:$B,A:A,'Entries 24-25'!$D:$D)-SUMIF('Entries 24-25'!$B:$B,A:A,'Entries 24-25'!$E:$E)+SUMIF('IND AS entries 24-25'!$B:$B,A:A,'IND AS entries 24-25'!$D:$D)-SUMIF('IND AS entries 24-25'!$B:$B,A:A,'IND AS entries 24-25'!$E:$E)</f>
        <v>0</v>
      </c>
      <c r="F763" s="611">
        <f t="shared" si="78"/>
        <v>0</v>
      </c>
      <c r="G763" s="610"/>
      <c r="H763" s="610"/>
      <c r="I763" s="611">
        <v>0</v>
      </c>
      <c r="J763" s="610">
        <v>0</v>
      </c>
      <c r="K763" s="611">
        <f t="shared" si="82"/>
        <v>0</v>
      </c>
      <c r="L763" s="612">
        <f>VLOOKUP(A763,'PL Gr'!A:A,1,0)</f>
        <v>400073</v>
      </c>
      <c r="M763" s="612">
        <f t="shared" si="83"/>
        <v>1</v>
      </c>
      <c r="N763" s="613">
        <f t="shared" si="80"/>
        <v>0</v>
      </c>
      <c r="O763" s="613">
        <f>VLOOKUP(A763,'PL Gr'!A:A,1,FALSE)</f>
        <v>400073</v>
      </c>
      <c r="P763" s="613">
        <v>0</v>
      </c>
      <c r="Q763" s="613">
        <f t="shared" si="84"/>
        <v>0</v>
      </c>
      <c r="R763" s="1514"/>
      <c r="S763" s="1617" t="e">
        <f>SUMIF('[105]TB for financial'!$A:$A,A763,'[105]TB for financial'!$E:$E)</f>
        <v>#VALUE!</v>
      </c>
    </row>
    <row r="764" spans="1:19">
      <c r="A764" s="608">
        <v>400074</v>
      </c>
      <c r="B764" s="609" t="s">
        <v>1547</v>
      </c>
      <c r="C764" s="610">
        <f t="shared" si="77"/>
        <v>0</v>
      </c>
      <c r="D764" s="611">
        <v>0</v>
      </c>
      <c r="E764" s="610">
        <f>SUMIF('Entries 24-25'!$B:$B,A:A,'Entries 24-25'!$D:$D)-SUMIF('Entries 24-25'!$B:$B,A:A,'Entries 24-25'!$E:$E)+SUMIF('IND AS entries 24-25'!$B:$B,A:A,'IND AS entries 24-25'!$D:$D)-SUMIF('IND AS entries 24-25'!$B:$B,A:A,'IND AS entries 24-25'!$E:$E)</f>
        <v>0</v>
      </c>
      <c r="F764" s="611">
        <f t="shared" si="78"/>
        <v>0</v>
      </c>
      <c r="G764" s="610"/>
      <c r="H764" s="610"/>
      <c r="I764" s="611">
        <v>0</v>
      </c>
      <c r="J764" s="610">
        <v>0</v>
      </c>
      <c r="K764" s="611">
        <f t="shared" si="82"/>
        <v>0</v>
      </c>
      <c r="L764" s="612">
        <f>VLOOKUP(A764,'PL Gr'!A:A,1,0)</f>
        <v>400074</v>
      </c>
      <c r="M764" s="612">
        <f t="shared" si="83"/>
        <v>1</v>
      </c>
      <c r="N764" s="613">
        <f t="shared" si="80"/>
        <v>0</v>
      </c>
      <c r="O764" s="613">
        <f>VLOOKUP(A764,'PL Gr'!A:A,1,FALSE)</f>
        <v>400074</v>
      </c>
      <c r="P764" s="613">
        <v>15605.24</v>
      </c>
      <c r="Q764" s="613">
        <f t="shared" si="84"/>
        <v>-15605.24</v>
      </c>
      <c r="R764" s="1514"/>
      <c r="S764" s="1617" t="e">
        <f>SUMIF('[105]TB for financial'!$A:$A,A764,'[105]TB for financial'!$E:$E)</f>
        <v>#VALUE!</v>
      </c>
    </row>
    <row r="765" spans="1:19">
      <c r="A765" s="608">
        <v>400075</v>
      </c>
      <c r="B765" s="609" t="s">
        <v>1548</v>
      </c>
      <c r="C765" s="610">
        <f t="shared" si="77"/>
        <v>0</v>
      </c>
      <c r="D765" s="611">
        <v>0</v>
      </c>
      <c r="E765" s="610">
        <f>SUMIF('Entries 24-25'!$B:$B,A:A,'Entries 24-25'!$D:$D)-SUMIF('Entries 24-25'!$B:$B,A:A,'Entries 24-25'!$E:$E)+SUMIF('IND AS entries 24-25'!$B:$B,A:A,'IND AS entries 24-25'!$D:$D)-SUMIF('IND AS entries 24-25'!$B:$B,A:A,'IND AS entries 24-25'!$E:$E)</f>
        <v>0</v>
      </c>
      <c r="F765" s="611">
        <f t="shared" si="78"/>
        <v>0</v>
      </c>
      <c r="G765" s="610"/>
      <c r="H765" s="610"/>
      <c r="I765" s="611">
        <v>0</v>
      </c>
      <c r="J765" s="610">
        <v>0</v>
      </c>
      <c r="K765" s="611">
        <f t="shared" si="82"/>
        <v>0</v>
      </c>
      <c r="L765" s="612">
        <f>VLOOKUP(A765,'PL Gr'!A:A,1,0)</f>
        <v>400075</v>
      </c>
      <c r="M765" s="612">
        <f t="shared" si="83"/>
        <v>1</v>
      </c>
      <c r="N765" s="613">
        <f t="shared" si="80"/>
        <v>0</v>
      </c>
      <c r="O765" s="613">
        <f>VLOOKUP(A765,'PL Gr'!A:A,1,FALSE)</f>
        <v>400075</v>
      </c>
      <c r="P765" s="613">
        <v>4192627.7</v>
      </c>
      <c r="Q765" s="613">
        <f t="shared" si="84"/>
        <v>-4192627.7</v>
      </c>
      <c r="R765" s="1514"/>
      <c r="S765" s="1617" t="e">
        <f>SUMIF('[105]TB for financial'!$A:$A,A765,'[105]TB for financial'!$E:$E)</f>
        <v>#VALUE!</v>
      </c>
    </row>
    <row r="766" spans="1:19">
      <c r="A766" s="608">
        <v>400110</v>
      </c>
      <c r="B766" s="609" t="s">
        <v>1549</v>
      </c>
      <c r="C766" s="610">
        <f t="shared" si="77"/>
        <v>0</v>
      </c>
      <c r="D766" s="611">
        <v>0</v>
      </c>
      <c r="E766" s="610">
        <f>SUMIF('Entries 24-25'!$B:$B,A:A,'Entries 24-25'!$D:$D)-SUMIF('Entries 24-25'!$B:$B,A:A,'Entries 24-25'!$E:$E)+SUMIF('IND AS entries 24-25'!$B:$B,A:A,'IND AS entries 24-25'!$D:$D)-SUMIF('IND AS entries 24-25'!$B:$B,A:A,'IND AS entries 24-25'!$E:$E)</f>
        <v>0</v>
      </c>
      <c r="F766" s="611">
        <f t="shared" si="78"/>
        <v>0</v>
      </c>
      <c r="G766" s="610"/>
      <c r="H766" s="610"/>
      <c r="I766" s="611">
        <v>0</v>
      </c>
      <c r="J766" s="610">
        <v>0</v>
      </c>
      <c r="K766" s="611">
        <f t="shared" si="82"/>
        <v>0</v>
      </c>
      <c r="L766" s="612">
        <f>VLOOKUP(A766,'PL Gr'!A:A,1,0)</f>
        <v>400110</v>
      </c>
      <c r="M766" s="612">
        <f t="shared" si="83"/>
        <v>1</v>
      </c>
      <c r="N766" s="613">
        <f t="shared" si="80"/>
        <v>0</v>
      </c>
      <c r="O766" s="613">
        <f>VLOOKUP(A766,'PL Gr'!A:A,1,FALSE)</f>
        <v>400110</v>
      </c>
      <c r="P766" s="613">
        <v>-6193420</v>
      </c>
      <c r="Q766" s="613">
        <f t="shared" si="84"/>
        <v>6193420</v>
      </c>
      <c r="R766" s="1514"/>
      <c r="S766" s="1617" t="e">
        <f>SUMIF('[105]TB for financial'!$A:$A,A766,'[105]TB for financial'!$E:$E)</f>
        <v>#VALUE!</v>
      </c>
    </row>
    <row r="767" spans="1:19">
      <c r="A767" s="608">
        <v>400130</v>
      </c>
      <c r="B767" s="609" t="s">
        <v>1550</v>
      </c>
      <c r="C767" s="610">
        <f t="shared" si="77"/>
        <v>0</v>
      </c>
      <c r="D767" s="611">
        <v>0</v>
      </c>
      <c r="E767" s="610">
        <f>SUMIF('Entries 24-25'!$B:$B,A:A,'Entries 24-25'!$D:$D)-SUMIF('Entries 24-25'!$B:$B,A:A,'Entries 24-25'!$E:$E)+SUMIF('IND AS entries 24-25'!$B:$B,A:A,'IND AS entries 24-25'!$D:$D)-SUMIF('IND AS entries 24-25'!$B:$B,A:A,'IND AS entries 24-25'!$E:$E)</f>
        <v>0</v>
      </c>
      <c r="F767" s="611">
        <f t="shared" si="78"/>
        <v>0</v>
      </c>
      <c r="G767" s="610"/>
      <c r="H767" s="610"/>
      <c r="I767" s="611">
        <v>0</v>
      </c>
      <c r="J767" s="610">
        <v>0</v>
      </c>
      <c r="K767" s="611">
        <f t="shared" si="82"/>
        <v>0</v>
      </c>
      <c r="L767" s="612">
        <f>VLOOKUP(A767,'PL Gr'!A:A,1,0)</f>
        <v>400130</v>
      </c>
      <c r="M767" s="612">
        <f t="shared" si="83"/>
        <v>1</v>
      </c>
      <c r="N767" s="613">
        <f t="shared" si="80"/>
        <v>0</v>
      </c>
      <c r="O767" s="613">
        <f>VLOOKUP(A767,'PL Gr'!A:A,1,FALSE)</f>
        <v>400130</v>
      </c>
      <c r="P767" s="613">
        <v>-38525171.979999997</v>
      </c>
      <c r="Q767" s="613">
        <f t="shared" si="84"/>
        <v>38525171.979999997</v>
      </c>
      <c r="R767" s="1514"/>
      <c r="S767" s="1617" t="e">
        <f>SUMIF('[105]TB for financial'!$A:$A,A767,'[105]TB for financial'!$E:$E)</f>
        <v>#VALUE!</v>
      </c>
    </row>
    <row r="768" spans="1:19">
      <c r="A768" s="608">
        <v>400140</v>
      </c>
      <c r="B768" s="609" t="s">
        <v>1551</v>
      </c>
      <c r="C768" s="610">
        <f t="shared" si="77"/>
        <v>0</v>
      </c>
      <c r="D768" s="611">
        <v>0</v>
      </c>
      <c r="E768" s="610">
        <f>SUMIF('Entries 24-25'!$B:$B,A:A,'Entries 24-25'!$D:$D)-SUMIF('Entries 24-25'!$B:$B,A:A,'Entries 24-25'!$E:$E)+SUMIF('IND AS entries 24-25'!$B:$B,A:A,'IND AS entries 24-25'!$D:$D)-SUMIF('IND AS entries 24-25'!$B:$B,A:A,'IND AS entries 24-25'!$E:$E)</f>
        <v>0</v>
      </c>
      <c r="F768" s="611">
        <f t="shared" si="78"/>
        <v>0</v>
      </c>
      <c r="G768" s="610"/>
      <c r="H768" s="610"/>
      <c r="I768" s="611">
        <v>0</v>
      </c>
      <c r="J768" s="610">
        <v>0</v>
      </c>
      <c r="K768" s="611">
        <f t="shared" si="82"/>
        <v>0</v>
      </c>
      <c r="L768" s="612">
        <f>VLOOKUP(A768,'PL Gr'!A:A,1,0)</f>
        <v>400140</v>
      </c>
      <c r="M768" s="612">
        <f t="shared" si="83"/>
        <v>1</v>
      </c>
      <c r="N768" s="613">
        <f t="shared" si="80"/>
        <v>0</v>
      </c>
      <c r="O768" s="613">
        <f>VLOOKUP(A768,'PL Gr'!A:A,1,FALSE)</f>
        <v>400140</v>
      </c>
      <c r="P768" s="613">
        <v>0</v>
      </c>
      <c r="Q768" s="613">
        <f t="shared" si="84"/>
        <v>0</v>
      </c>
      <c r="R768" s="1514"/>
      <c r="S768" s="1617" t="e">
        <f>SUMIF('[105]TB for financial'!$A:$A,A768,'[105]TB for financial'!$E:$E)</f>
        <v>#VALUE!</v>
      </c>
    </row>
    <row r="769" spans="1:19">
      <c r="A769" s="608">
        <v>400141</v>
      </c>
      <c r="B769" s="609" t="s">
        <v>1552</v>
      </c>
      <c r="C769" s="610">
        <f t="shared" si="77"/>
        <v>0</v>
      </c>
      <c r="D769" s="611">
        <v>0</v>
      </c>
      <c r="E769" s="610">
        <f>SUMIF('Entries 24-25'!$B:$B,A:A,'Entries 24-25'!$D:$D)-SUMIF('Entries 24-25'!$B:$B,A:A,'Entries 24-25'!$E:$E)+SUMIF('IND AS entries 24-25'!$B:$B,A:A,'IND AS entries 24-25'!$D:$D)-SUMIF('IND AS entries 24-25'!$B:$B,A:A,'IND AS entries 24-25'!$E:$E)</f>
        <v>0</v>
      </c>
      <c r="F769" s="611">
        <f t="shared" si="78"/>
        <v>0</v>
      </c>
      <c r="G769" s="610"/>
      <c r="H769" s="610"/>
      <c r="I769" s="611">
        <v>0</v>
      </c>
      <c r="J769" s="610">
        <v>0</v>
      </c>
      <c r="K769" s="611">
        <f t="shared" si="82"/>
        <v>0</v>
      </c>
      <c r="L769" s="612">
        <f>VLOOKUP(A769,'PL Gr'!A:A,1,0)</f>
        <v>400141</v>
      </c>
      <c r="M769" s="612">
        <f t="shared" si="83"/>
        <v>1</v>
      </c>
      <c r="N769" s="613">
        <f t="shared" si="80"/>
        <v>0</v>
      </c>
      <c r="O769" s="613">
        <f>VLOOKUP(A769,'PL Gr'!A:A,1,FALSE)</f>
        <v>400141</v>
      </c>
      <c r="P769" s="613">
        <v>0</v>
      </c>
      <c r="Q769" s="613">
        <f t="shared" si="84"/>
        <v>0</v>
      </c>
      <c r="R769" s="1514"/>
      <c r="S769" s="1617" t="e">
        <f>SUMIF('[105]TB for financial'!$A:$A,A769,'[105]TB for financial'!$E:$E)</f>
        <v>#VALUE!</v>
      </c>
    </row>
    <row r="770" spans="1:19">
      <c r="A770" s="608">
        <v>500010</v>
      </c>
      <c r="B770" s="609" t="s">
        <v>1553</v>
      </c>
      <c r="C770" s="610">
        <f t="shared" si="77"/>
        <v>0</v>
      </c>
      <c r="D770" s="611">
        <v>0</v>
      </c>
      <c r="E770" s="610">
        <f>SUMIF('Entries 24-25'!$B:$B,A:A,'Entries 24-25'!$D:$D)-SUMIF('Entries 24-25'!$B:$B,A:A,'Entries 24-25'!$E:$E)+SUMIF('IND AS entries 24-25'!$B:$B,A:A,'IND AS entries 24-25'!$D:$D)-SUMIF('IND AS entries 24-25'!$B:$B,A:A,'IND AS entries 24-25'!$E:$E)</f>
        <v>0</v>
      </c>
      <c r="F770" s="611">
        <f t="shared" si="78"/>
        <v>0</v>
      </c>
      <c r="G770" s="610"/>
      <c r="H770" s="610"/>
      <c r="I770" s="611">
        <v>0</v>
      </c>
      <c r="J770" s="610">
        <v>0</v>
      </c>
      <c r="K770" s="611">
        <f t="shared" si="82"/>
        <v>0</v>
      </c>
      <c r="L770" s="612">
        <f>VLOOKUP(A770,'PL Gr'!A:A,1,0)</f>
        <v>500010</v>
      </c>
      <c r="M770" s="612">
        <f t="shared" si="83"/>
        <v>1</v>
      </c>
      <c r="N770" s="613">
        <f t="shared" si="80"/>
        <v>0</v>
      </c>
      <c r="O770" s="613">
        <f>VLOOKUP(A770,'PL Gr'!A:A,1,FALSE)</f>
        <v>500010</v>
      </c>
      <c r="P770" s="613">
        <v>0</v>
      </c>
      <c r="Q770" s="613">
        <f t="shared" si="84"/>
        <v>0</v>
      </c>
      <c r="R770" s="1514"/>
      <c r="S770" s="1617" t="e">
        <f>SUMIF('[105]TB for financial'!$A:$A,A770,'[105]TB for financial'!$E:$E)</f>
        <v>#VALUE!</v>
      </c>
    </row>
    <row r="771" spans="1:19">
      <c r="A771" s="608">
        <v>500015</v>
      </c>
      <c r="B771" s="609" t="s">
        <v>1554</v>
      </c>
      <c r="C771" s="610">
        <f t="shared" si="77"/>
        <v>0</v>
      </c>
      <c r="D771" s="611">
        <v>0</v>
      </c>
      <c r="E771" s="610">
        <f>SUMIF('Entries 24-25'!$B:$B,A:A,'Entries 24-25'!$D:$D)-SUMIF('Entries 24-25'!$B:$B,A:A,'Entries 24-25'!$E:$E)+SUMIF('IND AS entries 24-25'!$B:$B,A:A,'IND AS entries 24-25'!$D:$D)-SUMIF('IND AS entries 24-25'!$B:$B,A:A,'IND AS entries 24-25'!$E:$E)</f>
        <v>0</v>
      </c>
      <c r="F771" s="611">
        <f t="shared" si="78"/>
        <v>0</v>
      </c>
      <c r="G771" s="610"/>
      <c r="H771" s="610"/>
      <c r="I771" s="611">
        <v>0</v>
      </c>
      <c r="J771" s="610">
        <v>0</v>
      </c>
      <c r="K771" s="611">
        <f t="shared" si="82"/>
        <v>0</v>
      </c>
      <c r="L771" s="612">
        <f>VLOOKUP(A771,'PL Gr'!A:A,1,0)</f>
        <v>500015</v>
      </c>
      <c r="M771" s="612">
        <f t="shared" si="83"/>
        <v>1</v>
      </c>
      <c r="N771" s="613">
        <f t="shared" si="80"/>
        <v>0</v>
      </c>
      <c r="O771" s="613">
        <f>VLOOKUP(A771,'PL Gr'!A:A,1,FALSE)</f>
        <v>500015</v>
      </c>
      <c r="P771" s="613">
        <v>0</v>
      </c>
      <c r="Q771" s="613">
        <f t="shared" si="84"/>
        <v>0</v>
      </c>
      <c r="R771" s="1514"/>
      <c r="S771" s="1617" t="e">
        <f>SUMIF('[105]TB for financial'!$A:$A,A771,'[105]TB for financial'!$E:$E)</f>
        <v>#VALUE!</v>
      </c>
    </row>
    <row r="772" spans="1:19">
      <c r="A772" s="608">
        <v>500020</v>
      </c>
      <c r="B772" s="609" t="s">
        <v>1555</v>
      </c>
      <c r="C772" s="610">
        <f t="shared" si="77"/>
        <v>0</v>
      </c>
      <c r="D772" s="611">
        <v>0</v>
      </c>
      <c r="E772" s="610">
        <f>SUMIF('Entries 24-25'!$B:$B,A:A,'Entries 24-25'!$D:$D)-SUMIF('Entries 24-25'!$B:$B,A:A,'Entries 24-25'!$E:$E)+SUMIF('IND AS entries 24-25'!$B:$B,A:A,'IND AS entries 24-25'!$D:$D)-SUMIF('IND AS entries 24-25'!$B:$B,A:A,'IND AS entries 24-25'!$E:$E)</f>
        <v>0</v>
      </c>
      <c r="F772" s="611">
        <f t="shared" si="78"/>
        <v>0</v>
      </c>
      <c r="G772" s="610"/>
      <c r="H772" s="610"/>
      <c r="I772" s="611">
        <v>0</v>
      </c>
      <c r="J772" s="610">
        <v>0</v>
      </c>
      <c r="K772" s="611">
        <f t="shared" si="82"/>
        <v>0</v>
      </c>
      <c r="L772" s="612">
        <f>VLOOKUP(A772,'PL Gr'!A:A,1,0)</f>
        <v>500020</v>
      </c>
      <c r="M772" s="612">
        <f t="shared" si="83"/>
        <v>1</v>
      </c>
      <c r="N772" s="613">
        <f t="shared" si="80"/>
        <v>0</v>
      </c>
      <c r="O772" s="613">
        <f>VLOOKUP(A772,'PL Gr'!A:A,1,FALSE)</f>
        <v>500020</v>
      </c>
      <c r="P772" s="613">
        <v>0</v>
      </c>
      <c r="Q772" s="613">
        <f t="shared" si="84"/>
        <v>0</v>
      </c>
      <c r="R772" s="1514"/>
      <c r="S772" s="1617" t="e">
        <f>SUMIF('[105]TB for financial'!$A:$A,A772,'[105]TB for financial'!$E:$E)</f>
        <v>#VALUE!</v>
      </c>
    </row>
    <row r="773" spans="1:19">
      <c r="A773" s="608">
        <v>500025</v>
      </c>
      <c r="B773" s="609" t="s">
        <v>1556</v>
      </c>
      <c r="C773" s="610">
        <f t="shared" si="77"/>
        <v>0</v>
      </c>
      <c r="D773" s="611">
        <v>0</v>
      </c>
      <c r="E773" s="610">
        <f>SUMIF('Entries 24-25'!$B:$B,A:A,'Entries 24-25'!$D:$D)-SUMIF('Entries 24-25'!$B:$B,A:A,'Entries 24-25'!$E:$E)+SUMIF('IND AS entries 24-25'!$B:$B,A:A,'IND AS entries 24-25'!$D:$D)-SUMIF('IND AS entries 24-25'!$B:$B,A:A,'IND AS entries 24-25'!$E:$E)</f>
        <v>0</v>
      </c>
      <c r="F773" s="611">
        <f t="shared" si="78"/>
        <v>0</v>
      </c>
      <c r="G773" s="610"/>
      <c r="H773" s="610"/>
      <c r="I773" s="611">
        <v>0</v>
      </c>
      <c r="J773" s="610">
        <v>0</v>
      </c>
      <c r="K773" s="611">
        <f t="shared" si="82"/>
        <v>0</v>
      </c>
      <c r="L773" s="612">
        <f>VLOOKUP(A773,'PL Gr'!A:A,1,0)</f>
        <v>500025</v>
      </c>
      <c r="M773" s="612">
        <f t="shared" si="83"/>
        <v>1</v>
      </c>
      <c r="N773" s="613">
        <f t="shared" si="80"/>
        <v>0</v>
      </c>
      <c r="O773" s="613">
        <f>VLOOKUP(A773,'PL Gr'!A:A,1,FALSE)</f>
        <v>500025</v>
      </c>
      <c r="P773" s="613">
        <v>0</v>
      </c>
      <c r="Q773" s="613">
        <f t="shared" si="84"/>
        <v>0</v>
      </c>
      <c r="R773" s="1514"/>
      <c r="S773" s="1617" t="e">
        <f>SUMIF('[105]TB for financial'!$A:$A,A773,'[105]TB for financial'!$E:$E)</f>
        <v>#VALUE!</v>
      </c>
    </row>
    <row r="774" spans="1:19">
      <c r="A774" s="608">
        <v>500026</v>
      </c>
      <c r="B774" s="609" t="s">
        <v>1557</v>
      </c>
      <c r="C774" s="610">
        <f t="shared" si="77"/>
        <v>0</v>
      </c>
      <c r="D774" s="611">
        <v>0</v>
      </c>
      <c r="E774" s="610">
        <f>SUMIF('Entries 24-25'!$B:$B,A:A,'Entries 24-25'!$D:$D)-SUMIF('Entries 24-25'!$B:$B,A:A,'Entries 24-25'!$E:$E)+SUMIF('IND AS entries 24-25'!$B:$B,A:A,'IND AS entries 24-25'!$D:$D)-SUMIF('IND AS entries 24-25'!$B:$B,A:A,'IND AS entries 24-25'!$E:$E)</f>
        <v>0</v>
      </c>
      <c r="F774" s="611">
        <f t="shared" si="78"/>
        <v>0</v>
      </c>
      <c r="G774" s="610"/>
      <c r="H774" s="610"/>
      <c r="I774" s="611">
        <v>0</v>
      </c>
      <c r="J774" s="610">
        <v>0</v>
      </c>
      <c r="K774" s="611">
        <f t="shared" si="82"/>
        <v>0</v>
      </c>
      <c r="L774" s="612">
        <f>VLOOKUP(A774,'PL Gr'!A:A,1,0)</f>
        <v>500026</v>
      </c>
      <c r="M774" s="612">
        <f t="shared" si="83"/>
        <v>1</v>
      </c>
      <c r="N774" s="613">
        <f t="shared" si="80"/>
        <v>0</v>
      </c>
      <c r="O774" s="613">
        <f>VLOOKUP(A774,'PL Gr'!A:A,1,FALSE)</f>
        <v>500026</v>
      </c>
      <c r="P774" s="613">
        <v>0</v>
      </c>
      <c r="Q774" s="613">
        <f t="shared" si="84"/>
        <v>0</v>
      </c>
      <c r="R774" s="1514"/>
      <c r="S774" s="1617" t="e">
        <f>SUMIF('[105]TB for financial'!$A:$A,A774,'[105]TB for financial'!$E:$E)</f>
        <v>#VALUE!</v>
      </c>
    </row>
    <row r="775" spans="1:19">
      <c r="A775" s="608">
        <v>500030</v>
      </c>
      <c r="B775" s="609" t="s">
        <v>1558</v>
      </c>
      <c r="C775" s="610">
        <f t="shared" si="77"/>
        <v>0</v>
      </c>
      <c r="D775" s="611">
        <v>0</v>
      </c>
      <c r="E775" s="610">
        <f>SUMIF('Entries 24-25'!$B:$B,A:A,'Entries 24-25'!$D:$D)-SUMIF('Entries 24-25'!$B:$B,A:A,'Entries 24-25'!$E:$E)+SUMIF('IND AS entries 24-25'!$B:$B,A:A,'IND AS entries 24-25'!$D:$D)-SUMIF('IND AS entries 24-25'!$B:$B,A:A,'IND AS entries 24-25'!$E:$E)</f>
        <v>0</v>
      </c>
      <c r="F775" s="611">
        <f t="shared" si="78"/>
        <v>0</v>
      </c>
      <c r="G775" s="610"/>
      <c r="H775" s="610"/>
      <c r="I775" s="611">
        <v>0</v>
      </c>
      <c r="J775" s="610">
        <v>0</v>
      </c>
      <c r="K775" s="611">
        <f t="shared" si="82"/>
        <v>0</v>
      </c>
      <c r="L775" s="612">
        <f>VLOOKUP(A775,'PL Gr'!A:A,1,0)</f>
        <v>500030</v>
      </c>
      <c r="M775" s="612">
        <f t="shared" si="83"/>
        <v>1</v>
      </c>
      <c r="N775" s="613">
        <f t="shared" si="80"/>
        <v>0</v>
      </c>
      <c r="O775" s="613">
        <f>VLOOKUP(A775,'PL Gr'!A:A,1,FALSE)</f>
        <v>500030</v>
      </c>
      <c r="P775" s="613">
        <v>0</v>
      </c>
      <c r="Q775" s="613">
        <f t="shared" si="84"/>
        <v>0</v>
      </c>
      <c r="R775" s="1514"/>
      <c r="S775" s="1617" t="e">
        <f>SUMIF('[105]TB for financial'!$A:$A,A775,'[105]TB for financial'!$E:$E)</f>
        <v>#VALUE!</v>
      </c>
    </row>
    <row r="776" spans="1:19">
      <c r="A776" s="608">
        <v>500035</v>
      </c>
      <c r="B776" s="609" t="s">
        <v>1559</v>
      </c>
      <c r="C776" s="610">
        <f t="shared" si="77"/>
        <v>0</v>
      </c>
      <c r="D776" s="611">
        <v>0</v>
      </c>
      <c r="E776" s="610">
        <f>SUMIF('Entries 24-25'!$B:$B,A:A,'Entries 24-25'!$D:$D)-SUMIF('Entries 24-25'!$B:$B,A:A,'Entries 24-25'!$E:$E)+SUMIF('IND AS entries 24-25'!$B:$B,A:A,'IND AS entries 24-25'!$D:$D)-SUMIF('IND AS entries 24-25'!$B:$B,A:A,'IND AS entries 24-25'!$E:$E)</f>
        <v>0</v>
      </c>
      <c r="F776" s="611">
        <f t="shared" si="78"/>
        <v>0</v>
      </c>
      <c r="G776" s="610"/>
      <c r="H776" s="610"/>
      <c r="I776" s="611">
        <v>0</v>
      </c>
      <c r="J776" s="610">
        <v>0</v>
      </c>
      <c r="K776" s="611">
        <f t="shared" si="82"/>
        <v>0</v>
      </c>
      <c r="L776" s="612">
        <f>VLOOKUP(A776,'PL Gr'!A:A,1,0)</f>
        <v>500035</v>
      </c>
      <c r="M776" s="612">
        <f t="shared" si="83"/>
        <v>1</v>
      </c>
      <c r="N776" s="613">
        <f t="shared" si="80"/>
        <v>0</v>
      </c>
      <c r="O776" s="613">
        <f>VLOOKUP(A776,'PL Gr'!A:A,1,FALSE)</f>
        <v>500035</v>
      </c>
      <c r="P776" s="613">
        <v>0</v>
      </c>
      <c r="Q776" s="613">
        <f t="shared" si="84"/>
        <v>0</v>
      </c>
      <c r="R776" s="1514"/>
      <c r="S776" s="1617" t="e">
        <f>SUMIF('[105]TB for financial'!$A:$A,A776,'[105]TB for financial'!$E:$E)</f>
        <v>#VALUE!</v>
      </c>
    </row>
    <row r="777" spans="1:19">
      <c r="A777" s="608">
        <v>500036</v>
      </c>
      <c r="B777" s="609" t="s">
        <v>1560</v>
      </c>
      <c r="C777" s="610">
        <f t="shared" si="77"/>
        <v>0</v>
      </c>
      <c r="D777" s="611">
        <v>0</v>
      </c>
      <c r="E777" s="610">
        <f>SUMIF('Entries 24-25'!$B:$B,A:A,'Entries 24-25'!$D:$D)-SUMIF('Entries 24-25'!$B:$B,A:A,'Entries 24-25'!$E:$E)+SUMIF('IND AS entries 24-25'!$B:$B,A:A,'IND AS entries 24-25'!$D:$D)-SUMIF('IND AS entries 24-25'!$B:$B,A:A,'IND AS entries 24-25'!$E:$E)</f>
        <v>0</v>
      </c>
      <c r="F777" s="611">
        <f t="shared" si="78"/>
        <v>0</v>
      </c>
      <c r="G777" s="610"/>
      <c r="H777" s="610"/>
      <c r="I777" s="611">
        <v>0</v>
      </c>
      <c r="J777" s="610">
        <v>0</v>
      </c>
      <c r="K777" s="611">
        <f t="shared" si="82"/>
        <v>0</v>
      </c>
      <c r="L777" s="612">
        <f>VLOOKUP(A777,'PL Gr'!A:A,1,0)</f>
        <v>500036</v>
      </c>
      <c r="M777" s="612">
        <f t="shared" si="83"/>
        <v>1</v>
      </c>
      <c r="N777" s="613">
        <f t="shared" si="80"/>
        <v>0</v>
      </c>
      <c r="O777" s="613">
        <f>VLOOKUP(A777,'PL Gr'!A:A,1,FALSE)</f>
        <v>500036</v>
      </c>
      <c r="P777" s="613">
        <v>0</v>
      </c>
      <c r="Q777" s="613">
        <f t="shared" si="84"/>
        <v>0</v>
      </c>
      <c r="R777" s="1514"/>
      <c r="S777" s="1617" t="e">
        <f>SUMIF('[105]TB for financial'!$A:$A,A777,'[105]TB for financial'!$E:$E)</f>
        <v>#VALUE!</v>
      </c>
    </row>
    <row r="778" spans="1:19">
      <c r="A778" s="608">
        <v>500040</v>
      </c>
      <c r="B778" s="609" t="s">
        <v>1561</v>
      </c>
      <c r="C778" s="610">
        <f t="shared" si="77"/>
        <v>0</v>
      </c>
      <c r="D778" s="611">
        <v>0</v>
      </c>
      <c r="E778" s="610">
        <f>SUMIF('Entries 24-25'!$B:$B,A:A,'Entries 24-25'!$D:$D)-SUMIF('Entries 24-25'!$B:$B,A:A,'Entries 24-25'!$E:$E)+SUMIF('IND AS entries 24-25'!$B:$B,A:A,'IND AS entries 24-25'!$D:$D)-SUMIF('IND AS entries 24-25'!$B:$B,A:A,'IND AS entries 24-25'!$E:$E)</f>
        <v>0</v>
      </c>
      <c r="F778" s="611">
        <f t="shared" si="78"/>
        <v>0</v>
      </c>
      <c r="G778" s="610"/>
      <c r="H778" s="610"/>
      <c r="I778" s="611">
        <v>0</v>
      </c>
      <c r="J778" s="610">
        <v>0</v>
      </c>
      <c r="K778" s="611">
        <f t="shared" si="82"/>
        <v>0</v>
      </c>
      <c r="L778" s="612">
        <f>VLOOKUP(A778,'PL Gr'!A:A,1,0)</f>
        <v>500040</v>
      </c>
      <c r="M778" s="612">
        <f t="shared" si="83"/>
        <v>1</v>
      </c>
      <c r="N778" s="613">
        <f t="shared" si="80"/>
        <v>0</v>
      </c>
      <c r="O778" s="613">
        <f>VLOOKUP(A778,'PL Gr'!A:A,1,FALSE)</f>
        <v>500040</v>
      </c>
      <c r="P778" s="613">
        <v>0</v>
      </c>
      <c r="Q778" s="613">
        <f t="shared" si="84"/>
        <v>0</v>
      </c>
      <c r="R778" s="1514"/>
      <c r="S778" s="1617" t="e">
        <f>SUMIF('[105]TB for financial'!$A:$A,A778,'[105]TB for financial'!$E:$E)</f>
        <v>#VALUE!</v>
      </c>
    </row>
    <row r="779" spans="1:19">
      <c r="A779" s="608">
        <v>500060</v>
      </c>
      <c r="B779" s="609" t="s">
        <v>1562</v>
      </c>
      <c r="C779" s="610">
        <f t="shared" si="77"/>
        <v>0</v>
      </c>
      <c r="D779" s="611">
        <v>0</v>
      </c>
      <c r="E779" s="610">
        <f>SUMIF('Entries 24-25'!$B:$B,A:A,'Entries 24-25'!$D:$D)-SUMIF('Entries 24-25'!$B:$B,A:A,'Entries 24-25'!$E:$E)+SUMIF('IND AS entries 24-25'!$B:$B,A:A,'IND AS entries 24-25'!$D:$D)-SUMIF('IND AS entries 24-25'!$B:$B,A:A,'IND AS entries 24-25'!$E:$E)</f>
        <v>0</v>
      </c>
      <c r="F779" s="611">
        <f t="shared" si="78"/>
        <v>0</v>
      </c>
      <c r="G779" s="610"/>
      <c r="H779" s="610"/>
      <c r="I779" s="611">
        <v>0</v>
      </c>
      <c r="J779" s="610">
        <v>0</v>
      </c>
      <c r="K779" s="611">
        <f t="shared" si="82"/>
        <v>0</v>
      </c>
      <c r="L779" s="612">
        <f>VLOOKUP(A779,'PL Gr'!A:A,1,0)</f>
        <v>500060</v>
      </c>
      <c r="M779" s="612">
        <f t="shared" si="83"/>
        <v>1</v>
      </c>
      <c r="N779" s="613">
        <f t="shared" si="80"/>
        <v>0</v>
      </c>
      <c r="O779" s="613">
        <f>VLOOKUP(A779,'PL Gr'!A:A,1,FALSE)</f>
        <v>500060</v>
      </c>
      <c r="P779" s="613">
        <v>0</v>
      </c>
      <c r="Q779" s="613">
        <f t="shared" si="84"/>
        <v>0</v>
      </c>
      <c r="R779" s="1514"/>
      <c r="S779" s="1617" t="e">
        <f>SUMIF('[105]TB for financial'!$A:$A,A779,'[105]TB for financial'!$E:$E)</f>
        <v>#VALUE!</v>
      </c>
    </row>
    <row r="780" spans="1:19">
      <c r="A780" s="608">
        <v>500065</v>
      </c>
      <c r="B780" s="609" t="s">
        <v>1563</v>
      </c>
      <c r="C780" s="610">
        <f t="shared" ref="C780:C843" si="85">K780</f>
        <v>0</v>
      </c>
      <c r="D780" s="611">
        <v>0</v>
      </c>
      <c r="E780" s="610">
        <f>SUMIF('Entries 24-25'!$B:$B,A:A,'Entries 24-25'!$D:$D)-SUMIF('Entries 24-25'!$B:$B,A:A,'Entries 24-25'!$E:$E)+SUMIF('IND AS entries 24-25'!$B:$B,A:A,'IND AS entries 24-25'!$D:$D)-SUMIF('IND AS entries 24-25'!$B:$B,A:A,'IND AS entries 24-25'!$E:$E)</f>
        <v>0</v>
      </c>
      <c r="F780" s="611">
        <f t="shared" si="78"/>
        <v>0</v>
      </c>
      <c r="G780" s="610"/>
      <c r="H780" s="610"/>
      <c r="I780" s="611">
        <v>0</v>
      </c>
      <c r="J780" s="610">
        <v>0</v>
      </c>
      <c r="K780" s="611">
        <f t="shared" si="82"/>
        <v>0</v>
      </c>
      <c r="L780" s="612">
        <f>VLOOKUP(A780,'PL Gr'!A:A,1,0)</f>
        <v>500065</v>
      </c>
      <c r="M780" s="612">
        <f t="shared" si="83"/>
        <v>1</v>
      </c>
      <c r="N780" s="613">
        <f t="shared" si="80"/>
        <v>0</v>
      </c>
      <c r="O780" s="613">
        <f>VLOOKUP(A780,'PL Gr'!A:A,1,FALSE)</f>
        <v>500065</v>
      </c>
      <c r="P780" s="613">
        <v>0</v>
      </c>
      <c r="Q780" s="613">
        <f t="shared" si="84"/>
        <v>0</v>
      </c>
      <c r="R780" s="1514"/>
      <c r="S780" s="1617" t="e">
        <f>SUMIF('[105]TB for financial'!$A:$A,A780,'[105]TB for financial'!$E:$E)</f>
        <v>#VALUE!</v>
      </c>
    </row>
    <row r="781" spans="1:19">
      <c r="A781" s="608">
        <v>500071</v>
      </c>
      <c r="B781" s="609" t="s">
        <v>1564</v>
      </c>
      <c r="C781" s="610">
        <f t="shared" si="85"/>
        <v>0</v>
      </c>
      <c r="D781" s="611">
        <v>0</v>
      </c>
      <c r="E781" s="610">
        <f>SUMIF('Entries 24-25'!$B:$B,A:A,'Entries 24-25'!$D:$D)-SUMIF('Entries 24-25'!$B:$B,A:A,'Entries 24-25'!$E:$E)+SUMIF('IND AS entries 24-25'!$B:$B,A:A,'IND AS entries 24-25'!$D:$D)-SUMIF('IND AS entries 24-25'!$B:$B,A:A,'IND AS entries 24-25'!$E:$E)</f>
        <v>0</v>
      </c>
      <c r="F781" s="611">
        <f t="shared" si="78"/>
        <v>0</v>
      </c>
      <c r="G781" s="610"/>
      <c r="H781" s="610"/>
      <c r="I781" s="611">
        <v>0</v>
      </c>
      <c r="J781" s="610">
        <v>0</v>
      </c>
      <c r="K781" s="611">
        <f t="shared" si="82"/>
        <v>0</v>
      </c>
      <c r="L781" s="612">
        <f>VLOOKUP(A781,'PL Gr'!A:A,1,0)</f>
        <v>500071</v>
      </c>
      <c r="M781" s="612">
        <f t="shared" si="83"/>
        <v>1</v>
      </c>
      <c r="N781" s="613">
        <f t="shared" si="80"/>
        <v>0</v>
      </c>
      <c r="O781" s="613">
        <f>VLOOKUP(A781,'PL Gr'!A:A,1,FALSE)</f>
        <v>500071</v>
      </c>
      <c r="P781" s="613">
        <v>0</v>
      </c>
      <c r="Q781" s="613">
        <f t="shared" si="84"/>
        <v>0</v>
      </c>
      <c r="R781" s="1514"/>
      <c r="S781" s="1617" t="e">
        <f>SUMIF('[105]TB for financial'!$A:$A,A781,'[105]TB for financial'!$E:$E)</f>
        <v>#VALUE!</v>
      </c>
    </row>
    <row r="782" spans="1:19">
      <c r="A782" s="608">
        <v>500072</v>
      </c>
      <c r="B782" s="609" t="s">
        <v>1565</v>
      </c>
      <c r="C782" s="610">
        <f t="shared" si="85"/>
        <v>0</v>
      </c>
      <c r="D782" s="611">
        <v>0</v>
      </c>
      <c r="E782" s="610">
        <f>SUMIF('Entries 24-25'!$B:$B,A:A,'Entries 24-25'!$D:$D)-SUMIF('Entries 24-25'!$B:$B,A:A,'Entries 24-25'!$E:$E)+SUMIF('IND AS entries 24-25'!$B:$B,A:A,'IND AS entries 24-25'!$D:$D)-SUMIF('IND AS entries 24-25'!$B:$B,A:A,'IND AS entries 24-25'!$E:$E)</f>
        <v>0</v>
      </c>
      <c r="F782" s="611">
        <f t="shared" ref="F782:F845" si="86">SUM(C782:E782)</f>
        <v>0</v>
      </c>
      <c r="G782" s="610"/>
      <c r="H782" s="610"/>
      <c r="I782" s="611">
        <v>0</v>
      </c>
      <c r="J782" s="610">
        <v>0</v>
      </c>
      <c r="K782" s="611">
        <f t="shared" si="82"/>
        <v>0</v>
      </c>
      <c r="L782" s="612">
        <f>VLOOKUP(A782,'PL Gr'!A:A,1,0)</f>
        <v>500072</v>
      </c>
      <c r="M782" s="612">
        <f t="shared" si="83"/>
        <v>1</v>
      </c>
      <c r="N782" s="613">
        <f t="shared" si="80"/>
        <v>0</v>
      </c>
      <c r="O782" s="613">
        <f>VLOOKUP(A782,'PL Gr'!A:A,1,FALSE)</f>
        <v>500072</v>
      </c>
      <c r="P782" s="613">
        <v>0</v>
      </c>
      <c r="Q782" s="613">
        <f t="shared" si="84"/>
        <v>0</v>
      </c>
      <c r="R782" s="1514"/>
      <c r="S782" s="1617" t="e">
        <f>SUMIF('[105]TB for financial'!$A:$A,A782,'[105]TB for financial'!$E:$E)</f>
        <v>#VALUE!</v>
      </c>
    </row>
    <row r="783" spans="1:19">
      <c r="A783" s="608">
        <v>500073</v>
      </c>
      <c r="B783" s="609" t="s">
        <v>1566</v>
      </c>
      <c r="C783" s="610">
        <f t="shared" si="85"/>
        <v>0</v>
      </c>
      <c r="D783" s="611">
        <v>0</v>
      </c>
      <c r="E783" s="610">
        <f>SUMIF('Entries 24-25'!$B:$B,A:A,'Entries 24-25'!$D:$D)-SUMIF('Entries 24-25'!$B:$B,A:A,'Entries 24-25'!$E:$E)+SUMIF('IND AS entries 24-25'!$B:$B,A:A,'IND AS entries 24-25'!$D:$D)-SUMIF('IND AS entries 24-25'!$B:$B,A:A,'IND AS entries 24-25'!$E:$E)</f>
        <v>0</v>
      </c>
      <c r="F783" s="611">
        <f t="shared" si="86"/>
        <v>0</v>
      </c>
      <c r="G783" s="610"/>
      <c r="H783" s="610"/>
      <c r="I783" s="611">
        <v>0</v>
      </c>
      <c r="J783" s="610">
        <v>0</v>
      </c>
      <c r="K783" s="611">
        <f t="shared" si="82"/>
        <v>0</v>
      </c>
      <c r="L783" s="612">
        <f>VLOOKUP(A783,'PL Gr'!A:A,1,0)</f>
        <v>500073</v>
      </c>
      <c r="M783" s="612">
        <f t="shared" si="83"/>
        <v>1</v>
      </c>
      <c r="N783" s="613">
        <f t="shared" si="80"/>
        <v>0</v>
      </c>
      <c r="O783" s="613">
        <f>VLOOKUP(A783,'PL Gr'!A:A,1,FALSE)</f>
        <v>500073</v>
      </c>
      <c r="P783" s="613">
        <v>648</v>
      </c>
      <c r="Q783" s="613">
        <f t="shared" si="84"/>
        <v>-648</v>
      </c>
      <c r="R783" s="1514"/>
      <c r="S783" s="1617" t="e">
        <f>SUMIF('[105]TB for financial'!$A:$A,A783,'[105]TB for financial'!$E:$E)</f>
        <v>#VALUE!</v>
      </c>
    </row>
    <row r="784" spans="1:19">
      <c r="A784" s="608">
        <v>500074</v>
      </c>
      <c r="B784" s="609" t="s">
        <v>1567</v>
      </c>
      <c r="C784" s="610">
        <f t="shared" si="85"/>
        <v>0</v>
      </c>
      <c r="D784" s="611">
        <v>0</v>
      </c>
      <c r="E784" s="610">
        <f>SUMIF('Entries 24-25'!$B:$B,A:A,'Entries 24-25'!$D:$D)-SUMIF('Entries 24-25'!$B:$B,A:A,'Entries 24-25'!$E:$E)+SUMIF('IND AS entries 24-25'!$B:$B,A:A,'IND AS entries 24-25'!$D:$D)-SUMIF('IND AS entries 24-25'!$B:$B,A:A,'IND AS entries 24-25'!$E:$E)</f>
        <v>0</v>
      </c>
      <c r="F784" s="611">
        <f t="shared" si="86"/>
        <v>0</v>
      </c>
      <c r="G784" s="610"/>
      <c r="H784" s="610"/>
      <c r="I784" s="611">
        <v>0</v>
      </c>
      <c r="J784" s="610">
        <v>0</v>
      </c>
      <c r="K784" s="611">
        <f t="shared" si="82"/>
        <v>0</v>
      </c>
      <c r="L784" s="612">
        <f>VLOOKUP(A784,'PL Gr'!A:A,1,0)</f>
        <v>500074</v>
      </c>
      <c r="M784" s="612">
        <f t="shared" ref="M784:M815" si="87">COUNTIF(A:A,A784)</f>
        <v>1</v>
      </c>
      <c r="N784" s="613">
        <f t="shared" ref="N784:N847" si="88">C784-K784</f>
        <v>0</v>
      </c>
      <c r="O784" s="613">
        <f>VLOOKUP(A784,'PL Gr'!A:A,1,FALSE)</f>
        <v>500074</v>
      </c>
      <c r="P784" s="613">
        <v>0</v>
      </c>
      <c r="Q784" s="613">
        <f t="shared" si="84"/>
        <v>0</v>
      </c>
      <c r="R784" s="1514"/>
      <c r="S784" s="1617" t="e">
        <f>SUMIF('[105]TB for financial'!$A:$A,A784,'[105]TB for financial'!$E:$E)</f>
        <v>#VALUE!</v>
      </c>
    </row>
    <row r="785" spans="1:19">
      <c r="A785" s="608">
        <v>500075</v>
      </c>
      <c r="B785" s="609" t="s">
        <v>1568</v>
      </c>
      <c r="C785" s="610">
        <f t="shared" si="85"/>
        <v>0</v>
      </c>
      <c r="D785" s="611">
        <v>0</v>
      </c>
      <c r="E785" s="610">
        <f>SUMIF('Entries 24-25'!$B:$B,A:A,'Entries 24-25'!$D:$D)-SUMIF('Entries 24-25'!$B:$B,A:A,'Entries 24-25'!$E:$E)+SUMIF('IND AS entries 24-25'!$B:$B,A:A,'IND AS entries 24-25'!$D:$D)-SUMIF('IND AS entries 24-25'!$B:$B,A:A,'IND AS entries 24-25'!$E:$E)</f>
        <v>0</v>
      </c>
      <c r="F785" s="611">
        <f t="shared" si="86"/>
        <v>0</v>
      </c>
      <c r="G785" s="610"/>
      <c r="H785" s="610"/>
      <c r="I785" s="611">
        <v>0</v>
      </c>
      <c r="J785" s="610">
        <v>0</v>
      </c>
      <c r="K785" s="611">
        <f t="shared" si="82"/>
        <v>0</v>
      </c>
      <c r="L785" s="612">
        <f>VLOOKUP(A785,'PL Gr'!A:A,1,0)</f>
        <v>500075</v>
      </c>
      <c r="M785" s="612">
        <f t="shared" si="87"/>
        <v>1</v>
      </c>
      <c r="N785" s="613">
        <f t="shared" si="88"/>
        <v>0</v>
      </c>
      <c r="O785" s="613">
        <f>VLOOKUP(A785,'PL Gr'!A:A,1,FALSE)</f>
        <v>500075</v>
      </c>
      <c r="P785" s="613">
        <v>36016.629999999997</v>
      </c>
      <c r="Q785" s="613">
        <f t="shared" si="84"/>
        <v>-36016.629999999997</v>
      </c>
      <c r="R785" s="1514"/>
      <c r="S785" s="1617" t="e">
        <f>SUMIF('[105]TB for financial'!$A:$A,A785,'[105]TB for financial'!$E:$E)</f>
        <v>#VALUE!</v>
      </c>
    </row>
    <row r="786" spans="1:19">
      <c r="A786" s="608">
        <v>500076</v>
      </c>
      <c r="B786" s="609" t="s">
        <v>1569</v>
      </c>
      <c r="C786" s="610">
        <f t="shared" si="85"/>
        <v>0</v>
      </c>
      <c r="D786" s="611">
        <v>0</v>
      </c>
      <c r="E786" s="610">
        <f>SUMIF('Entries 24-25'!$B:$B,A:A,'Entries 24-25'!$D:$D)-SUMIF('Entries 24-25'!$B:$B,A:A,'Entries 24-25'!$E:$E)+SUMIF('IND AS entries 24-25'!$B:$B,A:A,'IND AS entries 24-25'!$D:$D)-SUMIF('IND AS entries 24-25'!$B:$B,A:A,'IND AS entries 24-25'!$E:$E)</f>
        <v>0</v>
      </c>
      <c r="F786" s="611">
        <f t="shared" si="86"/>
        <v>0</v>
      </c>
      <c r="G786" s="610"/>
      <c r="H786" s="610"/>
      <c r="I786" s="611">
        <v>0</v>
      </c>
      <c r="J786" s="610">
        <v>0</v>
      </c>
      <c r="K786" s="611">
        <f t="shared" si="82"/>
        <v>0</v>
      </c>
      <c r="L786" s="612">
        <f>VLOOKUP(A786,'PL Gr'!A:A,1,0)</f>
        <v>500076</v>
      </c>
      <c r="M786" s="612">
        <f t="shared" si="87"/>
        <v>1</v>
      </c>
      <c r="N786" s="613">
        <f t="shared" si="88"/>
        <v>0</v>
      </c>
      <c r="O786" s="613">
        <f>VLOOKUP(A786,'PL Gr'!A:A,1,FALSE)</f>
        <v>500076</v>
      </c>
      <c r="P786" s="613">
        <v>508466</v>
      </c>
      <c r="Q786" s="613">
        <f t="shared" si="84"/>
        <v>-508466</v>
      </c>
      <c r="R786" s="1514"/>
      <c r="S786" s="1617" t="e">
        <f>SUMIF('[105]TB for financial'!$A:$A,A786,'[105]TB for financial'!$E:$E)</f>
        <v>#VALUE!</v>
      </c>
    </row>
    <row r="787" spans="1:19">
      <c r="A787" s="608">
        <v>500077</v>
      </c>
      <c r="B787" s="609" t="s">
        <v>1570</v>
      </c>
      <c r="C787" s="610">
        <f t="shared" si="85"/>
        <v>0</v>
      </c>
      <c r="D787" s="611">
        <v>0</v>
      </c>
      <c r="E787" s="610">
        <f>SUMIF('Entries 24-25'!$B:$B,A:A,'Entries 24-25'!$D:$D)-SUMIF('Entries 24-25'!$B:$B,A:A,'Entries 24-25'!$E:$E)+SUMIF('IND AS entries 24-25'!$B:$B,A:A,'IND AS entries 24-25'!$D:$D)-SUMIF('IND AS entries 24-25'!$B:$B,A:A,'IND AS entries 24-25'!$E:$E)</f>
        <v>0</v>
      </c>
      <c r="F787" s="611">
        <f t="shared" si="86"/>
        <v>0</v>
      </c>
      <c r="G787" s="610"/>
      <c r="H787" s="610"/>
      <c r="I787" s="611">
        <v>0</v>
      </c>
      <c r="J787" s="610">
        <v>0</v>
      </c>
      <c r="K787" s="611">
        <f t="shared" si="82"/>
        <v>0</v>
      </c>
      <c r="L787" s="612">
        <f>VLOOKUP(A787,'PL Gr'!A:A,1,0)</f>
        <v>500077</v>
      </c>
      <c r="M787" s="612">
        <f t="shared" si="87"/>
        <v>1</v>
      </c>
      <c r="N787" s="613">
        <f t="shared" si="88"/>
        <v>0</v>
      </c>
      <c r="O787" s="613">
        <f>VLOOKUP(A787,'PL Gr'!A:A,1,FALSE)</f>
        <v>500077</v>
      </c>
      <c r="P787" s="613">
        <v>0</v>
      </c>
      <c r="Q787" s="613">
        <f t="shared" si="84"/>
        <v>0</v>
      </c>
      <c r="R787" s="1514"/>
      <c r="S787" s="1617" t="e">
        <f>SUMIF('[105]TB for financial'!$A:$A,A787,'[105]TB for financial'!$E:$E)</f>
        <v>#VALUE!</v>
      </c>
    </row>
    <row r="788" spans="1:19">
      <c r="A788" s="608">
        <v>500078</v>
      </c>
      <c r="B788" s="609" t="s">
        <v>1571</v>
      </c>
      <c r="C788" s="610">
        <f t="shared" si="85"/>
        <v>0</v>
      </c>
      <c r="D788" s="611">
        <v>0</v>
      </c>
      <c r="E788" s="610">
        <f>SUMIF('Entries 24-25'!$B:$B,A:A,'Entries 24-25'!$D:$D)-SUMIF('Entries 24-25'!$B:$B,A:A,'Entries 24-25'!$E:$E)+SUMIF('IND AS entries 24-25'!$B:$B,A:A,'IND AS entries 24-25'!$D:$D)-SUMIF('IND AS entries 24-25'!$B:$B,A:A,'IND AS entries 24-25'!$E:$E)</f>
        <v>0</v>
      </c>
      <c r="F788" s="611">
        <f t="shared" si="86"/>
        <v>0</v>
      </c>
      <c r="G788" s="610"/>
      <c r="H788" s="610"/>
      <c r="I788" s="611">
        <v>0</v>
      </c>
      <c r="J788" s="610">
        <v>0</v>
      </c>
      <c r="K788" s="611">
        <f t="shared" si="82"/>
        <v>0</v>
      </c>
      <c r="L788" s="612">
        <f>VLOOKUP(A788,'PL Gr'!A:A,1,0)</f>
        <v>500078</v>
      </c>
      <c r="M788" s="612">
        <f t="shared" si="87"/>
        <v>1</v>
      </c>
      <c r="N788" s="613">
        <f t="shared" si="88"/>
        <v>0</v>
      </c>
      <c r="O788" s="613">
        <f>VLOOKUP(A788,'PL Gr'!A:A,1,FALSE)</f>
        <v>500078</v>
      </c>
      <c r="P788" s="613">
        <v>0</v>
      </c>
      <c r="Q788" s="613">
        <f t="shared" si="84"/>
        <v>0</v>
      </c>
      <c r="R788" s="1514"/>
      <c r="S788" s="1617" t="e">
        <f>SUMIF('[105]TB for financial'!$A:$A,A788,'[105]TB for financial'!$E:$E)</f>
        <v>#VALUE!</v>
      </c>
    </row>
    <row r="789" spans="1:19">
      <c r="A789" s="608">
        <v>500079</v>
      </c>
      <c r="B789" s="609" t="s">
        <v>1572</v>
      </c>
      <c r="C789" s="610">
        <f t="shared" si="85"/>
        <v>0</v>
      </c>
      <c r="D789" s="611">
        <v>0</v>
      </c>
      <c r="E789" s="610">
        <f>SUMIF('Entries 24-25'!$B:$B,A:A,'Entries 24-25'!$D:$D)-SUMIF('Entries 24-25'!$B:$B,A:A,'Entries 24-25'!$E:$E)+SUMIF('IND AS entries 24-25'!$B:$B,A:A,'IND AS entries 24-25'!$D:$D)-SUMIF('IND AS entries 24-25'!$B:$B,A:A,'IND AS entries 24-25'!$E:$E)</f>
        <v>0</v>
      </c>
      <c r="F789" s="611">
        <f t="shared" si="86"/>
        <v>0</v>
      </c>
      <c r="G789" s="610"/>
      <c r="H789" s="610"/>
      <c r="I789" s="611">
        <v>0</v>
      </c>
      <c r="J789" s="610">
        <v>0</v>
      </c>
      <c r="K789" s="611">
        <f t="shared" si="82"/>
        <v>0</v>
      </c>
      <c r="L789" s="612">
        <f>VLOOKUP(A789,'PL Gr'!A:A,1,0)</f>
        <v>500079</v>
      </c>
      <c r="M789" s="612">
        <f t="shared" si="87"/>
        <v>1</v>
      </c>
      <c r="N789" s="613">
        <f t="shared" si="88"/>
        <v>0</v>
      </c>
      <c r="O789" s="613">
        <f>VLOOKUP(A789,'PL Gr'!A:A,1,FALSE)</f>
        <v>500079</v>
      </c>
      <c r="P789" s="613">
        <v>-309277</v>
      </c>
      <c r="Q789" s="613">
        <f t="shared" si="84"/>
        <v>309277</v>
      </c>
      <c r="R789" s="1514"/>
      <c r="S789" s="1617" t="e">
        <f>SUMIF('[105]TB for financial'!$A:$A,A789,'[105]TB for financial'!$E:$E)</f>
        <v>#VALUE!</v>
      </c>
    </row>
    <row r="790" spans="1:19">
      <c r="A790" s="608">
        <v>500080</v>
      </c>
      <c r="B790" s="609" t="s">
        <v>1573</v>
      </c>
      <c r="C790" s="610">
        <f t="shared" si="85"/>
        <v>0</v>
      </c>
      <c r="D790" s="611">
        <v>0</v>
      </c>
      <c r="E790" s="610">
        <f>SUMIF('Entries 24-25'!$B:$B,A:A,'Entries 24-25'!$D:$D)-SUMIF('Entries 24-25'!$B:$B,A:A,'Entries 24-25'!$E:$E)+SUMIF('IND AS entries 24-25'!$B:$B,A:A,'IND AS entries 24-25'!$D:$D)-SUMIF('IND AS entries 24-25'!$B:$B,A:A,'IND AS entries 24-25'!$E:$E)</f>
        <v>0</v>
      </c>
      <c r="F790" s="611">
        <f t="shared" si="86"/>
        <v>0</v>
      </c>
      <c r="G790" s="610"/>
      <c r="H790" s="610"/>
      <c r="I790" s="611">
        <v>0</v>
      </c>
      <c r="J790" s="610">
        <v>0</v>
      </c>
      <c r="K790" s="611">
        <f t="shared" si="82"/>
        <v>0</v>
      </c>
      <c r="L790" s="612">
        <f>VLOOKUP(A790,'PL Gr'!A:A,1,0)</f>
        <v>500080</v>
      </c>
      <c r="M790" s="612">
        <f t="shared" si="87"/>
        <v>1</v>
      </c>
      <c r="N790" s="613">
        <f t="shared" si="88"/>
        <v>0</v>
      </c>
      <c r="O790" s="613">
        <f>VLOOKUP(A790,'PL Gr'!A:A,1,FALSE)</f>
        <v>500080</v>
      </c>
      <c r="P790" s="613">
        <v>-493295</v>
      </c>
      <c r="Q790" s="613">
        <f t="shared" si="84"/>
        <v>493295</v>
      </c>
      <c r="R790" s="1514"/>
      <c r="S790" s="1617" t="e">
        <f>SUMIF('[105]TB for financial'!$A:$A,A790,'[105]TB for financial'!$E:$E)</f>
        <v>#VALUE!</v>
      </c>
    </row>
    <row r="791" spans="1:19">
      <c r="A791" s="608">
        <v>500081</v>
      </c>
      <c r="B791" s="609" t="s">
        <v>1574</v>
      </c>
      <c r="C791" s="610">
        <f t="shared" si="85"/>
        <v>0</v>
      </c>
      <c r="D791" s="611">
        <v>0</v>
      </c>
      <c r="E791" s="610">
        <f>SUMIF('Entries 24-25'!$B:$B,A:A,'Entries 24-25'!$D:$D)-SUMIF('Entries 24-25'!$B:$B,A:A,'Entries 24-25'!$E:$E)+SUMIF('IND AS entries 24-25'!$B:$B,A:A,'IND AS entries 24-25'!$D:$D)-SUMIF('IND AS entries 24-25'!$B:$B,A:A,'IND AS entries 24-25'!$E:$E)</f>
        <v>0</v>
      </c>
      <c r="F791" s="611">
        <f t="shared" si="86"/>
        <v>0</v>
      </c>
      <c r="G791" s="610"/>
      <c r="H791" s="610"/>
      <c r="I791" s="611">
        <v>0</v>
      </c>
      <c r="J791" s="610">
        <v>0</v>
      </c>
      <c r="K791" s="611">
        <f t="shared" si="82"/>
        <v>0</v>
      </c>
      <c r="L791" s="612">
        <f>VLOOKUP(A791,'PL Gr'!A:A,1,0)</f>
        <v>500081</v>
      </c>
      <c r="M791" s="612">
        <f t="shared" si="87"/>
        <v>1</v>
      </c>
      <c r="N791" s="613">
        <f t="shared" si="88"/>
        <v>0</v>
      </c>
      <c r="O791" s="613">
        <f>VLOOKUP(A791,'PL Gr'!A:A,1,FALSE)</f>
        <v>500081</v>
      </c>
      <c r="P791" s="613">
        <v>1049630</v>
      </c>
      <c r="Q791" s="613">
        <f t="shared" si="84"/>
        <v>-1049630</v>
      </c>
      <c r="R791" s="1514"/>
      <c r="S791" s="1617" t="e">
        <f>SUMIF('[105]TB for financial'!$A:$A,A791,'[105]TB for financial'!$E:$E)</f>
        <v>#VALUE!</v>
      </c>
    </row>
    <row r="792" spans="1:19">
      <c r="A792" s="608">
        <v>500082</v>
      </c>
      <c r="B792" s="609" t="s">
        <v>1575</v>
      </c>
      <c r="C792" s="610">
        <f t="shared" si="85"/>
        <v>0</v>
      </c>
      <c r="D792" s="611">
        <v>0</v>
      </c>
      <c r="E792" s="610">
        <f>SUMIF('Entries 24-25'!$B:$B,A:A,'Entries 24-25'!$D:$D)-SUMIF('Entries 24-25'!$B:$B,A:A,'Entries 24-25'!$E:$E)+SUMIF('IND AS entries 24-25'!$B:$B,A:A,'IND AS entries 24-25'!$D:$D)-SUMIF('IND AS entries 24-25'!$B:$B,A:A,'IND AS entries 24-25'!$E:$E)</f>
        <v>0</v>
      </c>
      <c r="F792" s="611">
        <f t="shared" si="86"/>
        <v>0</v>
      </c>
      <c r="G792" s="610"/>
      <c r="H792" s="610"/>
      <c r="I792" s="611">
        <v>0</v>
      </c>
      <c r="J792" s="610">
        <v>0</v>
      </c>
      <c r="K792" s="611">
        <f t="shared" si="82"/>
        <v>0</v>
      </c>
      <c r="L792" s="612">
        <f>VLOOKUP(A792,'PL Gr'!A:A,1,0)</f>
        <v>500082</v>
      </c>
      <c r="M792" s="612">
        <f t="shared" si="87"/>
        <v>1</v>
      </c>
      <c r="N792" s="613">
        <f t="shared" si="88"/>
        <v>0</v>
      </c>
      <c r="O792" s="613">
        <f>VLOOKUP(A792,'PL Gr'!A:A,1,FALSE)</f>
        <v>500082</v>
      </c>
      <c r="P792" s="613">
        <v>0</v>
      </c>
      <c r="Q792" s="613">
        <f t="shared" si="84"/>
        <v>0</v>
      </c>
      <c r="R792" s="1514"/>
      <c r="S792" s="1617" t="e">
        <f>SUMIF('[105]TB for financial'!$A:$A,A792,'[105]TB for financial'!$E:$E)</f>
        <v>#VALUE!</v>
      </c>
    </row>
    <row r="793" spans="1:19">
      <c r="A793" s="608">
        <v>500083</v>
      </c>
      <c r="B793" s="609" t="s">
        <v>1576</v>
      </c>
      <c r="C793" s="610">
        <f t="shared" si="85"/>
        <v>0</v>
      </c>
      <c r="D793" s="611">
        <v>0</v>
      </c>
      <c r="E793" s="610">
        <f>SUMIF('Entries 24-25'!$B:$B,A:A,'Entries 24-25'!$D:$D)-SUMIF('Entries 24-25'!$B:$B,A:A,'Entries 24-25'!$E:$E)+SUMIF('IND AS entries 24-25'!$B:$B,A:A,'IND AS entries 24-25'!$D:$D)-SUMIF('IND AS entries 24-25'!$B:$B,A:A,'IND AS entries 24-25'!$E:$E)</f>
        <v>0</v>
      </c>
      <c r="F793" s="611">
        <f t="shared" si="86"/>
        <v>0</v>
      </c>
      <c r="G793" s="610"/>
      <c r="H793" s="610"/>
      <c r="I793" s="611">
        <v>0</v>
      </c>
      <c r="J793" s="610">
        <v>0</v>
      </c>
      <c r="K793" s="611">
        <f t="shared" si="82"/>
        <v>0</v>
      </c>
      <c r="L793" s="612">
        <f>VLOOKUP(A793,'PL Gr'!A:A,1,0)</f>
        <v>500083</v>
      </c>
      <c r="M793" s="612">
        <f t="shared" si="87"/>
        <v>1</v>
      </c>
      <c r="N793" s="613">
        <f t="shared" si="88"/>
        <v>0</v>
      </c>
      <c r="O793" s="613">
        <f>VLOOKUP(A793,'PL Gr'!A:A,1,FALSE)</f>
        <v>500083</v>
      </c>
      <c r="P793" s="613">
        <v>14621254.330000002</v>
      </c>
      <c r="Q793" s="613">
        <f t="shared" si="84"/>
        <v>-14621254.330000002</v>
      </c>
      <c r="R793" s="1514"/>
      <c r="S793" s="1617" t="e">
        <f>SUMIF('[105]TB for financial'!$A:$A,A793,'[105]TB for financial'!$E:$E)</f>
        <v>#VALUE!</v>
      </c>
    </row>
    <row r="794" spans="1:19">
      <c r="A794" s="608">
        <v>500084</v>
      </c>
      <c r="B794" s="609" t="s">
        <v>1577</v>
      </c>
      <c r="C794" s="610">
        <f t="shared" si="85"/>
        <v>0</v>
      </c>
      <c r="D794" s="611">
        <v>0</v>
      </c>
      <c r="E794" s="610">
        <f>SUMIF('Entries 24-25'!$B:$B,A:A,'Entries 24-25'!$D:$D)-SUMIF('Entries 24-25'!$B:$B,A:A,'Entries 24-25'!$E:$E)+SUMIF('IND AS entries 24-25'!$B:$B,A:A,'IND AS entries 24-25'!$D:$D)-SUMIF('IND AS entries 24-25'!$B:$B,A:A,'IND AS entries 24-25'!$E:$E)</f>
        <v>0</v>
      </c>
      <c r="F794" s="611">
        <f t="shared" si="86"/>
        <v>0</v>
      </c>
      <c r="G794" s="610"/>
      <c r="H794" s="610"/>
      <c r="I794" s="611">
        <v>0</v>
      </c>
      <c r="J794" s="610">
        <v>0</v>
      </c>
      <c r="K794" s="611">
        <f t="shared" si="82"/>
        <v>0</v>
      </c>
      <c r="L794" s="612">
        <f>VLOOKUP(A794,'PL Gr'!A:A,1,0)</f>
        <v>500084</v>
      </c>
      <c r="M794" s="612">
        <f t="shared" si="87"/>
        <v>1</v>
      </c>
      <c r="N794" s="613">
        <f t="shared" si="88"/>
        <v>0</v>
      </c>
      <c r="O794" s="613">
        <f>VLOOKUP(A794,'PL Gr'!A:A,1,FALSE)</f>
        <v>500084</v>
      </c>
      <c r="P794" s="613">
        <v>189896.43</v>
      </c>
      <c r="Q794" s="613">
        <f t="shared" si="84"/>
        <v>-189896.43</v>
      </c>
      <c r="R794" s="1514"/>
      <c r="S794" s="1617" t="e">
        <f>SUMIF('[105]TB for financial'!$A:$A,A794,'[105]TB for financial'!$E:$E)</f>
        <v>#VALUE!</v>
      </c>
    </row>
    <row r="795" spans="1:19">
      <c r="A795" s="608">
        <v>500085</v>
      </c>
      <c r="B795" s="609" t="s">
        <v>1578</v>
      </c>
      <c r="C795" s="610">
        <f t="shared" si="85"/>
        <v>0</v>
      </c>
      <c r="D795" s="611">
        <v>0</v>
      </c>
      <c r="E795" s="610">
        <f>SUMIF('Entries 24-25'!$B:$B,A:A,'Entries 24-25'!$D:$D)-SUMIF('Entries 24-25'!$B:$B,A:A,'Entries 24-25'!$E:$E)+SUMIF('IND AS entries 24-25'!$B:$B,A:A,'IND AS entries 24-25'!$D:$D)-SUMIF('IND AS entries 24-25'!$B:$B,A:A,'IND AS entries 24-25'!$E:$E)</f>
        <v>0</v>
      </c>
      <c r="F795" s="611">
        <f t="shared" si="86"/>
        <v>0</v>
      </c>
      <c r="G795" s="610"/>
      <c r="H795" s="610"/>
      <c r="I795" s="611">
        <v>0</v>
      </c>
      <c r="J795" s="610">
        <v>0</v>
      </c>
      <c r="K795" s="611">
        <f t="shared" si="82"/>
        <v>0</v>
      </c>
      <c r="L795" s="612">
        <f>VLOOKUP(A795,'PL Gr'!A:A,1,0)</f>
        <v>500085</v>
      </c>
      <c r="M795" s="612">
        <f t="shared" si="87"/>
        <v>1</v>
      </c>
      <c r="N795" s="613">
        <f t="shared" si="88"/>
        <v>0</v>
      </c>
      <c r="O795" s="613">
        <f>VLOOKUP(A795,'PL Gr'!A:A,1,FALSE)</f>
        <v>500085</v>
      </c>
      <c r="P795" s="613">
        <v>0</v>
      </c>
      <c r="Q795" s="613">
        <f t="shared" si="84"/>
        <v>0</v>
      </c>
      <c r="R795" s="1514"/>
      <c r="S795" s="1617" t="e">
        <f>SUMIF('[105]TB for financial'!$A:$A,A795,'[105]TB for financial'!$E:$E)</f>
        <v>#VALUE!</v>
      </c>
    </row>
    <row r="796" spans="1:19">
      <c r="A796" s="608">
        <v>500086</v>
      </c>
      <c r="B796" s="609" t="s">
        <v>1579</v>
      </c>
      <c r="C796" s="610">
        <f t="shared" si="85"/>
        <v>0</v>
      </c>
      <c r="D796" s="611">
        <v>0</v>
      </c>
      <c r="E796" s="610">
        <f>SUMIF('Entries 24-25'!$B:$B,A:A,'Entries 24-25'!$D:$D)-SUMIF('Entries 24-25'!$B:$B,A:A,'Entries 24-25'!$E:$E)+SUMIF('IND AS entries 24-25'!$B:$B,A:A,'IND AS entries 24-25'!$D:$D)-SUMIF('IND AS entries 24-25'!$B:$B,A:A,'IND AS entries 24-25'!$E:$E)</f>
        <v>0</v>
      </c>
      <c r="F796" s="611">
        <f t="shared" si="86"/>
        <v>0</v>
      </c>
      <c r="G796" s="610"/>
      <c r="H796" s="610"/>
      <c r="I796" s="611">
        <v>0</v>
      </c>
      <c r="J796" s="610">
        <v>0</v>
      </c>
      <c r="K796" s="611">
        <f t="shared" si="82"/>
        <v>0</v>
      </c>
      <c r="L796" s="612">
        <f>VLOOKUP(A796,'PL Gr'!A:A,1,0)</f>
        <v>500086</v>
      </c>
      <c r="M796" s="612">
        <f t="shared" si="87"/>
        <v>1</v>
      </c>
      <c r="N796" s="613">
        <f t="shared" si="88"/>
        <v>0</v>
      </c>
      <c r="O796" s="613">
        <f>VLOOKUP(A796,'PL Gr'!A:A,1,FALSE)</f>
        <v>500086</v>
      </c>
      <c r="P796" s="613">
        <v>0</v>
      </c>
      <c r="Q796" s="613">
        <f t="shared" si="84"/>
        <v>0</v>
      </c>
      <c r="R796" s="1514"/>
      <c r="S796" s="1617" t="e">
        <f>SUMIF('[105]TB for financial'!$A:$A,A796,'[105]TB for financial'!$E:$E)</f>
        <v>#VALUE!</v>
      </c>
    </row>
    <row r="797" spans="1:19">
      <c r="A797" s="608">
        <v>500087</v>
      </c>
      <c r="B797" s="609" t="s">
        <v>1580</v>
      </c>
      <c r="C797" s="610">
        <f t="shared" si="85"/>
        <v>0</v>
      </c>
      <c r="D797" s="611">
        <v>0</v>
      </c>
      <c r="E797" s="610">
        <f>SUMIF('Entries 24-25'!$B:$B,A:A,'Entries 24-25'!$D:$D)-SUMIF('Entries 24-25'!$B:$B,A:A,'Entries 24-25'!$E:$E)+SUMIF('IND AS entries 24-25'!$B:$B,A:A,'IND AS entries 24-25'!$D:$D)-SUMIF('IND AS entries 24-25'!$B:$B,A:A,'IND AS entries 24-25'!$E:$E)</f>
        <v>0</v>
      </c>
      <c r="F797" s="611">
        <f t="shared" si="86"/>
        <v>0</v>
      </c>
      <c r="G797" s="610"/>
      <c r="H797" s="610"/>
      <c r="I797" s="611">
        <v>0</v>
      </c>
      <c r="J797" s="610">
        <v>0</v>
      </c>
      <c r="K797" s="611">
        <f t="shared" si="82"/>
        <v>0</v>
      </c>
      <c r="L797" s="612">
        <f>VLOOKUP(A797,'PL Gr'!A:A,1,0)</f>
        <v>500087</v>
      </c>
      <c r="M797" s="612">
        <f t="shared" si="87"/>
        <v>1</v>
      </c>
      <c r="N797" s="613">
        <f t="shared" si="88"/>
        <v>0</v>
      </c>
      <c r="O797" s="613">
        <f>VLOOKUP(A797,'PL Gr'!A:A,1,FALSE)</f>
        <v>500087</v>
      </c>
      <c r="P797" s="613">
        <v>1979750</v>
      </c>
      <c r="Q797" s="613">
        <f t="shared" si="84"/>
        <v>-1979750</v>
      </c>
      <c r="R797" s="1514"/>
      <c r="S797" s="1617" t="e">
        <f>SUMIF('[105]TB for financial'!$A:$A,A797,'[105]TB for financial'!$E:$E)</f>
        <v>#VALUE!</v>
      </c>
    </row>
    <row r="798" spans="1:19">
      <c r="A798" s="608">
        <v>500088</v>
      </c>
      <c r="B798" s="609" t="s">
        <v>1581</v>
      </c>
      <c r="C798" s="610">
        <f t="shared" si="85"/>
        <v>0</v>
      </c>
      <c r="D798" s="611">
        <v>0</v>
      </c>
      <c r="E798" s="610">
        <f>SUMIF('Entries 24-25'!$B:$B,A:A,'Entries 24-25'!$D:$D)-SUMIF('Entries 24-25'!$B:$B,A:A,'Entries 24-25'!$E:$E)+SUMIF('IND AS entries 24-25'!$B:$B,A:A,'IND AS entries 24-25'!$D:$D)-SUMIF('IND AS entries 24-25'!$B:$B,A:A,'IND AS entries 24-25'!$E:$E)</f>
        <v>0</v>
      </c>
      <c r="F798" s="611">
        <f t="shared" si="86"/>
        <v>0</v>
      </c>
      <c r="G798" s="610"/>
      <c r="H798" s="610"/>
      <c r="I798" s="611">
        <v>0</v>
      </c>
      <c r="J798" s="610">
        <v>0</v>
      </c>
      <c r="K798" s="611">
        <f t="shared" si="82"/>
        <v>0</v>
      </c>
      <c r="L798" s="612">
        <f>VLOOKUP(A798,'PL Gr'!A:A,1,0)</f>
        <v>500088</v>
      </c>
      <c r="M798" s="612">
        <f t="shared" si="87"/>
        <v>1</v>
      </c>
      <c r="N798" s="613">
        <f t="shared" si="88"/>
        <v>0</v>
      </c>
      <c r="O798" s="613">
        <f>VLOOKUP(A798,'PL Gr'!A:A,1,FALSE)</f>
        <v>500088</v>
      </c>
      <c r="P798" s="613">
        <v>87583</v>
      </c>
      <c r="Q798" s="613">
        <f t="shared" si="84"/>
        <v>-87583</v>
      </c>
      <c r="R798" s="1514"/>
      <c r="S798" s="1617" t="e">
        <f>SUMIF('[105]TB for financial'!$A:$A,A798,'[105]TB for financial'!$E:$E)</f>
        <v>#VALUE!</v>
      </c>
    </row>
    <row r="799" spans="1:19">
      <c r="A799" s="608">
        <v>500089</v>
      </c>
      <c r="B799" s="609" t="s">
        <v>1582</v>
      </c>
      <c r="C799" s="610">
        <f t="shared" si="85"/>
        <v>0</v>
      </c>
      <c r="D799" s="611">
        <v>0</v>
      </c>
      <c r="E799" s="610">
        <f>SUMIF('Entries 24-25'!$B:$B,A:A,'Entries 24-25'!$D:$D)-SUMIF('Entries 24-25'!$B:$B,A:A,'Entries 24-25'!$E:$E)+SUMIF('IND AS entries 24-25'!$B:$B,A:A,'IND AS entries 24-25'!$D:$D)-SUMIF('IND AS entries 24-25'!$B:$B,A:A,'IND AS entries 24-25'!$E:$E)</f>
        <v>0</v>
      </c>
      <c r="F799" s="611">
        <f t="shared" si="86"/>
        <v>0</v>
      </c>
      <c r="G799" s="610"/>
      <c r="H799" s="610"/>
      <c r="I799" s="611">
        <v>0</v>
      </c>
      <c r="J799" s="610">
        <v>0</v>
      </c>
      <c r="K799" s="611">
        <f t="shared" si="82"/>
        <v>0</v>
      </c>
      <c r="L799" s="612">
        <f>VLOOKUP(A799,'PL Gr'!A:A,1,0)</f>
        <v>500089</v>
      </c>
      <c r="M799" s="612">
        <f t="shared" si="87"/>
        <v>1</v>
      </c>
      <c r="N799" s="613">
        <f t="shared" si="88"/>
        <v>0</v>
      </c>
      <c r="O799" s="613">
        <f>VLOOKUP(A799,'PL Gr'!A:A,1,FALSE)</f>
        <v>500089</v>
      </c>
      <c r="P799" s="613">
        <v>23588.31</v>
      </c>
      <c r="Q799" s="613">
        <f t="shared" si="84"/>
        <v>-23588.31</v>
      </c>
      <c r="R799" s="1514"/>
      <c r="S799" s="1617" t="e">
        <f>SUMIF('[105]TB for financial'!$A:$A,A799,'[105]TB for financial'!$E:$E)</f>
        <v>#VALUE!</v>
      </c>
    </row>
    <row r="800" spans="1:19">
      <c r="A800" s="608">
        <v>500090</v>
      </c>
      <c r="B800" s="609" t="s">
        <v>1583</v>
      </c>
      <c r="C800" s="610">
        <f t="shared" si="85"/>
        <v>0</v>
      </c>
      <c r="D800" s="611">
        <v>0</v>
      </c>
      <c r="E800" s="610">
        <f>SUMIF('Entries 24-25'!$B:$B,A:A,'Entries 24-25'!$D:$D)-SUMIF('Entries 24-25'!$B:$B,A:A,'Entries 24-25'!$E:$E)+SUMIF('IND AS entries 24-25'!$B:$B,A:A,'IND AS entries 24-25'!$D:$D)-SUMIF('IND AS entries 24-25'!$B:$B,A:A,'IND AS entries 24-25'!$E:$E)</f>
        <v>0</v>
      </c>
      <c r="F800" s="611">
        <f t="shared" si="86"/>
        <v>0</v>
      </c>
      <c r="G800" s="610"/>
      <c r="H800" s="610"/>
      <c r="I800" s="611">
        <v>0</v>
      </c>
      <c r="J800" s="610">
        <v>0</v>
      </c>
      <c r="K800" s="611">
        <f t="shared" si="82"/>
        <v>0</v>
      </c>
      <c r="L800" s="612">
        <f>VLOOKUP(A800,'PL Gr'!A:A,1,0)</f>
        <v>500090</v>
      </c>
      <c r="M800" s="612">
        <f t="shared" si="87"/>
        <v>1</v>
      </c>
      <c r="N800" s="613">
        <f t="shared" si="88"/>
        <v>0</v>
      </c>
      <c r="O800" s="613">
        <f>VLOOKUP(A800,'PL Gr'!A:A,1,FALSE)</f>
        <v>500090</v>
      </c>
      <c r="P800" s="613">
        <v>367089</v>
      </c>
      <c r="Q800" s="613">
        <f t="shared" si="84"/>
        <v>-367089</v>
      </c>
      <c r="R800" s="1514"/>
      <c r="S800" s="1617" t="e">
        <f>SUMIF('[105]TB for financial'!$A:$A,A800,'[105]TB for financial'!$E:$E)</f>
        <v>#VALUE!</v>
      </c>
    </row>
    <row r="801" spans="1:19">
      <c r="A801" s="608">
        <v>500091</v>
      </c>
      <c r="B801" s="609" t="s">
        <v>1584</v>
      </c>
      <c r="C801" s="610">
        <f t="shared" si="85"/>
        <v>0</v>
      </c>
      <c r="D801" s="611">
        <v>0</v>
      </c>
      <c r="E801" s="610">
        <f>SUMIF('Entries 24-25'!$B:$B,A:A,'Entries 24-25'!$D:$D)-SUMIF('Entries 24-25'!$B:$B,A:A,'Entries 24-25'!$E:$E)+SUMIF('IND AS entries 24-25'!$B:$B,A:A,'IND AS entries 24-25'!$D:$D)-SUMIF('IND AS entries 24-25'!$B:$B,A:A,'IND AS entries 24-25'!$E:$E)</f>
        <v>0</v>
      </c>
      <c r="F801" s="611">
        <f t="shared" si="86"/>
        <v>0</v>
      </c>
      <c r="G801" s="610"/>
      <c r="H801" s="610"/>
      <c r="I801" s="611">
        <v>0</v>
      </c>
      <c r="J801" s="610">
        <v>0</v>
      </c>
      <c r="K801" s="611">
        <f t="shared" si="82"/>
        <v>0</v>
      </c>
      <c r="L801" s="612">
        <f>VLOOKUP(A801,'PL Gr'!A:A,1,0)</f>
        <v>500091</v>
      </c>
      <c r="M801" s="612">
        <f t="shared" si="87"/>
        <v>1</v>
      </c>
      <c r="N801" s="613">
        <f t="shared" si="88"/>
        <v>0</v>
      </c>
      <c r="O801" s="613">
        <f>VLOOKUP(A801,'PL Gr'!A:A,1,FALSE)</f>
        <v>500091</v>
      </c>
      <c r="P801" s="613">
        <v>0</v>
      </c>
      <c r="Q801" s="613">
        <f t="shared" si="84"/>
        <v>0</v>
      </c>
      <c r="R801" s="1514"/>
      <c r="S801" s="1617" t="e">
        <f>SUMIF('[105]TB for financial'!$A:$A,A801,'[105]TB for financial'!$E:$E)</f>
        <v>#VALUE!</v>
      </c>
    </row>
    <row r="802" spans="1:19">
      <c r="A802" s="608">
        <v>500092</v>
      </c>
      <c r="B802" s="609" t="s">
        <v>1585</v>
      </c>
      <c r="C802" s="610">
        <f t="shared" si="85"/>
        <v>0</v>
      </c>
      <c r="D802" s="611">
        <v>0</v>
      </c>
      <c r="E802" s="610">
        <f>SUMIF('Entries 24-25'!$B:$B,A:A,'Entries 24-25'!$D:$D)-SUMIF('Entries 24-25'!$B:$B,A:A,'Entries 24-25'!$E:$E)+SUMIF('IND AS entries 24-25'!$B:$B,A:A,'IND AS entries 24-25'!$D:$D)-SUMIF('IND AS entries 24-25'!$B:$B,A:A,'IND AS entries 24-25'!$E:$E)</f>
        <v>0</v>
      </c>
      <c r="F802" s="611">
        <f t="shared" si="86"/>
        <v>0</v>
      </c>
      <c r="G802" s="610"/>
      <c r="H802" s="610"/>
      <c r="I802" s="611">
        <v>0</v>
      </c>
      <c r="J802" s="610">
        <v>0</v>
      </c>
      <c r="K802" s="611">
        <f t="shared" si="82"/>
        <v>0</v>
      </c>
      <c r="L802" s="612">
        <f>VLOOKUP(A802,'PL Gr'!A:A,1,0)</f>
        <v>500092</v>
      </c>
      <c r="M802" s="612">
        <f t="shared" si="87"/>
        <v>1</v>
      </c>
      <c r="N802" s="613">
        <f t="shared" si="88"/>
        <v>0</v>
      </c>
      <c r="O802" s="613">
        <f>VLOOKUP(A802,'PL Gr'!A:A,1,FALSE)</f>
        <v>500092</v>
      </c>
      <c r="P802" s="613">
        <v>-1324436</v>
      </c>
      <c r="Q802" s="613">
        <f t="shared" si="84"/>
        <v>1324436</v>
      </c>
      <c r="R802" s="1514"/>
      <c r="S802" s="1617" t="e">
        <f>SUMIF('[105]TB for financial'!$A:$A,A802,'[105]TB for financial'!$E:$E)</f>
        <v>#VALUE!</v>
      </c>
    </row>
    <row r="803" spans="1:19">
      <c r="A803" s="608">
        <v>500093</v>
      </c>
      <c r="B803" s="609" t="s">
        <v>1586</v>
      </c>
      <c r="C803" s="610">
        <f t="shared" si="85"/>
        <v>0</v>
      </c>
      <c r="D803" s="611">
        <v>0</v>
      </c>
      <c r="E803" s="610">
        <f>SUMIF('Entries 24-25'!$B:$B,A:A,'Entries 24-25'!$D:$D)-SUMIF('Entries 24-25'!$B:$B,A:A,'Entries 24-25'!$E:$E)+SUMIF('IND AS entries 24-25'!$B:$B,A:A,'IND AS entries 24-25'!$D:$D)-SUMIF('IND AS entries 24-25'!$B:$B,A:A,'IND AS entries 24-25'!$E:$E)</f>
        <v>0</v>
      </c>
      <c r="F803" s="611">
        <f t="shared" si="86"/>
        <v>0</v>
      </c>
      <c r="G803" s="610"/>
      <c r="H803" s="610"/>
      <c r="I803" s="611">
        <v>0</v>
      </c>
      <c r="J803" s="610">
        <v>0</v>
      </c>
      <c r="K803" s="611">
        <f t="shared" si="82"/>
        <v>0</v>
      </c>
      <c r="L803" s="612">
        <f>VLOOKUP(A803,'PL Gr'!A:A,1,0)</f>
        <v>500093</v>
      </c>
      <c r="M803" s="612">
        <f t="shared" si="87"/>
        <v>1</v>
      </c>
      <c r="N803" s="613">
        <f t="shared" si="88"/>
        <v>0</v>
      </c>
      <c r="O803" s="613">
        <f>VLOOKUP(A803,'PL Gr'!A:A,1,FALSE)</f>
        <v>500093</v>
      </c>
      <c r="P803" s="613">
        <v>440768</v>
      </c>
      <c r="Q803" s="613">
        <f t="shared" si="84"/>
        <v>-440768</v>
      </c>
      <c r="R803" s="1514"/>
      <c r="S803" s="1617" t="e">
        <f>SUMIF('[105]TB for financial'!$A:$A,A803,'[105]TB for financial'!$E:$E)</f>
        <v>#VALUE!</v>
      </c>
    </row>
    <row r="804" spans="1:19">
      <c r="A804" s="608">
        <v>500094</v>
      </c>
      <c r="B804" s="609" t="s">
        <v>1587</v>
      </c>
      <c r="C804" s="610">
        <f t="shared" si="85"/>
        <v>0</v>
      </c>
      <c r="D804" s="611">
        <v>0</v>
      </c>
      <c r="E804" s="610">
        <f>SUMIF('Entries 24-25'!$B:$B,A:A,'Entries 24-25'!$D:$D)-SUMIF('Entries 24-25'!$B:$B,A:A,'Entries 24-25'!$E:$E)+SUMIF('IND AS entries 24-25'!$B:$B,A:A,'IND AS entries 24-25'!$D:$D)-SUMIF('IND AS entries 24-25'!$B:$B,A:A,'IND AS entries 24-25'!$E:$E)</f>
        <v>0</v>
      </c>
      <c r="F804" s="611">
        <f t="shared" si="86"/>
        <v>0</v>
      </c>
      <c r="G804" s="610"/>
      <c r="H804" s="610"/>
      <c r="I804" s="611">
        <v>0</v>
      </c>
      <c r="J804" s="610">
        <v>0</v>
      </c>
      <c r="K804" s="611">
        <f t="shared" si="82"/>
        <v>0</v>
      </c>
      <c r="L804" s="612">
        <f>VLOOKUP(A804,'PL Gr'!A:A,1,0)</f>
        <v>500094</v>
      </c>
      <c r="M804" s="612">
        <f t="shared" si="87"/>
        <v>1</v>
      </c>
      <c r="N804" s="613">
        <f t="shared" si="88"/>
        <v>0</v>
      </c>
      <c r="O804" s="613">
        <f>VLOOKUP(A804,'PL Gr'!A:A,1,FALSE)</f>
        <v>500094</v>
      </c>
      <c r="P804" s="613">
        <v>424864</v>
      </c>
      <c r="Q804" s="613">
        <f t="shared" si="84"/>
        <v>-424864</v>
      </c>
      <c r="R804" s="1514"/>
      <c r="S804" s="1617" t="e">
        <f>SUMIF('[105]TB for financial'!$A:$A,A804,'[105]TB for financial'!$E:$E)</f>
        <v>#VALUE!</v>
      </c>
    </row>
    <row r="805" spans="1:19">
      <c r="A805" s="608">
        <v>500100</v>
      </c>
      <c r="B805" s="609" t="s">
        <v>1588</v>
      </c>
      <c r="C805" s="610">
        <f t="shared" si="85"/>
        <v>0</v>
      </c>
      <c r="D805" s="611">
        <v>0</v>
      </c>
      <c r="E805" s="610">
        <f>SUMIF('Entries 24-25'!$B:$B,A:A,'Entries 24-25'!$D:$D)-SUMIF('Entries 24-25'!$B:$B,A:A,'Entries 24-25'!$E:$E)+SUMIF('IND AS entries 24-25'!$B:$B,A:A,'IND AS entries 24-25'!$D:$D)-SUMIF('IND AS entries 24-25'!$B:$B,A:A,'IND AS entries 24-25'!$E:$E)</f>
        <v>0</v>
      </c>
      <c r="F805" s="611">
        <f t="shared" si="86"/>
        <v>0</v>
      </c>
      <c r="G805" s="610"/>
      <c r="H805" s="610"/>
      <c r="I805" s="611">
        <v>0</v>
      </c>
      <c r="J805" s="610">
        <v>0</v>
      </c>
      <c r="K805" s="611">
        <f t="shared" si="82"/>
        <v>0</v>
      </c>
      <c r="L805" s="612">
        <f>VLOOKUP(A805,'PL Gr'!A:A,1,0)</f>
        <v>500100</v>
      </c>
      <c r="M805" s="612">
        <f t="shared" si="87"/>
        <v>1</v>
      </c>
      <c r="N805" s="613">
        <f t="shared" si="88"/>
        <v>0</v>
      </c>
      <c r="O805" s="613">
        <f>VLOOKUP(A805,'PL Gr'!A:A,1,FALSE)</f>
        <v>500100</v>
      </c>
      <c r="P805" s="613">
        <v>6807523.4699999997</v>
      </c>
      <c r="Q805" s="613">
        <f t="shared" si="84"/>
        <v>-6807523.4699999997</v>
      </c>
      <c r="R805" s="1514"/>
      <c r="S805" s="1617" t="e">
        <f>SUMIF('[105]TB for financial'!$A:$A,A805,'[105]TB for financial'!$E:$E)</f>
        <v>#VALUE!</v>
      </c>
    </row>
    <row r="806" spans="1:19">
      <c r="A806" s="608">
        <v>500101</v>
      </c>
      <c r="B806" s="609" t="s">
        <v>1589</v>
      </c>
      <c r="C806" s="610">
        <f t="shared" si="85"/>
        <v>0</v>
      </c>
      <c r="D806" s="611">
        <v>0</v>
      </c>
      <c r="E806" s="610">
        <f>SUMIF('Entries 24-25'!$B:$B,A:A,'Entries 24-25'!$D:$D)-SUMIF('Entries 24-25'!$B:$B,A:A,'Entries 24-25'!$E:$E)+SUMIF('IND AS entries 24-25'!$B:$B,A:A,'IND AS entries 24-25'!$D:$D)-SUMIF('IND AS entries 24-25'!$B:$B,A:A,'IND AS entries 24-25'!$E:$E)</f>
        <v>0</v>
      </c>
      <c r="F806" s="611">
        <f t="shared" si="86"/>
        <v>0</v>
      </c>
      <c r="G806" s="610"/>
      <c r="H806" s="610"/>
      <c r="I806" s="611">
        <v>0</v>
      </c>
      <c r="J806" s="610">
        <v>0</v>
      </c>
      <c r="K806" s="611">
        <f t="shared" si="82"/>
        <v>0</v>
      </c>
      <c r="L806" s="612">
        <f>VLOOKUP(A806,'PL Gr'!A:A,1,0)</f>
        <v>500101</v>
      </c>
      <c r="M806" s="612">
        <f t="shared" si="87"/>
        <v>1</v>
      </c>
      <c r="N806" s="613">
        <f t="shared" si="88"/>
        <v>0</v>
      </c>
      <c r="O806" s="613">
        <f>VLOOKUP(A806,'PL Gr'!A:A,1,FALSE)</f>
        <v>500101</v>
      </c>
      <c r="P806" s="613">
        <v>0</v>
      </c>
      <c r="Q806" s="613">
        <f t="shared" si="84"/>
        <v>0</v>
      </c>
      <c r="R806" s="1514"/>
      <c r="S806" s="1617" t="e">
        <f>SUMIF('[105]TB for financial'!$A:$A,A806,'[105]TB for financial'!$E:$E)</f>
        <v>#VALUE!</v>
      </c>
    </row>
    <row r="807" spans="1:19">
      <c r="A807" s="608">
        <v>500102</v>
      </c>
      <c r="B807" s="609" t="s">
        <v>1590</v>
      </c>
      <c r="C807" s="610">
        <f t="shared" si="85"/>
        <v>0</v>
      </c>
      <c r="D807" s="611">
        <v>0</v>
      </c>
      <c r="E807" s="610">
        <f>SUMIF('Entries 24-25'!$B:$B,A:A,'Entries 24-25'!$D:$D)-SUMIF('Entries 24-25'!$B:$B,A:A,'Entries 24-25'!$E:$E)+SUMIF('IND AS entries 24-25'!$B:$B,A:A,'IND AS entries 24-25'!$D:$D)-SUMIF('IND AS entries 24-25'!$B:$B,A:A,'IND AS entries 24-25'!$E:$E)</f>
        <v>0</v>
      </c>
      <c r="F807" s="611">
        <f t="shared" si="86"/>
        <v>0</v>
      </c>
      <c r="G807" s="610"/>
      <c r="H807" s="610"/>
      <c r="I807" s="611">
        <v>0</v>
      </c>
      <c r="J807" s="610">
        <v>0</v>
      </c>
      <c r="K807" s="611">
        <f t="shared" si="82"/>
        <v>0</v>
      </c>
      <c r="L807" s="612">
        <f>VLOOKUP(A807,'PL Gr'!A:A,1,0)</f>
        <v>500102</v>
      </c>
      <c r="M807" s="612">
        <f t="shared" si="87"/>
        <v>1</v>
      </c>
      <c r="N807" s="613">
        <f t="shared" si="88"/>
        <v>0</v>
      </c>
      <c r="O807" s="613">
        <f>VLOOKUP(A807,'PL Gr'!A:A,1,FALSE)</f>
        <v>500102</v>
      </c>
      <c r="P807" s="613">
        <v>0</v>
      </c>
      <c r="Q807" s="613">
        <f t="shared" si="84"/>
        <v>0</v>
      </c>
      <c r="R807" s="1514"/>
      <c r="S807" s="1617" t="e">
        <f>SUMIF('[105]TB for financial'!$A:$A,A807,'[105]TB for financial'!$E:$E)</f>
        <v>#VALUE!</v>
      </c>
    </row>
    <row r="808" spans="1:19">
      <c r="A808" s="608">
        <v>500103</v>
      </c>
      <c r="B808" s="609" t="s">
        <v>1591</v>
      </c>
      <c r="C808" s="610">
        <f t="shared" si="85"/>
        <v>0</v>
      </c>
      <c r="D808" s="611">
        <v>0</v>
      </c>
      <c r="E808" s="610">
        <f>SUMIF('Entries 24-25'!$B:$B,A:A,'Entries 24-25'!$D:$D)-SUMIF('Entries 24-25'!$B:$B,A:A,'Entries 24-25'!$E:$E)+SUMIF('IND AS entries 24-25'!$B:$B,A:A,'IND AS entries 24-25'!$D:$D)-SUMIF('IND AS entries 24-25'!$B:$B,A:A,'IND AS entries 24-25'!$E:$E)</f>
        <v>0</v>
      </c>
      <c r="F808" s="611">
        <f t="shared" si="86"/>
        <v>0</v>
      </c>
      <c r="G808" s="610"/>
      <c r="H808" s="610"/>
      <c r="I808" s="611">
        <v>0</v>
      </c>
      <c r="J808" s="610">
        <v>0</v>
      </c>
      <c r="K808" s="611">
        <f t="shared" si="82"/>
        <v>0</v>
      </c>
      <c r="L808" s="612">
        <f>VLOOKUP(A808,'PL Gr'!A:A,1,0)</f>
        <v>500103</v>
      </c>
      <c r="M808" s="612">
        <f t="shared" si="87"/>
        <v>1</v>
      </c>
      <c r="N808" s="613">
        <f t="shared" si="88"/>
        <v>0</v>
      </c>
      <c r="O808" s="613">
        <f>VLOOKUP(A808,'PL Gr'!A:A,1,FALSE)</f>
        <v>500103</v>
      </c>
      <c r="P808" s="613">
        <v>0</v>
      </c>
      <c r="Q808" s="613">
        <f t="shared" si="84"/>
        <v>0</v>
      </c>
      <c r="R808" s="1514"/>
      <c r="S808" s="1617" t="e">
        <f>SUMIF('[105]TB for financial'!$A:$A,A808,'[105]TB for financial'!$E:$E)</f>
        <v>#VALUE!</v>
      </c>
    </row>
    <row r="809" spans="1:19">
      <c r="A809" s="608">
        <v>500104</v>
      </c>
      <c r="B809" s="609" t="s">
        <v>1592</v>
      </c>
      <c r="C809" s="610">
        <f t="shared" si="85"/>
        <v>0</v>
      </c>
      <c r="D809" s="611">
        <v>0</v>
      </c>
      <c r="E809" s="610">
        <f>SUMIF('Entries 24-25'!$B:$B,A:A,'Entries 24-25'!$D:$D)-SUMIF('Entries 24-25'!$B:$B,A:A,'Entries 24-25'!$E:$E)+SUMIF('IND AS entries 24-25'!$B:$B,A:A,'IND AS entries 24-25'!$D:$D)-SUMIF('IND AS entries 24-25'!$B:$B,A:A,'IND AS entries 24-25'!$E:$E)</f>
        <v>0</v>
      </c>
      <c r="F809" s="611">
        <f t="shared" si="86"/>
        <v>0</v>
      </c>
      <c r="G809" s="610"/>
      <c r="H809" s="610"/>
      <c r="I809" s="611">
        <v>0</v>
      </c>
      <c r="J809" s="610">
        <v>0</v>
      </c>
      <c r="K809" s="611">
        <f t="shared" si="82"/>
        <v>0</v>
      </c>
      <c r="L809" s="612">
        <f>VLOOKUP(A809,'PL Gr'!A:A,1,0)</f>
        <v>500104</v>
      </c>
      <c r="M809" s="612">
        <f t="shared" si="87"/>
        <v>1</v>
      </c>
      <c r="N809" s="613">
        <f t="shared" si="88"/>
        <v>0</v>
      </c>
      <c r="O809" s="613">
        <f>VLOOKUP(A809,'PL Gr'!A:A,1,FALSE)</f>
        <v>500104</v>
      </c>
      <c r="P809" s="613">
        <v>0</v>
      </c>
      <c r="Q809" s="613">
        <f t="shared" si="84"/>
        <v>0</v>
      </c>
      <c r="R809" s="1514"/>
      <c r="S809" s="1617" t="e">
        <f>SUMIF('[105]TB for financial'!$A:$A,A809,'[105]TB for financial'!$E:$E)</f>
        <v>#VALUE!</v>
      </c>
    </row>
    <row r="810" spans="1:19">
      <c r="A810" s="608">
        <v>500105</v>
      </c>
      <c r="B810" s="609" t="s">
        <v>1593</v>
      </c>
      <c r="C810" s="610">
        <f t="shared" si="85"/>
        <v>0</v>
      </c>
      <c r="D810" s="611">
        <v>0</v>
      </c>
      <c r="E810" s="610">
        <f>SUMIF('Entries 24-25'!$B:$B,A:A,'Entries 24-25'!$D:$D)-SUMIF('Entries 24-25'!$B:$B,A:A,'Entries 24-25'!$E:$E)+SUMIF('IND AS entries 24-25'!$B:$B,A:A,'IND AS entries 24-25'!$D:$D)-SUMIF('IND AS entries 24-25'!$B:$B,A:A,'IND AS entries 24-25'!$E:$E)</f>
        <v>0</v>
      </c>
      <c r="F810" s="611">
        <f t="shared" si="86"/>
        <v>0</v>
      </c>
      <c r="G810" s="610"/>
      <c r="H810" s="610"/>
      <c r="I810" s="611">
        <v>0</v>
      </c>
      <c r="J810" s="610">
        <v>0</v>
      </c>
      <c r="K810" s="611">
        <f t="shared" si="82"/>
        <v>0</v>
      </c>
      <c r="L810" s="612">
        <f>VLOOKUP(A810,'PL Gr'!A:A,1,0)</f>
        <v>500105</v>
      </c>
      <c r="M810" s="612">
        <f t="shared" si="87"/>
        <v>1</v>
      </c>
      <c r="N810" s="613">
        <f t="shared" si="88"/>
        <v>0</v>
      </c>
      <c r="O810" s="613">
        <f>VLOOKUP(A810,'PL Gr'!A:A,1,FALSE)</f>
        <v>500105</v>
      </c>
      <c r="P810" s="613">
        <v>0</v>
      </c>
      <c r="Q810" s="613">
        <f t="shared" si="84"/>
        <v>0</v>
      </c>
      <c r="R810" s="1514"/>
      <c r="S810" s="1617" t="e">
        <f>SUMIF('[105]TB for financial'!$A:$A,A810,'[105]TB for financial'!$E:$E)</f>
        <v>#VALUE!</v>
      </c>
    </row>
    <row r="811" spans="1:19">
      <c r="A811" s="608">
        <v>500106</v>
      </c>
      <c r="B811" s="609" t="s">
        <v>1594</v>
      </c>
      <c r="C811" s="610">
        <f t="shared" si="85"/>
        <v>0</v>
      </c>
      <c r="D811" s="611">
        <v>0</v>
      </c>
      <c r="E811" s="610">
        <f>SUMIF('Entries 24-25'!$B:$B,A:A,'Entries 24-25'!$D:$D)-SUMIF('Entries 24-25'!$B:$B,A:A,'Entries 24-25'!$E:$E)+SUMIF('IND AS entries 24-25'!$B:$B,A:A,'IND AS entries 24-25'!$D:$D)-SUMIF('IND AS entries 24-25'!$B:$B,A:A,'IND AS entries 24-25'!$E:$E)</f>
        <v>0</v>
      </c>
      <c r="F811" s="611">
        <f t="shared" si="86"/>
        <v>0</v>
      </c>
      <c r="G811" s="610"/>
      <c r="H811" s="610"/>
      <c r="I811" s="611">
        <v>0</v>
      </c>
      <c r="J811" s="610">
        <v>0</v>
      </c>
      <c r="K811" s="611">
        <f t="shared" si="82"/>
        <v>0</v>
      </c>
      <c r="L811" s="612">
        <f>VLOOKUP(A811,'PL Gr'!A:A,1,0)</f>
        <v>500106</v>
      </c>
      <c r="M811" s="612">
        <f t="shared" si="87"/>
        <v>1</v>
      </c>
      <c r="N811" s="613">
        <f t="shared" si="88"/>
        <v>0</v>
      </c>
      <c r="O811" s="613">
        <f>VLOOKUP(A811,'PL Gr'!A:A,1,FALSE)</f>
        <v>500106</v>
      </c>
      <c r="P811" s="613">
        <v>0</v>
      </c>
      <c r="Q811" s="613">
        <f t="shared" si="84"/>
        <v>0</v>
      </c>
      <c r="R811" s="1514"/>
      <c r="S811" s="1617" t="e">
        <f>SUMIF('[105]TB for financial'!$A:$A,A811,'[105]TB for financial'!$E:$E)</f>
        <v>#VALUE!</v>
      </c>
    </row>
    <row r="812" spans="1:19">
      <c r="A812" s="608">
        <v>500107</v>
      </c>
      <c r="B812" s="609" t="s">
        <v>1595</v>
      </c>
      <c r="C812" s="610">
        <f t="shared" si="85"/>
        <v>0</v>
      </c>
      <c r="D812" s="611">
        <v>0</v>
      </c>
      <c r="E812" s="610">
        <f>SUMIF('Entries 24-25'!$B:$B,A:A,'Entries 24-25'!$D:$D)-SUMIF('Entries 24-25'!$B:$B,A:A,'Entries 24-25'!$E:$E)+SUMIF('IND AS entries 24-25'!$B:$B,A:A,'IND AS entries 24-25'!$D:$D)-SUMIF('IND AS entries 24-25'!$B:$B,A:A,'IND AS entries 24-25'!$E:$E)</f>
        <v>0</v>
      </c>
      <c r="F812" s="611">
        <f t="shared" si="86"/>
        <v>0</v>
      </c>
      <c r="G812" s="610"/>
      <c r="H812" s="610"/>
      <c r="I812" s="611">
        <v>0</v>
      </c>
      <c r="J812" s="610">
        <v>0</v>
      </c>
      <c r="K812" s="611">
        <f t="shared" si="82"/>
        <v>0</v>
      </c>
      <c r="L812" s="612">
        <f>VLOOKUP(A812,'PL Gr'!A:A,1,0)</f>
        <v>500107</v>
      </c>
      <c r="M812" s="612">
        <f t="shared" si="87"/>
        <v>1</v>
      </c>
      <c r="N812" s="613">
        <f t="shared" si="88"/>
        <v>0</v>
      </c>
      <c r="O812" s="613">
        <f>VLOOKUP(A812,'PL Gr'!A:A,1,FALSE)</f>
        <v>500107</v>
      </c>
      <c r="P812" s="613">
        <v>0</v>
      </c>
      <c r="Q812" s="613">
        <f t="shared" si="84"/>
        <v>0</v>
      </c>
      <c r="R812" s="1514"/>
      <c r="S812" s="1617" t="e">
        <f>SUMIF('[105]TB for financial'!$A:$A,A812,'[105]TB for financial'!$E:$E)</f>
        <v>#VALUE!</v>
      </c>
    </row>
    <row r="813" spans="1:19">
      <c r="A813" s="608">
        <v>500108</v>
      </c>
      <c r="B813" s="609" t="s">
        <v>1596</v>
      </c>
      <c r="C813" s="610">
        <f t="shared" si="85"/>
        <v>0</v>
      </c>
      <c r="D813" s="611">
        <v>0</v>
      </c>
      <c r="E813" s="610">
        <f>SUMIF('Entries 24-25'!$B:$B,A:A,'Entries 24-25'!$D:$D)-SUMIF('Entries 24-25'!$B:$B,A:A,'Entries 24-25'!$E:$E)+SUMIF('IND AS entries 24-25'!$B:$B,A:A,'IND AS entries 24-25'!$D:$D)-SUMIF('IND AS entries 24-25'!$B:$B,A:A,'IND AS entries 24-25'!$E:$E)</f>
        <v>0</v>
      </c>
      <c r="F813" s="611">
        <f t="shared" si="86"/>
        <v>0</v>
      </c>
      <c r="G813" s="610"/>
      <c r="H813" s="610"/>
      <c r="I813" s="611">
        <v>0</v>
      </c>
      <c r="J813" s="610">
        <v>0</v>
      </c>
      <c r="K813" s="611">
        <f t="shared" si="82"/>
        <v>0</v>
      </c>
      <c r="L813" s="612">
        <f>VLOOKUP(A813,'PL Gr'!A:A,1,0)</f>
        <v>500108</v>
      </c>
      <c r="M813" s="612">
        <f t="shared" si="87"/>
        <v>1</v>
      </c>
      <c r="N813" s="613">
        <f t="shared" si="88"/>
        <v>0</v>
      </c>
      <c r="O813" s="613">
        <f>VLOOKUP(A813,'PL Gr'!A:A,1,FALSE)</f>
        <v>500108</v>
      </c>
      <c r="P813" s="613">
        <v>0</v>
      </c>
      <c r="Q813" s="613">
        <f t="shared" si="84"/>
        <v>0</v>
      </c>
      <c r="R813" s="1514"/>
      <c r="S813" s="1617" t="e">
        <f>SUMIF('[105]TB for financial'!$A:$A,A813,'[105]TB for financial'!$E:$E)</f>
        <v>#VALUE!</v>
      </c>
    </row>
    <row r="814" spans="1:19">
      <c r="A814" s="608">
        <v>500109</v>
      </c>
      <c r="B814" s="609" t="s">
        <v>1597</v>
      </c>
      <c r="C814" s="610">
        <f t="shared" si="85"/>
        <v>0</v>
      </c>
      <c r="D814" s="611">
        <v>0</v>
      </c>
      <c r="E814" s="610">
        <f>SUMIF('Entries 24-25'!$B:$B,A:A,'Entries 24-25'!$D:$D)-SUMIF('Entries 24-25'!$B:$B,A:A,'Entries 24-25'!$E:$E)+SUMIF('IND AS entries 24-25'!$B:$B,A:A,'IND AS entries 24-25'!$D:$D)-SUMIF('IND AS entries 24-25'!$B:$B,A:A,'IND AS entries 24-25'!$E:$E)</f>
        <v>0</v>
      </c>
      <c r="F814" s="611">
        <f t="shared" si="86"/>
        <v>0</v>
      </c>
      <c r="G814" s="610"/>
      <c r="H814" s="610"/>
      <c r="I814" s="611">
        <v>0</v>
      </c>
      <c r="J814" s="610">
        <v>0</v>
      </c>
      <c r="K814" s="611">
        <f t="shared" si="82"/>
        <v>0</v>
      </c>
      <c r="L814" s="612">
        <f>VLOOKUP(A814,'PL Gr'!A:A,1,0)</f>
        <v>500109</v>
      </c>
      <c r="M814" s="612">
        <f t="shared" si="87"/>
        <v>1</v>
      </c>
      <c r="N814" s="613">
        <f t="shared" si="88"/>
        <v>0</v>
      </c>
      <c r="O814" s="613">
        <f>VLOOKUP(A814,'PL Gr'!A:A,1,FALSE)</f>
        <v>500109</v>
      </c>
      <c r="P814" s="613">
        <v>1183534</v>
      </c>
      <c r="Q814" s="613">
        <f t="shared" si="84"/>
        <v>-1183534</v>
      </c>
      <c r="R814" s="1514"/>
      <c r="S814" s="1617" t="e">
        <f>SUMIF('[105]TB for financial'!$A:$A,A814,'[105]TB for financial'!$E:$E)</f>
        <v>#VALUE!</v>
      </c>
    </row>
    <row r="815" spans="1:19">
      <c r="A815" s="608">
        <v>500110</v>
      </c>
      <c r="B815" s="609" t="s">
        <v>1598</v>
      </c>
      <c r="C815" s="610">
        <f t="shared" si="85"/>
        <v>0</v>
      </c>
      <c r="D815" s="611">
        <v>0</v>
      </c>
      <c r="E815" s="610">
        <f>SUMIF('Entries 24-25'!$B:$B,A:A,'Entries 24-25'!$D:$D)-SUMIF('Entries 24-25'!$B:$B,A:A,'Entries 24-25'!$E:$E)+SUMIF('IND AS entries 24-25'!$B:$B,A:A,'IND AS entries 24-25'!$D:$D)-SUMIF('IND AS entries 24-25'!$B:$B,A:A,'IND AS entries 24-25'!$E:$E)</f>
        <v>0</v>
      </c>
      <c r="F815" s="611">
        <f t="shared" si="86"/>
        <v>0</v>
      </c>
      <c r="G815" s="610"/>
      <c r="H815" s="610"/>
      <c r="I815" s="611">
        <v>0</v>
      </c>
      <c r="J815" s="610">
        <v>0</v>
      </c>
      <c r="K815" s="611">
        <f t="shared" si="82"/>
        <v>0</v>
      </c>
      <c r="L815" s="612">
        <f>VLOOKUP(A815,'PL Gr'!A:A,1,0)</f>
        <v>500110</v>
      </c>
      <c r="M815" s="612">
        <f t="shared" si="87"/>
        <v>1</v>
      </c>
      <c r="N815" s="613">
        <f t="shared" si="88"/>
        <v>0</v>
      </c>
      <c r="O815" s="613">
        <f>VLOOKUP(A815,'PL Gr'!A:A,1,FALSE)</f>
        <v>500110</v>
      </c>
      <c r="P815" s="613">
        <v>0</v>
      </c>
      <c r="Q815" s="613">
        <f t="shared" si="84"/>
        <v>0</v>
      </c>
      <c r="R815" s="1514"/>
      <c r="S815" s="1617" t="e">
        <f>SUMIF('[105]TB for financial'!$A:$A,A815,'[105]TB for financial'!$E:$E)</f>
        <v>#VALUE!</v>
      </c>
    </row>
    <row r="816" spans="1:19">
      <c r="A816" s="608">
        <v>500111</v>
      </c>
      <c r="B816" s="609" t="s">
        <v>1599</v>
      </c>
      <c r="C816" s="610">
        <f t="shared" si="85"/>
        <v>0</v>
      </c>
      <c r="D816" s="611">
        <v>0</v>
      </c>
      <c r="E816" s="610">
        <f>SUMIF('Entries 24-25'!$B:$B,A:A,'Entries 24-25'!$D:$D)-SUMIF('Entries 24-25'!$B:$B,A:A,'Entries 24-25'!$E:$E)+SUMIF('IND AS entries 24-25'!$B:$B,A:A,'IND AS entries 24-25'!$D:$D)-SUMIF('IND AS entries 24-25'!$B:$B,A:A,'IND AS entries 24-25'!$E:$E)</f>
        <v>0</v>
      </c>
      <c r="F816" s="611">
        <f t="shared" si="86"/>
        <v>0</v>
      </c>
      <c r="G816" s="610"/>
      <c r="H816" s="610"/>
      <c r="I816" s="611">
        <v>0</v>
      </c>
      <c r="J816" s="610">
        <v>0</v>
      </c>
      <c r="K816" s="611">
        <f t="shared" si="82"/>
        <v>0</v>
      </c>
      <c r="L816" s="612">
        <f>VLOOKUP(A816,'PL Gr'!A:A,1,0)</f>
        <v>500111</v>
      </c>
      <c r="M816" s="612">
        <f t="shared" ref="M816:M847" si="89">COUNTIF(A:A,A816)</f>
        <v>1</v>
      </c>
      <c r="N816" s="613">
        <f t="shared" si="88"/>
        <v>0</v>
      </c>
      <c r="O816" s="613">
        <f>VLOOKUP(A816,'PL Gr'!A:A,1,FALSE)</f>
        <v>500111</v>
      </c>
      <c r="P816" s="613">
        <v>20367.64</v>
      </c>
      <c r="Q816" s="613">
        <f t="shared" si="84"/>
        <v>-20367.64</v>
      </c>
      <c r="R816" s="1514"/>
      <c r="S816" s="1617" t="e">
        <f>SUMIF('[105]TB for financial'!$A:$A,A816,'[105]TB for financial'!$E:$E)</f>
        <v>#VALUE!</v>
      </c>
    </row>
    <row r="817" spans="1:19">
      <c r="A817" s="608">
        <v>500114</v>
      </c>
      <c r="B817" s="609" t="s">
        <v>1374</v>
      </c>
      <c r="C817" s="610">
        <f t="shared" si="85"/>
        <v>0</v>
      </c>
      <c r="D817" s="611">
        <v>0</v>
      </c>
      <c r="E817" s="610">
        <f>SUMIF('Entries 24-25'!$B:$B,A:A,'Entries 24-25'!$D:$D)-SUMIF('Entries 24-25'!$B:$B,A:A,'Entries 24-25'!$E:$E)+SUMIF('IND AS entries 24-25'!$B:$B,A:A,'IND AS entries 24-25'!$D:$D)-SUMIF('IND AS entries 24-25'!$B:$B,A:A,'IND AS entries 24-25'!$E:$E)</f>
        <v>0</v>
      </c>
      <c r="F817" s="611">
        <f t="shared" si="86"/>
        <v>0</v>
      </c>
      <c r="G817" s="610"/>
      <c r="H817" s="610"/>
      <c r="I817" s="611">
        <v>0</v>
      </c>
      <c r="J817" s="610">
        <v>0</v>
      </c>
      <c r="K817" s="611">
        <f t="shared" ref="K817:K880" si="90">SUM(H817:J817)</f>
        <v>0</v>
      </c>
      <c r="L817" s="612">
        <f>VLOOKUP(A817,'PL Gr'!A:A,1,0)</f>
        <v>500114</v>
      </c>
      <c r="M817" s="612">
        <f t="shared" si="89"/>
        <v>1</v>
      </c>
      <c r="N817" s="613">
        <f t="shared" si="88"/>
        <v>0</v>
      </c>
      <c r="O817" s="613">
        <f>VLOOKUP(A817,'PL Gr'!A:A,1,FALSE)</f>
        <v>500114</v>
      </c>
      <c r="P817" s="613">
        <v>0</v>
      </c>
      <c r="Q817" s="613">
        <f t="shared" si="84"/>
        <v>0</v>
      </c>
      <c r="R817" s="1514"/>
      <c r="S817" s="1617" t="e">
        <f>SUMIF('[105]TB for financial'!$A:$A,A817,'[105]TB for financial'!$E:$E)</f>
        <v>#VALUE!</v>
      </c>
    </row>
    <row r="818" spans="1:19">
      <c r="A818" s="608">
        <v>500115</v>
      </c>
      <c r="B818" s="609" t="s">
        <v>1600</v>
      </c>
      <c r="C818" s="610">
        <f t="shared" si="85"/>
        <v>0</v>
      </c>
      <c r="D818" s="611">
        <v>0</v>
      </c>
      <c r="E818" s="610">
        <f>SUMIF('Entries 24-25'!$B:$B,A:A,'Entries 24-25'!$D:$D)-SUMIF('Entries 24-25'!$B:$B,A:A,'Entries 24-25'!$E:$E)+SUMIF('IND AS entries 24-25'!$B:$B,A:A,'IND AS entries 24-25'!$D:$D)-SUMIF('IND AS entries 24-25'!$B:$B,A:A,'IND AS entries 24-25'!$E:$E)</f>
        <v>0</v>
      </c>
      <c r="F818" s="611">
        <f t="shared" si="86"/>
        <v>0</v>
      </c>
      <c r="G818" s="610"/>
      <c r="H818" s="610"/>
      <c r="I818" s="611">
        <v>0</v>
      </c>
      <c r="J818" s="610">
        <v>0</v>
      </c>
      <c r="K818" s="611">
        <f t="shared" si="90"/>
        <v>0</v>
      </c>
      <c r="L818" s="612">
        <f>VLOOKUP(A818,'PL Gr'!A:A,1,0)</f>
        <v>500115</v>
      </c>
      <c r="M818" s="612">
        <f t="shared" si="89"/>
        <v>1</v>
      </c>
      <c r="N818" s="613">
        <f t="shared" si="88"/>
        <v>0</v>
      </c>
      <c r="O818" s="613">
        <f>VLOOKUP(A818,'PL Gr'!A:A,1,FALSE)</f>
        <v>500115</v>
      </c>
      <c r="P818" s="613">
        <v>0</v>
      </c>
      <c r="Q818" s="613">
        <f t="shared" ref="Q818:Q881" si="91">+K818-P818</f>
        <v>0</v>
      </c>
      <c r="R818" s="1514"/>
      <c r="S818" s="1617" t="e">
        <f>SUMIF('[105]TB for financial'!$A:$A,A818,'[105]TB for financial'!$E:$E)</f>
        <v>#VALUE!</v>
      </c>
    </row>
    <row r="819" spans="1:19">
      <c r="A819" s="608">
        <v>500117</v>
      </c>
      <c r="B819" s="609" t="s">
        <v>1601</v>
      </c>
      <c r="C819" s="610">
        <f t="shared" si="85"/>
        <v>0</v>
      </c>
      <c r="D819" s="611">
        <v>0</v>
      </c>
      <c r="E819" s="610">
        <f>SUMIF('Entries 24-25'!$B:$B,A:A,'Entries 24-25'!$D:$D)-SUMIF('Entries 24-25'!$B:$B,A:A,'Entries 24-25'!$E:$E)+SUMIF('IND AS entries 24-25'!$B:$B,A:A,'IND AS entries 24-25'!$D:$D)-SUMIF('IND AS entries 24-25'!$B:$B,A:A,'IND AS entries 24-25'!$E:$E)</f>
        <v>0</v>
      </c>
      <c r="F819" s="611">
        <f t="shared" si="86"/>
        <v>0</v>
      </c>
      <c r="G819" s="610"/>
      <c r="H819" s="610"/>
      <c r="I819" s="611">
        <v>0</v>
      </c>
      <c r="J819" s="610">
        <v>0</v>
      </c>
      <c r="K819" s="611">
        <f t="shared" si="90"/>
        <v>0</v>
      </c>
      <c r="L819" s="612">
        <f>VLOOKUP(A819,'PL Gr'!A:A,1,0)</f>
        <v>500117</v>
      </c>
      <c r="M819" s="612">
        <f t="shared" si="89"/>
        <v>1</v>
      </c>
      <c r="N819" s="613">
        <f t="shared" si="88"/>
        <v>0</v>
      </c>
      <c r="O819" s="613">
        <f>VLOOKUP(A819,'PL Gr'!A:A,1,FALSE)</f>
        <v>500117</v>
      </c>
      <c r="P819" s="613">
        <v>0</v>
      </c>
      <c r="Q819" s="613">
        <f t="shared" si="91"/>
        <v>0</v>
      </c>
      <c r="R819" s="1514"/>
      <c r="S819" s="1617" t="e">
        <f>SUMIF('[105]TB for financial'!$A:$A,A819,'[105]TB for financial'!$E:$E)</f>
        <v>#VALUE!</v>
      </c>
    </row>
    <row r="820" spans="1:19">
      <c r="A820" s="608">
        <v>500123</v>
      </c>
      <c r="B820" s="609" t="s">
        <v>1602</v>
      </c>
      <c r="C820" s="610">
        <f t="shared" si="85"/>
        <v>0</v>
      </c>
      <c r="D820" s="611">
        <v>0</v>
      </c>
      <c r="E820" s="610">
        <f>SUMIF('Entries 24-25'!$B:$B,A:A,'Entries 24-25'!$D:$D)-SUMIF('Entries 24-25'!$B:$B,A:A,'Entries 24-25'!$E:$E)+SUMIF('IND AS entries 24-25'!$B:$B,A:A,'IND AS entries 24-25'!$D:$D)-SUMIF('IND AS entries 24-25'!$B:$B,A:A,'IND AS entries 24-25'!$E:$E)</f>
        <v>0</v>
      </c>
      <c r="F820" s="611">
        <f t="shared" si="86"/>
        <v>0</v>
      </c>
      <c r="G820" s="610"/>
      <c r="H820" s="610"/>
      <c r="I820" s="611">
        <v>0</v>
      </c>
      <c r="J820" s="610">
        <v>0</v>
      </c>
      <c r="K820" s="611">
        <f t="shared" si="90"/>
        <v>0</v>
      </c>
      <c r="L820" s="612">
        <f>VLOOKUP(A820,'PL Gr'!A:A,1,0)</f>
        <v>500123</v>
      </c>
      <c r="M820" s="612">
        <f t="shared" si="89"/>
        <v>1</v>
      </c>
      <c r="N820" s="613">
        <f t="shared" si="88"/>
        <v>0</v>
      </c>
      <c r="O820" s="613">
        <f>VLOOKUP(A820,'PL Gr'!A:A,1,FALSE)</f>
        <v>500123</v>
      </c>
      <c r="P820" s="613">
        <v>0</v>
      </c>
      <c r="Q820" s="613">
        <f t="shared" si="91"/>
        <v>0</v>
      </c>
      <c r="R820" s="1514"/>
      <c r="S820" s="1617" t="e">
        <f>SUMIF('[105]TB for financial'!$A:$A,A820,'[105]TB for financial'!$E:$E)</f>
        <v>#VALUE!</v>
      </c>
    </row>
    <row r="821" spans="1:19">
      <c r="A821" s="608">
        <v>501110</v>
      </c>
      <c r="B821" s="609" t="s">
        <v>1603</v>
      </c>
      <c r="C821" s="610">
        <f t="shared" si="85"/>
        <v>0</v>
      </c>
      <c r="D821" s="611">
        <v>0</v>
      </c>
      <c r="E821" s="610">
        <f>SUMIF('Entries 24-25'!$B:$B,A:A,'Entries 24-25'!$D:$D)-SUMIF('Entries 24-25'!$B:$B,A:A,'Entries 24-25'!$E:$E)+SUMIF('IND AS entries 24-25'!$B:$B,A:A,'IND AS entries 24-25'!$D:$D)-SUMIF('IND AS entries 24-25'!$B:$B,A:A,'IND AS entries 24-25'!$E:$E)</f>
        <v>0</v>
      </c>
      <c r="F821" s="611">
        <f t="shared" si="86"/>
        <v>0</v>
      </c>
      <c r="G821" s="610"/>
      <c r="H821" s="610"/>
      <c r="I821" s="611">
        <v>0</v>
      </c>
      <c r="J821" s="610">
        <v>0</v>
      </c>
      <c r="K821" s="611">
        <f t="shared" si="90"/>
        <v>0</v>
      </c>
      <c r="L821" s="612">
        <f>VLOOKUP(A821,'PL Gr'!A:A,1,0)</f>
        <v>501110</v>
      </c>
      <c r="M821" s="612">
        <f t="shared" si="89"/>
        <v>1</v>
      </c>
      <c r="N821" s="613">
        <f t="shared" si="88"/>
        <v>0</v>
      </c>
      <c r="O821" s="613">
        <f>VLOOKUP(A821,'PL Gr'!A:A,1,FALSE)</f>
        <v>501110</v>
      </c>
      <c r="P821" s="613">
        <v>0</v>
      </c>
      <c r="Q821" s="613">
        <f t="shared" si="91"/>
        <v>0</v>
      </c>
      <c r="R821" s="1514"/>
      <c r="S821" s="1617" t="e">
        <f>SUMIF('[105]TB for financial'!$A:$A,A821,'[105]TB for financial'!$E:$E)</f>
        <v>#VALUE!</v>
      </c>
    </row>
    <row r="822" spans="1:19">
      <c r="A822" s="608">
        <v>501111</v>
      </c>
      <c r="B822" s="609" t="s">
        <v>1604</v>
      </c>
      <c r="C822" s="610">
        <f t="shared" si="85"/>
        <v>0</v>
      </c>
      <c r="D822" s="611">
        <v>0</v>
      </c>
      <c r="E822" s="610">
        <f>SUMIF('Entries 24-25'!$B:$B,A:A,'Entries 24-25'!$D:$D)-SUMIF('Entries 24-25'!$B:$B,A:A,'Entries 24-25'!$E:$E)+SUMIF('IND AS entries 24-25'!$B:$B,A:A,'IND AS entries 24-25'!$D:$D)-SUMIF('IND AS entries 24-25'!$B:$B,A:A,'IND AS entries 24-25'!$E:$E)</f>
        <v>0</v>
      </c>
      <c r="F822" s="611">
        <f t="shared" si="86"/>
        <v>0</v>
      </c>
      <c r="G822" s="610"/>
      <c r="H822" s="610"/>
      <c r="I822" s="611">
        <v>0</v>
      </c>
      <c r="J822" s="610">
        <v>0</v>
      </c>
      <c r="K822" s="611">
        <f t="shared" si="90"/>
        <v>0</v>
      </c>
      <c r="L822" s="612">
        <f>VLOOKUP(A822,'PL Gr'!A:A,1,0)</f>
        <v>501111</v>
      </c>
      <c r="M822" s="612">
        <f t="shared" si="89"/>
        <v>1</v>
      </c>
      <c r="N822" s="613">
        <f t="shared" si="88"/>
        <v>0</v>
      </c>
      <c r="O822" s="613">
        <f>VLOOKUP(A822,'PL Gr'!A:A,1,FALSE)</f>
        <v>501111</v>
      </c>
      <c r="P822" s="613">
        <v>6576</v>
      </c>
      <c r="Q822" s="613">
        <f t="shared" si="91"/>
        <v>-6576</v>
      </c>
      <c r="R822" s="1514"/>
      <c r="S822" s="1617" t="e">
        <f>SUMIF('[105]TB for financial'!$A:$A,A822,'[105]TB for financial'!$E:$E)</f>
        <v>#VALUE!</v>
      </c>
    </row>
    <row r="823" spans="1:19">
      <c r="A823" s="608">
        <v>501115</v>
      </c>
      <c r="B823" s="609" t="s">
        <v>1605</v>
      </c>
      <c r="C823" s="610">
        <f t="shared" si="85"/>
        <v>0</v>
      </c>
      <c r="D823" s="611">
        <v>0</v>
      </c>
      <c r="E823" s="610">
        <f>SUMIF('Entries 24-25'!$B:$B,A:A,'Entries 24-25'!$D:$D)-SUMIF('Entries 24-25'!$B:$B,A:A,'Entries 24-25'!$E:$E)+SUMIF('IND AS entries 24-25'!$B:$B,A:A,'IND AS entries 24-25'!$D:$D)-SUMIF('IND AS entries 24-25'!$B:$B,A:A,'IND AS entries 24-25'!$E:$E)</f>
        <v>0</v>
      </c>
      <c r="F823" s="611">
        <f t="shared" si="86"/>
        <v>0</v>
      </c>
      <c r="G823" s="610"/>
      <c r="H823" s="610"/>
      <c r="I823" s="611">
        <v>0</v>
      </c>
      <c r="J823" s="610">
        <v>0</v>
      </c>
      <c r="K823" s="611">
        <f t="shared" si="90"/>
        <v>0</v>
      </c>
      <c r="L823" s="612">
        <f>VLOOKUP(A823,'PL Gr'!A:A,1,0)</f>
        <v>501115</v>
      </c>
      <c r="M823" s="612">
        <f t="shared" si="89"/>
        <v>1</v>
      </c>
      <c r="N823" s="613">
        <f t="shared" si="88"/>
        <v>0</v>
      </c>
      <c r="O823" s="613">
        <f>VLOOKUP(A823,'PL Gr'!A:A,1,FALSE)</f>
        <v>501115</v>
      </c>
      <c r="P823" s="613">
        <v>225405.62</v>
      </c>
      <c r="Q823" s="613">
        <f t="shared" si="91"/>
        <v>-225405.62</v>
      </c>
      <c r="R823" s="1514"/>
      <c r="S823" s="1617" t="e">
        <f>SUMIF('[105]TB for financial'!$A:$A,A823,'[105]TB for financial'!$E:$E)</f>
        <v>#VALUE!</v>
      </c>
    </row>
    <row r="824" spans="1:19">
      <c r="A824" s="608">
        <v>501116</v>
      </c>
      <c r="B824" s="609" t="s">
        <v>1606</v>
      </c>
      <c r="C824" s="610">
        <f t="shared" si="85"/>
        <v>0</v>
      </c>
      <c r="D824" s="611">
        <v>0</v>
      </c>
      <c r="E824" s="610">
        <f>SUMIF('Entries 24-25'!$B:$B,A:A,'Entries 24-25'!$D:$D)-SUMIF('Entries 24-25'!$B:$B,A:A,'Entries 24-25'!$E:$E)+SUMIF('IND AS entries 24-25'!$B:$B,A:A,'IND AS entries 24-25'!$D:$D)-SUMIF('IND AS entries 24-25'!$B:$B,A:A,'IND AS entries 24-25'!$E:$E)</f>
        <v>0</v>
      </c>
      <c r="F824" s="611">
        <f t="shared" si="86"/>
        <v>0</v>
      </c>
      <c r="G824" s="610"/>
      <c r="H824" s="610"/>
      <c r="I824" s="611">
        <v>0</v>
      </c>
      <c r="J824" s="610">
        <v>0</v>
      </c>
      <c r="K824" s="611">
        <f t="shared" si="90"/>
        <v>0</v>
      </c>
      <c r="L824" s="612">
        <f>VLOOKUP(A824,'PL Gr'!A:A,1,0)</f>
        <v>501116</v>
      </c>
      <c r="M824" s="612">
        <f t="shared" si="89"/>
        <v>1</v>
      </c>
      <c r="N824" s="613">
        <f t="shared" si="88"/>
        <v>0</v>
      </c>
      <c r="O824" s="613">
        <f>VLOOKUP(A824,'PL Gr'!A:A,1,FALSE)</f>
        <v>501116</v>
      </c>
      <c r="P824" s="613">
        <v>0</v>
      </c>
      <c r="Q824" s="613">
        <f t="shared" si="91"/>
        <v>0</v>
      </c>
      <c r="R824" s="1514"/>
      <c r="S824" s="1617" t="e">
        <f>SUMIF('[105]TB for financial'!$A:$A,A824,'[105]TB for financial'!$E:$E)</f>
        <v>#VALUE!</v>
      </c>
    </row>
    <row r="825" spans="1:19">
      <c r="A825" s="608">
        <v>501117</v>
      </c>
      <c r="B825" s="609" t="s">
        <v>1607</v>
      </c>
      <c r="C825" s="610">
        <f t="shared" si="85"/>
        <v>0</v>
      </c>
      <c r="D825" s="611">
        <v>0</v>
      </c>
      <c r="E825" s="610">
        <f>SUMIF('Entries 24-25'!$B:$B,A:A,'Entries 24-25'!$D:$D)-SUMIF('Entries 24-25'!$B:$B,A:A,'Entries 24-25'!$E:$E)+SUMIF('IND AS entries 24-25'!$B:$B,A:A,'IND AS entries 24-25'!$D:$D)-SUMIF('IND AS entries 24-25'!$B:$B,A:A,'IND AS entries 24-25'!$E:$E)</f>
        <v>0</v>
      </c>
      <c r="F825" s="611">
        <f t="shared" si="86"/>
        <v>0</v>
      </c>
      <c r="G825" s="610"/>
      <c r="H825" s="610"/>
      <c r="I825" s="611">
        <v>0</v>
      </c>
      <c r="J825" s="610">
        <v>0</v>
      </c>
      <c r="K825" s="611">
        <f t="shared" si="90"/>
        <v>0</v>
      </c>
      <c r="L825" s="612">
        <f>VLOOKUP(A825,'PL Gr'!A:A,1,0)</f>
        <v>501117</v>
      </c>
      <c r="M825" s="612">
        <f t="shared" si="89"/>
        <v>1</v>
      </c>
      <c r="N825" s="613">
        <f t="shared" si="88"/>
        <v>0</v>
      </c>
      <c r="O825" s="613">
        <f>VLOOKUP(A825,'PL Gr'!A:A,1,FALSE)</f>
        <v>501117</v>
      </c>
      <c r="P825" s="613">
        <v>0</v>
      </c>
      <c r="Q825" s="613">
        <f t="shared" si="91"/>
        <v>0</v>
      </c>
      <c r="R825" s="1514"/>
      <c r="S825" s="1617" t="e">
        <f>SUMIF('[105]TB for financial'!$A:$A,A825,'[105]TB for financial'!$E:$E)</f>
        <v>#VALUE!</v>
      </c>
    </row>
    <row r="826" spans="1:19">
      <c r="A826" s="608">
        <v>501120</v>
      </c>
      <c r="B826" s="609" t="s">
        <v>1608</v>
      </c>
      <c r="C826" s="610">
        <f t="shared" si="85"/>
        <v>0</v>
      </c>
      <c r="D826" s="611">
        <v>0</v>
      </c>
      <c r="E826" s="610">
        <f>SUMIF('Entries 24-25'!$B:$B,A:A,'Entries 24-25'!$D:$D)-SUMIF('Entries 24-25'!$B:$B,A:A,'Entries 24-25'!$E:$E)+SUMIF('IND AS entries 24-25'!$B:$B,A:A,'IND AS entries 24-25'!$D:$D)-SUMIF('IND AS entries 24-25'!$B:$B,A:A,'IND AS entries 24-25'!$E:$E)</f>
        <v>0</v>
      </c>
      <c r="F826" s="611">
        <f t="shared" si="86"/>
        <v>0</v>
      </c>
      <c r="G826" s="610"/>
      <c r="H826" s="610"/>
      <c r="I826" s="611">
        <v>0</v>
      </c>
      <c r="J826" s="610">
        <v>0</v>
      </c>
      <c r="K826" s="611">
        <f t="shared" si="90"/>
        <v>0</v>
      </c>
      <c r="L826" s="612">
        <f>VLOOKUP(A826,'PL Gr'!A:A,1,0)</f>
        <v>501120</v>
      </c>
      <c r="M826" s="612">
        <f t="shared" si="89"/>
        <v>1</v>
      </c>
      <c r="N826" s="613">
        <f t="shared" si="88"/>
        <v>0</v>
      </c>
      <c r="O826" s="613">
        <f>VLOOKUP(A826,'PL Gr'!A:A,1,FALSE)</f>
        <v>501120</v>
      </c>
      <c r="P826" s="613">
        <v>0</v>
      </c>
      <c r="Q826" s="613">
        <f t="shared" si="91"/>
        <v>0</v>
      </c>
      <c r="R826" s="1514"/>
      <c r="S826" s="1617" t="e">
        <f>SUMIF('[105]TB for financial'!$A:$A,A826,'[105]TB for financial'!$E:$E)</f>
        <v>#VALUE!</v>
      </c>
    </row>
    <row r="827" spans="1:19">
      <c r="A827" s="608">
        <v>501125</v>
      </c>
      <c r="B827" s="609" t="s">
        <v>1609</v>
      </c>
      <c r="C827" s="610">
        <f t="shared" si="85"/>
        <v>0</v>
      </c>
      <c r="D827" s="611">
        <v>0</v>
      </c>
      <c r="E827" s="610">
        <f>SUMIF('Entries 24-25'!$B:$B,A:A,'Entries 24-25'!$D:$D)-SUMIF('Entries 24-25'!$B:$B,A:A,'Entries 24-25'!$E:$E)+SUMIF('IND AS entries 24-25'!$B:$B,A:A,'IND AS entries 24-25'!$D:$D)-SUMIF('IND AS entries 24-25'!$B:$B,A:A,'IND AS entries 24-25'!$E:$E)</f>
        <v>0</v>
      </c>
      <c r="F827" s="611">
        <f t="shared" si="86"/>
        <v>0</v>
      </c>
      <c r="G827" s="610"/>
      <c r="H827" s="610"/>
      <c r="I827" s="611">
        <v>0</v>
      </c>
      <c r="J827" s="610">
        <v>0</v>
      </c>
      <c r="K827" s="611">
        <f t="shared" si="90"/>
        <v>0</v>
      </c>
      <c r="L827" s="612">
        <f>VLOOKUP(A827,'PL Gr'!A:A,1,0)</f>
        <v>501125</v>
      </c>
      <c r="M827" s="612">
        <f t="shared" si="89"/>
        <v>1</v>
      </c>
      <c r="N827" s="613">
        <f t="shared" si="88"/>
        <v>0</v>
      </c>
      <c r="O827" s="613">
        <f>VLOOKUP(A827,'PL Gr'!A:A,1,FALSE)</f>
        <v>501125</v>
      </c>
      <c r="P827" s="613">
        <v>0</v>
      </c>
      <c r="Q827" s="613">
        <f t="shared" si="91"/>
        <v>0</v>
      </c>
      <c r="R827" s="1514"/>
      <c r="S827" s="1617" t="e">
        <f>SUMIF('[105]TB for financial'!$A:$A,A827,'[105]TB for financial'!$E:$E)</f>
        <v>#VALUE!</v>
      </c>
    </row>
    <row r="828" spans="1:19">
      <c r="A828" s="608">
        <v>501130</v>
      </c>
      <c r="B828" s="609" t="s">
        <v>1610</v>
      </c>
      <c r="C828" s="610">
        <f t="shared" si="85"/>
        <v>0</v>
      </c>
      <c r="D828" s="611">
        <v>0</v>
      </c>
      <c r="E828" s="610">
        <f>SUMIF('Entries 24-25'!$B:$B,A:A,'Entries 24-25'!$D:$D)-SUMIF('Entries 24-25'!$B:$B,A:A,'Entries 24-25'!$E:$E)+SUMIF('IND AS entries 24-25'!$B:$B,A:A,'IND AS entries 24-25'!$D:$D)-SUMIF('IND AS entries 24-25'!$B:$B,A:A,'IND AS entries 24-25'!$E:$E)</f>
        <v>0</v>
      </c>
      <c r="F828" s="611">
        <f t="shared" si="86"/>
        <v>0</v>
      </c>
      <c r="G828" s="610"/>
      <c r="H828" s="610"/>
      <c r="I828" s="611">
        <v>0</v>
      </c>
      <c r="J828" s="610">
        <v>0</v>
      </c>
      <c r="K828" s="611">
        <f t="shared" si="90"/>
        <v>0</v>
      </c>
      <c r="L828" s="612">
        <f>VLOOKUP(A828,'PL Gr'!A:A,1,0)</f>
        <v>501130</v>
      </c>
      <c r="M828" s="612">
        <f t="shared" si="89"/>
        <v>1</v>
      </c>
      <c r="N828" s="613">
        <f t="shared" si="88"/>
        <v>0</v>
      </c>
      <c r="O828" s="613">
        <f>VLOOKUP(A828,'PL Gr'!A:A,1,FALSE)</f>
        <v>501130</v>
      </c>
      <c r="P828" s="613">
        <v>0</v>
      </c>
      <c r="Q828" s="613">
        <f t="shared" si="91"/>
        <v>0</v>
      </c>
      <c r="R828" s="1514"/>
      <c r="S828" s="1617" t="e">
        <f>SUMIF('[105]TB for financial'!$A:$A,A828,'[105]TB for financial'!$E:$E)</f>
        <v>#VALUE!</v>
      </c>
    </row>
    <row r="829" spans="1:19">
      <c r="A829" s="608">
        <v>501132</v>
      </c>
      <c r="B829" s="609" t="s">
        <v>1611</v>
      </c>
      <c r="C829" s="610">
        <f t="shared" si="85"/>
        <v>0</v>
      </c>
      <c r="D829" s="611">
        <v>0</v>
      </c>
      <c r="E829" s="610">
        <f>SUMIF('Entries 24-25'!$B:$B,A:A,'Entries 24-25'!$D:$D)-SUMIF('Entries 24-25'!$B:$B,A:A,'Entries 24-25'!$E:$E)+SUMIF('IND AS entries 24-25'!$B:$B,A:A,'IND AS entries 24-25'!$D:$D)-SUMIF('IND AS entries 24-25'!$B:$B,A:A,'IND AS entries 24-25'!$E:$E)</f>
        <v>0</v>
      </c>
      <c r="F829" s="611">
        <f t="shared" si="86"/>
        <v>0</v>
      </c>
      <c r="G829" s="610"/>
      <c r="H829" s="610"/>
      <c r="I829" s="611">
        <v>0</v>
      </c>
      <c r="J829" s="610">
        <v>0</v>
      </c>
      <c r="K829" s="611">
        <f t="shared" si="90"/>
        <v>0</v>
      </c>
      <c r="L829" s="612">
        <f>VLOOKUP(A829,'PL Gr'!A:A,1,0)</f>
        <v>501132</v>
      </c>
      <c r="M829" s="612">
        <f t="shared" si="89"/>
        <v>1</v>
      </c>
      <c r="N829" s="613">
        <f t="shared" si="88"/>
        <v>0</v>
      </c>
      <c r="O829" s="613">
        <f>VLOOKUP(A829,'PL Gr'!A:A,1,FALSE)</f>
        <v>501132</v>
      </c>
      <c r="P829" s="613">
        <v>-1039</v>
      </c>
      <c r="Q829" s="613">
        <f t="shared" si="91"/>
        <v>1039</v>
      </c>
      <c r="R829" s="1514"/>
      <c r="S829" s="1617" t="e">
        <f>SUMIF('[105]TB for financial'!$A:$A,A829,'[105]TB for financial'!$E:$E)</f>
        <v>#VALUE!</v>
      </c>
    </row>
    <row r="830" spans="1:19">
      <c r="A830" s="608">
        <v>501135</v>
      </c>
      <c r="B830" s="609" t="s">
        <v>1612</v>
      </c>
      <c r="C830" s="610">
        <f t="shared" si="85"/>
        <v>0</v>
      </c>
      <c r="D830" s="611">
        <v>0</v>
      </c>
      <c r="E830" s="610">
        <f>SUMIF('Entries 24-25'!$B:$B,A:A,'Entries 24-25'!$D:$D)-SUMIF('Entries 24-25'!$B:$B,A:A,'Entries 24-25'!$E:$E)+SUMIF('IND AS entries 24-25'!$B:$B,A:A,'IND AS entries 24-25'!$D:$D)-SUMIF('IND AS entries 24-25'!$B:$B,A:A,'IND AS entries 24-25'!$E:$E)</f>
        <v>0</v>
      </c>
      <c r="F830" s="611">
        <f t="shared" si="86"/>
        <v>0</v>
      </c>
      <c r="G830" s="610"/>
      <c r="H830" s="610"/>
      <c r="I830" s="611">
        <v>0</v>
      </c>
      <c r="J830" s="610">
        <v>0</v>
      </c>
      <c r="K830" s="611">
        <f t="shared" si="90"/>
        <v>0</v>
      </c>
      <c r="L830" s="612">
        <f>VLOOKUP(A830,'PL Gr'!A:A,1,0)</f>
        <v>501135</v>
      </c>
      <c r="M830" s="612">
        <f t="shared" si="89"/>
        <v>1</v>
      </c>
      <c r="N830" s="613">
        <f t="shared" si="88"/>
        <v>0</v>
      </c>
      <c r="O830" s="613">
        <f>VLOOKUP(A830,'PL Gr'!A:A,1,FALSE)</f>
        <v>501135</v>
      </c>
      <c r="P830" s="613">
        <v>0</v>
      </c>
      <c r="Q830" s="613">
        <f t="shared" si="91"/>
        <v>0</v>
      </c>
      <c r="R830" s="1514"/>
      <c r="S830" s="1617" t="e">
        <f>SUMIF('[105]TB for financial'!$A:$A,A830,'[105]TB for financial'!$E:$E)</f>
        <v>#VALUE!</v>
      </c>
    </row>
    <row r="831" spans="1:19">
      <c r="A831" s="608">
        <v>501140</v>
      </c>
      <c r="B831" s="609" t="s">
        <v>1613</v>
      </c>
      <c r="C831" s="610">
        <f t="shared" si="85"/>
        <v>0</v>
      </c>
      <c r="D831" s="611">
        <v>0</v>
      </c>
      <c r="E831" s="610">
        <f>SUMIF('Entries 24-25'!$B:$B,A:A,'Entries 24-25'!$D:$D)-SUMIF('Entries 24-25'!$B:$B,A:A,'Entries 24-25'!$E:$E)+SUMIF('IND AS entries 24-25'!$B:$B,A:A,'IND AS entries 24-25'!$D:$D)-SUMIF('IND AS entries 24-25'!$B:$B,A:A,'IND AS entries 24-25'!$E:$E)</f>
        <v>0</v>
      </c>
      <c r="F831" s="611">
        <f t="shared" si="86"/>
        <v>0</v>
      </c>
      <c r="G831" s="610"/>
      <c r="H831" s="610"/>
      <c r="I831" s="611">
        <v>0</v>
      </c>
      <c r="J831" s="610">
        <v>0</v>
      </c>
      <c r="K831" s="611">
        <f t="shared" si="90"/>
        <v>0</v>
      </c>
      <c r="L831" s="612">
        <f>VLOOKUP(A831,'PL Gr'!A:A,1,0)</f>
        <v>501140</v>
      </c>
      <c r="M831" s="612">
        <f t="shared" si="89"/>
        <v>1</v>
      </c>
      <c r="N831" s="613">
        <f t="shared" si="88"/>
        <v>0</v>
      </c>
      <c r="O831" s="613">
        <f>VLOOKUP(A831,'PL Gr'!A:A,1,FALSE)</f>
        <v>501140</v>
      </c>
      <c r="P831" s="613">
        <v>149400</v>
      </c>
      <c r="Q831" s="613">
        <f t="shared" si="91"/>
        <v>-149400</v>
      </c>
      <c r="R831" s="1514"/>
      <c r="S831" s="1617" t="e">
        <f>SUMIF('[105]TB for financial'!$A:$A,A831,'[105]TB for financial'!$E:$E)</f>
        <v>#VALUE!</v>
      </c>
    </row>
    <row r="832" spans="1:19">
      <c r="A832" s="608">
        <v>501141</v>
      </c>
      <c r="B832" s="609" t="s">
        <v>1614</v>
      </c>
      <c r="C832" s="610">
        <f t="shared" si="85"/>
        <v>0</v>
      </c>
      <c r="D832" s="611">
        <v>0</v>
      </c>
      <c r="E832" s="610">
        <f>SUMIF('Entries 24-25'!$B:$B,A:A,'Entries 24-25'!$D:$D)-SUMIF('Entries 24-25'!$B:$B,A:A,'Entries 24-25'!$E:$E)+SUMIF('IND AS entries 24-25'!$B:$B,A:A,'IND AS entries 24-25'!$D:$D)-SUMIF('IND AS entries 24-25'!$B:$B,A:A,'IND AS entries 24-25'!$E:$E)</f>
        <v>0</v>
      </c>
      <c r="F832" s="611">
        <f t="shared" si="86"/>
        <v>0</v>
      </c>
      <c r="G832" s="610"/>
      <c r="H832" s="610"/>
      <c r="I832" s="611">
        <v>0</v>
      </c>
      <c r="J832" s="610">
        <v>0</v>
      </c>
      <c r="K832" s="611">
        <f t="shared" si="90"/>
        <v>0</v>
      </c>
      <c r="L832" s="612">
        <f>VLOOKUP(A832,'PL Gr'!A:A,1,0)</f>
        <v>501141</v>
      </c>
      <c r="M832" s="612">
        <f t="shared" si="89"/>
        <v>1</v>
      </c>
      <c r="N832" s="613">
        <f t="shared" si="88"/>
        <v>0</v>
      </c>
      <c r="O832" s="613">
        <f>VLOOKUP(A832,'PL Gr'!A:A,1,FALSE)</f>
        <v>501141</v>
      </c>
      <c r="P832" s="613">
        <v>5591.95</v>
      </c>
      <c r="Q832" s="613">
        <f t="shared" si="91"/>
        <v>-5591.95</v>
      </c>
      <c r="R832" s="1514"/>
      <c r="S832" s="1617" t="e">
        <f>SUMIF('[105]TB for financial'!$A:$A,A832,'[105]TB for financial'!$E:$E)</f>
        <v>#VALUE!</v>
      </c>
    </row>
    <row r="833" spans="1:19">
      <c r="A833" s="608">
        <v>501142</v>
      </c>
      <c r="B833" s="609" t="s">
        <v>1615</v>
      </c>
      <c r="C833" s="610">
        <f t="shared" si="85"/>
        <v>0</v>
      </c>
      <c r="D833" s="611">
        <v>0</v>
      </c>
      <c r="E833" s="610">
        <f>SUMIF('Entries 24-25'!$B:$B,A:A,'Entries 24-25'!$D:$D)-SUMIF('Entries 24-25'!$B:$B,A:A,'Entries 24-25'!$E:$E)+SUMIF('IND AS entries 24-25'!$B:$B,A:A,'IND AS entries 24-25'!$D:$D)-SUMIF('IND AS entries 24-25'!$B:$B,A:A,'IND AS entries 24-25'!$E:$E)</f>
        <v>0</v>
      </c>
      <c r="F833" s="611">
        <f t="shared" si="86"/>
        <v>0</v>
      </c>
      <c r="G833" s="610"/>
      <c r="H833" s="610"/>
      <c r="I833" s="611">
        <v>0</v>
      </c>
      <c r="J833" s="610">
        <v>0</v>
      </c>
      <c r="K833" s="611">
        <f t="shared" si="90"/>
        <v>0</v>
      </c>
      <c r="L833" s="612">
        <f>VLOOKUP(A833,'PL Gr'!A:A,1,0)</f>
        <v>501142</v>
      </c>
      <c r="M833" s="612">
        <f t="shared" si="89"/>
        <v>1</v>
      </c>
      <c r="N833" s="613">
        <f t="shared" si="88"/>
        <v>0</v>
      </c>
      <c r="O833" s="613">
        <f>VLOOKUP(A833,'PL Gr'!A:A,1,FALSE)</f>
        <v>501142</v>
      </c>
      <c r="P833" s="613">
        <v>0</v>
      </c>
      <c r="Q833" s="613">
        <f t="shared" si="91"/>
        <v>0</v>
      </c>
      <c r="R833" s="1514"/>
      <c r="S833" s="1617" t="e">
        <f>SUMIF('[105]TB for financial'!$A:$A,A833,'[105]TB for financial'!$E:$E)</f>
        <v>#VALUE!</v>
      </c>
    </row>
    <row r="834" spans="1:19">
      <c r="A834" s="608">
        <v>501143</v>
      </c>
      <c r="B834" s="609" t="s">
        <v>1616</v>
      </c>
      <c r="C834" s="610">
        <f t="shared" si="85"/>
        <v>0</v>
      </c>
      <c r="D834" s="611">
        <v>0</v>
      </c>
      <c r="E834" s="610">
        <f>SUMIF('Entries 24-25'!$B:$B,A:A,'Entries 24-25'!$D:$D)-SUMIF('Entries 24-25'!$B:$B,A:A,'Entries 24-25'!$E:$E)+SUMIF('IND AS entries 24-25'!$B:$B,A:A,'IND AS entries 24-25'!$D:$D)-SUMIF('IND AS entries 24-25'!$B:$B,A:A,'IND AS entries 24-25'!$E:$E)</f>
        <v>0</v>
      </c>
      <c r="F834" s="611">
        <f t="shared" si="86"/>
        <v>0</v>
      </c>
      <c r="G834" s="610"/>
      <c r="H834" s="610"/>
      <c r="I834" s="611">
        <v>0</v>
      </c>
      <c r="J834" s="610">
        <v>0</v>
      </c>
      <c r="K834" s="611">
        <f t="shared" si="90"/>
        <v>0</v>
      </c>
      <c r="L834" s="612">
        <f>VLOOKUP(A834,'PL Gr'!A:A,1,0)</f>
        <v>501143</v>
      </c>
      <c r="M834" s="612">
        <f t="shared" si="89"/>
        <v>1</v>
      </c>
      <c r="N834" s="613">
        <f t="shared" si="88"/>
        <v>0</v>
      </c>
      <c r="O834" s="613">
        <f>VLOOKUP(A834,'PL Gr'!A:A,1,FALSE)</f>
        <v>501143</v>
      </c>
      <c r="P834" s="613">
        <v>172522.6</v>
      </c>
      <c r="Q834" s="613">
        <f t="shared" si="91"/>
        <v>-172522.6</v>
      </c>
      <c r="R834" s="1514"/>
      <c r="S834" s="1617" t="e">
        <f>SUMIF('[105]TB for financial'!$A:$A,A834,'[105]TB for financial'!$E:$E)</f>
        <v>#VALUE!</v>
      </c>
    </row>
    <row r="835" spans="1:19">
      <c r="A835" s="608">
        <v>501144</v>
      </c>
      <c r="B835" s="609" t="s">
        <v>1617</v>
      </c>
      <c r="C835" s="610">
        <f t="shared" si="85"/>
        <v>0</v>
      </c>
      <c r="D835" s="611">
        <v>0</v>
      </c>
      <c r="E835" s="610">
        <f>SUMIF('Entries 24-25'!$B:$B,A:A,'Entries 24-25'!$D:$D)-SUMIF('Entries 24-25'!$B:$B,A:A,'Entries 24-25'!$E:$E)+SUMIF('IND AS entries 24-25'!$B:$B,A:A,'IND AS entries 24-25'!$D:$D)-SUMIF('IND AS entries 24-25'!$B:$B,A:A,'IND AS entries 24-25'!$E:$E)</f>
        <v>0</v>
      </c>
      <c r="F835" s="611">
        <f t="shared" si="86"/>
        <v>0</v>
      </c>
      <c r="G835" s="610"/>
      <c r="H835" s="610"/>
      <c r="I835" s="611">
        <v>0</v>
      </c>
      <c r="J835" s="610">
        <v>0</v>
      </c>
      <c r="K835" s="611">
        <f t="shared" si="90"/>
        <v>0</v>
      </c>
      <c r="L835" s="612">
        <f>VLOOKUP(A835,'PL Gr'!A:A,1,0)</f>
        <v>501144</v>
      </c>
      <c r="M835" s="612">
        <f t="shared" si="89"/>
        <v>1</v>
      </c>
      <c r="N835" s="613">
        <f t="shared" si="88"/>
        <v>0</v>
      </c>
      <c r="O835" s="613">
        <f>VLOOKUP(A835,'PL Gr'!A:A,1,FALSE)</f>
        <v>501144</v>
      </c>
      <c r="P835" s="613">
        <v>327749.81</v>
      </c>
      <c r="Q835" s="613">
        <f t="shared" si="91"/>
        <v>-327749.81</v>
      </c>
      <c r="R835" s="1514"/>
      <c r="S835" s="1617" t="e">
        <f>SUMIF('[105]TB for financial'!$A:$A,A835,'[105]TB for financial'!$E:$E)</f>
        <v>#VALUE!</v>
      </c>
    </row>
    <row r="836" spans="1:19">
      <c r="A836" s="608">
        <v>501145</v>
      </c>
      <c r="B836" s="609" t="s">
        <v>1618</v>
      </c>
      <c r="C836" s="610">
        <f t="shared" si="85"/>
        <v>0</v>
      </c>
      <c r="D836" s="611">
        <v>0</v>
      </c>
      <c r="E836" s="610">
        <f>SUMIF('Entries 24-25'!$B:$B,A:A,'Entries 24-25'!$D:$D)-SUMIF('Entries 24-25'!$B:$B,A:A,'Entries 24-25'!$E:$E)+SUMIF('IND AS entries 24-25'!$B:$B,A:A,'IND AS entries 24-25'!$D:$D)-SUMIF('IND AS entries 24-25'!$B:$B,A:A,'IND AS entries 24-25'!$E:$E)</f>
        <v>0</v>
      </c>
      <c r="F836" s="611">
        <f t="shared" si="86"/>
        <v>0</v>
      </c>
      <c r="G836" s="610"/>
      <c r="H836" s="610"/>
      <c r="I836" s="611">
        <v>0</v>
      </c>
      <c r="J836" s="610">
        <v>0</v>
      </c>
      <c r="K836" s="611">
        <f t="shared" si="90"/>
        <v>0</v>
      </c>
      <c r="L836" s="612">
        <f>VLOOKUP(A836,'PL Gr'!A:A,1,0)</f>
        <v>501145</v>
      </c>
      <c r="M836" s="612">
        <f t="shared" si="89"/>
        <v>1</v>
      </c>
      <c r="N836" s="613">
        <f t="shared" si="88"/>
        <v>0</v>
      </c>
      <c r="O836" s="613">
        <f>VLOOKUP(A836,'PL Gr'!A:A,1,FALSE)</f>
        <v>501145</v>
      </c>
      <c r="P836" s="613">
        <v>19110</v>
      </c>
      <c r="Q836" s="613">
        <f t="shared" si="91"/>
        <v>-19110</v>
      </c>
      <c r="R836" s="1514"/>
      <c r="S836" s="1617" t="e">
        <f>SUMIF('[105]TB for financial'!$A:$A,A836,'[105]TB for financial'!$E:$E)</f>
        <v>#VALUE!</v>
      </c>
    </row>
    <row r="837" spans="1:19">
      <c r="A837" s="608">
        <v>501146</v>
      </c>
      <c r="B837" s="609" t="s">
        <v>1619</v>
      </c>
      <c r="C837" s="610">
        <f t="shared" si="85"/>
        <v>0</v>
      </c>
      <c r="D837" s="611">
        <v>0</v>
      </c>
      <c r="E837" s="610">
        <f>SUMIF('Entries 24-25'!$B:$B,A:A,'Entries 24-25'!$D:$D)-SUMIF('Entries 24-25'!$B:$B,A:A,'Entries 24-25'!$E:$E)+SUMIF('IND AS entries 24-25'!$B:$B,A:A,'IND AS entries 24-25'!$D:$D)-SUMIF('IND AS entries 24-25'!$B:$B,A:A,'IND AS entries 24-25'!$E:$E)</f>
        <v>0</v>
      </c>
      <c r="F837" s="611">
        <f t="shared" si="86"/>
        <v>0</v>
      </c>
      <c r="G837" s="610"/>
      <c r="H837" s="610"/>
      <c r="I837" s="611">
        <v>0</v>
      </c>
      <c r="J837" s="610">
        <v>0</v>
      </c>
      <c r="K837" s="611">
        <f t="shared" si="90"/>
        <v>0</v>
      </c>
      <c r="L837" s="612">
        <f>VLOOKUP(A837,'PL Gr'!A:A,1,0)</f>
        <v>501146</v>
      </c>
      <c r="M837" s="612">
        <f t="shared" si="89"/>
        <v>1</v>
      </c>
      <c r="N837" s="613">
        <f t="shared" si="88"/>
        <v>0</v>
      </c>
      <c r="O837" s="613">
        <f>VLOOKUP(A837,'PL Gr'!A:A,1,FALSE)</f>
        <v>501146</v>
      </c>
      <c r="P837" s="613">
        <v>0</v>
      </c>
      <c r="Q837" s="613">
        <f t="shared" si="91"/>
        <v>0</v>
      </c>
      <c r="R837" s="1514"/>
      <c r="S837" s="1617" t="e">
        <f>SUMIF('[105]TB for financial'!$A:$A,A837,'[105]TB for financial'!$E:$E)</f>
        <v>#VALUE!</v>
      </c>
    </row>
    <row r="838" spans="1:19">
      <c r="A838" s="608">
        <v>501153</v>
      </c>
      <c r="B838" s="609" t="s">
        <v>1620</v>
      </c>
      <c r="C838" s="610">
        <f t="shared" si="85"/>
        <v>0</v>
      </c>
      <c r="D838" s="611">
        <v>0</v>
      </c>
      <c r="E838" s="610">
        <f>SUMIF('Entries 24-25'!$B:$B,A:A,'Entries 24-25'!$D:$D)-SUMIF('Entries 24-25'!$B:$B,A:A,'Entries 24-25'!$E:$E)+SUMIF('IND AS entries 24-25'!$B:$B,A:A,'IND AS entries 24-25'!$D:$D)-SUMIF('IND AS entries 24-25'!$B:$B,A:A,'IND AS entries 24-25'!$E:$E)</f>
        <v>0</v>
      </c>
      <c r="F838" s="611">
        <f t="shared" si="86"/>
        <v>0</v>
      </c>
      <c r="G838" s="610"/>
      <c r="H838" s="610"/>
      <c r="I838" s="611">
        <v>0</v>
      </c>
      <c r="J838" s="610">
        <v>0</v>
      </c>
      <c r="K838" s="611">
        <f t="shared" si="90"/>
        <v>0</v>
      </c>
      <c r="L838" s="612">
        <f>VLOOKUP(A838,'PL Gr'!A:A,1,0)</f>
        <v>501153</v>
      </c>
      <c r="M838" s="612">
        <f t="shared" si="89"/>
        <v>1</v>
      </c>
      <c r="N838" s="613">
        <f t="shared" si="88"/>
        <v>0</v>
      </c>
      <c r="O838" s="613">
        <f>VLOOKUP(A838,'PL Gr'!A:A,1,FALSE)</f>
        <v>501153</v>
      </c>
      <c r="P838" s="613">
        <v>-112341</v>
      </c>
      <c r="Q838" s="613">
        <f t="shared" si="91"/>
        <v>112341</v>
      </c>
      <c r="R838" s="1514"/>
      <c r="S838" s="1617" t="e">
        <f>SUMIF('[105]TB for financial'!$A:$A,A838,'[105]TB for financial'!$E:$E)</f>
        <v>#VALUE!</v>
      </c>
    </row>
    <row r="839" spans="1:19">
      <c r="A839" s="608">
        <v>501310</v>
      </c>
      <c r="B839" s="609" t="s">
        <v>797</v>
      </c>
      <c r="C839" s="610">
        <f t="shared" si="85"/>
        <v>0</v>
      </c>
      <c r="D839" s="611">
        <v>0</v>
      </c>
      <c r="E839" s="610">
        <f>SUMIF('Entries 24-25'!$B:$B,A:A,'Entries 24-25'!$D:$D)-SUMIF('Entries 24-25'!$B:$B,A:A,'Entries 24-25'!$E:$E)+SUMIF('IND AS entries 24-25'!$B:$B,A:A,'IND AS entries 24-25'!$D:$D)-SUMIF('IND AS entries 24-25'!$B:$B,A:A,'IND AS entries 24-25'!$E:$E)</f>
        <v>0</v>
      </c>
      <c r="F839" s="611">
        <f t="shared" si="86"/>
        <v>0</v>
      </c>
      <c r="G839" s="610"/>
      <c r="H839" s="610"/>
      <c r="I839" s="611">
        <v>0</v>
      </c>
      <c r="J839" s="610">
        <v>0</v>
      </c>
      <c r="K839" s="611">
        <f t="shared" si="90"/>
        <v>0</v>
      </c>
      <c r="L839" s="612">
        <f>VLOOKUP(A839,'PL Gr'!A:A,1,0)</f>
        <v>501310</v>
      </c>
      <c r="M839" s="612">
        <f t="shared" si="89"/>
        <v>1</v>
      </c>
      <c r="N839" s="613">
        <f t="shared" si="88"/>
        <v>0</v>
      </c>
      <c r="O839" s="613">
        <f>VLOOKUP(A839,'PL Gr'!A:A,1,FALSE)</f>
        <v>501310</v>
      </c>
      <c r="P839" s="613">
        <v>104455.65</v>
      </c>
      <c r="Q839" s="613">
        <f t="shared" si="91"/>
        <v>-104455.65</v>
      </c>
      <c r="R839" s="1514"/>
      <c r="S839" s="1617" t="e">
        <f>SUMIF('[105]TB for financial'!$A:$A,A839,'[105]TB for financial'!$E:$E)</f>
        <v>#VALUE!</v>
      </c>
    </row>
    <row r="840" spans="1:19">
      <c r="A840" s="608">
        <v>501311</v>
      </c>
      <c r="B840" s="609" t="s">
        <v>1621</v>
      </c>
      <c r="C840" s="610">
        <f t="shared" si="85"/>
        <v>0</v>
      </c>
      <c r="D840" s="611">
        <v>0</v>
      </c>
      <c r="E840" s="610">
        <f>SUMIF('Entries 24-25'!$B:$B,A:A,'Entries 24-25'!$D:$D)-SUMIF('Entries 24-25'!$B:$B,A:A,'Entries 24-25'!$E:$E)+SUMIF('IND AS entries 24-25'!$B:$B,A:A,'IND AS entries 24-25'!$D:$D)-SUMIF('IND AS entries 24-25'!$B:$B,A:A,'IND AS entries 24-25'!$E:$E)</f>
        <v>0</v>
      </c>
      <c r="F840" s="611">
        <f t="shared" si="86"/>
        <v>0</v>
      </c>
      <c r="G840" s="610"/>
      <c r="H840" s="610"/>
      <c r="I840" s="611">
        <v>0</v>
      </c>
      <c r="J840" s="610">
        <v>0</v>
      </c>
      <c r="K840" s="611">
        <f t="shared" si="90"/>
        <v>0</v>
      </c>
      <c r="L840" s="612">
        <f>VLOOKUP(A840,'PL Gr'!A:A,1,0)</f>
        <v>501311</v>
      </c>
      <c r="M840" s="612">
        <f t="shared" si="89"/>
        <v>1</v>
      </c>
      <c r="N840" s="613">
        <f t="shared" si="88"/>
        <v>0</v>
      </c>
      <c r="O840" s="613">
        <f>VLOOKUP(A840,'PL Gr'!A:A,1,FALSE)</f>
        <v>501311</v>
      </c>
      <c r="P840" s="613">
        <v>0</v>
      </c>
      <c r="Q840" s="613">
        <f t="shared" si="91"/>
        <v>0</v>
      </c>
      <c r="R840" s="1514"/>
      <c r="S840" s="1617" t="e">
        <f>SUMIF('[105]TB for financial'!$A:$A,A840,'[105]TB for financial'!$E:$E)</f>
        <v>#VALUE!</v>
      </c>
    </row>
    <row r="841" spans="1:19">
      <c r="A841" s="608">
        <v>501315</v>
      </c>
      <c r="B841" s="609" t="s">
        <v>1622</v>
      </c>
      <c r="C841" s="610">
        <f t="shared" si="85"/>
        <v>0</v>
      </c>
      <c r="D841" s="611">
        <v>0</v>
      </c>
      <c r="E841" s="610">
        <f>SUMIF('Entries 24-25'!$B:$B,A:A,'Entries 24-25'!$D:$D)-SUMIF('Entries 24-25'!$B:$B,A:A,'Entries 24-25'!$E:$E)+SUMIF('IND AS entries 24-25'!$B:$B,A:A,'IND AS entries 24-25'!$D:$D)-SUMIF('IND AS entries 24-25'!$B:$B,A:A,'IND AS entries 24-25'!$E:$E)</f>
        <v>0</v>
      </c>
      <c r="F841" s="611">
        <f t="shared" si="86"/>
        <v>0</v>
      </c>
      <c r="G841" s="610"/>
      <c r="H841" s="610"/>
      <c r="I841" s="611">
        <v>0</v>
      </c>
      <c r="J841" s="610">
        <v>0</v>
      </c>
      <c r="K841" s="611">
        <f t="shared" si="90"/>
        <v>0</v>
      </c>
      <c r="L841" s="612">
        <f>VLOOKUP(A841,'PL Gr'!A:A,1,0)</f>
        <v>501315</v>
      </c>
      <c r="M841" s="612">
        <f t="shared" si="89"/>
        <v>1</v>
      </c>
      <c r="N841" s="613">
        <f t="shared" si="88"/>
        <v>0</v>
      </c>
      <c r="O841" s="613">
        <f>VLOOKUP(A841,'PL Gr'!A:A,1,FALSE)</f>
        <v>501315</v>
      </c>
      <c r="P841" s="613">
        <v>12690571.221150002</v>
      </c>
      <c r="Q841" s="613">
        <f t="shared" si="91"/>
        <v>-12690571.221150002</v>
      </c>
      <c r="R841" s="1514"/>
      <c r="S841" s="1617" t="e">
        <f>SUMIF('[105]TB for financial'!$A:$A,A841,'[105]TB for financial'!$E:$E)</f>
        <v>#VALUE!</v>
      </c>
    </row>
    <row r="842" spans="1:19">
      <c r="A842" s="608">
        <v>501320</v>
      </c>
      <c r="B842" s="609" t="s">
        <v>1623</v>
      </c>
      <c r="C842" s="610">
        <f t="shared" si="85"/>
        <v>0</v>
      </c>
      <c r="D842" s="611">
        <v>0</v>
      </c>
      <c r="E842" s="610">
        <f>SUMIF('Entries 24-25'!$B:$B,A:A,'Entries 24-25'!$D:$D)-SUMIF('Entries 24-25'!$B:$B,A:A,'Entries 24-25'!$E:$E)+SUMIF('IND AS entries 24-25'!$B:$B,A:A,'IND AS entries 24-25'!$D:$D)-SUMIF('IND AS entries 24-25'!$B:$B,A:A,'IND AS entries 24-25'!$E:$E)</f>
        <v>0</v>
      </c>
      <c r="F842" s="611">
        <f t="shared" si="86"/>
        <v>0</v>
      </c>
      <c r="G842" s="610"/>
      <c r="H842" s="610"/>
      <c r="I842" s="611">
        <v>0</v>
      </c>
      <c r="J842" s="610">
        <v>0</v>
      </c>
      <c r="K842" s="611">
        <f t="shared" si="90"/>
        <v>0</v>
      </c>
      <c r="L842" s="612">
        <f>VLOOKUP(A842,'PL Gr'!A:A,1,0)</f>
        <v>501320</v>
      </c>
      <c r="M842" s="612">
        <f t="shared" si="89"/>
        <v>1</v>
      </c>
      <c r="N842" s="613">
        <f t="shared" si="88"/>
        <v>0</v>
      </c>
      <c r="O842" s="613">
        <f>VLOOKUP(A842,'PL Gr'!A:A,1,FALSE)</f>
        <v>501320</v>
      </c>
      <c r="P842" s="613">
        <v>0</v>
      </c>
      <c r="Q842" s="613">
        <f t="shared" si="91"/>
        <v>0</v>
      </c>
      <c r="R842" s="1514"/>
      <c r="S842" s="1617" t="e">
        <f>SUMIF('[105]TB for financial'!$A:$A,A842,'[105]TB for financial'!$E:$E)</f>
        <v>#VALUE!</v>
      </c>
    </row>
    <row r="843" spans="1:19">
      <c r="A843" s="608">
        <v>501321</v>
      </c>
      <c r="B843" s="609" t="s">
        <v>1624</v>
      </c>
      <c r="C843" s="610">
        <f t="shared" si="85"/>
        <v>0</v>
      </c>
      <c r="D843" s="611">
        <v>0</v>
      </c>
      <c r="E843" s="610">
        <f>SUMIF('Entries 24-25'!$B:$B,A:A,'Entries 24-25'!$D:$D)-SUMIF('Entries 24-25'!$B:$B,A:A,'Entries 24-25'!$E:$E)+SUMIF('IND AS entries 24-25'!$B:$B,A:A,'IND AS entries 24-25'!$D:$D)-SUMIF('IND AS entries 24-25'!$B:$B,A:A,'IND AS entries 24-25'!$E:$E)</f>
        <v>0</v>
      </c>
      <c r="F843" s="611">
        <f t="shared" si="86"/>
        <v>0</v>
      </c>
      <c r="G843" s="610"/>
      <c r="H843" s="610"/>
      <c r="I843" s="611">
        <v>0</v>
      </c>
      <c r="J843" s="610">
        <v>0</v>
      </c>
      <c r="K843" s="611">
        <f t="shared" si="90"/>
        <v>0</v>
      </c>
      <c r="L843" s="612">
        <f>VLOOKUP(A843,'PL Gr'!A:A,1,0)</f>
        <v>501321</v>
      </c>
      <c r="M843" s="612">
        <f t="shared" si="89"/>
        <v>1</v>
      </c>
      <c r="N843" s="613">
        <f t="shared" si="88"/>
        <v>0</v>
      </c>
      <c r="O843" s="613">
        <f>VLOOKUP(A843,'PL Gr'!A:A,1,FALSE)</f>
        <v>501321</v>
      </c>
      <c r="P843" s="613">
        <v>555984</v>
      </c>
      <c r="Q843" s="613">
        <f t="shared" si="91"/>
        <v>-555984</v>
      </c>
      <c r="R843" s="1514"/>
      <c r="S843" s="1617" t="e">
        <f>SUMIF('[105]TB for financial'!$A:$A,A843,'[105]TB for financial'!$E:$E)</f>
        <v>#VALUE!</v>
      </c>
    </row>
    <row r="844" spans="1:19">
      <c r="A844" s="608">
        <v>501322</v>
      </c>
      <c r="B844" s="609" t="s">
        <v>1625</v>
      </c>
      <c r="C844" s="610">
        <f t="shared" ref="C844:C907" si="92">K844</f>
        <v>0</v>
      </c>
      <c r="D844" s="611">
        <v>0</v>
      </c>
      <c r="E844" s="610">
        <f>SUMIF('Entries 24-25'!$B:$B,A:A,'Entries 24-25'!$D:$D)-SUMIF('Entries 24-25'!$B:$B,A:A,'Entries 24-25'!$E:$E)+SUMIF('IND AS entries 24-25'!$B:$B,A:A,'IND AS entries 24-25'!$D:$D)-SUMIF('IND AS entries 24-25'!$B:$B,A:A,'IND AS entries 24-25'!$E:$E)</f>
        <v>0</v>
      </c>
      <c r="F844" s="611">
        <f t="shared" si="86"/>
        <v>0</v>
      </c>
      <c r="G844" s="610"/>
      <c r="H844" s="610"/>
      <c r="I844" s="611">
        <v>0</v>
      </c>
      <c r="J844" s="610">
        <v>0</v>
      </c>
      <c r="K844" s="611">
        <f t="shared" si="90"/>
        <v>0</v>
      </c>
      <c r="L844" s="612">
        <f>VLOOKUP(A844,'PL Gr'!A:A,1,0)</f>
        <v>501322</v>
      </c>
      <c r="M844" s="612">
        <f t="shared" si="89"/>
        <v>1</v>
      </c>
      <c r="N844" s="613">
        <f t="shared" si="88"/>
        <v>0</v>
      </c>
      <c r="O844" s="613">
        <f>VLOOKUP(A844,'PL Gr'!A:A,1,FALSE)</f>
        <v>501322</v>
      </c>
      <c r="P844" s="613">
        <v>0</v>
      </c>
      <c r="Q844" s="613">
        <f t="shared" si="91"/>
        <v>0</v>
      </c>
      <c r="R844" s="1514"/>
      <c r="S844" s="1617" t="e">
        <f>SUMIF('[105]TB for financial'!$A:$A,A844,'[105]TB for financial'!$E:$E)</f>
        <v>#VALUE!</v>
      </c>
    </row>
    <row r="845" spans="1:19">
      <c r="A845" s="608">
        <v>501324</v>
      </c>
      <c r="B845" s="609" t="s">
        <v>798</v>
      </c>
      <c r="C845" s="610">
        <f t="shared" si="92"/>
        <v>0</v>
      </c>
      <c r="D845" s="611">
        <v>0</v>
      </c>
      <c r="E845" s="610">
        <f>SUMIF('Entries 24-25'!$B:$B,A:A,'Entries 24-25'!$D:$D)-SUMIF('Entries 24-25'!$B:$B,A:A,'Entries 24-25'!$E:$E)+SUMIF('IND AS entries 24-25'!$B:$B,A:A,'IND AS entries 24-25'!$D:$D)-SUMIF('IND AS entries 24-25'!$B:$B,A:A,'IND AS entries 24-25'!$E:$E)</f>
        <v>0</v>
      </c>
      <c r="F845" s="611">
        <f t="shared" si="86"/>
        <v>0</v>
      </c>
      <c r="G845" s="610"/>
      <c r="H845" s="610"/>
      <c r="I845" s="611">
        <v>0</v>
      </c>
      <c r="J845" s="610">
        <v>0</v>
      </c>
      <c r="K845" s="611">
        <f t="shared" si="90"/>
        <v>0</v>
      </c>
      <c r="L845" s="612">
        <f>VLOOKUP(A845,'PL Gr'!A:A,1,0)</f>
        <v>501324</v>
      </c>
      <c r="M845" s="612">
        <f t="shared" si="89"/>
        <v>1</v>
      </c>
      <c r="N845" s="613">
        <f t="shared" si="88"/>
        <v>0</v>
      </c>
      <c r="O845" s="613">
        <f>VLOOKUP(A845,'PL Gr'!A:A,1,FALSE)</f>
        <v>501324</v>
      </c>
      <c r="P845" s="613">
        <v>16836426.969999999</v>
      </c>
      <c r="Q845" s="613">
        <f t="shared" si="91"/>
        <v>-16836426.969999999</v>
      </c>
      <c r="R845" s="1514"/>
      <c r="S845" s="1617" t="e">
        <f>SUMIF('[105]TB for financial'!$A:$A,A845,'[105]TB for financial'!$E:$E)</f>
        <v>#VALUE!</v>
      </c>
    </row>
    <row r="846" spans="1:19">
      <c r="A846" s="608">
        <v>501329</v>
      </c>
      <c r="B846" s="609" t="s">
        <v>1626</v>
      </c>
      <c r="C846" s="610">
        <f t="shared" si="92"/>
        <v>0</v>
      </c>
      <c r="D846" s="611">
        <v>0</v>
      </c>
      <c r="E846" s="610">
        <f>SUMIF('Entries 24-25'!$B:$B,A:A,'Entries 24-25'!$D:$D)-SUMIF('Entries 24-25'!$B:$B,A:A,'Entries 24-25'!$E:$E)+SUMIF('IND AS entries 24-25'!$B:$B,A:A,'IND AS entries 24-25'!$D:$D)-SUMIF('IND AS entries 24-25'!$B:$B,A:A,'IND AS entries 24-25'!$E:$E)</f>
        <v>0</v>
      </c>
      <c r="F846" s="611">
        <f t="shared" ref="F846:F909" si="93">SUM(C846:E846)</f>
        <v>0</v>
      </c>
      <c r="G846" s="610"/>
      <c r="H846" s="610"/>
      <c r="I846" s="611">
        <v>0</v>
      </c>
      <c r="J846" s="610">
        <v>0</v>
      </c>
      <c r="K846" s="611">
        <f t="shared" si="90"/>
        <v>0</v>
      </c>
      <c r="L846" s="612">
        <f>VLOOKUP(A846,'PL Gr'!A:A,1,0)</f>
        <v>501329</v>
      </c>
      <c r="M846" s="612">
        <f t="shared" si="89"/>
        <v>1</v>
      </c>
      <c r="N846" s="613">
        <f t="shared" si="88"/>
        <v>0</v>
      </c>
      <c r="O846" s="613">
        <f>VLOOKUP(A846,'PL Gr'!A:A,1,FALSE)</f>
        <v>501329</v>
      </c>
      <c r="P846" s="613">
        <v>0</v>
      </c>
      <c r="Q846" s="613">
        <f t="shared" si="91"/>
        <v>0</v>
      </c>
      <c r="R846" s="1514"/>
      <c r="S846" s="1617" t="e">
        <f>SUMIF('[105]TB for financial'!$A:$A,A846,'[105]TB for financial'!$E:$E)</f>
        <v>#VALUE!</v>
      </c>
    </row>
    <row r="847" spans="1:19">
      <c r="A847" s="608">
        <v>501330</v>
      </c>
      <c r="B847" s="609" t="s">
        <v>1627</v>
      </c>
      <c r="C847" s="610">
        <f t="shared" si="92"/>
        <v>0</v>
      </c>
      <c r="D847" s="611">
        <v>0</v>
      </c>
      <c r="E847" s="610">
        <f>SUMIF('Entries 24-25'!$B:$B,A:A,'Entries 24-25'!$D:$D)-SUMIF('Entries 24-25'!$B:$B,A:A,'Entries 24-25'!$E:$E)+SUMIF('IND AS entries 24-25'!$B:$B,A:A,'IND AS entries 24-25'!$D:$D)-SUMIF('IND AS entries 24-25'!$B:$B,A:A,'IND AS entries 24-25'!$E:$E)</f>
        <v>0</v>
      </c>
      <c r="F847" s="611">
        <f t="shared" si="93"/>
        <v>0</v>
      </c>
      <c r="G847" s="610"/>
      <c r="H847" s="610"/>
      <c r="I847" s="611">
        <v>0</v>
      </c>
      <c r="J847" s="610">
        <v>0</v>
      </c>
      <c r="K847" s="611">
        <f t="shared" si="90"/>
        <v>0</v>
      </c>
      <c r="L847" s="612">
        <f>VLOOKUP(A847,'PL Gr'!A:A,1,0)</f>
        <v>501330</v>
      </c>
      <c r="M847" s="612">
        <f t="shared" si="89"/>
        <v>1</v>
      </c>
      <c r="N847" s="613">
        <f t="shared" si="88"/>
        <v>0</v>
      </c>
      <c r="O847" s="613">
        <f>VLOOKUP(A847,'PL Gr'!A:A,1,FALSE)</f>
        <v>501330</v>
      </c>
      <c r="P847" s="613">
        <v>0</v>
      </c>
      <c r="Q847" s="613">
        <f t="shared" si="91"/>
        <v>0</v>
      </c>
      <c r="R847" s="1514"/>
      <c r="S847" s="1617" t="e">
        <f>SUMIF('[105]TB for financial'!$A:$A,A847,'[105]TB for financial'!$E:$E)</f>
        <v>#VALUE!</v>
      </c>
    </row>
    <row r="848" spans="1:19">
      <c r="A848" s="608">
        <v>501410</v>
      </c>
      <c r="B848" s="609" t="s">
        <v>1628</v>
      </c>
      <c r="C848" s="610">
        <f t="shared" si="92"/>
        <v>0</v>
      </c>
      <c r="D848" s="611">
        <v>0</v>
      </c>
      <c r="E848" s="610">
        <f>SUMIF('Entries 24-25'!$B:$B,A:A,'Entries 24-25'!$D:$D)-SUMIF('Entries 24-25'!$B:$B,A:A,'Entries 24-25'!$E:$E)+SUMIF('IND AS entries 24-25'!$B:$B,A:A,'IND AS entries 24-25'!$D:$D)-SUMIF('IND AS entries 24-25'!$B:$B,A:A,'IND AS entries 24-25'!$E:$E)</f>
        <v>0</v>
      </c>
      <c r="F848" s="611">
        <f t="shared" si="93"/>
        <v>0</v>
      </c>
      <c r="G848" s="610"/>
      <c r="H848" s="610"/>
      <c r="I848" s="611">
        <v>0</v>
      </c>
      <c r="J848" s="610">
        <v>0</v>
      </c>
      <c r="K848" s="611">
        <f t="shared" si="90"/>
        <v>0</v>
      </c>
      <c r="L848" s="612">
        <f>VLOOKUP(A848,'PL Gr'!A:A,1,0)</f>
        <v>501410</v>
      </c>
      <c r="M848" s="612">
        <f t="shared" ref="M848:M879" si="94">COUNTIF(A:A,A848)</f>
        <v>1</v>
      </c>
      <c r="N848" s="613">
        <f t="shared" ref="N848:N911" si="95">C848-K848</f>
        <v>0</v>
      </c>
      <c r="O848" s="613">
        <f>VLOOKUP(A848,'PL Gr'!A:A,1,FALSE)</f>
        <v>501410</v>
      </c>
      <c r="P848" s="613">
        <v>0</v>
      </c>
      <c r="Q848" s="613">
        <f t="shared" si="91"/>
        <v>0</v>
      </c>
      <c r="R848" s="1514"/>
      <c r="S848" s="1617" t="e">
        <f>SUMIF('[105]TB for financial'!$A:$A,A848,'[105]TB for financial'!$E:$E)</f>
        <v>#VALUE!</v>
      </c>
    </row>
    <row r="849" spans="1:19">
      <c r="A849" s="608">
        <v>501420</v>
      </c>
      <c r="B849" s="609" t="s">
        <v>1629</v>
      </c>
      <c r="C849" s="610">
        <f t="shared" si="92"/>
        <v>0</v>
      </c>
      <c r="D849" s="611">
        <v>0</v>
      </c>
      <c r="E849" s="610">
        <f>SUMIF('Entries 24-25'!$B:$B,A:A,'Entries 24-25'!$D:$D)-SUMIF('Entries 24-25'!$B:$B,A:A,'Entries 24-25'!$E:$E)+SUMIF('IND AS entries 24-25'!$B:$B,A:A,'IND AS entries 24-25'!$D:$D)-SUMIF('IND AS entries 24-25'!$B:$B,A:A,'IND AS entries 24-25'!$E:$E)</f>
        <v>0</v>
      </c>
      <c r="F849" s="611">
        <f t="shared" si="93"/>
        <v>0</v>
      </c>
      <c r="G849" s="610"/>
      <c r="H849" s="610"/>
      <c r="I849" s="611">
        <v>0</v>
      </c>
      <c r="J849" s="610">
        <v>0</v>
      </c>
      <c r="K849" s="611">
        <f t="shared" si="90"/>
        <v>0</v>
      </c>
      <c r="L849" s="612">
        <f>VLOOKUP(A849,'PL Gr'!A:A,1,0)</f>
        <v>501420</v>
      </c>
      <c r="M849" s="612">
        <f t="shared" si="94"/>
        <v>1</v>
      </c>
      <c r="N849" s="613">
        <f t="shared" si="95"/>
        <v>0</v>
      </c>
      <c r="O849" s="613">
        <f>VLOOKUP(A849,'PL Gr'!A:A,1,FALSE)</f>
        <v>501420</v>
      </c>
      <c r="P849" s="613">
        <v>0</v>
      </c>
      <c r="Q849" s="613">
        <f t="shared" si="91"/>
        <v>0</v>
      </c>
      <c r="R849" s="1514"/>
      <c r="S849" s="1617" t="e">
        <f>SUMIF('[105]TB for financial'!$A:$A,A849,'[105]TB for financial'!$E:$E)</f>
        <v>#VALUE!</v>
      </c>
    </row>
    <row r="850" spans="1:19">
      <c r="A850" s="608">
        <v>501510</v>
      </c>
      <c r="B850" s="609" t="s">
        <v>1630</v>
      </c>
      <c r="C850" s="610">
        <f t="shared" si="92"/>
        <v>0</v>
      </c>
      <c r="D850" s="611">
        <v>0</v>
      </c>
      <c r="E850" s="610">
        <f>SUMIF('Entries 24-25'!$B:$B,A:A,'Entries 24-25'!$D:$D)-SUMIF('Entries 24-25'!$B:$B,A:A,'Entries 24-25'!$E:$E)+SUMIF('IND AS entries 24-25'!$B:$B,A:A,'IND AS entries 24-25'!$D:$D)-SUMIF('IND AS entries 24-25'!$B:$B,A:A,'IND AS entries 24-25'!$E:$E)</f>
        <v>0</v>
      </c>
      <c r="F850" s="611">
        <f t="shared" si="93"/>
        <v>0</v>
      </c>
      <c r="G850" s="610"/>
      <c r="H850" s="610"/>
      <c r="I850" s="611">
        <v>0</v>
      </c>
      <c r="J850" s="610">
        <v>0</v>
      </c>
      <c r="K850" s="611">
        <f t="shared" si="90"/>
        <v>0</v>
      </c>
      <c r="L850" s="612">
        <f>VLOOKUP(A850,'PL Gr'!A:A,1,0)</f>
        <v>501510</v>
      </c>
      <c r="M850" s="612">
        <f t="shared" si="94"/>
        <v>1</v>
      </c>
      <c r="N850" s="613">
        <f t="shared" si="95"/>
        <v>0</v>
      </c>
      <c r="O850" s="613">
        <f>VLOOKUP(A850,'PL Gr'!A:A,1,FALSE)</f>
        <v>501510</v>
      </c>
      <c r="P850" s="613">
        <v>0</v>
      </c>
      <c r="Q850" s="613">
        <f t="shared" si="91"/>
        <v>0</v>
      </c>
      <c r="R850" s="1514"/>
      <c r="S850" s="1617" t="e">
        <f>SUMIF('[105]TB for financial'!$A:$A,A850,'[105]TB for financial'!$E:$E)</f>
        <v>#VALUE!</v>
      </c>
    </row>
    <row r="851" spans="1:19">
      <c r="A851" s="608">
        <v>501515</v>
      </c>
      <c r="B851" s="609" t="s">
        <v>1631</v>
      </c>
      <c r="C851" s="610">
        <f t="shared" si="92"/>
        <v>0</v>
      </c>
      <c r="D851" s="611">
        <v>0</v>
      </c>
      <c r="E851" s="610">
        <f>SUMIF('Entries 24-25'!$B:$B,A:A,'Entries 24-25'!$D:$D)-SUMIF('Entries 24-25'!$B:$B,A:A,'Entries 24-25'!$E:$E)+SUMIF('IND AS entries 24-25'!$B:$B,A:A,'IND AS entries 24-25'!$D:$D)-SUMIF('IND AS entries 24-25'!$B:$B,A:A,'IND AS entries 24-25'!$E:$E)</f>
        <v>0</v>
      </c>
      <c r="F851" s="611">
        <f t="shared" si="93"/>
        <v>0</v>
      </c>
      <c r="G851" s="610"/>
      <c r="H851" s="610"/>
      <c r="I851" s="611">
        <v>0</v>
      </c>
      <c r="J851" s="610">
        <v>0</v>
      </c>
      <c r="K851" s="611">
        <f t="shared" si="90"/>
        <v>0</v>
      </c>
      <c r="L851" s="612">
        <f>VLOOKUP(A851,'PL Gr'!A:A,1,0)</f>
        <v>501515</v>
      </c>
      <c r="M851" s="612">
        <f t="shared" si="94"/>
        <v>1</v>
      </c>
      <c r="N851" s="613">
        <f t="shared" si="95"/>
        <v>0</v>
      </c>
      <c r="O851" s="613">
        <f>VLOOKUP(A851,'PL Gr'!A:A,1,FALSE)</f>
        <v>501515</v>
      </c>
      <c r="P851" s="613">
        <v>6853633.4499999993</v>
      </c>
      <c r="Q851" s="613">
        <f t="shared" si="91"/>
        <v>-6853633.4499999993</v>
      </c>
      <c r="R851" s="1514"/>
      <c r="S851" s="1617" t="e">
        <f>SUMIF('[105]TB for financial'!$A:$A,A851,'[105]TB for financial'!$E:$E)</f>
        <v>#VALUE!</v>
      </c>
    </row>
    <row r="852" spans="1:19">
      <c r="A852" s="608">
        <v>501516</v>
      </c>
      <c r="B852" s="609" t="s">
        <v>1632</v>
      </c>
      <c r="C852" s="610">
        <f t="shared" si="92"/>
        <v>0</v>
      </c>
      <c r="D852" s="611">
        <v>0</v>
      </c>
      <c r="E852" s="610">
        <f>SUMIF('Entries 24-25'!$B:$B,A:A,'Entries 24-25'!$D:$D)-SUMIF('Entries 24-25'!$B:$B,A:A,'Entries 24-25'!$E:$E)+SUMIF('IND AS entries 24-25'!$B:$B,A:A,'IND AS entries 24-25'!$D:$D)-SUMIF('IND AS entries 24-25'!$B:$B,A:A,'IND AS entries 24-25'!$E:$E)</f>
        <v>0</v>
      </c>
      <c r="F852" s="611">
        <f t="shared" si="93"/>
        <v>0</v>
      </c>
      <c r="G852" s="610"/>
      <c r="H852" s="610"/>
      <c r="I852" s="611">
        <v>0</v>
      </c>
      <c r="J852" s="610">
        <v>0</v>
      </c>
      <c r="K852" s="611">
        <f t="shared" si="90"/>
        <v>0</v>
      </c>
      <c r="L852" s="612">
        <f>VLOOKUP(A852,'PL Gr'!A:A,1,0)</f>
        <v>501516</v>
      </c>
      <c r="M852" s="612">
        <f t="shared" si="94"/>
        <v>1</v>
      </c>
      <c r="N852" s="613">
        <f t="shared" si="95"/>
        <v>0</v>
      </c>
      <c r="O852" s="613">
        <f>VLOOKUP(A852,'PL Gr'!A:A,1,FALSE)</f>
        <v>501516</v>
      </c>
      <c r="P852" s="613">
        <v>0</v>
      </c>
      <c r="Q852" s="613">
        <f t="shared" si="91"/>
        <v>0</v>
      </c>
      <c r="R852" s="1514"/>
      <c r="S852" s="1617" t="e">
        <f>SUMIF('[105]TB for financial'!$A:$A,A852,'[105]TB for financial'!$E:$E)</f>
        <v>#VALUE!</v>
      </c>
    </row>
    <row r="853" spans="1:19">
      <c r="A853" s="608">
        <v>501520</v>
      </c>
      <c r="B853" s="609" t="s">
        <v>1633</v>
      </c>
      <c r="C853" s="610">
        <f t="shared" si="92"/>
        <v>0</v>
      </c>
      <c r="D853" s="611">
        <v>0</v>
      </c>
      <c r="E853" s="610">
        <f>SUMIF('Entries 24-25'!$B:$B,A:A,'Entries 24-25'!$D:$D)-SUMIF('Entries 24-25'!$B:$B,A:A,'Entries 24-25'!$E:$E)+SUMIF('IND AS entries 24-25'!$B:$B,A:A,'IND AS entries 24-25'!$D:$D)-SUMIF('IND AS entries 24-25'!$B:$B,A:A,'IND AS entries 24-25'!$E:$E)</f>
        <v>0</v>
      </c>
      <c r="F853" s="611">
        <f t="shared" si="93"/>
        <v>0</v>
      </c>
      <c r="G853" s="610"/>
      <c r="H853" s="610"/>
      <c r="I853" s="611">
        <v>0</v>
      </c>
      <c r="J853" s="610">
        <v>0</v>
      </c>
      <c r="K853" s="611">
        <f t="shared" si="90"/>
        <v>0</v>
      </c>
      <c r="L853" s="612">
        <f>VLOOKUP(A853,'PL Gr'!A:A,1,0)</f>
        <v>501520</v>
      </c>
      <c r="M853" s="612">
        <f t="shared" si="94"/>
        <v>1</v>
      </c>
      <c r="N853" s="613">
        <f t="shared" si="95"/>
        <v>0</v>
      </c>
      <c r="O853" s="613">
        <f>VLOOKUP(A853,'PL Gr'!A:A,1,FALSE)</f>
        <v>501520</v>
      </c>
      <c r="P853" s="613">
        <v>0</v>
      </c>
      <c r="Q853" s="613">
        <f t="shared" si="91"/>
        <v>0</v>
      </c>
      <c r="R853" s="1514"/>
      <c r="S853" s="1617" t="e">
        <f>SUMIF('[105]TB for financial'!$A:$A,A853,'[105]TB for financial'!$E:$E)</f>
        <v>#VALUE!</v>
      </c>
    </row>
    <row r="854" spans="1:19">
      <c r="A854" s="608">
        <v>501590</v>
      </c>
      <c r="B854" s="609" t="s">
        <v>1634</v>
      </c>
      <c r="C854" s="610">
        <f t="shared" si="92"/>
        <v>0</v>
      </c>
      <c r="D854" s="611">
        <v>0</v>
      </c>
      <c r="E854" s="610">
        <f>SUMIF('Entries 24-25'!$B:$B,A:A,'Entries 24-25'!$D:$D)-SUMIF('Entries 24-25'!$B:$B,A:A,'Entries 24-25'!$E:$E)+SUMIF('IND AS entries 24-25'!$B:$B,A:A,'IND AS entries 24-25'!$D:$D)-SUMIF('IND AS entries 24-25'!$B:$B,A:A,'IND AS entries 24-25'!$E:$E)</f>
        <v>0</v>
      </c>
      <c r="F854" s="611">
        <f t="shared" si="93"/>
        <v>0</v>
      </c>
      <c r="G854" s="610"/>
      <c r="H854" s="610"/>
      <c r="I854" s="611">
        <v>0</v>
      </c>
      <c r="J854" s="610">
        <v>0</v>
      </c>
      <c r="K854" s="611">
        <f t="shared" si="90"/>
        <v>0</v>
      </c>
      <c r="L854" s="612">
        <f>VLOOKUP(A854,'PL Gr'!A:A,1,0)</f>
        <v>501590</v>
      </c>
      <c r="M854" s="612">
        <f t="shared" si="94"/>
        <v>1</v>
      </c>
      <c r="N854" s="613">
        <f t="shared" si="95"/>
        <v>0</v>
      </c>
      <c r="O854" s="613">
        <f>VLOOKUP(A854,'PL Gr'!A:A,1,FALSE)</f>
        <v>501590</v>
      </c>
      <c r="P854" s="613">
        <v>0</v>
      </c>
      <c r="Q854" s="613">
        <f t="shared" si="91"/>
        <v>0</v>
      </c>
      <c r="R854" s="1514"/>
      <c r="S854" s="1617" t="e">
        <f>SUMIF('[105]TB for financial'!$A:$A,A854,'[105]TB for financial'!$E:$E)</f>
        <v>#VALUE!</v>
      </c>
    </row>
    <row r="855" spans="1:19">
      <c r="A855" s="608">
        <v>501610</v>
      </c>
      <c r="B855" s="609" t="s">
        <v>1635</v>
      </c>
      <c r="C855" s="610">
        <f t="shared" si="92"/>
        <v>0</v>
      </c>
      <c r="D855" s="611">
        <v>0</v>
      </c>
      <c r="E855" s="610">
        <f>SUMIF('Entries 24-25'!$B:$B,A:A,'Entries 24-25'!$D:$D)-SUMIF('Entries 24-25'!$B:$B,A:A,'Entries 24-25'!$E:$E)+SUMIF('IND AS entries 24-25'!$B:$B,A:A,'IND AS entries 24-25'!$D:$D)-SUMIF('IND AS entries 24-25'!$B:$B,A:A,'IND AS entries 24-25'!$E:$E)</f>
        <v>0</v>
      </c>
      <c r="F855" s="611">
        <f t="shared" si="93"/>
        <v>0</v>
      </c>
      <c r="G855" s="610"/>
      <c r="H855" s="610"/>
      <c r="I855" s="611">
        <v>0</v>
      </c>
      <c r="J855" s="610">
        <v>0</v>
      </c>
      <c r="K855" s="611">
        <f t="shared" si="90"/>
        <v>0</v>
      </c>
      <c r="L855" s="612">
        <f>VLOOKUP(A855,'PL Gr'!A:A,1,0)</f>
        <v>501610</v>
      </c>
      <c r="M855" s="612">
        <f t="shared" si="94"/>
        <v>1</v>
      </c>
      <c r="N855" s="613">
        <f t="shared" si="95"/>
        <v>0</v>
      </c>
      <c r="O855" s="613">
        <f>VLOOKUP(A855,'PL Gr'!A:A,1,FALSE)</f>
        <v>501610</v>
      </c>
      <c r="P855" s="613">
        <v>0</v>
      </c>
      <c r="Q855" s="613">
        <f t="shared" si="91"/>
        <v>0</v>
      </c>
      <c r="R855" s="1514"/>
      <c r="S855" s="1617" t="e">
        <f>SUMIF('[105]TB for financial'!$A:$A,A855,'[105]TB for financial'!$E:$E)</f>
        <v>#VALUE!</v>
      </c>
    </row>
    <row r="856" spans="1:19">
      <c r="A856" s="608">
        <v>501655</v>
      </c>
      <c r="B856" s="609" t="s">
        <v>1636</v>
      </c>
      <c r="C856" s="610">
        <f t="shared" si="92"/>
        <v>0</v>
      </c>
      <c r="D856" s="611">
        <v>0</v>
      </c>
      <c r="E856" s="610">
        <f>SUMIF('Entries 24-25'!$B:$B,A:A,'Entries 24-25'!$D:$D)-SUMIF('Entries 24-25'!$B:$B,A:A,'Entries 24-25'!$E:$E)+SUMIF('IND AS entries 24-25'!$B:$B,A:A,'IND AS entries 24-25'!$D:$D)-SUMIF('IND AS entries 24-25'!$B:$B,A:A,'IND AS entries 24-25'!$E:$E)</f>
        <v>0</v>
      </c>
      <c r="F856" s="611">
        <f t="shared" si="93"/>
        <v>0</v>
      </c>
      <c r="G856" s="610"/>
      <c r="H856" s="610"/>
      <c r="I856" s="611">
        <v>0</v>
      </c>
      <c r="J856" s="610">
        <v>0</v>
      </c>
      <c r="K856" s="611">
        <f t="shared" si="90"/>
        <v>0</v>
      </c>
      <c r="L856" s="612">
        <f>VLOOKUP(A856,'PL Gr'!A:A,1,0)</f>
        <v>501655</v>
      </c>
      <c r="M856" s="612">
        <f t="shared" si="94"/>
        <v>1</v>
      </c>
      <c r="N856" s="613">
        <f t="shared" si="95"/>
        <v>0</v>
      </c>
      <c r="O856" s="613">
        <f>VLOOKUP(A856,'PL Gr'!A:A,1,FALSE)</f>
        <v>501655</v>
      </c>
      <c r="P856" s="613">
        <v>0</v>
      </c>
      <c r="Q856" s="613">
        <f t="shared" si="91"/>
        <v>0</v>
      </c>
      <c r="R856" s="1514"/>
      <c r="S856" s="1617" t="e">
        <f>SUMIF('[105]TB for financial'!$A:$A,A856,'[105]TB for financial'!$E:$E)</f>
        <v>#VALUE!</v>
      </c>
    </row>
    <row r="857" spans="1:19">
      <c r="A857" s="608">
        <v>501660</v>
      </c>
      <c r="B857" s="609" t="s">
        <v>1637</v>
      </c>
      <c r="C857" s="610">
        <f t="shared" si="92"/>
        <v>0</v>
      </c>
      <c r="D857" s="611">
        <v>0</v>
      </c>
      <c r="E857" s="610">
        <f>SUMIF('Entries 24-25'!$B:$B,A:A,'Entries 24-25'!$D:$D)-SUMIF('Entries 24-25'!$B:$B,A:A,'Entries 24-25'!$E:$E)+SUMIF('IND AS entries 24-25'!$B:$B,A:A,'IND AS entries 24-25'!$D:$D)-SUMIF('IND AS entries 24-25'!$B:$B,A:A,'IND AS entries 24-25'!$E:$E)</f>
        <v>0</v>
      </c>
      <c r="F857" s="611">
        <f t="shared" si="93"/>
        <v>0</v>
      </c>
      <c r="G857" s="610"/>
      <c r="H857" s="610"/>
      <c r="I857" s="611">
        <v>0</v>
      </c>
      <c r="J857" s="610">
        <v>0</v>
      </c>
      <c r="K857" s="611">
        <f t="shared" si="90"/>
        <v>0</v>
      </c>
      <c r="L857" s="612">
        <f>VLOOKUP(A857,'PL Gr'!A:A,1,0)</f>
        <v>501660</v>
      </c>
      <c r="M857" s="612">
        <f t="shared" si="94"/>
        <v>1</v>
      </c>
      <c r="N857" s="613">
        <f t="shared" si="95"/>
        <v>0</v>
      </c>
      <c r="O857" s="613">
        <f>VLOOKUP(A857,'PL Gr'!A:A,1,FALSE)</f>
        <v>501660</v>
      </c>
      <c r="P857" s="613">
        <v>50959.14</v>
      </c>
      <c r="Q857" s="613">
        <f t="shared" si="91"/>
        <v>-50959.14</v>
      </c>
      <c r="R857" s="1514"/>
      <c r="S857" s="1617" t="e">
        <f>SUMIF('[105]TB for financial'!$A:$A,A857,'[105]TB for financial'!$E:$E)</f>
        <v>#VALUE!</v>
      </c>
    </row>
    <row r="858" spans="1:19">
      <c r="A858" s="608">
        <v>501661</v>
      </c>
      <c r="B858" s="609" t="s">
        <v>1638</v>
      </c>
      <c r="C858" s="610">
        <f t="shared" si="92"/>
        <v>0</v>
      </c>
      <c r="D858" s="611">
        <v>0</v>
      </c>
      <c r="E858" s="610">
        <f>SUMIF('Entries 24-25'!$B:$B,A:A,'Entries 24-25'!$D:$D)-SUMIF('Entries 24-25'!$B:$B,A:A,'Entries 24-25'!$E:$E)+SUMIF('IND AS entries 24-25'!$B:$B,A:A,'IND AS entries 24-25'!$D:$D)-SUMIF('IND AS entries 24-25'!$B:$B,A:A,'IND AS entries 24-25'!$E:$E)</f>
        <v>0</v>
      </c>
      <c r="F858" s="611">
        <f t="shared" si="93"/>
        <v>0</v>
      </c>
      <c r="G858" s="610"/>
      <c r="H858" s="610"/>
      <c r="I858" s="611">
        <v>0</v>
      </c>
      <c r="J858" s="610">
        <v>0</v>
      </c>
      <c r="K858" s="611">
        <f t="shared" si="90"/>
        <v>0</v>
      </c>
      <c r="L858" s="612">
        <f>VLOOKUP(A858,'PL Gr'!A:A,1,0)</f>
        <v>501661</v>
      </c>
      <c r="M858" s="612">
        <f t="shared" si="94"/>
        <v>1</v>
      </c>
      <c r="N858" s="613">
        <f t="shared" si="95"/>
        <v>0</v>
      </c>
      <c r="O858" s="613">
        <f>VLOOKUP(A858,'PL Gr'!A:A,1,FALSE)</f>
        <v>501661</v>
      </c>
      <c r="P858" s="613">
        <v>0</v>
      </c>
      <c r="Q858" s="613">
        <f t="shared" si="91"/>
        <v>0</v>
      </c>
      <c r="R858" s="1514"/>
      <c r="S858" s="1617" t="e">
        <f>SUMIF('[105]TB for financial'!$A:$A,A858,'[105]TB for financial'!$E:$E)</f>
        <v>#VALUE!</v>
      </c>
    </row>
    <row r="859" spans="1:19">
      <c r="A859" s="608">
        <v>501710</v>
      </c>
      <c r="B859" s="609" t="s">
        <v>1639</v>
      </c>
      <c r="C859" s="610">
        <f t="shared" si="92"/>
        <v>0</v>
      </c>
      <c r="D859" s="611">
        <v>0</v>
      </c>
      <c r="E859" s="610">
        <f>SUMIF('Entries 24-25'!$B:$B,A:A,'Entries 24-25'!$D:$D)-SUMIF('Entries 24-25'!$B:$B,A:A,'Entries 24-25'!$E:$E)+SUMIF('IND AS entries 24-25'!$B:$B,A:A,'IND AS entries 24-25'!$D:$D)-SUMIF('IND AS entries 24-25'!$B:$B,A:A,'IND AS entries 24-25'!$E:$E)</f>
        <v>0</v>
      </c>
      <c r="F859" s="611">
        <f t="shared" si="93"/>
        <v>0</v>
      </c>
      <c r="G859" s="610"/>
      <c r="H859" s="610"/>
      <c r="I859" s="611">
        <v>0</v>
      </c>
      <c r="J859" s="610">
        <v>0</v>
      </c>
      <c r="K859" s="611">
        <f t="shared" si="90"/>
        <v>0</v>
      </c>
      <c r="L859" s="612">
        <f>VLOOKUP(A859,'PL Gr'!A:A,1,0)</f>
        <v>501710</v>
      </c>
      <c r="M859" s="612">
        <f t="shared" si="94"/>
        <v>1</v>
      </c>
      <c r="N859" s="613">
        <f t="shared" si="95"/>
        <v>0</v>
      </c>
      <c r="O859" s="613">
        <f>VLOOKUP(A859,'PL Gr'!A:A,1,FALSE)</f>
        <v>501710</v>
      </c>
      <c r="P859" s="613">
        <v>0</v>
      </c>
      <c r="Q859" s="613">
        <f t="shared" si="91"/>
        <v>0</v>
      </c>
      <c r="R859" s="1514"/>
      <c r="S859" s="1617" t="e">
        <f>SUMIF('[105]TB for financial'!$A:$A,A859,'[105]TB for financial'!$E:$E)</f>
        <v>#VALUE!</v>
      </c>
    </row>
    <row r="860" spans="1:19">
      <c r="A860" s="608">
        <v>501715</v>
      </c>
      <c r="B860" s="609" t="s">
        <v>1640</v>
      </c>
      <c r="C860" s="610">
        <f t="shared" si="92"/>
        <v>0</v>
      </c>
      <c r="D860" s="611">
        <v>0</v>
      </c>
      <c r="E860" s="610">
        <f>SUMIF('Entries 24-25'!$B:$B,A:A,'Entries 24-25'!$D:$D)-SUMIF('Entries 24-25'!$B:$B,A:A,'Entries 24-25'!$E:$E)+SUMIF('IND AS entries 24-25'!$B:$B,A:A,'IND AS entries 24-25'!$D:$D)-SUMIF('IND AS entries 24-25'!$B:$B,A:A,'IND AS entries 24-25'!$E:$E)</f>
        <v>0</v>
      </c>
      <c r="F860" s="611">
        <f t="shared" si="93"/>
        <v>0</v>
      </c>
      <c r="G860" s="610"/>
      <c r="H860" s="610"/>
      <c r="I860" s="611">
        <v>0</v>
      </c>
      <c r="J860" s="610">
        <v>0</v>
      </c>
      <c r="K860" s="611">
        <f t="shared" si="90"/>
        <v>0</v>
      </c>
      <c r="L860" s="612">
        <f>VLOOKUP(A860,'PL Gr'!A:A,1,0)</f>
        <v>501715</v>
      </c>
      <c r="M860" s="612">
        <f t="shared" si="94"/>
        <v>1</v>
      </c>
      <c r="N860" s="613">
        <f t="shared" si="95"/>
        <v>0</v>
      </c>
      <c r="O860" s="613">
        <f>VLOOKUP(A860,'PL Gr'!A:A,1,FALSE)</f>
        <v>501715</v>
      </c>
      <c r="P860" s="613">
        <v>0</v>
      </c>
      <c r="Q860" s="613">
        <f t="shared" si="91"/>
        <v>0</v>
      </c>
      <c r="R860" s="1514"/>
      <c r="S860" s="1617" t="e">
        <f>SUMIF('[105]TB for financial'!$A:$A,A860,'[105]TB for financial'!$E:$E)</f>
        <v>#VALUE!</v>
      </c>
    </row>
    <row r="861" spans="1:19">
      <c r="A861" s="608">
        <v>501720</v>
      </c>
      <c r="B861" s="609" t="s">
        <v>1641</v>
      </c>
      <c r="C861" s="610">
        <f t="shared" si="92"/>
        <v>0</v>
      </c>
      <c r="D861" s="611">
        <v>0</v>
      </c>
      <c r="E861" s="610">
        <f>SUMIF('Entries 24-25'!$B:$B,A:A,'Entries 24-25'!$D:$D)-SUMIF('Entries 24-25'!$B:$B,A:A,'Entries 24-25'!$E:$E)+SUMIF('IND AS entries 24-25'!$B:$B,A:A,'IND AS entries 24-25'!$D:$D)-SUMIF('IND AS entries 24-25'!$B:$B,A:A,'IND AS entries 24-25'!$E:$E)</f>
        <v>0</v>
      </c>
      <c r="F861" s="611">
        <f t="shared" si="93"/>
        <v>0</v>
      </c>
      <c r="G861" s="610"/>
      <c r="H861" s="610"/>
      <c r="I861" s="611">
        <v>0</v>
      </c>
      <c r="J861" s="610">
        <v>0</v>
      </c>
      <c r="K861" s="611">
        <f t="shared" si="90"/>
        <v>0</v>
      </c>
      <c r="L861" s="612">
        <f>VLOOKUP(A861,'PL Gr'!A:A,1,0)</f>
        <v>501720</v>
      </c>
      <c r="M861" s="612">
        <f t="shared" si="94"/>
        <v>1</v>
      </c>
      <c r="N861" s="613">
        <f t="shared" si="95"/>
        <v>0</v>
      </c>
      <c r="O861" s="613">
        <f>VLOOKUP(A861,'PL Gr'!A:A,1,FALSE)</f>
        <v>501720</v>
      </c>
      <c r="P861" s="613">
        <v>0</v>
      </c>
      <c r="Q861" s="613">
        <f t="shared" si="91"/>
        <v>0</v>
      </c>
      <c r="R861" s="1514"/>
      <c r="S861" s="1617" t="e">
        <f>SUMIF('[105]TB for financial'!$A:$A,A861,'[105]TB for financial'!$E:$E)</f>
        <v>#VALUE!</v>
      </c>
    </row>
    <row r="862" spans="1:19">
      <c r="A862" s="608">
        <v>501725</v>
      </c>
      <c r="B862" s="609" t="s">
        <v>1642</v>
      </c>
      <c r="C862" s="610">
        <f t="shared" si="92"/>
        <v>0</v>
      </c>
      <c r="D862" s="611">
        <v>0</v>
      </c>
      <c r="E862" s="610">
        <f>SUMIF('Entries 24-25'!$B:$B,A:A,'Entries 24-25'!$D:$D)-SUMIF('Entries 24-25'!$B:$B,A:A,'Entries 24-25'!$E:$E)+SUMIF('IND AS entries 24-25'!$B:$B,A:A,'IND AS entries 24-25'!$D:$D)-SUMIF('IND AS entries 24-25'!$B:$B,A:A,'IND AS entries 24-25'!$E:$E)</f>
        <v>0</v>
      </c>
      <c r="F862" s="611">
        <f t="shared" si="93"/>
        <v>0</v>
      </c>
      <c r="G862" s="610"/>
      <c r="H862" s="610"/>
      <c r="I862" s="611">
        <v>0</v>
      </c>
      <c r="J862" s="610">
        <v>0</v>
      </c>
      <c r="K862" s="611">
        <f t="shared" si="90"/>
        <v>0</v>
      </c>
      <c r="L862" s="612">
        <f>VLOOKUP(A862,'PL Gr'!A:A,1,0)</f>
        <v>501725</v>
      </c>
      <c r="M862" s="612">
        <f t="shared" si="94"/>
        <v>1</v>
      </c>
      <c r="N862" s="613">
        <f t="shared" si="95"/>
        <v>0</v>
      </c>
      <c r="O862" s="613">
        <f>VLOOKUP(A862,'PL Gr'!A:A,1,FALSE)</f>
        <v>501725</v>
      </c>
      <c r="P862" s="613">
        <v>36176</v>
      </c>
      <c r="Q862" s="613">
        <f t="shared" si="91"/>
        <v>-36176</v>
      </c>
      <c r="R862" s="1514"/>
      <c r="S862" s="1617" t="e">
        <f>SUMIF('[105]TB for financial'!$A:$A,A862,'[105]TB for financial'!$E:$E)</f>
        <v>#VALUE!</v>
      </c>
    </row>
    <row r="863" spans="1:19">
      <c r="A863" s="608">
        <v>501730</v>
      </c>
      <c r="B863" s="609" t="s">
        <v>1643</v>
      </c>
      <c r="C863" s="610">
        <f t="shared" si="92"/>
        <v>0</v>
      </c>
      <c r="D863" s="611">
        <v>0</v>
      </c>
      <c r="E863" s="610">
        <f>SUMIF('Entries 24-25'!$B:$B,A:A,'Entries 24-25'!$D:$D)-SUMIF('Entries 24-25'!$B:$B,A:A,'Entries 24-25'!$E:$E)+SUMIF('IND AS entries 24-25'!$B:$B,A:A,'IND AS entries 24-25'!$D:$D)-SUMIF('IND AS entries 24-25'!$B:$B,A:A,'IND AS entries 24-25'!$E:$E)</f>
        <v>0</v>
      </c>
      <c r="F863" s="611">
        <f t="shared" si="93"/>
        <v>0</v>
      </c>
      <c r="G863" s="610"/>
      <c r="H863" s="610"/>
      <c r="I863" s="611">
        <v>0</v>
      </c>
      <c r="J863" s="610">
        <v>0</v>
      </c>
      <c r="K863" s="611">
        <f t="shared" si="90"/>
        <v>0</v>
      </c>
      <c r="L863" s="612">
        <f>VLOOKUP(A863,'PL Gr'!A:A,1,0)</f>
        <v>501730</v>
      </c>
      <c r="M863" s="612">
        <f t="shared" si="94"/>
        <v>1</v>
      </c>
      <c r="N863" s="613">
        <f t="shared" si="95"/>
        <v>0</v>
      </c>
      <c r="O863" s="613">
        <f>VLOOKUP(A863,'PL Gr'!A:A,1,FALSE)</f>
        <v>501730</v>
      </c>
      <c r="P863" s="613">
        <v>14190</v>
      </c>
      <c r="Q863" s="613">
        <f t="shared" si="91"/>
        <v>-14190</v>
      </c>
      <c r="R863" s="1514"/>
      <c r="S863" s="1617" t="e">
        <f>SUMIF('[105]TB for financial'!$A:$A,A863,'[105]TB for financial'!$E:$E)</f>
        <v>#VALUE!</v>
      </c>
    </row>
    <row r="864" spans="1:19">
      <c r="A864" s="608">
        <v>501732</v>
      </c>
      <c r="B864" s="609" t="s">
        <v>1644</v>
      </c>
      <c r="C864" s="610">
        <f t="shared" si="92"/>
        <v>0</v>
      </c>
      <c r="D864" s="611">
        <v>0</v>
      </c>
      <c r="E864" s="610">
        <f>SUMIF('Entries 24-25'!$B:$B,A:A,'Entries 24-25'!$D:$D)-SUMIF('Entries 24-25'!$B:$B,A:A,'Entries 24-25'!$E:$E)+SUMIF('IND AS entries 24-25'!$B:$B,A:A,'IND AS entries 24-25'!$D:$D)-SUMIF('IND AS entries 24-25'!$B:$B,A:A,'IND AS entries 24-25'!$E:$E)</f>
        <v>0</v>
      </c>
      <c r="F864" s="611">
        <f t="shared" si="93"/>
        <v>0</v>
      </c>
      <c r="G864" s="610"/>
      <c r="H864" s="610"/>
      <c r="I864" s="611">
        <v>0</v>
      </c>
      <c r="J864" s="610">
        <v>0</v>
      </c>
      <c r="K864" s="611">
        <f t="shared" si="90"/>
        <v>0</v>
      </c>
      <c r="L864" s="612">
        <f>VLOOKUP(A864,'PL Gr'!A:A,1,0)</f>
        <v>501732</v>
      </c>
      <c r="M864" s="612">
        <f t="shared" si="94"/>
        <v>1</v>
      </c>
      <c r="N864" s="613">
        <f t="shared" si="95"/>
        <v>0</v>
      </c>
      <c r="O864" s="613">
        <f>VLOOKUP(A864,'PL Gr'!A:A,1,FALSE)</f>
        <v>501732</v>
      </c>
      <c r="P864" s="613">
        <v>0</v>
      </c>
      <c r="Q864" s="613">
        <f t="shared" si="91"/>
        <v>0</v>
      </c>
      <c r="R864" s="1514"/>
      <c r="S864" s="1617" t="e">
        <f>SUMIF('[105]TB for financial'!$A:$A,A864,'[105]TB for financial'!$E:$E)</f>
        <v>#VALUE!</v>
      </c>
    </row>
    <row r="865" spans="1:19">
      <c r="A865" s="608">
        <v>501735</v>
      </c>
      <c r="B865" s="609" t="s">
        <v>1645</v>
      </c>
      <c r="C865" s="610">
        <f t="shared" si="92"/>
        <v>0</v>
      </c>
      <c r="D865" s="611">
        <v>0</v>
      </c>
      <c r="E865" s="610">
        <f>SUMIF('Entries 24-25'!$B:$B,A:A,'Entries 24-25'!$D:$D)-SUMIF('Entries 24-25'!$B:$B,A:A,'Entries 24-25'!$E:$E)+SUMIF('IND AS entries 24-25'!$B:$B,A:A,'IND AS entries 24-25'!$D:$D)-SUMIF('IND AS entries 24-25'!$B:$B,A:A,'IND AS entries 24-25'!$E:$E)</f>
        <v>0</v>
      </c>
      <c r="F865" s="611">
        <f t="shared" si="93"/>
        <v>0</v>
      </c>
      <c r="G865" s="610"/>
      <c r="H865" s="610"/>
      <c r="I865" s="611">
        <v>0</v>
      </c>
      <c r="J865" s="610">
        <v>0</v>
      </c>
      <c r="K865" s="611">
        <f t="shared" si="90"/>
        <v>0</v>
      </c>
      <c r="L865" s="612">
        <f>VLOOKUP(A865,'PL Gr'!A:A,1,0)</f>
        <v>501735</v>
      </c>
      <c r="M865" s="612">
        <f t="shared" si="94"/>
        <v>1</v>
      </c>
      <c r="N865" s="613">
        <f t="shared" si="95"/>
        <v>0</v>
      </c>
      <c r="O865" s="613">
        <f>VLOOKUP(A865,'PL Gr'!A:A,1,FALSE)</f>
        <v>501735</v>
      </c>
      <c r="P865" s="613">
        <v>0</v>
      </c>
      <c r="Q865" s="613">
        <f t="shared" si="91"/>
        <v>0</v>
      </c>
      <c r="R865" s="1514"/>
      <c r="S865" s="1617" t="e">
        <f>SUMIF('[105]TB for financial'!$A:$A,A865,'[105]TB for financial'!$E:$E)</f>
        <v>#VALUE!</v>
      </c>
    </row>
    <row r="866" spans="1:19">
      <c r="A866" s="608">
        <v>501740</v>
      </c>
      <c r="B866" s="609" t="s">
        <v>1646</v>
      </c>
      <c r="C866" s="610">
        <f t="shared" si="92"/>
        <v>0</v>
      </c>
      <c r="D866" s="611">
        <v>0</v>
      </c>
      <c r="E866" s="610">
        <f>SUMIF('Entries 24-25'!$B:$B,A:A,'Entries 24-25'!$D:$D)-SUMIF('Entries 24-25'!$B:$B,A:A,'Entries 24-25'!$E:$E)+SUMIF('IND AS entries 24-25'!$B:$B,A:A,'IND AS entries 24-25'!$D:$D)-SUMIF('IND AS entries 24-25'!$B:$B,A:A,'IND AS entries 24-25'!$E:$E)</f>
        <v>0</v>
      </c>
      <c r="F866" s="611">
        <f t="shared" si="93"/>
        <v>0</v>
      </c>
      <c r="G866" s="610"/>
      <c r="H866" s="610"/>
      <c r="I866" s="611">
        <v>0</v>
      </c>
      <c r="J866" s="610">
        <v>0</v>
      </c>
      <c r="K866" s="611">
        <f t="shared" si="90"/>
        <v>0</v>
      </c>
      <c r="L866" s="612">
        <f>VLOOKUP(A866,'PL Gr'!A:A,1,0)</f>
        <v>501740</v>
      </c>
      <c r="M866" s="612">
        <f t="shared" si="94"/>
        <v>1</v>
      </c>
      <c r="N866" s="613">
        <f t="shared" si="95"/>
        <v>0</v>
      </c>
      <c r="O866" s="613">
        <f>VLOOKUP(A866,'PL Gr'!A:A,1,FALSE)</f>
        <v>501740</v>
      </c>
      <c r="P866" s="613">
        <v>0</v>
      </c>
      <c r="Q866" s="613">
        <f t="shared" si="91"/>
        <v>0</v>
      </c>
      <c r="R866" s="1514"/>
      <c r="S866" s="1617" t="e">
        <f>SUMIF('[105]TB for financial'!$A:$A,A866,'[105]TB for financial'!$E:$E)</f>
        <v>#VALUE!</v>
      </c>
    </row>
    <row r="867" spans="1:19">
      <c r="A867" s="608">
        <v>501745</v>
      </c>
      <c r="B867" s="609" t="s">
        <v>1647</v>
      </c>
      <c r="C867" s="610">
        <f t="shared" si="92"/>
        <v>0</v>
      </c>
      <c r="D867" s="611">
        <v>0</v>
      </c>
      <c r="E867" s="610">
        <f>SUMIF('Entries 24-25'!$B:$B,A:A,'Entries 24-25'!$D:$D)-SUMIF('Entries 24-25'!$B:$B,A:A,'Entries 24-25'!$E:$E)+SUMIF('IND AS entries 24-25'!$B:$B,A:A,'IND AS entries 24-25'!$D:$D)-SUMIF('IND AS entries 24-25'!$B:$B,A:A,'IND AS entries 24-25'!$E:$E)</f>
        <v>0</v>
      </c>
      <c r="F867" s="611">
        <f t="shared" si="93"/>
        <v>0</v>
      </c>
      <c r="G867" s="610"/>
      <c r="H867" s="610"/>
      <c r="I867" s="611">
        <v>0</v>
      </c>
      <c r="J867" s="610">
        <v>0</v>
      </c>
      <c r="K867" s="611">
        <f t="shared" si="90"/>
        <v>0</v>
      </c>
      <c r="L867" s="612">
        <f>VLOOKUP(A867,'PL Gr'!A:A,1,0)</f>
        <v>501745</v>
      </c>
      <c r="M867" s="612">
        <f t="shared" si="94"/>
        <v>1</v>
      </c>
      <c r="N867" s="613">
        <f t="shared" si="95"/>
        <v>0</v>
      </c>
      <c r="O867" s="613">
        <f>VLOOKUP(A867,'PL Gr'!A:A,1,FALSE)</f>
        <v>501745</v>
      </c>
      <c r="P867" s="613">
        <v>0</v>
      </c>
      <c r="Q867" s="613">
        <f t="shared" si="91"/>
        <v>0</v>
      </c>
      <c r="R867" s="1514"/>
      <c r="S867" s="1617" t="e">
        <f>SUMIF('[105]TB for financial'!$A:$A,A867,'[105]TB for financial'!$E:$E)</f>
        <v>#VALUE!</v>
      </c>
    </row>
    <row r="868" spans="1:19">
      <c r="A868" s="608">
        <v>501801</v>
      </c>
      <c r="B868" s="609" t="s">
        <v>1648</v>
      </c>
      <c r="C868" s="610">
        <f t="shared" si="92"/>
        <v>0</v>
      </c>
      <c r="D868" s="611">
        <v>0</v>
      </c>
      <c r="E868" s="610">
        <f>SUMIF('Entries 24-25'!$B:$B,A:A,'Entries 24-25'!$D:$D)-SUMIF('Entries 24-25'!$B:$B,A:A,'Entries 24-25'!$E:$E)+SUMIF('IND AS entries 24-25'!$B:$B,A:A,'IND AS entries 24-25'!$D:$D)-SUMIF('IND AS entries 24-25'!$B:$B,A:A,'IND AS entries 24-25'!$E:$E)</f>
        <v>0</v>
      </c>
      <c r="F868" s="611">
        <f t="shared" si="93"/>
        <v>0</v>
      </c>
      <c r="G868" s="610"/>
      <c r="H868" s="610"/>
      <c r="I868" s="611">
        <v>0</v>
      </c>
      <c r="J868" s="610">
        <v>0</v>
      </c>
      <c r="K868" s="611">
        <f t="shared" si="90"/>
        <v>0</v>
      </c>
      <c r="L868" s="612">
        <f>VLOOKUP(A868,'PL Gr'!A:A,1,0)</f>
        <v>501801</v>
      </c>
      <c r="M868" s="612">
        <f t="shared" si="94"/>
        <v>1</v>
      </c>
      <c r="N868" s="613">
        <f t="shared" si="95"/>
        <v>0</v>
      </c>
      <c r="O868" s="613">
        <f>VLOOKUP(A868,'PL Gr'!A:A,1,FALSE)</f>
        <v>501801</v>
      </c>
      <c r="P868" s="613">
        <v>0</v>
      </c>
      <c r="Q868" s="613">
        <f t="shared" si="91"/>
        <v>0</v>
      </c>
      <c r="R868" s="1514"/>
      <c r="S868" s="1617" t="e">
        <f>SUMIF('[105]TB for financial'!$A:$A,A868,'[105]TB for financial'!$E:$E)</f>
        <v>#VALUE!</v>
      </c>
    </row>
    <row r="869" spans="1:19">
      <c r="A869" s="608">
        <v>501802</v>
      </c>
      <c r="B869" s="609" t="s">
        <v>1649</v>
      </c>
      <c r="C869" s="610">
        <f t="shared" si="92"/>
        <v>0</v>
      </c>
      <c r="D869" s="611">
        <v>0</v>
      </c>
      <c r="E869" s="610">
        <f>SUMIF('Entries 24-25'!$B:$B,A:A,'Entries 24-25'!$D:$D)-SUMIF('Entries 24-25'!$B:$B,A:A,'Entries 24-25'!$E:$E)+SUMIF('IND AS entries 24-25'!$B:$B,A:A,'IND AS entries 24-25'!$D:$D)-SUMIF('IND AS entries 24-25'!$B:$B,A:A,'IND AS entries 24-25'!$E:$E)</f>
        <v>0</v>
      </c>
      <c r="F869" s="611">
        <f t="shared" si="93"/>
        <v>0</v>
      </c>
      <c r="G869" s="610"/>
      <c r="H869" s="610"/>
      <c r="I869" s="611">
        <v>0</v>
      </c>
      <c r="J869" s="610">
        <v>0</v>
      </c>
      <c r="K869" s="611">
        <f t="shared" si="90"/>
        <v>0</v>
      </c>
      <c r="L869" s="612">
        <f>VLOOKUP(A869,'PL Gr'!A:A,1,0)</f>
        <v>501802</v>
      </c>
      <c r="M869" s="612">
        <f t="shared" si="94"/>
        <v>1</v>
      </c>
      <c r="N869" s="613">
        <f t="shared" si="95"/>
        <v>0</v>
      </c>
      <c r="O869" s="613">
        <f>VLOOKUP(A869,'PL Gr'!A:A,1,FALSE)</f>
        <v>501802</v>
      </c>
      <c r="P869" s="613">
        <v>0</v>
      </c>
      <c r="Q869" s="613">
        <f t="shared" si="91"/>
        <v>0</v>
      </c>
      <c r="R869" s="1514"/>
      <c r="S869" s="1617" t="e">
        <f>SUMIF('[105]TB for financial'!$A:$A,A869,'[105]TB for financial'!$E:$E)</f>
        <v>#VALUE!</v>
      </c>
    </row>
    <row r="870" spans="1:19">
      <c r="A870" s="608">
        <v>501803</v>
      </c>
      <c r="B870" s="609" t="s">
        <v>1650</v>
      </c>
      <c r="C870" s="610">
        <f t="shared" si="92"/>
        <v>0</v>
      </c>
      <c r="D870" s="611">
        <v>0</v>
      </c>
      <c r="E870" s="610">
        <f>SUMIF('Entries 24-25'!$B:$B,A:A,'Entries 24-25'!$D:$D)-SUMIF('Entries 24-25'!$B:$B,A:A,'Entries 24-25'!$E:$E)+SUMIF('IND AS entries 24-25'!$B:$B,A:A,'IND AS entries 24-25'!$D:$D)-SUMIF('IND AS entries 24-25'!$B:$B,A:A,'IND AS entries 24-25'!$E:$E)</f>
        <v>0</v>
      </c>
      <c r="F870" s="611">
        <f t="shared" si="93"/>
        <v>0</v>
      </c>
      <c r="G870" s="610"/>
      <c r="H870" s="610"/>
      <c r="I870" s="611">
        <v>0</v>
      </c>
      <c r="J870" s="610">
        <v>0</v>
      </c>
      <c r="K870" s="611">
        <f t="shared" si="90"/>
        <v>0</v>
      </c>
      <c r="L870" s="612">
        <f>VLOOKUP(A870,'PL Gr'!A:A,1,0)</f>
        <v>501803</v>
      </c>
      <c r="M870" s="612">
        <f t="shared" si="94"/>
        <v>1</v>
      </c>
      <c r="N870" s="613">
        <f t="shared" si="95"/>
        <v>0</v>
      </c>
      <c r="O870" s="613">
        <f>VLOOKUP(A870,'PL Gr'!A:A,1,FALSE)</f>
        <v>501803</v>
      </c>
      <c r="P870" s="613">
        <v>30637</v>
      </c>
      <c r="Q870" s="613">
        <f t="shared" si="91"/>
        <v>-30637</v>
      </c>
      <c r="R870" s="1514"/>
      <c r="S870" s="1617" t="e">
        <f>SUMIF('[105]TB for financial'!$A:$A,A870,'[105]TB for financial'!$E:$E)</f>
        <v>#VALUE!</v>
      </c>
    </row>
    <row r="871" spans="1:19">
      <c r="A871" s="608">
        <v>501901</v>
      </c>
      <c r="B871" s="609" t="s">
        <v>1651</v>
      </c>
      <c r="C871" s="610">
        <f t="shared" si="92"/>
        <v>0</v>
      </c>
      <c r="D871" s="611">
        <v>0</v>
      </c>
      <c r="E871" s="610">
        <f>SUMIF('Entries 24-25'!$B:$B,A:A,'Entries 24-25'!$D:$D)-SUMIF('Entries 24-25'!$B:$B,A:A,'Entries 24-25'!$E:$E)+SUMIF('IND AS entries 24-25'!$B:$B,A:A,'IND AS entries 24-25'!$D:$D)-SUMIF('IND AS entries 24-25'!$B:$B,A:A,'IND AS entries 24-25'!$E:$E)</f>
        <v>0</v>
      </c>
      <c r="F871" s="611">
        <f t="shared" si="93"/>
        <v>0</v>
      </c>
      <c r="G871" s="610"/>
      <c r="H871" s="610"/>
      <c r="I871" s="611">
        <v>0</v>
      </c>
      <c r="J871" s="610">
        <v>0</v>
      </c>
      <c r="K871" s="611">
        <f t="shared" si="90"/>
        <v>0</v>
      </c>
      <c r="L871" s="612">
        <f>VLOOKUP(A871,'PL Gr'!A:A,1,0)</f>
        <v>501901</v>
      </c>
      <c r="M871" s="612">
        <f t="shared" si="94"/>
        <v>1</v>
      </c>
      <c r="N871" s="613">
        <f t="shared" si="95"/>
        <v>0</v>
      </c>
      <c r="O871" s="613">
        <f>VLOOKUP(A871,'PL Gr'!A:A,1,FALSE)</f>
        <v>501901</v>
      </c>
      <c r="P871" s="613">
        <v>-597483.71</v>
      </c>
      <c r="Q871" s="613">
        <f t="shared" si="91"/>
        <v>597483.71</v>
      </c>
      <c r="R871" s="1514"/>
      <c r="S871" s="1617" t="e">
        <f>SUMIF('[105]TB for financial'!$A:$A,A871,'[105]TB for financial'!$E:$E)</f>
        <v>#VALUE!</v>
      </c>
    </row>
    <row r="872" spans="1:19">
      <c r="A872" s="608">
        <v>501902</v>
      </c>
      <c r="B872" s="609" t="s">
        <v>1652</v>
      </c>
      <c r="C872" s="610">
        <f t="shared" si="92"/>
        <v>0</v>
      </c>
      <c r="D872" s="611">
        <v>0</v>
      </c>
      <c r="E872" s="610">
        <f>SUMIF('Entries 24-25'!$B:$B,A:A,'Entries 24-25'!$D:$D)-SUMIF('Entries 24-25'!$B:$B,A:A,'Entries 24-25'!$E:$E)+SUMIF('IND AS entries 24-25'!$B:$B,A:A,'IND AS entries 24-25'!$D:$D)-SUMIF('IND AS entries 24-25'!$B:$B,A:A,'IND AS entries 24-25'!$E:$E)</f>
        <v>0</v>
      </c>
      <c r="F872" s="611">
        <f t="shared" si="93"/>
        <v>0</v>
      </c>
      <c r="G872" s="610"/>
      <c r="H872" s="610"/>
      <c r="I872" s="611">
        <v>0</v>
      </c>
      <c r="J872" s="610">
        <v>0</v>
      </c>
      <c r="K872" s="611">
        <f t="shared" si="90"/>
        <v>0</v>
      </c>
      <c r="L872" s="612">
        <f>VLOOKUP(A872,'PL Gr'!A:A,1,0)</f>
        <v>501902</v>
      </c>
      <c r="M872" s="612">
        <f t="shared" si="94"/>
        <v>1</v>
      </c>
      <c r="N872" s="613">
        <f t="shared" si="95"/>
        <v>0</v>
      </c>
      <c r="O872" s="613">
        <f>VLOOKUP(A872,'PL Gr'!A:A,1,FALSE)</f>
        <v>501902</v>
      </c>
      <c r="P872" s="613">
        <v>0</v>
      </c>
      <c r="Q872" s="613">
        <f t="shared" si="91"/>
        <v>0</v>
      </c>
      <c r="R872" s="1514"/>
      <c r="S872" s="1617" t="e">
        <f>SUMIF('[105]TB for financial'!$A:$A,A872,'[105]TB for financial'!$E:$E)</f>
        <v>#VALUE!</v>
      </c>
    </row>
    <row r="873" spans="1:19">
      <c r="A873" s="608">
        <v>501903</v>
      </c>
      <c r="B873" s="609" t="s">
        <v>1653</v>
      </c>
      <c r="C873" s="610">
        <f t="shared" si="92"/>
        <v>0</v>
      </c>
      <c r="D873" s="611">
        <v>0</v>
      </c>
      <c r="E873" s="610">
        <f>SUMIF('Entries 24-25'!$B:$B,A:A,'Entries 24-25'!$D:$D)-SUMIF('Entries 24-25'!$B:$B,A:A,'Entries 24-25'!$E:$E)+SUMIF('IND AS entries 24-25'!$B:$B,A:A,'IND AS entries 24-25'!$D:$D)-SUMIF('IND AS entries 24-25'!$B:$B,A:A,'IND AS entries 24-25'!$E:$E)</f>
        <v>0</v>
      </c>
      <c r="F873" s="611">
        <f t="shared" si="93"/>
        <v>0</v>
      </c>
      <c r="G873" s="610"/>
      <c r="H873" s="610"/>
      <c r="I873" s="611">
        <v>0</v>
      </c>
      <c r="J873" s="610">
        <v>0</v>
      </c>
      <c r="K873" s="611">
        <f t="shared" si="90"/>
        <v>0</v>
      </c>
      <c r="L873" s="612">
        <f>VLOOKUP(A873,'PL Gr'!A:A,1,0)</f>
        <v>501903</v>
      </c>
      <c r="M873" s="612">
        <f t="shared" si="94"/>
        <v>1</v>
      </c>
      <c r="N873" s="613">
        <f t="shared" si="95"/>
        <v>0</v>
      </c>
      <c r="O873" s="613">
        <f>VLOOKUP(A873,'PL Gr'!A:A,1,FALSE)</f>
        <v>501903</v>
      </c>
      <c r="P873" s="613">
        <v>0</v>
      </c>
      <c r="Q873" s="613">
        <f t="shared" si="91"/>
        <v>0</v>
      </c>
      <c r="R873" s="1514"/>
      <c r="S873" s="1617" t="e">
        <f>SUMIF('[105]TB for financial'!$A:$A,A873,'[105]TB for financial'!$E:$E)</f>
        <v>#VALUE!</v>
      </c>
    </row>
    <row r="874" spans="1:19">
      <c r="A874" s="608">
        <v>501904</v>
      </c>
      <c r="B874" s="609" t="s">
        <v>1654</v>
      </c>
      <c r="C874" s="610">
        <f t="shared" si="92"/>
        <v>0</v>
      </c>
      <c r="D874" s="611">
        <v>0</v>
      </c>
      <c r="E874" s="610">
        <f>SUMIF('Entries 24-25'!$B:$B,A:A,'Entries 24-25'!$D:$D)-SUMIF('Entries 24-25'!$B:$B,A:A,'Entries 24-25'!$E:$E)+SUMIF('IND AS entries 24-25'!$B:$B,A:A,'IND AS entries 24-25'!$D:$D)-SUMIF('IND AS entries 24-25'!$B:$B,A:A,'IND AS entries 24-25'!$E:$E)</f>
        <v>0</v>
      </c>
      <c r="F874" s="611">
        <f t="shared" si="93"/>
        <v>0</v>
      </c>
      <c r="G874" s="610"/>
      <c r="H874" s="610"/>
      <c r="I874" s="611">
        <v>0</v>
      </c>
      <c r="J874" s="610">
        <v>0</v>
      </c>
      <c r="K874" s="611">
        <f t="shared" si="90"/>
        <v>0</v>
      </c>
      <c r="L874" s="612">
        <f>VLOOKUP(A874,'PL Gr'!A:A,1,0)</f>
        <v>501904</v>
      </c>
      <c r="M874" s="612">
        <f t="shared" si="94"/>
        <v>1</v>
      </c>
      <c r="N874" s="613">
        <f t="shared" si="95"/>
        <v>0</v>
      </c>
      <c r="O874" s="613">
        <f>VLOOKUP(A874,'PL Gr'!A:A,1,FALSE)</f>
        <v>501904</v>
      </c>
      <c r="P874" s="613">
        <v>0</v>
      </c>
      <c r="Q874" s="613">
        <f t="shared" si="91"/>
        <v>0</v>
      </c>
      <c r="R874" s="1514"/>
      <c r="S874" s="1617" t="e">
        <f>SUMIF('[105]TB for financial'!$A:$A,A874,'[105]TB for financial'!$E:$E)</f>
        <v>#VALUE!</v>
      </c>
    </row>
    <row r="875" spans="1:19">
      <c r="A875" s="608">
        <v>501905</v>
      </c>
      <c r="B875" s="609" t="s">
        <v>1655</v>
      </c>
      <c r="C875" s="610">
        <f t="shared" si="92"/>
        <v>0</v>
      </c>
      <c r="D875" s="611">
        <v>0</v>
      </c>
      <c r="E875" s="610">
        <f>SUMIF('Entries 24-25'!$B:$B,A:A,'Entries 24-25'!$D:$D)-SUMIF('Entries 24-25'!$B:$B,A:A,'Entries 24-25'!$E:$E)+SUMIF('IND AS entries 24-25'!$B:$B,A:A,'IND AS entries 24-25'!$D:$D)-SUMIF('IND AS entries 24-25'!$B:$B,A:A,'IND AS entries 24-25'!$E:$E)</f>
        <v>0</v>
      </c>
      <c r="F875" s="611">
        <f t="shared" si="93"/>
        <v>0</v>
      </c>
      <c r="G875" s="610"/>
      <c r="H875" s="610"/>
      <c r="I875" s="611">
        <v>0</v>
      </c>
      <c r="J875" s="610">
        <v>0</v>
      </c>
      <c r="K875" s="611">
        <f t="shared" si="90"/>
        <v>0</v>
      </c>
      <c r="L875" s="612">
        <f>VLOOKUP(A875,'PL Gr'!A:A,1,0)</f>
        <v>501905</v>
      </c>
      <c r="M875" s="612">
        <f t="shared" si="94"/>
        <v>1</v>
      </c>
      <c r="N875" s="613">
        <f t="shared" si="95"/>
        <v>0</v>
      </c>
      <c r="O875" s="613">
        <f>VLOOKUP(A875,'PL Gr'!A:A,1,FALSE)</f>
        <v>501905</v>
      </c>
      <c r="P875" s="613">
        <v>0</v>
      </c>
      <c r="Q875" s="613">
        <f t="shared" si="91"/>
        <v>0</v>
      </c>
      <c r="R875" s="1514"/>
      <c r="S875" s="1617" t="e">
        <f>SUMIF('[105]TB for financial'!$A:$A,A875,'[105]TB for financial'!$E:$E)</f>
        <v>#VALUE!</v>
      </c>
    </row>
    <row r="876" spans="1:19">
      <c r="A876" s="608">
        <v>501906</v>
      </c>
      <c r="B876" s="609" t="s">
        <v>1656</v>
      </c>
      <c r="C876" s="610">
        <f t="shared" si="92"/>
        <v>0</v>
      </c>
      <c r="D876" s="611">
        <v>0</v>
      </c>
      <c r="E876" s="610">
        <f>SUMIF('Entries 24-25'!$B:$B,A:A,'Entries 24-25'!$D:$D)-SUMIF('Entries 24-25'!$B:$B,A:A,'Entries 24-25'!$E:$E)+SUMIF('IND AS entries 24-25'!$B:$B,A:A,'IND AS entries 24-25'!$D:$D)-SUMIF('IND AS entries 24-25'!$B:$B,A:A,'IND AS entries 24-25'!$E:$E)</f>
        <v>0</v>
      </c>
      <c r="F876" s="611">
        <f t="shared" si="93"/>
        <v>0</v>
      </c>
      <c r="G876" s="610"/>
      <c r="H876" s="610"/>
      <c r="I876" s="611">
        <v>0</v>
      </c>
      <c r="J876" s="610">
        <v>0</v>
      </c>
      <c r="K876" s="611">
        <f t="shared" si="90"/>
        <v>0</v>
      </c>
      <c r="L876" s="614">
        <f>VLOOKUP(A876,'PL Gr'!A:A,1,0)</f>
        <v>501906</v>
      </c>
      <c r="M876" s="612">
        <f t="shared" si="94"/>
        <v>1</v>
      </c>
      <c r="N876" s="613">
        <f t="shared" si="95"/>
        <v>0</v>
      </c>
      <c r="O876" s="613">
        <f>VLOOKUP(A876,'PL Gr'!A:A,1,FALSE)</f>
        <v>501906</v>
      </c>
      <c r="P876" s="613">
        <v>0</v>
      </c>
      <c r="Q876" s="613">
        <f t="shared" si="91"/>
        <v>0</v>
      </c>
      <c r="R876" s="1514"/>
      <c r="S876" s="1617" t="e">
        <f>SUMIF('[105]TB for financial'!$A:$A,A876,'[105]TB for financial'!$E:$E)</f>
        <v>#VALUE!</v>
      </c>
    </row>
    <row r="877" spans="1:19">
      <c r="A877" s="608">
        <v>501907</v>
      </c>
      <c r="B877" s="609" t="s">
        <v>1657</v>
      </c>
      <c r="C877" s="610">
        <f t="shared" si="92"/>
        <v>0</v>
      </c>
      <c r="D877" s="611">
        <v>0</v>
      </c>
      <c r="E877" s="610">
        <f>SUMIF('Entries 24-25'!$B:$B,A:A,'Entries 24-25'!$D:$D)-SUMIF('Entries 24-25'!$B:$B,A:A,'Entries 24-25'!$E:$E)+SUMIF('IND AS entries 24-25'!$B:$B,A:A,'IND AS entries 24-25'!$D:$D)-SUMIF('IND AS entries 24-25'!$B:$B,A:A,'IND AS entries 24-25'!$E:$E)</f>
        <v>0</v>
      </c>
      <c r="F877" s="611">
        <f t="shared" si="93"/>
        <v>0</v>
      </c>
      <c r="G877" s="610"/>
      <c r="H877" s="610"/>
      <c r="I877" s="611">
        <v>0</v>
      </c>
      <c r="J877" s="610">
        <v>0</v>
      </c>
      <c r="K877" s="611">
        <f t="shared" si="90"/>
        <v>0</v>
      </c>
      <c r="L877" s="612">
        <f>VLOOKUP(A877,'PL Gr'!A:A,1,0)</f>
        <v>501907</v>
      </c>
      <c r="M877" s="612">
        <f t="shared" si="94"/>
        <v>1</v>
      </c>
      <c r="N877" s="613">
        <f t="shared" si="95"/>
        <v>0</v>
      </c>
      <c r="O877" s="613">
        <f>VLOOKUP(A877,'PL Gr'!A:A,1,FALSE)</f>
        <v>501907</v>
      </c>
      <c r="P877" s="613">
        <v>0</v>
      </c>
      <c r="Q877" s="613">
        <f t="shared" si="91"/>
        <v>0</v>
      </c>
      <c r="R877" s="1514"/>
      <c r="S877" s="1617" t="e">
        <f>SUMIF('[105]TB for financial'!$A:$A,A877,'[105]TB for financial'!$E:$E)</f>
        <v>#VALUE!</v>
      </c>
    </row>
    <row r="878" spans="1:19">
      <c r="A878" s="608">
        <v>501908</v>
      </c>
      <c r="B878" s="609" t="s">
        <v>1658</v>
      </c>
      <c r="C878" s="610">
        <f t="shared" si="92"/>
        <v>0</v>
      </c>
      <c r="D878" s="611">
        <v>0</v>
      </c>
      <c r="E878" s="610">
        <f>SUMIF('Entries 24-25'!$B:$B,A:A,'Entries 24-25'!$D:$D)-SUMIF('Entries 24-25'!$B:$B,A:A,'Entries 24-25'!$E:$E)+SUMIF('IND AS entries 24-25'!$B:$B,A:A,'IND AS entries 24-25'!$D:$D)-SUMIF('IND AS entries 24-25'!$B:$B,A:A,'IND AS entries 24-25'!$E:$E)</f>
        <v>0</v>
      </c>
      <c r="F878" s="611">
        <f t="shared" si="93"/>
        <v>0</v>
      </c>
      <c r="G878" s="610"/>
      <c r="H878" s="610"/>
      <c r="I878" s="611">
        <v>0</v>
      </c>
      <c r="J878" s="610">
        <v>0</v>
      </c>
      <c r="K878" s="611">
        <f t="shared" si="90"/>
        <v>0</v>
      </c>
      <c r="L878" s="612">
        <f>VLOOKUP(A878,'PL Gr'!A:A,1,0)</f>
        <v>501908</v>
      </c>
      <c r="M878" s="612">
        <f t="shared" si="94"/>
        <v>1</v>
      </c>
      <c r="N878" s="613">
        <f t="shared" si="95"/>
        <v>0</v>
      </c>
      <c r="O878" s="613">
        <f>VLOOKUP(A878,'PL Gr'!A:A,1,FALSE)</f>
        <v>501908</v>
      </c>
      <c r="P878" s="613">
        <v>0</v>
      </c>
      <c r="Q878" s="613">
        <f t="shared" si="91"/>
        <v>0</v>
      </c>
      <c r="R878" s="1514"/>
      <c r="S878" s="1617" t="e">
        <f>SUMIF('[105]TB for financial'!$A:$A,A878,'[105]TB for financial'!$E:$E)</f>
        <v>#VALUE!</v>
      </c>
    </row>
    <row r="879" spans="1:19">
      <c r="A879" s="608">
        <v>501911</v>
      </c>
      <c r="B879" s="609" t="s">
        <v>1659</v>
      </c>
      <c r="C879" s="610">
        <f t="shared" si="92"/>
        <v>0</v>
      </c>
      <c r="D879" s="611">
        <v>0</v>
      </c>
      <c r="E879" s="610">
        <f>SUMIF('Entries 24-25'!$B:$B,A:A,'Entries 24-25'!$D:$D)-SUMIF('Entries 24-25'!$B:$B,A:A,'Entries 24-25'!$E:$E)+SUMIF('IND AS entries 24-25'!$B:$B,A:A,'IND AS entries 24-25'!$D:$D)-SUMIF('IND AS entries 24-25'!$B:$B,A:A,'IND AS entries 24-25'!$E:$E)</f>
        <v>0</v>
      </c>
      <c r="F879" s="611">
        <f t="shared" si="93"/>
        <v>0</v>
      </c>
      <c r="G879" s="610"/>
      <c r="H879" s="610"/>
      <c r="I879" s="611">
        <v>0</v>
      </c>
      <c r="J879" s="610">
        <v>0</v>
      </c>
      <c r="K879" s="611">
        <f t="shared" si="90"/>
        <v>0</v>
      </c>
      <c r="L879" s="612">
        <f>VLOOKUP(A879,'PL Gr'!A:A,1,0)</f>
        <v>501911</v>
      </c>
      <c r="M879" s="612">
        <f t="shared" si="94"/>
        <v>1</v>
      </c>
      <c r="N879" s="613">
        <f t="shared" si="95"/>
        <v>0</v>
      </c>
      <c r="O879" s="613">
        <f>VLOOKUP(A879,'PL Gr'!A:A,1,FALSE)</f>
        <v>501911</v>
      </c>
      <c r="P879" s="613">
        <v>474756.94</v>
      </c>
      <c r="Q879" s="613">
        <f t="shared" si="91"/>
        <v>-474756.94</v>
      </c>
      <c r="R879" s="1514"/>
      <c r="S879" s="1617" t="e">
        <f>SUMIF('[105]TB for financial'!$A:$A,A879,'[105]TB for financial'!$E:$E)</f>
        <v>#VALUE!</v>
      </c>
    </row>
    <row r="880" spans="1:19">
      <c r="A880" s="608">
        <v>501912</v>
      </c>
      <c r="B880" s="609" t="s">
        <v>1660</v>
      </c>
      <c r="C880" s="610">
        <f t="shared" si="92"/>
        <v>0</v>
      </c>
      <c r="D880" s="611">
        <v>0</v>
      </c>
      <c r="E880" s="610">
        <f>SUMIF('Entries 24-25'!$B:$B,A:A,'Entries 24-25'!$D:$D)-SUMIF('Entries 24-25'!$B:$B,A:A,'Entries 24-25'!$E:$E)+SUMIF('IND AS entries 24-25'!$B:$B,A:A,'IND AS entries 24-25'!$D:$D)-SUMIF('IND AS entries 24-25'!$B:$B,A:A,'IND AS entries 24-25'!$E:$E)</f>
        <v>0</v>
      </c>
      <c r="F880" s="611">
        <f t="shared" si="93"/>
        <v>0</v>
      </c>
      <c r="G880" s="610"/>
      <c r="H880" s="610"/>
      <c r="I880" s="611">
        <v>0</v>
      </c>
      <c r="J880" s="610">
        <v>0</v>
      </c>
      <c r="K880" s="611">
        <f t="shared" si="90"/>
        <v>0</v>
      </c>
      <c r="L880" s="612">
        <f>VLOOKUP(A880,'PL Gr'!A:A,1,0)</f>
        <v>501912</v>
      </c>
      <c r="M880" s="612">
        <f t="shared" ref="M880:M911" si="96">COUNTIF(A:A,A880)</f>
        <v>1</v>
      </c>
      <c r="N880" s="613">
        <f t="shared" si="95"/>
        <v>0</v>
      </c>
      <c r="O880" s="613">
        <f>VLOOKUP(A880,'PL Gr'!A:A,1,FALSE)</f>
        <v>501912</v>
      </c>
      <c r="P880" s="613">
        <v>0</v>
      </c>
      <c r="Q880" s="613">
        <f t="shared" si="91"/>
        <v>0</v>
      </c>
      <c r="R880" s="1514"/>
      <c r="S880" s="1617" t="e">
        <f>SUMIF('[105]TB for financial'!$A:$A,A880,'[105]TB for financial'!$E:$E)</f>
        <v>#VALUE!</v>
      </c>
    </row>
    <row r="881" spans="1:19">
      <c r="A881" s="608">
        <v>501913</v>
      </c>
      <c r="B881" s="609" t="s">
        <v>1661</v>
      </c>
      <c r="C881" s="610">
        <f t="shared" si="92"/>
        <v>0</v>
      </c>
      <c r="D881" s="611">
        <v>0</v>
      </c>
      <c r="E881" s="610">
        <f>SUMIF('Entries 24-25'!$B:$B,A:A,'Entries 24-25'!$D:$D)-SUMIF('Entries 24-25'!$B:$B,A:A,'Entries 24-25'!$E:$E)+SUMIF('IND AS entries 24-25'!$B:$B,A:A,'IND AS entries 24-25'!$D:$D)-SUMIF('IND AS entries 24-25'!$B:$B,A:A,'IND AS entries 24-25'!$E:$E)</f>
        <v>0</v>
      </c>
      <c r="F881" s="611">
        <f t="shared" si="93"/>
        <v>0</v>
      </c>
      <c r="G881" s="610"/>
      <c r="H881" s="610"/>
      <c r="I881" s="611">
        <v>0</v>
      </c>
      <c r="J881" s="610">
        <v>0</v>
      </c>
      <c r="K881" s="611">
        <f t="shared" ref="K881:K947" si="97">SUM(H881:J881)</f>
        <v>0</v>
      </c>
      <c r="L881" s="612">
        <f>VLOOKUP(A881,'PL Gr'!A:A,1,0)</f>
        <v>501913</v>
      </c>
      <c r="M881" s="612">
        <f t="shared" si="96"/>
        <v>1</v>
      </c>
      <c r="N881" s="613">
        <f t="shared" si="95"/>
        <v>0</v>
      </c>
      <c r="O881" s="613">
        <f>VLOOKUP(A881,'PL Gr'!A:A,1,FALSE)</f>
        <v>501913</v>
      </c>
      <c r="P881" s="613">
        <v>0</v>
      </c>
      <c r="Q881" s="613">
        <f t="shared" si="91"/>
        <v>0</v>
      </c>
      <c r="R881" s="1514"/>
      <c r="S881" s="1617" t="e">
        <f>SUMIF('[105]TB for financial'!$A:$A,A881,'[105]TB for financial'!$E:$E)</f>
        <v>#VALUE!</v>
      </c>
    </row>
    <row r="882" spans="1:19">
      <c r="A882" s="608">
        <v>501914</v>
      </c>
      <c r="B882" s="609" t="s">
        <v>1662</v>
      </c>
      <c r="C882" s="610">
        <f t="shared" si="92"/>
        <v>0</v>
      </c>
      <c r="D882" s="611">
        <v>0</v>
      </c>
      <c r="E882" s="610">
        <f>SUMIF('Entries 24-25'!$B:$B,A:A,'Entries 24-25'!$D:$D)-SUMIF('Entries 24-25'!$B:$B,A:A,'Entries 24-25'!$E:$E)+SUMIF('IND AS entries 24-25'!$B:$B,A:A,'IND AS entries 24-25'!$D:$D)-SUMIF('IND AS entries 24-25'!$B:$B,A:A,'IND AS entries 24-25'!$E:$E)</f>
        <v>0</v>
      </c>
      <c r="F882" s="611">
        <f t="shared" si="93"/>
        <v>0</v>
      </c>
      <c r="G882" s="610"/>
      <c r="H882" s="610"/>
      <c r="I882" s="611">
        <v>0</v>
      </c>
      <c r="J882" s="610">
        <v>0</v>
      </c>
      <c r="K882" s="611">
        <f t="shared" si="97"/>
        <v>0</v>
      </c>
      <c r="L882" s="612">
        <f>VLOOKUP(A882,'PL Gr'!A:A,1,0)</f>
        <v>501914</v>
      </c>
      <c r="M882" s="612">
        <f t="shared" si="96"/>
        <v>1</v>
      </c>
      <c r="N882" s="613">
        <f t="shared" si="95"/>
        <v>0</v>
      </c>
      <c r="O882" s="613">
        <f>VLOOKUP(A882,'PL Gr'!A:A,1,FALSE)</f>
        <v>501914</v>
      </c>
      <c r="P882" s="613">
        <v>0</v>
      </c>
      <c r="Q882" s="613">
        <f t="shared" ref="Q882:Q948" si="98">+K882-P882</f>
        <v>0</v>
      </c>
      <c r="R882" s="1514"/>
      <c r="S882" s="1617" t="e">
        <f>SUMIF('[105]TB for financial'!$A:$A,A882,'[105]TB for financial'!$E:$E)</f>
        <v>#VALUE!</v>
      </c>
    </row>
    <row r="883" spans="1:19">
      <c r="A883" s="608">
        <v>501915</v>
      </c>
      <c r="B883" s="609" t="s">
        <v>1663</v>
      </c>
      <c r="C883" s="610">
        <f t="shared" si="92"/>
        <v>0</v>
      </c>
      <c r="D883" s="611">
        <v>0</v>
      </c>
      <c r="E883" s="610">
        <f>SUMIF('Entries 24-25'!$B:$B,A:A,'Entries 24-25'!$D:$D)-SUMIF('Entries 24-25'!$B:$B,A:A,'Entries 24-25'!$E:$E)+SUMIF('IND AS entries 24-25'!$B:$B,A:A,'IND AS entries 24-25'!$D:$D)-SUMIF('IND AS entries 24-25'!$B:$B,A:A,'IND AS entries 24-25'!$E:$E)</f>
        <v>0</v>
      </c>
      <c r="F883" s="611">
        <f t="shared" si="93"/>
        <v>0</v>
      </c>
      <c r="G883" s="610"/>
      <c r="H883" s="610"/>
      <c r="I883" s="611">
        <v>0</v>
      </c>
      <c r="J883" s="610">
        <v>0</v>
      </c>
      <c r="K883" s="611">
        <f t="shared" si="97"/>
        <v>0</v>
      </c>
      <c r="L883" s="612">
        <f>VLOOKUP(A883,'PL Gr'!A:A,1,0)</f>
        <v>501915</v>
      </c>
      <c r="M883" s="612">
        <f t="shared" si="96"/>
        <v>1</v>
      </c>
      <c r="N883" s="613">
        <f t="shared" si="95"/>
        <v>0</v>
      </c>
      <c r="O883" s="613">
        <f>VLOOKUP(A883,'PL Gr'!A:A,1,FALSE)</f>
        <v>501915</v>
      </c>
      <c r="P883" s="613">
        <v>0</v>
      </c>
      <c r="Q883" s="613">
        <f t="shared" si="98"/>
        <v>0</v>
      </c>
      <c r="R883" s="1514"/>
      <c r="S883" s="1617" t="e">
        <f>SUMIF('[105]TB for financial'!$A:$A,A883,'[105]TB for financial'!$E:$E)</f>
        <v>#VALUE!</v>
      </c>
    </row>
    <row r="884" spans="1:19">
      <c r="A884" s="608">
        <v>501916</v>
      </c>
      <c r="B884" s="609" t="s">
        <v>1664</v>
      </c>
      <c r="C884" s="610">
        <f t="shared" si="92"/>
        <v>0</v>
      </c>
      <c r="D884" s="611">
        <v>0</v>
      </c>
      <c r="E884" s="610">
        <f>SUMIF('Entries 24-25'!$B:$B,A:A,'Entries 24-25'!$D:$D)-SUMIF('Entries 24-25'!$B:$B,A:A,'Entries 24-25'!$E:$E)+SUMIF('IND AS entries 24-25'!$B:$B,A:A,'IND AS entries 24-25'!$D:$D)-SUMIF('IND AS entries 24-25'!$B:$B,A:A,'IND AS entries 24-25'!$E:$E)</f>
        <v>0</v>
      </c>
      <c r="F884" s="611">
        <f t="shared" si="93"/>
        <v>0</v>
      </c>
      <c r="G884" s="610"/>
      <c r="H884" s="610"/>
      <c r="I884" s="611">
        <v>0</v>
      </c>
      <c r="J884" s="610">
        <v>0</v>
      </c>
      <c r="K884" s="611">
        <f t="shared" si="97"/>
        <v>0</v>
      </c>
      <c r="L884" s="612">
        <f>VLOOKUP(A884,'PL Gr'!A:A,1,0)</f>
        <v>501916</v>
      </c>
      <c r="M884" s="612">
        <f t="shared" si="96"/>
        <v>1</v>
      </c>
      <c r="N884" s="613">
        <f t="shared" si="95"/>
        <v>0</v>
      </c>
      <c r="O884" s="613">
        <f>VLOOKUP(A884,'PL Gr'!A:A,1,FALSE)</f>
        <v>501916</v>
      </c>
      <c r="P884" s="613">
        <v>0</v>
      </c>
      <c r="Q884" s="613">
        <f t="shared" si="98"/>
        <v>0</v>
      </c>
      <c r="R884" s="1514"/>
      <c r="S884" s="1617" t="e">
        <f>SUMIF('[105]TB for financial'!$A:$A,A884,'[105]TB for financial'!$E:$E)</f>
        <v>#VALUE!</v>
      </c>
    </row>
    <row r="885" spans="1:19">
      <c r="A885" s="608">
        <v>501917</v>
      </c>
      <c r="B885" s="609" t="s">
        <v>1665</v>
      </c>
      <c r="C885" s="610">
        <f t="shared" si="92"/>
        <v>0</v>
      </c>
      <c r="D885" s="611">
        <v>0</v>
      </c>
      <c r="E885" s="610">
        <f>SUMIF('Entries 24-25'!$B:$B,A:A,'Entries 24-25'!$D:$D)-SUMIF('Entries 24-25'!$B:$B,A:A,'Entries 24-25'!$E:$E)+SUMIF('IND AS entries 24-25'!$B:$B,A:A,'IND AS entries 24-25'!$D:$D)-SUMIF('IND AS entries 24-25'!$B:$B,A:A,'IND AS entries 24-25'!$E:$E)</f>
        <v>0</v>
      </c>
      <c r="F885" s="611">
        <f t="shared" si="93"/>
        <v>0</v>
      </c>
      <c r="G885" s="610"/>
      <c r="H885" s="610"/>
      <c r="I885" s="611">
        <v>0</v>
      </c>
      <c r="J885" s="610">
        <v>0</v>
      </c>
      <c r="K885" s="611">
        <f t="shared" si="97"/>
        <v>0</v>
      </c>
      <c r="L885" s="612">
        <f>VLOOKUP(A885,'PL Gr'!A:A,1,0)</f>
        <v>501917</v>
      </c>
      <c r="M885" s="612">
        <f t="shared" si="96"/>
        <v>1</v>
      </c>
      <c r="N885" s="613">
        <f t="shared" si="95"/>
        <v>0</v>
      </c>
      <c r="O885" s="613">
        <f>VLOOKUP(A885,'PL Gr'!A:A,1,FALSE)</f>
        <v>501917</v>
      </c>
      <c r="P885" s="613">
        <v>0</v>
      </c>
      <c r="Q885" s="613">
        <f t="shared" si="98"/>
        <v>0</v>
      </c>
      <c r="R885" s="1514"/>
      <c r="S885" s="1617" t="e">
        <f>SUMIF('[105]TB for financial'!$A:$A,A885,'[105]TB for financial'!$E:$E)</f>
        <v>#VALUE!</v>
      </c>
    </row>
    <row r="886" spans="1:19">
      <c r="A886" s="608">
        <v>501921</v>
      </c>
      <c r="B886" s="609" t="s">
        <v>1666</v>
      </c>
      <c r="C886" s="610">
        <f t="shared" si="92"/>
        <v>0</v>
      </c>
      <c r="D886" s="611">
        <v>0</v>
      </c>
      <c r="E886" s="610">
        <f>SUMIF('Entries 24-25'!$B:$B,A:A,'Entries 24-25'!$D:$D)-SUMIF('Entries 24-25'!$B:$B,A:A,'Entries 24-25'!$E:$E)+SUMIF('IND AS entries 24-25'!$B:$B,A:A,'IND AS entries 24-25'!$D:$D)-SUMIF('IND AS entries 24-25'!$B:$B,A:A,'IND AS entries 24-25'!$E:$E)</f>
        <v>0</v>
      </c>
      <c r="F886" s="611">
        <f t="shared" si="93"/>
        <v>0</v>
      </c>
      <c r="G886" s="610"/>
      <c r="H886" s="610"/>
      <c r="I886" s="611">
        <v>0</v>
      </c>
      <c r="J886" s="610">
        <v>0</v>
      </c>
      <c r="K886" s="611">
        <f t="shared" si="97"/>
        <v>0</v>
      </c>
      <c r="L886" s="612">
        <f>VLOOKUP(A886,'PL Gr'!A:A,1,0)</f>
        <v>501921</v>
      </c>
      <c r="M886" s="612">
        <f t="shared" si="96"/>
        <v>1</v>
      </c>
      <c r="N886" s="613">
        <f t="shared" si="95"/>
        <v>0</v>
      </c>
      <c r="O886" s="613">
        <f>VLOOKUP(A886,'PL Gr'!A:A,1,FALSE)</f>
        <v>501921</v>
      </c>
      <c r="P886" s="613">
        <v>238766</v>
      </c>
      <c r="Q886" s="613">
        <f t="shared" si="98"/>
        <v>-238766</v>
      </c>
      <c r="R886" s="1514"/>
      <c r="S886" s="1617" t="e">
        <f>SUMIF('[105]TB for financial'!$A:$A,A886,'[105]TB for financial'!$E:$E)</f>
        <v>#VALUE!</v>
      </c>
    </row>
    <row r="887" spans="1:19">
      <c r="A887" s="608">
        <v>501922</v>
      </c>
      <c r="B887" s="609" t="s">
        <v>1667</v>
      </c>
      <c r="C887" s="610">
        <f t="shared" si="92"/>
        <v>0</v>
      </c>
      <c r="D887" s="611">
        <v>0</v>
      </c>
      <c r="E887" s="610">
        <f>SUMIF('Entries 24-25'!$B:$B,A:A,'Entries 24-25'!$D:$D)-SUMIF('Entries 24-25'!$B:$B,A:A,'Entries 24-25'!$E:$E)+SUMIF('IND AS entries 24-25'!$B:$B,A:A,'IND AS entries 24-25'!$D:$D)-SUMIF('IND AS entries 24-25'!$B:$B,A:A,'IND AS entries 24-25'!$E:$E)</f>
        <v>0</v>
      </c>
      <c r="F887" s="611">
        <f t="shared" si="93"/>
        <v>0</v>
      </c>
      <c r="G887" s="610"/>
      <c r="H887" s="610"/>
      <c r="I887" s="611">
        <v>0</v>
      </c>
      <c r="J887" s="610">
        <v>0</v>
      </c>
      <c r="K887" s="611">
        <f t="shared" si="97"/>
        <v>0</v>
      </c>
      <c r="L887" s="612">
        <f>VLOOKUP(A887,'PL Gr'!A:A,1,0)</f>
        <v>501922</v>
      </c>
      <c r="M887" s="612">
        <f t="shared" si="96"/>
        <v>1</v>
      </c>
      <c r="N887" s="613">
        <f t="shared" si="95"/>
        <v>0</v>
      </c>
      <c r="O887" s="613">
        <f>VLOOKUP(A887,'PL Gr'!A:A,1,FALSE)</f>
        <v>501922</v>
      </c>
      <c r="P887" s="613">
        <v>0</v>
      </c>
      <c r="Q887" s="613">
        <f t="shared" si="98"/>
        <v>0</v>
      </c>
      <c r="R887" s="1514"/>
      <c r="S887" s="1617" t="e">
        <f>SUMIF('[105]TB for financial'!$A:$A,A887,'[105]TB for financial'!$E:$E)</f>
        <v>#VALUE!</v>
      </c>
    </row>
    <row r="888" spans="1:19">
      <c r="A888" s="608">
        <v>501923</v>
      </c>
      <c r="B888" s="609" t="s">
        <v>1668</v>
      </c>
      <c r="C888" s="610">
        <f t="shared" si="92"/>
        <v>0</v>
      </c>
      <c r="D888" s="611">
        <v>0</v>
      </c>
      <c r="E888" s="610">
        <f>SUMIF('Entries 24-25'!$B:$B,A:A,'Entries 24-25'!$D:$D)-SUMIF('Entries 24-25'!$B:$B,A:A,'Entries 24-25'!$E:$E)+SUMIF('IND AS entries 24-25'!$B:$B,A:A,'IND AS entries 24-25'!$D:$D)-SUMIF('IND AS entries 24-25'!$B:$B,A:A,'IND AS entries 24-25'!$E:$E)</f>
        <v>0</v>
      </c>
      <c r="F888" s="611">
        <f t="shared" si="93"/>
        <v>0</v>
      </c>
      <c r="G888" s="610"/>
      <c r="H888" s="610"/>
      <c r="I888" s="611">
        <v>0</v>
      </c>
      <c r="J888" s="610">
        <v>0</v>
      </c>
      <c r="K888" s="611">
        <f t="shared" si="97"/>
        <v>0</v>
      </c>
      <c r="L888" s="612">
        <f>VLOOKUP(A888,'PL Gr'!A:A,1,0)</f>
        <v>501923</v>
      </c>
      <c r="M888" s="612">
        <f t="shared" si="96"/>
        <v>1</v>
      </c>
      <c r="N888" s="613">
        <f t="shared" si="95"/>
        <v>0</v>
      </c>
      <c r="O888" s="613">
        <f>VLOOKUP(A888,'PL Gr'!A:A,1,FALSE)</f>
        <v>501923</v>
      </c>
      <c r="P888" s="613">
        <v>0</v>
      </c>
      <c r="Q888" s="613">
        <f t="shared" si="98"/>
        <v>0</v>
      </c>
      <c r="R888" s="1514"/>
      <c r="S888" s="1617" t="e">
        <f>SUMIF('[105]TB for financial'!$A:$A,A888,'[105]TB for financial'!$E:$E)</f>
        <v>#VALUE!</v>
      </c>
    </row>
    <row r="889" spans="1:19">
      <c r="A889" s="608">
        <v>501924</v>
      </c>
      <c r="B889" s="609" t="s">
        <v>1669</v>
      </c>
      <c r="C889" s="610">
        <f t="shared" si="92"/>
        <v>0</v>
      </c>
      <c r="D889" s="611">
        <v>0</v>
      </c>
      <c r="E889" s="610">
        <f>SUMIF('Entries 24-25'!$B:$B,A:A,'Entries 24-25'!$D:$D)-SUMIF('Entries 24-25'!$B:$B,A:A,'Entries 24-25'!$E:$E)+SUMIF('IND AS entries 24-25'!$B:$B,A:A,'IND AS entries 24-25'!$D:$D)-SUMIF('IND AS entries 24-25'!$B:$B,A:A,'IND AS entries 24-25'!$E:$E)</f>
        <v>0</v>
      </c>
      <c r="F889" s="611">
        <f t="shared" si="93"/>
        <v>0</v>
      </c>
      <c r="G889" s="610"/>
      <c r="H889" s="610"/>
      <c r="I889" s="611">
        <v>0</v>
      </c>
      <c r="J889" s="610">
        <v>0</v>
      </c>
      <c r="K889" s="611">
        <f t="shared" si="97"/>
        <v>0</v>
      </c>
      <c r="L889" s="612">
        <f>VLOOKUP(A889,'PL Gr'!A:A,1,0)</f>
        <v>501924</v>
      </c>
      <c r="M889" s="612">
        <f t="shared" si="96"/>
        <v>1</v>
      </c>
      <c r="N889" s="613">
        <f t="shared" si="95"/>
        <v>0</v>
      </c>
      <c r="O889" s="613">
        <f>VLOOKUP(A889,'PL Gr'!A:A,1,FALSE)</f>
        <v>501924</v>
      </c>
      <c r="P889" s="613">
        <v>0</v>
      </c>
      <c r="Q889" s="613">
        <f t="shared" si="98"/>
        <v>0</v>
      </c>
      <c r="R889" s="1514"/>
      <c r="S889" s="1617" t="e">
        <f>SUMIF('[105]TB for financial'!$A:$A,A889,'[105]TB for financial'!$E:$E)</f>
        <v>#VALUE!</v>
      </c>
    </row>
    <row r="890" spans="1:19">
      <c r="A890" s="608">
        <v>501925</v>
      </c>
      <c r="B890" s="609" t="s">
        <v>1670</v>
      </c>
      <c r="C890" s="610">
        <f t="shared" si="92"/>
        <v>0</v>
      </c>
      <c r="D890" s="611">
        <v>0</v>
      </c>
      <c r="E890" s="610">
        <f>SUMIF('Entries 24-25'!$B:$B,A:A,'Entries 24-25'!$D:$D)-SUMIF('Entries 24-25'!$B:$B,A:A,'Entries 24-25'!$E:$E)+SUMIF('IND AS entries 24-25'!$B:$B,A:A,'IND AS entries 24-25'!$D:$D)-SUMIF('IND AS entries 24-25'!$B:$B,A:A,'IND AS entries 24-25'!$E:$E)</f>
        <v>0</v>
      </c>
      <c r="F890" s="611">
        <f t="shared" si="93"/>
        <v>0</v>
      </c>
      <c r="G890" s="610"/>
      <c r="H890" s="610"/>
      <c r="I890" s="611">
        <v>0</v>
      </c>
      <c r="J890" s="610">
        <v>0</v>
      </c>
      <c r="K890" s="611">
        <f t="shared" si="97"/>
        <v>0</v>
      </c>
      <c r="L890" s="612">
        <f>VLOOKUP(A890,'PL Gr'!A:A,1,0)</f>
        <v>501925</v>
      </c>
      <c r="M890" s="612">
        <f t="shared" si="96"/>
        <v>1</v>
      </c>
      <c r="N890" s="613">
        <f t="shared" si="95"/>
        <v>0</v>
      </c>
      <c r="O890" s="613">
        <f>VLOOKUP(A890,'PL Gr'!A:A,1,FALSE)</f>
        <v>501925</v>
      </c>
      <c r="P890" s="613">
        <v>0</v>
      </c>
      <c r="Q890" s="613">
        <f t="shared" si="98"/>
        <v>0</v>
      </c>
      <c r="R890" s="1514"/>
      <c r="S890" s="1617" t="e">
        <f>SUMIF('[105]TB for financial'!$A:$A,A890,'[105]TB for financial'!$E:$E)</f>
        <v>#VALUE!</v>
      </c>
    </row>
    <row r="891" spans="1:19">
      <c r="A891" s="608">
        <v>501926</v>
      </c>
      <c r="B891" s="609" t="s">
        <v>1671</v>
      </c>
      <c r="C891" s="610">
        <f t="shared" si="92"/>
        <v>0</v>
      </c>
      <c r="D891" s="611">
        <v>0</v>
      </c>
      <c r="E891" s="610">
        <f>SUMIF('Entries 24-25'!$B:$B,A:A,'Entries 24-25'!$D:$D)-SUMIF('Entries 24-25'!$B:$B,A:A,'Entries 24-25'!$E:$E)+SUMIF('IND AS entries 24-25'!$B:$B,A:A,'IND AS entries 24-25'!$D:$D)-SUMIF('IND AS entries 24-25'!$B:$B,A:A,'IND AS entries 24-25'!$E:$E)</f>
        <v>0</v>
      </c>
      <c r="F891" s="611">
        <f t="shared" si="93"/>
        <v>0</v>
      </c>
      <c r="G891" s="610"/>
      <c r="H891" s="610"/>
      <c r="I891" s="611">
        <v>0</v>
      </c>
      <c r="J891" s="610">
        <v>0</v>
      </c>
      <c r="K891" s="611">
        <f t="shared" si="97"/>
        <v>0</v>
      </c>
      <c r="L891" s="612">
        <f>VLOOKUP(A891,'PL Gr'!A:A,1,0)</f>
        <v>501926</v>
      </c>
      <c r="M891" s="612">
        <f t="shared" si="96"/>
        <v>1</v>
      </c>
      <c r="N891" s="613">
        <f t="shared" si="95"/>
        <v>0</v>
      </c>
      <c r="O891" s="613">
        <f>VLOOKUP(A891,'PL Gr'!A:A,1,FALSE)</f>
        <v>501926</v>
      </c>
      <c r="P891" s="613">
        <v>0</v>
      </c>
      <c r="Q891" s="613">
        <f t="shared" si="98"/>
        <v>0</v>
      </c>
      <c r="R891" s="1514"/>
      <c r="S891" s="1617" t="e">
        <f>SUMIF('[105]TB for financial'!$A:$A,A891,'[105]TB for financial'!$E:$E)</f>
        <v>#VALUE!</v>
      </c>
    </row>
    <row r="892" spans="1:19">
      <c r="A892" s="608">
        <v>501927</v>
      </c>
      <c r="B892" s="609" t="s">
        <v>1672</v>
      </c>
      <c r="C892" s="610">
        <f t="shared" si="92"/>
        <v>0</v>
      </c>
      <c r="D892" s="611">
        <v>0</v>
      </c>
      <c r="E892" s="610">
        <f>SUMIF('Entries 24-25'!$B:$B,A:A,'Entries 24-25'!$D:$D)-SUMIF('Entries 24-25'!$B:$B,A:A,'Entries 24-25'!$E:$E)+SUMIF('IND AS entries 24-25'!$B:$B,A:A,'IND AS entries 24-25'!$D:$D)-SUMIF('IND AS entries 24-25'!$B:$B,A:A,'IND AS entries 24-25'!$E:$E)</f>
        <v>0</v>
      </c>
      <c r="F892" s="611">
        <f t="shared" si="93"/>
        <v>0</v>
      </c>
      <c r="G892" s="610"/>
      <c r="H892" s="610"/>
      <c r="I892" s="611">
        <v>0</v>
      </c>
      <c r="J892" s="610">
        <v>0</v>
      </c>
      <c r="K892" s="611">
        <f t="shared" si="97"/>
        <v>0</v>
      </c>
      <c r="L892" s="612">
        <f>VLOOKUP(A892,'PL Gr'!A:A,1,0)</f>
        <v>501927</v>
      </c>
      <c r="M892" s="612">
        <f t="shared" si="96"/>
        <v>1</v>
      </c>
      <c r="N892" s="613">
        <f t="shared" si="95"/>
        <v>0</v>
      </c>
      <c r="O892" s="613">
        <f>VLOOKUP(A892,'PL Gr'!A:A,1,FALSE)</f>
        <v>501927</v>
      </c>
      <c r="P892" s="613">
        <v>0</v>
      </c>
      <c r="Q892" s="613">
        <f t="shared" si="98"/>
        <v>0</v>
      </c>
      <c r="R892" s="1514"/>
      <c r="S892" s="1617" t="e">
        <f>SUMIF('[105]TB for financial'!$A:$A,A892,'[105]TB for financial'!$E:$E)</f>
        <v>#VALUE!</v>
      </c>
    </row>
    <row r="893" spans="1:19">
      <c r="A893" s="608">
        <v>501931</v>
      </c>
      <c r="B893" s="609" t="s">
        <v>1673</v>
      </c>
      <c r="C893" s="610">
        <f t="shared" si="92"/>
        <v>0</v>
      </c>
      <c r="D893" s="611">
        <v>0</v>
      </c>
      <c r="E893" s="610">
        <f>SUMIF('Entries 24-25'!$B:$B,A:A,'Entries 24-25'!$D:$D)-SUMIF('Entries 24-25'!$B:$B,A:A,'Entries 24-25'!$E:$E)+SUMIF('IND AS entries 24-25'!$B:$B,A:A,'IND AS entries 24-25'!$D:$D)-SUMIF('IND AS entries 24-25'!$B:$B,A:A,'IND AS entries 24-25'!$E:$E)</f>
        <v>0</v>
      </c>
      <c r="F893" s="611">
        <f t="shared" si="93"/>
        <v>0</v>
      </c>
      <c r="G893" s="610"/>
      <c r="H893" s="610"/>
      <c r="I893" s="611">
        <v>0</v>
      </c>
      <c r="J893" s="610">
        <v>0</v>
      </c>
      <c r="K893" s="611">
        <f t="shared" si="97"/>
        <v>0</v>
      </c>
      <c r="L893" s="612">
        <f>VLOOKUP(A893,'PL Gr'!A:A,1,0)</f>
        <v>501931</v>
      </c>
      <c r="M893" s="612">
        <f t="shared" si="96"/>
        <v>1</v>
      </c>
      <c r="N893" s="613">
        <f t="shared" si="95"/>
        <v>0</v>
      </c>
      <c r="O893" s="613">
        <f>VLOOKUP(A893,'PL Gr'!A:A,1,FALSE)</f>
        <v>501931</v>
      </c>
      <c r="P893" s="613">
        <v>0</v>
      </c>
      <c r="Q893" s="613">
        <f t="shared" si="98"/>
        <v>0</v>
      </c>
      <c r="R893" s="1514"/>
      <c r="S893" s="1617" t="e">
        <f>SUMIF('[105]TB for financial'!$A:$A,A893,'[105]TB for financial'!$E:$E)</f>
        <v>#VALUE!</v>
      </c>
    </row>
    <row r="894" spans="1:19">
      <c r="A894" s="608">
        <v>501932</v>
      </c>
      <c r="B894" s="609" t="s">
        <v>1674</v>
      </c>
      <c r="C894" s="610">
        <f t="shared" si="92"/>
        <v>0</v>
      </c>
      <c r="D894" s="611">
        <v>0</v>
      </c>
      <c r="E894" s="610">
        <f>SUMIF('Entries 24-25'!$B:$B,A:A,'Entries 24-25'!$D:$D)-SUMIF('Entries 24-25'!$B:$B,A:A,'Entries 24-25'!$E:$E)+SUMIF('IND AS entries 24-25'!$B:$B,A:A,'IND AS entries 24-25'!$D:$D)-SUMIF('IND AS entries 24-25'!$B:$B,A:A,'IND AS entries 24-25'!$E:$E)</f>
        <v>0</v>
      </c>
      <c r="F894" s="611">
        <f t="shared" si="93"/>
        <v>0</v>
      </c>
      <c r="G894" s="610"/>
      <c r="H894" s="610"/>
      <c r="I894" s="611">
        <v>0</v>
      </c>
      <c r="J894" s="610">
        <v>0</v>
      </c>
      <c r="K894" s="611">
        <f t="shared" si="97"/>
        <v>0</v>
      </c>
      <c r="L894" s="612">
        <f>VLOOKUP(A894,'PL Gr'!A:A,1,0)</f>
        <v>501932</v>
      </c>
      <c r="M894" s="612">
        <f t="shared" si="96"/>
        <v>1</v>
      </c>
      <c r="N894" s="613">
        <f t="shared" si="95"/>
        <v>0</v>
      </c>
      <c r="O894" s="613">
        <f>VLOOKUP(A894,'PL Gr'!A:A,1,FALSE)</f>
        <v>501932</v>
      </c>
      <c r="P894" s="613">
        <v>0</v>
      </c>
      <c r="Q894" s="613">
        <f t="shared" si="98"/>
        <v>0</v>
      </c>
      <c r="R894" s="1514"/>
      <c r="S894" s="1617" t="e">
        <f>SUMIF('[105]TB for financial'!$A:$A,A894,'[105]TB for financial'!$E:$E)</f>
        <v>#VALUE!</v>
      </c>
    </row>
    <row r="895" spans="1:19">
      <c r="A895" s="608">
        <v>501933</v>
      </c>
      <c r="B895" s="609" t="s">
        <v>1675</v>
      </c>
      <c r="C895" s="610">
        <f t="shared" si="92"/>
        <v>0</v>
      </c>
      <c r="D895" s="611">
        <v>0</v>
      </c>
      <c r="E895" s="610">
        <f>SUMIF('Entries 24-25'!$B:$B,A:A,'Entries 24-25'!$D:$D)-SUMIF('Entries 24-25'!$B:$B,A:A,'Entries 24-25'!$E:$E)+SUMIF('IND AS entries 24-25'!$B:$B,A:A,'IND AS entries 24-25'!$D:$D)-SUMIF('IND AS entries 24-25'!$B:$B,A:A,'IND AS entries 24-25'!$E:$E)</f>
        <v>0</v>
      </c>
      <c r="F895" s="611">
        <f t="shared" si="93"/>
        <v>0</v>
      </c>
      <c r="G895" s="610"/>
      <c r="H895" s="610"/>
      <c r="I895" s="611">
        <v>0</v>
      </c>
      <c r="J895" s="610">
        <v>0</v>
      </c>
      <c r="K895" s="611">
        <f t="shared" si="97"/>
        <v>0</v>
      </c>
      <c r="L895" s="612">
        <f>VLOOKUP(A895,'PL Gr'!A:A,1,0)</f>
        <v>501933</v>
      </c>
      <c r="M895" s="612">
        <f t="shared" si="96"/>
        <v>1</v>
      </c>
      <c r="N895" s="613">
        <f t="shared" si="95"/>
        <v>0</v>
      </c>
      <c r="O895" s="613">
        <f>VLOOKUP(A895,'PL Gr'!A:A,1,FALSE)</f>
        <v>501933</v>
      </c>
      <c r="P895" s="613">
        <v>0</v>
      </c>
      <c r="Q895" s="613">
        <f t="shared" si="98"/>
        <v>0</v>
      </c>
      <c r="R895" s="1514"/>
      <c r="S895" s="1617" t="e">
        <f>SUMIF('[105]TB for financial'!$A:$A,A895,'[105]TB for financial'!$E:$E)</f>
        <v>#VALUE!</v>
      </c>
    </row>
    <row r="896" spans="1:19">
      <c r="A896" s="608">
        <v>501934</v>
      </c>
      <c r="B896" s="609" t="s">
        <v>1676</v>
      </c>
      <c r="C896" s="610">
        <f t="shared" si="92"/>
        <v>0</v>
      </c>
      <c r="D896" s="611">
        <v>0</v>
      </c>
      <c r="E896" s="610">
        <f>SUMIF('Entries 24-25'!$B:$B,A:A,'Entries 24-25'!$D:$D)-SUMIF('Entries 24-25'!$B:$B,A:A,'Entries 24-25'!$E:$E)+SUMIF('IND AS entries 24-25'!$B:$B,A:A,'IND AS entries 24-25'!$D:$D)-SUMIF('IND AS entries 24-25'!$B:$B,A:A,'IND AS entries 24-25'!$E:$E)</f>
        <v>0</v>
      </c>
      <c r="F896" s="611">
        <f t="shared" si="93"/>
        <v>0</v>
      </c>
      <c r="G896" s="610"/>
      <c r="H896" s="610"/>
      <c r="I896" s="611">
        <v>0</v>
      </c>
      <c r="J896" s="610">
        <v>0</v>
      </c>
      <c r="K896" s="611">
        <f t="shared" si="97"/>
        <v>0</v>
      </c>
      <c r="L896" s="612">
        <f>VLOOKUP(A896,'PL Gr'!A:A,1,0)</f>
        <v>501934</v>
      </c>
      <c r="M896" s="612">
        <f t="shared" si="96"/>
        <v>1</v>
      </c>
      <c r="N896" s="613">
        <f t="shared" si="95"/>
        <v>0</v>
      </c>
      <c r="O896" s="613">
        <f>VLOOKUP(A896,'PL Gr'!A:A,1,FALSE)</f>
        <v>501934</v>
      </c>
      <c r="P896" s="613">
        <v>0</v>
      </c>
      <c r="Q896" s="613">
        <f t="shared" si="98"/>
        <v>0</v>
      </c>
      <c r="R896" s="1514"/>
      <c r="S896" s="1617" t="e">
        <f>SUMIF('[105]TB for financial'!$A:$A,A896,'[105]TB for financial'!$E:$E)</f>
        <v>#VALUE!</v>
      </c>
    </row>
    <row r="897" spans="1:19">
      <c r="A897" s="608">
        <v>501935</v>
      </c>
      <c r="B897" s="609" t="s">
        <v>1677</v>
      </c>
      <c r="C897" s="610">
        <f t="shared" si="92"/>
        <v>0</v>
      </c>
      <c r="D897" s="611">
        <v>0</v>
      </c>
      <c r="E897" s="610">
        <f>SUMIF('Entries 24-25'!$B:$B,A:A,'Entries 24-25'!$D:$D)-SUMIF('Entries 24-25'!$B:$B,A:A,'Entries 24-25'!$E:$E)+SUMIF('IND AS entries 24-25'!$B:$B,A:A,'IND AS entries 24-25'!$D:$D)-SUMIF('IND AS entries 24-25'!$B:$B,A:A,'IND AS entries 24-25'!$E:$E)</f>
        <v>0</v>
      </c>
      <c r="F897" s="611">
        <f t="shared" si="93"/>
        <v>0</v>
      </c>
      <c r="G897" s="610"/>
      <c r="H897" s="610"/>
      <c r="I897" s="611">
        <v>0</v>
      </c>
      <c r="J897" s="610">
        <v>0</v>
      </c>
      <c r="K897" s="611">
        <f t="shared" si="97"/>
        <v>0</v>
      </c>
      <c r="L897" s="612">
        <f>VLOOKUP(A897,'PL Gr'!A:A,1,0)</f>
        <v>501935</v>
      </c>
      <c r="M897" s="612">
        <f t="shared" si="96"/>
        <v>1</v>
      </c>
      <c r="N897" s="613">
        <f t="shared" si="95"/>
        <v>0</v>
      </c>
      <c r="O897" s="613">
        <f>VLOOKUP(A897,'PL Gr'!A:A,1,FALSE)</f>
        <v>501935</v>
      </c>
      <c r="P897" s="613">
        <v>0</v>
      </c>
      <c r="Q897" s="613">
        <f t="shared" si="98"/>
        <v>0</v>
      </c>
      <c r="R897" s="1514"/>
      <c r="S897" s="1617" t="e">
        <f>SUMIF('[105]TB for financial'!$A:$A,A897,'[105]TB for financial'!$E:$E)</f>
        <v>#VALUE!</v>
      </c>
    </row>
    <row r="898" spans="1:19">
      <c r="A898" s="608">
        <v>501937</v>
      </c>
      <c r="B898" s="609" t="s">
        <v>1678</v>
      </c>
      <c r="C898" s="610">
        <f t="shared" si="92"/>
        <v>0</v>
      </c>
      <c r="D898" s="611">
        <v>0</v>
      </c>
      <c r="E898" s="610">
        <f>SUMIF('Entries 24-25'!$B:$B,A:A,'Entries 24-25'!$D:$D)-SUMIF('Entries 24-25'!$B:$B,A:A,'Entries 24-25'!$E:$E)+SUMIF('IND AS entries 24-25'!$B:$B,A:A,'IND AS entries 24-25'!$D:$D)-SUMIF('IND AS entries 24-25'!$B:$B,A:A,'IND AS entries 24-25'!$E:$E)</f>
        <v>0</v>
      </c>
      <c r="F898" s="611">
        <f t="shared" si="93"/>
        <v>0</v>
      </c>
      <c r="G898" s="610"/>
      <c r="H898" s="610"/>
      <c r="I898" s="611">
        <v>0</v>
      </c>
      <c r="J898" s="610">
        <v>0</v>
      </c>
      <c r="K898" s="611">
        <f t="shared" si="97"/>
        <v>0</v>
      </c>
      <c r="L898" s="612">
        <f>VLOOKUP(A898,'PL Gr'!A:A,1,0)</f>
        <v>501937</v>
      </c>
      <c r="M898" s="612">
        <f t="shared" si="96"/>
        <v>1</v>
      </c>
      <c r="N898" s="613">
        <f t="shared" si="95"/>
        <v>0</v>
      </c>
      <c r="O898" s="613">
        <f>VLOOKUP(A898,'PL Gr'!A:A,1,FALSE)</f>
        <v>501937</v>
      </c>
      <c r="P898" s="613">
        <v>0</v>
      </c>
      <c r="Q898" s="613">
        <f t="shared" si="98"/>
        <v>0</v>
      </c>
      <c r="R898" s="1514"/>
      <c r="S898" s="1617" t="e">
        <f>SUMIF('[105]TB for financial'!$A:$A,A898,'[105]TB for financial'!$E:$E)</f>
        <v>#VALUE!</v>
      </c>
    </row>
    <row r="899" spans="1:19">
      <c r="A899" s="608">
        <v>501941</v>
      </c>
      <c r="B899" s="609" t="s">
        <v>1679</v>
      </c>
      <c r="C899" s="610">
        <f t="shared" si="92"/>
        <v>0</v>
      </c>
      <c r="D899" s="611">
        <v>0</v>
      </c>
      <c r="E899" s="610">
        <f>SUMIF('Entries 24-25'!$B:$B,A:A,'Entries 24-25'!$D:$D)-SUMIF('Entries 24-25'!$B:$B,A:A,'Entries 24-25'!$E:$E)+SUMIF('IND AS entries 24-25'!$B:$B,A:A,'IND AS entries 24-25'!$D:$D)-SUMIF('IND AS entries 24-25'!$B:$B,A:A,'IND AS entries 24-25'!$E:$E)</f>
        <v>0</v>
      </c>
      <c r="F899" s="611">
        <f t="shared" si="93"/>
        <v>0</v>
      </c>
      <c r="G899" s="610"/>
      <c r="H899" s="610"/>
      <c r="I899" s="611">
        <v>0</v>
      </c>
      <c r="J899" s="610">
        <v>0</v>
      </c>
      <c r="K899" s="611">
        <f t="shared" si="97"/>
        <v>0</v>
      </c>
      <c r="L899" s="612">
        <f>VLOOKUP(A899,'PL Gr'!A:A,1,0)</f>
        <v>501941</v>
      </c>
      <c r="M899" s="612">
        <f t="shared" si="96"/>
        <v>1</v>
      </c>
      <c r="N899" s="613">
        <f t="shared" si="95"/>
        <v>0</v>
      </c>
      <c r="O899" s="613">
        <f>VLOOKUP(A899,'PL Gr'!A:A,1,FALSE)</f>
        <v>501941</v>
      </c>
      <c r="P899" s="613">
        <v>0</v>
      </c>
      <c r="Q899" s="613">
        <f t="shared" si="98"/>
        <v>0</v>
      </c>
      <c r="R899" s="1514"/>
      <c r="S899" s="1617" t="e">
        <f>SUMIF('[105]TB for financial'!$A:$A,A899,'[105]TB for financial'!$E:$E)</f>
        <v>#VALUE!</v>
      </c>
    </row>
    <row r="900" spans="1:19">
      <c r="A900" s="608">
        <v>501942</v>
      </c>
      <c r="B900" s="609" t="s">
        <v>1680</v>
      </c>
      <c r="C900" s="610">
        <f t="shared" si="92"/>
        <v>0</v>
      </c>
      <c r="D900" s="611">
        <v>0</v>
      </c>
      <c r="E900" s="610">
        <f>SUMIF('Entries 24-25'!$B:$B,A:A,'Entries 24-25'!$D:$D)-SUMIF('Entries 24-25'!$B:$B,A:A,'Entries 24-25'!$E:$E)+SUMIF('IND AS entries 24-25'!$B:$B,A:A,'IND AS entries 24-25'!$D:$D)-SUMIF('IND AS entries 24-25'!$B:$B,A:A,'IND AS entries 24-25'!$E:$E)</f>
        <v>0</v>
      </c>
      <c r="F900" s="611">
        <f t="shared" si="93"/>
        <v>0</v>
      </c>
      <c r="G900" s="610"/>
      <c r="H900" s="610"/>
      <c r="I900" s="611">
        <v>0</v>
      </c>
      <c r="J900" s="610">
        <v>0</v>
      </c>
      <c r="K900" s="611">
        <f t="shared" si="97"/>
        <v>0</v>
      </c>
      <c r="L900" s="612">
        <f>VLOOKUP(A900,'PL Gr'!A:A,1,0)</f>
        <v>501942</v>
      </c>
      <c r="M900" s="612">
        <f t="shared" si="96"/>
        <v>1</v>
      </c>
      <c r="N900" s="613">
        <f t="shared" si="95"/>
        <v>0</v>
      </c>
      <c r="O900" s="613">
        <f>VLOOKUP(A900,'PL Gr'!A:A,1,FALSE)</f>
        <v>501942</v>
      </c>
      <c r="P900" s="613">
        <v>0</v>
      </c>
      <c r="Q900" s="613">
        <f t="shared" si="98"/>
        <v>0</v>
      </c>
      <c r="R900" s="1514"/>
      <c r="S900" s="1617" t="e">
        <f>SUMIF('[105]TB for financial'!$A:$A,A900,'[105]TB for financial'!$E:$E)</f>
        <v>#VALUE!</v>
      </c>
    </row>
    <row r="901" spans="1:19">
      <c r="A901" s="608">
        <v>501943</v>
      </c>
      <c r="B901" s="609" t="s">
        <v>1681</v>
      </c>
      <c r="C901" s="610">
        <f t="shared" si="92"/>
        <v>0</v>
      </c>
      <c r="D901" s="611">
        <v>0</v>
      </c>
      <c r="E901" s="610">
        <f>SUMIF('Entries 24-25'!$B:$B,A:A,'Entries 24-25'!$D:$D)-SUMIF('Entries 24-25'!$B:$B,A:A,'Entries 24-25'!$E:$E)+SUMIF('IND AS entries 24-25'!$B:$B,A:A,'IND AS entries 24-25'!$D:$D)-SUMIF('IND AS entries 24-25'!$B:$B,A:A,'IND AS entries 24-25'!$E:$E)</f>
        <v>0</v>
      </c>
      <c r="F901" s="611">
        <f t="shared" si="93"/>
        <v>0</v>
      </c>
      <c r="G901" s="610"/>
      <c r="H901" s="610"/>
      <c r="I901" s="611">
        <v>0</v>
      </c>
      <c r="J901" s="610">
        <v>0</v>
      </c>
      <c r="K901" s="611">
        <f t="shared" si="97"/>
        <v>0</v>
      </c>
      <c r="L901" s="612">
        <f>VLOOKUP(A901,'PL Gr'!A:A,1,0)</f>
        <v>501943</v>
      </c>
      <c r="M901" s="612">
        <f t="shared" si="96"/>
        <v>1</v>
      </c>
      <c r="N901" s="613">
        <f t="shared" si="95"/>
        <v>0</v>
      </c>
      <c r="O901" s="613">
        <f>VLOOKUP(A901,'PL Gr'!A:A,1,FALSE)</f>
        <v>501943</v>
      </c>
      <c r="P901" s="613">
        <v>0</v>
      </c>
      <c r="Q901" s="613">
        <f t="shared" si="98"/>
        <v>0</v>
      </c>
      <c r="R901" s="1514"/>
      <c r="S901" s="1617" t="e">
        <f>SUMIF('[105]TB for financial'!$A:$A,A901,'[105]TB for financial'!$E:$E)</f>
        <v>#VALUE!</v>
      </c>
    </row>
    <row r="902" spans="1:19">
      <c r="A902" s="608">
        <v>501944</v>
      </c>
      <c r="B902" s="609" t="s">
        <v>1682</v>
      </c>
      <c r="C902" s="610">
        <f t="shared" si="92"/>
        <v>0</v>
      </c>
      <c r="D902" s="611">
        <v>0</v>
      </c>
      <c r="E902" s="610">
        <f>SUMIF('Entries 24-25'!$B:$B,A:A,'Entries 24-25'!$D:$D)-SUMIF('Entries 24-25'!$B:$B,A:A,'Entries 24-25'!$E:$E)+SUMIF('IND AS entries 24-25'!$B:$B,A:A,'IND AS entries 24-25'!$D:$D)-SUMIF('IND AS entries 24-25'!$B:$B,A:A,'IND AS entries 24-25'!$E:$E)</f>
        <v>0</v>
      </c>
      <c r="F902" s="611">
        <f t="shared" si="93"/>
        <v>0</v>
      </c>
      <c r="G902" s="610"/>
      <c r="H902" s="610"/>
      <c r="I902" s="611">
        <v>0</v>
      </c>
      <c r="J902" s="610">
        <v>0</v>
      </c>
      <c r="K902" s="611">
        <f t="shared" si="97"/>
        <v>0</v>
      </c>
      <c r="L902" s="612">
        <f>VLOOKUP(A902,'PL Gr'!A:A,1,0)</f>
        <v>501944</v>
      </c>
      <c r="M902" s="612">
        <f t="shared" si="96"/>
        <v>1</v>
      </c>
      <c r="N902" s="613">
        <f t="shared" si="95"/>
        <v>0</v>
      </c>
      <c r="O902" s="613">
        <f>VLOOKUP(A902,'PL Gr'!A:A,1,FALSE)</f>
        <v>501944</v>
      </c>
      <c r="P902" s="613">
        <v>0</v>
      </c>
      <c r="Q902" s="613">
        <f t="shared" si="98"/>
        <v>0</v>
      </c>
      <c r="R902" s="1514"/>
      <c r="S902" s="1617" t="e">
        <f>SUMIF('[105]TB for financial'!$A:$A,A902,'[105]TB for financial'!$E:$E)</f>
        <v>#VALUE!</v>
      </c>
    </row>
    <row r="903" spans="1:19">
      <c r="A903" s="608">
        <v>501945</v>
      </c>
      <c r="B903" s="609" t="s">
        <v>1683</v>
      </c>
      <c r="C903" s="610">
        <f t="shared" si="92"/>
        <v>0</v>
      </c>
      <c r="D903" s="611">
        <v>0</v>
      </c>
      <c r="E903" s="610">
        <f>SUMIF('Entries 24-25'!$B:$B,A:A,'Entries 24-25'!$D:$D)-SUMIF('Entries 24-25'!$B:$B,A:A,'Entries 24-25'!$E:$E)+SUMIF('IND AS entries 24-25'!$B:$B,A:A,'IND AS entries 24-25'!$D:$D)-SUMIF('IND AS entries 24-25'!$B:$B,A:A,'IND AS entries 24-25'!$E:$E)</f>
        <v>0</v>
      </c>
      <c r="F903" s="611">
        <f t="shared" si="93"/>
        <v>0</v>
      </c>
      <c r="G903" s="610"/>
      <c r="H903" s="610"/>
      <c r="I903" s="611">
        <v>0</v>
      </c>
      <c r="J903" s="610">
        <v>0</v>
      </c>
      <c r="K903" s="611">
        <f t="shared" si="97"/>
        <v>0</v>
      </c>
      <c r="L903" s="612">
        <f>VLOOKUP(A903,'PL Gr'!A:A,1,0)</f>
        <v>501945</v>
      </c>
      <c r="M903" s="612">
        <f t="shared" si="96"/>
        <v>1</v>
      </c>
      <c r="N903" s="613">
        <f t="shared" si="95"/>
        <v>0</v>
      </c>
      <c r="O903" s="613">
        <f>VLOOKUP(A903,'PL Gr'!A:A,1,FALSE)</f>
        <v>501945</v>
      </c>
      <c r="P903" s="613">
        <v>0</v>
      </c>
      <c r="Q903" s="613">
        <f t="shared" si="98"/>
        <v>0</v>
      </c>
      <c r="R903" s="1514"/>
      <c r="S903" s="1617" t="e">
        <f>SUMIF('[105]TB for financial'!$A:$A,A903,'[105]TB for financial'!$E:$E)</f>
        <v>#VALUE!</v>
      </c>
    </row>
    <row r="904" spans="1:19">
      <c r="A904" s="608">
        <v>501946</v>
      </c>
      <c r="B904" s="609" t="s">
        <v>1684</v>
      </c>
      <c r="C904" s="610">
        <f t="shared" si="92"/>
        <v>0</v>
      </c>
      <c r="D904" s="611">
        <v>0</v>
      </c>
      <c r="E904" s="610">
        <f>SUMIF('Entries 24-25'!$B:$B,A:A,'Entries 24-25'!$D:$D)-SUMIF('Entries 24-25'!$B:$B,A:A,'Entries 24-25'!$E:$E)+SUMIF('IND AS entries 24-25'!$B:$B,A:A,'IND AS entries 24-25'!$D:$D)-SUMIF('IND AS entries 24-25'!$B:$B,A:A,'IND AS entries 24-25'!$E:$E)</f>
        <v>0</v>
      </c>
      <c r="F904" s="611">
        <f t="shared" si="93"/>
        <v>0</v>
      </c>
      <c r="G904" s="610"/>
      <c r="H904" s="610"/>
      <c r="I904" s="611">
        <v>0</v>
      </c>
      <c r="J904" s="610">
        <v>0</v>
      </c>
      <c r="K904" s="611">
        <f t="shared" si="97"/>
        <v>0</v>
      </c>
      <c r="L904" s="612">
        <f>VLOOKUP(A904,'PL Gr'!A:A,1,0)</f>
        <v>501946</v>
      </c>
      <c r="M904" s="612">
        <f t="shared" si="96"/>
        <v>1</v>
      </c>
      <c r="N904" s="613">
        <f t="shared" si="95"/>
        <v>0</v>
      </c>
      <c r="O904" s="613">
        <f>VLOOKUP(A904,'PL Gr'!A:A,1,FALSE)</f>
        <v>501946</v>
      </c>
      <c r="P904" s="613">
        <v>0</v>
      </c>
      <c r="Q904" s="613">
        <f t="shared" si="98"/>
        <v>0</v>
      </c>
      <c r="R904" s="1514"/>
      <c r="S904" s="1617" t="e">
        <f>SUMIF('[105]TB for financial'!$A:$A,A904,'[105]TB for financial'!$E:$E)</f>
        <v>#VALUE!</v>
      </c>
    </row>
    <row r="905" spans="1:19">
      <c r="A905" s="608">
        <v>501948</v>
      </c>
      <c r="B905" s="609" t="s">
        <v>1685</v>
      </c>
      <c r="C905" s="610">
        <f t="shared" si="92"/>
        <v>0</v>
      </c>
      <c r="D905" s="611">
        <v>0</v>
      </c>
      <c r="E905" s="610">
        <f>SUMIF('Entries 24-25'!$B:$B,A:A,'Entries 24-25'!$D:$D)-SUMIF('Entries 24-25'!$B:$B,A:A,'Entries 24-25'!$E:$E)+SUMIF('IND AS entries 24-25'!$B:$B,A:A,'IND AS entries 24-25'!$D:$D)-SUMIF('IND AS entries 24-25'!$B:$B,A:A,'IND AS entries 24-25'!$E:$E)</f>
        <v>0</v>
      </c>
      <c r="F905" s="611">
        <f t="shared" si="93"/>
        <v>0</v>
      </c>
      <c r="G905" s="610"/>
      <c r="H905" s="610"/>
      <c r="I905" s="611">
        <v>0</v>
      </c>
      <c r="J905" s="610">
        <v>0</v>
      </c>
      <c r="K905" s="611">
        <f t="shared" si="97"/>
        <v>0</v>
      </c>
      <c r="L905" s="612">
        <f>VLOOKUP(A905,'PL Gr'!A:A,1,0)</f>
        <v>501948</v>
      </c>
      <c r="M905" s="612">
        <f t="shared" si="96"/>
        <v>1</v>
      </c>
      <c r="N905" s="613">
        <f t="shared" si="95"/>
        <v>0</v>
      </c>
      <c r="O905" s="613">
        <f>VLOOKUP(A905,'PL Gr'!A:A,1,FALSE)</f>
        <v>501948</v>
      </c>
      <c r="P905" s="613">
        <v>0</v>
      </c>
      <c r="Q905" s="613">
        <f t="shared" si="98"/>
        <v>0</v>
      </c>
      <c r="R905" s="1514"/>
      <c r="S905" s="1617" t="e">
        <f>SUMIF('[105]TB for financial'!$A:$A,A905,'[105]TB for financial'!$E:$E)</f>
        <v>#VALUE!</v>
      </c>
    </row>
    <row r="906" spans="1:19">
      <c r="A906" s="608">
        <v>502010</v>
      </c>
      <c r="B906" s="609" t="s">
        <v>1686</v>
      </c>
      <c r="C906" s="610">
        <f t="shared" si="92"/>
        <v>0</v>
      </c>
      <c r="D906" s="611">
        <v>0</v>
      </c>
      <c r="E906" s="610">
        <f>SUMIF('Entries 24-25'!$B:$B,A:A,'Entries 24-25'!$D:$D)-SUMIF('Entries 24-25'!$B:$B,A:A,'Entries 24-25'!$E:$E)+SUMIF('IND AS entries 24-25'!$B:$B,A:A,'IND AS entries 24-25'!$D:$D)-SUMIF('IND AS entries 24-25'!$B:$B,A:A,'IND AS entries 24-25'!$E:$E)</f>
        <v>0</v>
      </c>
      <c r="F906" s="611">
        <f t="shared" si="93"/>
        <v>0</v>
      </c>
      <c r="G906" s="610"/>
      <c r="H906" s="610"/>
      <c r="I906" s="611">
        <v>0</v>
      </c>
      <c r="J906" s="610">
        <v>0</v>
      </c>
      <c r="K906" s="611">
        <f t="shared" si="97"/>
        <v>0</v>
      </c>
      <c r="L906" s="612">
        <f>VLOOKUP(A906,'PL Gr'!A:A,1,0)</f>
        <v>502010</v>
      </c>
      <c r="M906" s="612">
        <f t="shared" si="96"/>
        <v>1</v>
      </c>
      <c r="N906" s="613">
        <f t="shared" si="95"/>
        <v>0</v>
      </c>
      <c r="O906" s="613">
        <f>VLOOKUP(A906,'PL Gr'!A:A,1,FALSE)</f>
        <v>502010</v>
      </c>
      <c r="P906" s="613">
        <v>0</v>
      </c>
      <c r="Q906" s="613">
        <f t="shared" si="98"/>
        <v>0</v>
      </c>
      <c r="R906" s="1514"/>
      <c r="S906" s="1617" t="e">
        <f>SUMIF('[105]TB for financial'!$A:$A,A906,'[105]TB for financial'!$E:$E)</f>
        <v>#VALUE!</v>
      </c>
    </row>
    <row r="907" spans="1:19">
      <c r="A907" s="608">
        <v>502020</v>
      </c>
      <c r="B907" s="609" t="s">
        <v>1687</v>
      </c>
      <c r="C907" s="610">
        <f t="shared" si="92"/>
        <v>0</v>
      </c>
      <c r="D907" s="611">
        <v>0</v>
      </c>
      <c r="E907" s="610">
        <f>SUMIF('Entries 24-25'!$B:$B,A:A,'Entries 24-25'!$D:$D)-SUMIF('Entries 24-25'!$B:$B,A:A,'Entries 24-25'!$E:$E)+SUMIF('IND AS entries 24-25'!$B:$B,A:A,'IND AS entries 24-25'!$D:$D)-SUMIF('IND AS entries 24-25'!$B:$B,A:A,'IND AS entries 24-25'!$E:$E)</f>
        <v>0</v>
      </c>
      <c r="F907" s="611">
        <f t="shared" si="93"/>
        <v>0</v>
      </c>
      <c r="G907" s="610"/>
      <c r="H907" s="610"/>
      <c r="I907" s="611">
        <v>0</v>
      </c>
      <c r="J907" s="610">
        <v>0</v>
      </c>
      <c r="K907" s="611">
        <f t="shared" si="97"/>
        <v>0</v>
      </c>
      <c r="L907" s="612">
        <f>VLOOKUP(A907,'PL Gr'!A:A,1,0)</f>
        <v>502020</v>
      </c>
      <c r="M907" s="612">
        <f t="shared" si="96"/>
        <v>1</v>
      </c>
      <c r="N907" s="613">
        <f t="shared" si="95"/>
        <v>0</v>
      </c>
      <c r="O907" s="613">
        <f>VLOOKUP(A907,'PL Gr'!A:A,1,FALSE)</f>
        <v>502020</v>
      </c>
      <c r="P907" s="613">
        <v>0</v>
      </c>
      <c r="Q907" s="613">
        <f t="shared" si="98"/>
        <v>0</v>
      </c>
      <c r="R907" s="1514"/>
      <c r="S907" s="1617" t="e">
        <f>SUMIF('[105]TB for financial'!$A:$A,A907,'[105]TB for financial'!$E:$E)</f>
        <v>#VALUE!</v>
      </c>
    </row>
    <row r="908" spans="1:19">
      <c r="A908" s="608">
        <v>502025</v>
      </c>
      <c r="B908" s="609" t="s">
        <v>1688</v>
      </c>
      <c r="C908" s="610">
        <f t="shared" ref="C908:C971" si="99">K908</f>
        <v>0</v>
      </c>
      <c r="D908" s="611">
        <v>0</v>
      </c>
      <c r="E908" s="610">
        <f>SUMIF('Entries 24-25'!$B:$B,A:A,'Entries 24-25'!$D:$D)-SUMIF('Entries 24-25'!$B:$B,A:A,'Entries 24-25'!$E:$E)+SUMIF('IND AS entries 24-25'!$B:$B,A:A,'IND AS entries 24-25'!$D:$D)-SUMIF('IND AS entries 24-25'!$B:$B,A:A,'IND AS entries 24-25'!$E:$E)</f>
        <v>0</v>
      </c>
      <c r="F908" s="611">
        <f t="shared" si="93"/>
        <v>0</v>
      </c>
      <c r="G908" s="610"/>
      <c r="H908" s="610"/>
      <c r="I908" s="611">
        <v>0</v>
      </c>
      <c r="J908" s="610">
        <v>0</v>
      </c>
      <c r="K908" s="611">
        <f t="shared" si="97"/>
        <v>0</v>
      </c>
      <c r="L908" s="612">
        <f>VLOOKUP(A908,'PL Gr'!A:A,1,0)</f>
        <v>502025</v>
      </c>
      <c r="M908" s="612">
        <f t="shared" si="96"/>
        <v>1</v>
      </c>
      <c r="N908" s="613">
        <f t="shared" si="95"/>
        <v>0</v>
      </c>
      <c r="O908" s="613">
        <f>VLOOKUP(A908,'PL Gr'!A:A,1,FALSE)</f>
        <v>502025</v>
      </c>
      <c r="P908" s="613">
        <v>0</v>
      </c>
      <c r="Q908" s="613">
        <f t="shared" si="98"/>
        <v>0</v>
      </c>
      <c r="R908" s="1514"/>
      <c r="S908" s="1617" t="e">
        <f>SUMIF('[105]TB for financial'!$A:$A,A908,'[105]TB for financial'!$E:$E)</f>
        <v>#VALUE!</v>
      </c>
    </row>
    <row r="909" spans="1:19">
      <c r="A909" s="608">
        <v>502050</v>
      </c>
      <c r="B909" s="609" t="s">
        <v>1689</v>
      </c>
      <c r="C909" s="610">
        <f t="shared" si="99"/>
        <v>0</v>
      </c>
      <c r="D909" s="611">
        <v>0</v>
      </c>
      <c r="E909" s="610">
        <f>SUMIF('Entries 24-25'!$B:$B,A:A,'Entries 24-25'!$D:$D)-SUMIF('Entries 24-25'!$B:$B,A:A,'Entries 24-25'!$E:$E)+SUMIF('IND AS entries 24-25'!$B:$B,A:A,'IND AS entries 24-25'!$D:$D)-SUMIF('IND AS entries 24-25'!$B:$B,A:A,'IND AS entries 24-25'!$E:$E)</f>
        <v>0</v>
      </c>
      <c r="F909" s="611">
        <f t="shared" si="93"/>
        <v>0</v>
      </c>
      <c r="G909" s="610"/>
      <c r="H909" s="610"/>
      <c r="I909" s="611">
        <v>0</v>
      </c>
      <c r="J909" s="610">
        <v>0</v>
      </c>
      <c r="K909" s="611">
        <f t="shared" si="97"/>
        <v>0</v>
      </c>
      <c r="L909" s="612">
        <f>VLOOKUP(A909,'PL Gr'!A:A,1,0)</f>
        <v>502050</v>
      </c>
      <c r="M909" s="612">
        <f t="shared" si="96"/>
        <v>1</v>
      </c>
      <c r="N909" s="613">
        <f t="shared" si="95"/>
        <v>0</v>
      </c>
      <c r="O909" s="613">
        <f>VLOOKUP(A909,'PL Gr'!A:A,1,FALSE)</f>
        <v>502050</v>
      </c>
      <c r="P909" s="613">
        <v>614125.12</v>
      </c>
      <c r="Q909" s="613">
        <f t="shared" si="98"/>
        <v>-614125.12</v>
      </c>
      <c r="R909" s="1514"/>
      <c r="S909" s="1617" t="e">
        <f>SUMIF('[105]TB for financial'!$A:$A,A909,'[105]TB for financial'!$E:$E)</f>
        <v>#VALUE!</v>
      </c>
    </row>
    <row r="910" spans="1:19">
      <c r="A910" s="608">
        <v>502051</v>
      </c>
      <c r="B910" s="609" t="s">
        <v>1690</v>
      </c>
      <c r="C910" s="610">
        <f t="shared" si="99"/>
        <v>0</v>
      </c>
      <c r="D910" s="611">
        <v>0</v>
      </c>
      <c r="E910" s="610">
        <f>SUMIF('Entries 24-25'!$B:$B,A:A,'Entries 24-25'!$D:$D)-SUMIF('Entries 24-25'!$B:$B,A:A,'Entries 24-25'!$E:$E)+SUMIF('IND AS entries 24-25'!$B:$B,A:A,'IND AS entries 24-25'!$D:$D)-SUMIF('IND AS entries 24-25'!$B:$B,A:A,'IND AS entries 24-25'!$E:$E)</f>
        <v>0</v>
      </c>
      <c r="F910" s="611">
        <f t="shared" ref="F910:F973" si="100">SUM(C910:E910)</f>
        <v>0</v>
      </c>
      <c r="G910" s="610"/>
      <c r="H910" s="610"/>
      <c r="I910" s="611">
        <v>0</v>
      </c>
      <c r="J910" s="610">
        <v>0</v>
      </c>
      <c r="K910" s="611">
        <f t="shared" si="97"/>
        <v>0</v>
      </c>
      <c r="L910" s="612">
        <f>VLOOKUP(A910,'PL Gr'!A:A,1,0)</f>
        <v>502051</v>
      </c>
      <c r="M910" s="612">
        <f t="shared" si="96"/>
        <v>1</v>
      </c>
      <c r="N910" s="613">
        <f t="shared" si="95"/>
        <v>0</v>
      </c>
      <c r="O910" s="613">
        <f>VLOOKUP(A910,'PL Gr'!A:A,1,FALSE)</f>
        <v>502051</v>
      </c>
      <c r="P910" s="613">
        <v>0</v>
      </c>
      <c r="Q910" s="613">
        <f t="shared" si="98"/>
        <v>0</v>
      </c>
      <c r="R910" s="1514"/>
      <c r="S910" s="1617" t="e">
        <f>SUMIF('[105]TB for financial'!$A:$A,A910,'[105]TB for financial'!$E:$E)</f>
        <v>#VALUE!</v>
      </c>
    </row>
    <row r="911" spans="1:19">
      <c r="A911" s="608">
        <v>502110</v>
      </c>
      <c r="B911" s="609" t="s">
        <v>1691</v>
      </c>
      <c r="C911" s="610">
        <f t="shared" si="99"/>
        <v>0</v>
      </c>
      <c r="D911" s="611">
        <v>0</v>
      </c>
      <c r="E911" s="610">
        <f>SUMIF('Entries 24-25'!$B:$B,A:A,'Entries 24-25'!$D:$D)-SUMIF('Entries 24-25'!$B:$B,A:A,'Entries 24-25'!$E:$E)+SUMIF('IND AS entries 24-25'!$B:$B,A:A,'IND AS entries 24-25'!$D:$D)-SUMIF('IND AS entries 24-25'!$B:$B,A:A,'IND AS entries 24-25'!$E:$E)</f>
        <v>0</v>
      </c>
      <c r="F911" s="611">
        <f t="shared" si="100"/>
        <v>0</v>
      </c>
      <c r="G911" s="610"/>
      <c r="H911" s="610"/>
      <c r="I911" s="611">
        <v>0</v>
      </c>
      <c r="J911" s="610">
        <v>0</v>
      </c>
      <c r="K911" s="611">
        <f t="shared" si="97"/>
        <v>0</v>
      </c>
      <c r="L911" s="612">
        <f>VLOOKUP(A911,'PL Gr'!A:A,1,0)</f>
        <v>502110</v>
      </c>
      <c r="M911" s="612">
        <f t="shared" si="96"/>
        <v>1</v>
      </c>
      <c r="N911" s="613">
        <f t="shared" si="95"/>
        <v>0</v>
      </c>
      <c r="O911" s="613">
        <f>VLOOKUP(A911,'PL Gr'!A:A,1,FALSE)</f>
        <v>502110</v>
      </c>
      <c r="P911" s="613">
        <v>0</v>
      </c>
      <c r="Q911" s="613">
        <f t="shared" si="98"/>
        <v>0</v>
      </c>
      <c r="R911" s="1514"/>
      <c r="S911" s="1617" t="e">
        <f>SUMIF('[105]TB for financial'!$A:$A,A911,'[105]TB for financial'!$E:$E)</f>
        <v>#VALUE!</v>
      </c>
    </row>
    <row r="912" spans="1:19">
      <c r="A912" s="608">
        <v>502113</v>
      </c>
      <c r="B912" s="609" t="s">
        <v>2297</v>
      </c>
      <c r="C912" s="610">
        <f t="shared" si="99"/>
        <v>0</v>
      </c>
      <c r="D912" s="611">
        <v>0</v>
      </c>
      <c r="E912" s="610">
        <f>SUMIF('Entries 24-25'!$B:$B,A:A,'Entries 24-25'!$D:$D)-SUMIF('Entries 24-25'!$B:$B,A:A,'Entries 24-25'!$E:$E)+SUMIF('IND AS entries 24-25'!$B:$B,A:A,'IND AS entries 24-25'!$D:$D)-SUMIF('IND AS entries 24-25'!$B:$B,A:A,'IND AS entries 24-25'!$E:$E)</f>
        <v>0</v>
      </c>
      <c r="F912" s="611">
        <f t="shared" si="100"/>
        <v>0</v>
      </c>
      <c r="G912" s="610"/>
      <c r="H912" s="610"/>
      <c r="I912" s="611">
        <v>0</v>
      </c>
      <c r="J912" s="610">
        <v>0</v>
      </c>
      <c r="K912" s="611">
        <f>SUM(H912:J912)</f>
        <v>0</v>
      </c>
      <c r="L912" s="612">
        <f>VLOOKUP(A912,'PL Gr'!A:A,1,0)</f>
        <v>502113</v>
      </c>
      <c r="M912" s="612"/>
      <c r="N912" s="613">
        <f t="shared" ref="N912:N975" si="101">C912-K912</f>
        <v>0</v>
      </c>
      <c r="O912" s="613">
        <f>VLOOKUP(A912,'PL Gr'!A:A,1,FALSE)</f>
        <v>502113</v>
      </c>
      <c r="P912" s="613"/>
      <c r="Q912" s="613"/>
      <c r="R912" s="1514"/>
      <c r="S912" s="1617" t="e">
        <f>SUMIF('[105]TB for financial'!$A:$A,A912,'[105]TB for financial'!$E:$E)</f>
        <v>#VALUE!</v>
      </c>
    </row>
    <row r="913" spans="1:19">
      <c r="A913" s="608">
        <v>502115</v>
      </c>
      <c r="B913" s="609" t="s">
        <v>2298</v>
      </c>
      <c r="C913" s="610">
        <f t="shared" si="99"/>
        <v>0</v>
      </c>
      <c r="D913" s="611">
        <v>0</v>
      </c>
      <c r="E913" s="610">
        <f>SUMIF('Entries 24-25'!$B:$B,A:A,'Entries 24-25'!$D:$D)-SUMIF('Entries 24-25'!$B:$B,A:A,'Entries 24-25'!$E:$E)+SUMIF('IND AS entries 24-25'!$B:$B,A:A,'IND AS entries 24-25'!$D:$D)-SUMIF('IND AS entries 24-25'!$B:$B,A:A,'IND AS entries 24-25'!$E:$E)</f>
        <v>0</v>
      </c>
      <c r="F913" s="611">
        <f t="shared" si="100"/>
        <v>0</v>
      </c>
      <c r="G913" s="610"/>
      <c r="H913" s="610"/>
      <c r="I913" s="611">
        <v>0</v>
      </c>
      <c r="J913" s="610">
        <v>0</v>
      </c>
      <c r="K913" s="611">
        <f>SUM(H913:J913)</f>
        <v>0</v>
      </c>
      <c r="L913" s="612">
        <f>VLOOKUP(A913,'PL Gr'!A:A,1,0)</f>
        <v>502115</v>
      </c>
      <c r="M913" s="612"/>
      <c r="N913" s="613">
        <f t="shared" si="101"/>
        <v>0</v>
      </c>
      <c r="O913" s="613">
        <f>VLOOKUP(A913,'PL Gr'!A:A,1,FALSE)</f>
        <v>502115</v>
      </c>
      <c r="P913" s="613"/>
      <c r="Q913" s="613"/>
      <c r="R913" s="1514"/>
      <c r="S913" s="1617" t="e">
        <f>SUMIF('[105]TB for financial'!$A:$A,A913,'[105]TB for financial'!$E:$E)</f>
        <v>#VALUE!</v>
      </c>
    </row>
    <row r="914" spans="1:19">
      <c r="A914" s="608">
        <v>502120</v>
      </c>
      <c r="B914" s="609" t="s">
        <v>1692</v>
      </c>
      <c r="C914" s="610">
        <f t="shared" si="99"/>
        <v>0</v>
      </c>
      <c r="D914" s="611">
        <v>0</v>
      </c>
      <c r="E914" s="610">
        <f>SUMIF('Entries 24-25'!$B:$B,A:A,'Entries 24-25'!$D:$D)-SUMIF('Entries 24-25'!$B:$B,A:A,'Entries 24-25'!$E:$E)+SUMIF('IND AS entries 24-25'!$B:$B,A:A,'IND AS entries 24-25'!$D:$D)-SUMIF('IND AS entries 24-25'!$B:$B,A:A,'IND AS entries 24-25'!$E:$E)</f>
        <v>0</v>
      </c>
      <c r="F914" s="611">
        <f t="shared" si="100"/>
        <v>0</v>
      </c>
      <c r="G914" s="610"/>
      <c r="H914" s="610"/>
      <c r="I914" s="611">
        <v>0</v>
      </c>
      <c r="J914" s="610">
        <v>0</v>
      </c>
      <c r="K914" s="611">
        <f t="shared" si="97"/>
        <v>0</v>
      </c>
      <c r="L914" s="612">
        <f>VLOOKUP(A914,'PL Gr'!A:A,1,0)</f>
        <v>502120</v>
      </c>
      <c r="M914" s="612">
        <f t="shared" ref="M914:M945" si="102">COUNTIF(A:A,A914)</f>
        <v>1</v>
      </c>
      <c r="N914" s="613">
        <f t="shared" si="101"/>
        <v>0</v>
      </c>
      <c r="O914" s="613">
        <f>VLOOKUP(A914,'PL Gr'!A:A,1,FALSE)</f>
        <v>502120</v>
      </c>
      <c r="P914" s="613">
        <v>0</v>
      </c>
      <c r="Q914" s="613">
        <f t="shared" si="98"/>
        <v>0</v>
      </c>
      <c r="R914" s="1514"/>
      <c r="S914" s="1617" t="e">
        <f>SUMIF('[105]TB for financial'!$A:$A,A914,'[105]TB for financial'!$E:$E)</f>
        <v>#VALUE!</v>
      </c>
    </row>
    <row r="915" spans="1:19">
      <c r="A915" s="608">
        <v>502121</v>
      </c>
      <c r="B915" s="609" t="s">
        <v>1693</v>
      </c>
      <c r="C915" s="610">
        <f t="shared" si="99"/>
        <v>0</v>
      </c>
      <c r="D915" s="611">
        <v>0</v>
      </c>
      <c r="E915" s="610">
        <f>SUMIF('Entries 24-25'!$B:$B,A:A,'Entries 24-25'!$D:$D)-SUMIF('Entries 24-25'!$B:$B,A:A,'Entries 24-25'!$E:$E)+SUMIF('IND AS entries 24-25'!$B:$B,A:A,'IND AS entries 24-25'!$D:$D)-SUMIF('IND AS entries 24-25'!$B:$B,A:A,'IND AS entries 24-25'!$E:$E)</f>
        <v>0</v>
      </c>
      <c r="F915" s="611">
        <f t="shared" si="100"/>
        <v>0</v>
      </c>
      <c r="G915" s="610"/>
      <c r="H915" s="610"/>
      <c r="I915" s="611">
        <v>0</v>
      </c>
      <c r="J915" s="610">
        <v>0</v>
      </c>
      <c r="K915" s="611">
        <f t="shared" si="97"/>
        <v>0</v>
      </c>
      <c r="L915" s="612">
        <f>VLOOKUP(A915,'PL Gr'!A:A,1,0)</f>
        <v>502121</v>
      </c>
      <c r="M915" s="612">
        <f t="shared" si="102"/>
        <v>1</v>
      </c>
      <c r="N915" s="613">
        <f t="shared" si="101"/>
        <v>0</v>
      </c>
      <c r="O915" s="613">
        <f>VLOOKUP(A915,'PL Gr'!A:A,1,FALSE)</f>
        <v>502121</v>
      </c>
      <c r="P915" s="613">
        <v>0</v>
      </c>
      <c r="Q915" s="613">
        <f t="shared" si="98"/>
        <v>0</v>
      </c>
      <c r="R915" s="1514"/>
      <c r="S915" s="1617" t="e">
        <f>SUMIF('[105]TB for financial'!$A:$A,A915,'[105]TB for financial'!$E:$E)</f>
        <v>#VALUE!</v>
      </c>
    </row>
    <row r="916" spans="1:19">
      <c r="A916" s="608">
        <v>502129</v>
      </c>
      <c r="B916" s="609" t="s">
        <v>1694</v>
      </c>
      <c r="C916" s="610">
        <f t="shared" si="99"/>
        <v>0</v>
      </c>
      <c r="D916" s="611">
        <v>0</v>
      </c>
      <c r="E916" s="610">
        <f>SUMIF('Entries 24-25'!$B:$B,A:A,'Entries 24-25'!$D:$D)-SUMIF('Entries 24-25'!$B:$B,A:A,'Entries 24-25'!$E:$E)+SUMIF('IND AS entries 24-25'!$B:$B,A:A,'IND AS entries 24-25'!$D:$D)-SUMIF('IND AS entries 24-25'!$B:$B,A:A,'IND AS entries 24-25'!$E:$E)</f>
        <v>0</v>
      </c>
      <c r="F916" s="611">
        <f t="shared" si="100"/>
        <v>0</v>
      </c>
      <c r="G916" s="610"/>
      <c r="H916" s="610"/>
      <c r="I916" s="611">
        <v>0</v>
      </c>
      <c r="J916" s="610">
        <v>0</v>
      </c>
      <c r="K916" s="611">
        <f t="shared" si="97"/>
        <v>0</v>
      </c>
      <c r="L916" s="612">
        <f>VLOOKUP(A916,'PL Gr'!A:A,1,0)</f>
        <v>502129</v>
      </c>
      <c r="M916" s="612">
        <f t="shared" si="102"/>
        <v>1</v>
      </c>
      <c r="N916" s="613">
        <f t="shared" si="101"/>
        <v>0</v>
      </c>
      <c r="O916" s="613">
        <f>VLOOKUP(A916,'PL Gr'!A:A,1,FALSE)</f>
        <v>502129</v>
      </c>
      <c r="P916" s="613">
        <v>20066634.573720843</v>
      </c>
      <c r="Q916" s="613">
        <f t="shared" si="98"/>
        <v>-20066634.573720843</v>
      </c>
      <c r="R916" s="1514"/>
      <c r="S916" s="1617" t="e">
        <f>SUMIF('[105]TB for financial'!$A:$A,A916,'[105]TB for financial'!$E:$E)</f>
        <v>#VALUE!</v>
      </c>
    </row>
    <row r="917" spans="1:19">
      <c r="A917" s="608">
        <v>502112</v>
      </c>
      <c r="B917" s="609" t="s">
        <v>1695</v>
      </c>
      <c r="C917" s="610">
        <f t="shared" si="99"/>
        <v>0</v>
      </c>
      <c r="D917" s="611">
        <v>0</v>
      </c>
      <c r="E917" s="610">
        <f>SUMIF('Entries 24-25'!$B:$B,A:A,'Entries 24-25'!$D:$D)-SUMIF('Entries 24-25'!$B:$B,A:A,'Entries 24-25'!$E:$E)+SUMIF('IND AS entries 24-25'!$B:$B,A:A,'IND AS entries 24-25'!$D:$D)-SUMIF('IND AS entries 24-25'!$B:$B,A:A,'IND AS entries 24-25'!$E:$E)</f>
        <v>0</v>
      </c>
      <c r="F917" s="611">
        <f t="shared" si="100"/>
        <v>0</v>
      </c>
      <c r="G917" s="610"/>
      <c r="H917" s="610"/>
      <c r="I917" s="611">
        <v>0</v>
      </c>
      <c r="J917" s="610">
        <v>0</v>
      </c>
      <c r="K917" s="611">
        <f t="shared" si="97"/>
        <v>0</v>
      </c>
      <c r="L917" s="612">
        <f>VLOOKUP(A917,'PL Gr'!A:A,1,0)</f>
        <v>502112</v>
      </c>
      <c r="M917" s="612">
        <f t="shared" si="102"/>
        <v>1</v>
      </c>
      <c r="N917" s="613">
        <f t="shared" si="101"/>
        <v>0</v>
      </c>
      <c r="O917" s="613">
        <f>VLOOKUP(A917,'PL Gr'!A:A,1,FALSE)</f>
        <v>502112</v>
      </c>
      <c r="P917" s="613"/>
      <c r="Q917" s="613"/>
      <c r="R917" s="1514"/>
      <c r="S917" s="1617" t="e">
        <f>SUMIF('[105]TB for financial'!$A:$A,A917,'[105]TB for financial'!$E:$E)</f>
        <v>#VALUE!</v>
      </c>
    </row>
    <row r="918" spans="1:19">
      <c r="A918" s="608">
        <v>502130</v>
      </c>
      <c r="B918" s="609" t="s">
        <v>1696</v>
      </c>
      <c r="C918" s="610">
        <f t="shared" si="99"/>
        <v>0</v>
      </c>
      <c r="D918" s="611">
        <v>0</v>
      </c>
      <c r="E918" s="610">
        <f>SUMIF('Entries 24-25'!$B:$B,A:A,'Entries 24-25'!$D:$D)-SUMIF('Entries 24-25'!$B:$B,A:A,'Entries 24-25'!$E:$E)+SUMIF('IND AS entries 24-25'!$B:$B,A:A,'IND AS entries 24-25'!$D:$D)-SUMIF('IND AS entries 24-25'!$B:$B,A:A,'IND AS entries 24-25'!$E:$E)</f>
        <v>0</v>
      </c>
      <c r="F918" s="611">
        <f t="shared" si="100"/>
        <v>0</v>
      </c>
      <c r="G918" s="610"/>
      <c r="H918" s="610"/>
      <c r="I918" s="611">
        <v>0</v>
      </c>
      <c r="J918" s="610">
        <v>0</v>
      </c>
      <c r="K918" s="611">
        <f t="shared" si="97"/>
        <v>0</v>
      </c>
      <c r="L918" s="612">
        <f>VLOOKUP(A918,'PL Gr'!A:A,1,0)</f>
        <v>502130</v>
      </c>
      <c r="M918" s="612">
        <f t="shared" si="102"/>
        <v>1</v>
      </c>
      <c r="N918" s="613">
        <f t="shared" si="101"/>
        <v>0</v>
      </c>
      <c r="O918" s="613">
        <f>VLOOKUP(A918,'PL Gr'!A:A,1,FALSE)</f>
        <v>502130</v>
      </c>
      <c r="P918" s="613">
        <v>19949.63</v>
      </c>
      <c r="Q918" s="613">
        <f t="shared" si="98"/>
        <v>-19949.63</v>
      </c>
      <c r="R918" s="1514"/>
      <c r="S918" s="1617" t="e">
        <f>SUMIF('[105]TB for financial'!$A:$A,A918,'[105]TB for financial'!$E:$E)</f>
        <v>#VALUE!</v>
      </c>
    </row>
    <row r="919" spans="1:19">
      <c r="A919" s="608">
        <v>502146</v>
      </c>
      <c r="B919" s="609" t="s">
        <v>1697</v>
      </c>
      <c r="C919" s="610">
        <f t="shared" si="99"/>
        <v>0</v>
      </c>
      <c r="D919" s="611">
        <v>0</v>
      </c>
      <c r="E919" s="610">
        <f>SUMIF('Entries 24-25'!$B:$B,A:A,'Entries 24-25'!$D:$D)-SUMIF('Entries 24-25'!$B:$B,A:A,'Entries 24-25'!$E:$E)+SUMIF('IND AS entries 24-25'!$B:$B,A:A,'IND AS entries 24-25'!$D:$D)-SUMIF('IND AS entries 24-25'!$B:$B,A:A,'IND AS entries 24-25'!$E:$E)</f>
        <v>0</v>
      </c>
      <c r="F919" s="611">
        <f t="shared" si="100"/>
        <v>0</v>
      </c>
      <c r="G919" s="610"/>
      <c r="H919" s="610"/>
      <c r="I919" s="611">
        <v>0</v>
      </c>
      <c r="J919" s="610">
        <v>0</v>
      </c>
      <c r="K919" s="611">
        <f t="shared" si="97"/>
        <v>0</v>
      </c>
      <c r="L919" s="612">
        <f>VLOOKUP(A919,'PL Gr'!A:A,1,0)</f>
        <v>502146</v>
      </c>
      <c r="M919" s="612">
        <f t="shared" si="102"/>
        <v>1</v>
      </c>
      <c r="N919" s="613">
        <f t="shared" si="101"/>
        <v>0</v>
      </c>
      <c r="O919" s="613">
        <f>VLOOKUP(A919,'PL Gr'!A:A,1,FALSE)</f>
        <v>502146</v>
      </c>
      <c r="P919" s="613">
        <v>0</v>
      </c>
      <c r="Q919" s="613">
        <f t="shared" si="98"/>
        <v>0</v>
      </c>
      <c r="R919" s="1514"/>
      <c r="S919" s="1617" t="e">
        <f>SUMIF('[105]TB for financial'!$A:$A,A919,'[105]TB for financial'!$E:$E)</f>
        <v>#VALUE!</v>
      </c>
    </row>
    <row r="920" spans="1:19">
      <c r="A920" s="608">
        <v>502150</v>
      </c>
      <c r="B920" s="609" t="s">
        <v>1698</v>
      </c>
      <c r="C920" s="610">
        <f t="shared" si="99"/>
        <v>0</v>
      </c>
      <c r="D920" s="611">
        <v>0</v>
      </c>
      <c r="E920" s="610">
        <f>SUMIF('Entries 24-25'!$B:$B,A:A,'Entries 24-25'!$D:$D)-SUMIF('Entries 24-25'!$B:$B,A:A,'Entries 24-25'!$E:$E)+SUMIF('IND AS entries 24-25'!$B:$B,A:A,'IND AS entries 24-25'!$D:$D)-SUMIF('IND AS entries 24-25'!$B:$B,A:A,'IND AS entries 24-25'!$E:$E)</f>
        <v>0</v>
      </c>
      <c r="F920" s="611">
        <f t="shared" si="100"/>
        <v>0</v>
      </c>
      <c r="G920" s="610"/>
      <c r="H920" s="610"/>
      <c r="I920" s="611">
        <v>0</v>
      </c>
      <c r="J920" s="610">
        <v>0</v>
      </c>
      <c r="K920" s="611">
        <f t="shared" si="97"/>
        <v>0</v>
      </c>
      <c r="L920" s="612">
        <f>VLOOKUP(A920,'PL Gr'!A:A,1,0)</f>
        <v>502150</v>
      </c>
      <c r="M920" s="612">
        <f t="shared" si="102"/>
        <v>1</v>
      </c>
      <c r="N920" s="613">
        <f t="shared" si="101"/>
        <v>0</v>
      </c>
      <c r="O920" s="613">
        <f>VLOOKUP(A920,'PL Gr'!A:A,1,FALSE)</f>
        <v>502150</v>
      </c>
      <c r="P920" s="613">
        <v>0</v>
      </c>
      <c r="Q920" s="613">
        <f t="shared" si="98"/>
        <v>0</v>
      </c>
      <c r="R920" s="1514"/>
      <c r="S920" s="1617" t="e">
        <f>SUMIF('[105]TB for financial'!$A:$A,A920,'[105]TB for financial'!$E:$E)</f>
        <v>#VALUE!</v>
      </c>
    </row>
    <row r="921" spans="1:19">
      <c r="A921" s="608">
        <v>502170</v>
      </c>
      <c r="B921" s="609" t="s">
        <v>1699</v>
      </c>
      <c r="C921" s="610">
        <f t="shared" si="99"/>
        <v>0</v>
      </c>
      <c r="D921" s="611">
        <v>0</v>
      </c>
      <c r="E921" s="610">
        <f>SUMIF('Entries 24-25'!$B:$B,A:A,'Entries 24-25'!$D:$D)-SUMIF('Entries 24-25'!$B:$B,A:A,'Entries 24-25'!$E:$E)+SUMIF('IND AS entries 24-25'!$B:$B,A:A,'IND AS entries 24-25'!$D:$D)-SUMIF('IND AS entries 24-25'!$B:$B,A:A,'IND AS entries 24-25'!$E:$E)</f>
        <v>0</v>
      </c>
      <c r="F921" s="611">
        <f t="shared" si="100"/>
        <v>0</v>
      </c>
      <c r="G921" s="610"/>
      <c r="H921" s="610"/>
      <c r="I921" s="611">
        <v>0</v>
      </c>
      <c r="J921" s="610">
        <v>0</v>
      </c>
      <c r="K921" s="611">
        <f t="shared" si="97"/>
        <v>0</v>
      </c>
      <c r="L921" s="612">
        <f>VLOOKUP(A921,'PL Gr'!A:A,1,0)</f>
        <v>502170</v>
      </c>
      <c r="M921" s="612">
        <f t="shared" si="102"/>
        <v>1</v>
      </c>
      <c r="N921" s="613">
        <f t="shared" si="101"/>
        <v>0</v>
      </c>
      <c r="O921" s="613">
        <f>VLOOKUP(A921,'PL Gr'!A:A,1,FALSE)</f>
        <v>502170</v>
      </c>
      <c r="P921" s="613">
        <v>-44657.73</v>
      </c>
      <c r="Q921" s="613">
        <f t="shared" si="98"/>
        <v>44657.73</v>
      </c>
      <c r="R921" s="1514"/>
      <c r="S921" s="1617" t="e">
        <f>SUMIF('[105]TB for financial'!$A:$A,A921,'[105]TB for financial'!$E:$E)</f>
        <v>#VALUE!</v>
      </c>
    </row>
    <row r="922" spans="1:19">
      <c r="A922" s="608">
        <v>502171</v>
      </c>
      <c r="B922" s="609" t="s">
        <v>1700</v>
      </c>
      <c r="C922" s="610">
        <f t="shared" si="99"/>
        <v>0</v>
      </c>
      <c r="D922" s="611">
        <v>0</v>
      </c>
      <c r="E922" s="610">
        <f>SUMIF('Entries 24-25'!$B:$B,A:A,'Entries 24-25'!$D:$D)-SUMIF('Entries 24-25'!$B:$B,A:A,'Entries 24-25'!$E:$E)+SUMIF('IND AS entries 24-25'!$B:$B,A:A,'IND AS entries 24-25'!$D:$D)-SUMIF('IND AS entries 24-25'!$B:$B,A:A,'IND AS entries 24-25'!$E:$E)</f>
        <v>0</v>
      </c>
      <c r="F922" s="611">
        <f t="shared" si="100"/>
        <v>0</v>
      </c>
      <c r="G922" s="610"/>
      <c r="H922" s="610"/>
      <c r="I922" s="611">
        <v>0</v>
      </c>
      <c r="J922" s="610">
        <v>0</v>
      </c>
      <c r="K922" s="611">
        <f t="shared" si="97"/>
        <v>0</v>
      </c>
      <c r="L922" s="612">
        <f>VLOOKUP(A922,'PL Gr'!A:A,1,0)</f>
        <v>502171</v>
      </c>
      <c r="M922" s="612">
        <f t="shared" si="102"/>
        <v>1</v>
      </c>
      <c r="N922" s="613">
        <f t="shared" si="101"/>
        <v>0</v>
      </c>
      <c r="O922" s="613">
        <f>VLOOKUP(A922,'PL Gr'!A:A,1,FALSE)</f>
        <v>502171</v>
      </c>
      <c r="P922" s="613">
        <v>-30000</v>
      </c>
      <c r="Q922" s="613">
        <f t="shared" si="98"/>
        <v>30000</v>
      </c>
      <c r="R922" s="1514"/>
      <c r="S922" s="1617" t="e">
        <f>SUMIF('[105]TB for financial'!$A:$A,A922,'[105]TB for financial'!$E:$E)</f>
        <v>#VALUE!</v>
      </c>
    </row>
    <row r="923" spans="1:19">
      <c r="A923" s="608">
        <v>502172</v>
      </c>
      <c r="B923" s="609" t="s">
        <v>1701</v>
      </c>
      <c r="C923" s="610">
        <f t="shared" si="99"/>
        <v>0</v>
      </c>
      <c r="D923" s="611">
        <v>0</v>
      </c>
      <c r="E923" s="610">
        <f>SUMIF('Entries 24-25'!$B:$B,A:A,'Entries 24-25'!$D:$D)-SUMIF('Entries 24-25'!$B:$B,A:A,'Entries 24-25'!$E:$E)+SUMIF('IND AS entries 24-25'!$B:$B,A:A,'IND AS entries 24-25'!$D:$D)-SUMIF('IND AS entries 24-25'!$B:$B,A:A,'IND AS entries 24-25'!$E:$E)</f>
        <v>0</v>
      </c>
      <c r="F923" s="611">
        <f t="shared" si="100"/>
        <v>0</v>
      </c>
      <c r="G923" s="610"/>
      <c r="H923" s="610"/>
      <c r="I923" s="611">
        <v>0</v>
      </c>
      <c r="J923" s="610">
        <v>0</v>
      </c>
      <c r="K923" s="611">
        <f t="shared" si="97"/>
        <v>0</v>
      </c>
      <c r="L923" s="612">
        <f>VLOOKUP(A923,'PL Gr'!A:A,1,0)</f>
        <v>502172</v>
      </c>
      <c r="M923" s="612">
        <f t="shared" si="102"/>
        <v>1</v>
      </c>
      <c r="N923" s="613">
        <f t="shared" si="101"/>
        <v>0</v>
      </c>
      <c r="O923" s="613">
        <f>VLOOKUP(A923,'PL Gr'!A:A,1,FALSE)</f>
        <v>502172</v>
      </c>
      <c r="P923" s="613">
        <v>111084</v>
      </c>
      <c r="Q923" s="613">
        <f t="shared" si="98"/>
        <v>-111084</v>
      </c>
      <c r="R923" s="1514"/>
      <c r="S923" s="1617" t="e">
        <f>SUMIF('[105]TB for financial'!$A:$A,A923,'[105]TB for financial'!$E:$E)</f>
        <v>#VALUE!</v>
      </c>
    </row>
    <row r="924" spans="1:19">
      <c r="A924" s="608">
        <v>502173</v>
      </c>
      <c r="B924" s="609" t="s">
        <v>1702</v>
      </c>
      <c r="C924" s="610">
        <f t="shared" si="99"/>
        <v>0</v>
      </c>
      <c r="D924" s="611">
        <v>0</v>
      </c>
      <c r="E924" s="610">
        <f>SUMIF('Entries 24-25'!$B:$B,A:A,'Entries 24-25'!$D:$D)-SUMIF('Entries 24-25'!$B:$B,A:A,'Entries 24-25'!$E:$E)+SUMIF('IND AS entries 24-25'!$B:$B,A:A,'IND AS entries 24-25'!$D:$D)-SUMIF('IND AS entries 24-25'!$B:$B,A:A,'IND AS entries 24-25'!$E:$E)</f>
        <v>0</v>
      </c>
      <c r="F924" s="611">
        <f t="shared" si="100"/>
        <v>0</v>
      </c>
      <c r="G924" s="610"/>
      <c r="H924" s="610"/>
      <c r="I924" s="611">
        <v>0</v>
      </c>
      <c r="J924" s="610">
        <v>0</v>
      </c>
      <c r="K924" s="611">
        <f t="shared" si="97"/>
        <v>0</v>
      </c>
      <c r="L924" s="612">
        <f>VLOOKUP(A924,'PL Gr'!A:A,1,0)</f>
        <v>502173</v>
      </c>
      <c r="M924" s="612">
        <f t="shared" si="102"/>
        <v>1</v>
      </c>
      <c r="N924" s="613">
        <f t="shared" si="101"/>
        <v>0</v>
      </c>
      <c r="O924" s="613">
        <f>VLOOKUP(A924,'PL Gr'!A:A,1,FALSE)</f>
        <v>502173</v>
      </c>
      <c r="P924" s="613">
        <v>25000</v>
      </c>
      <c r="Q924" s="613">
        <f t="shared" si="98"/>
        <v>-25000</v>
      </c>
      <c r="R924" s="1514"/>
      <c r="S924" s="1617" t="e">
        <f>SUMIF('[105]TB for financial'!$A:$A,A924,'[105]TB for financial'!$E:$E)</f>
        <v>#VALUE!</v>
      </c>
    </row>
    <row r="925" spans="1:19">
      <c r="A925" s="608">
        <v>503015</v>
      </c>
      <c r="B925" s="609" t="s">
        <v>1703</v>
      </c>
      <c r="C925" s="610">
        <f t="shared" si="99"/>
        <v>0</v>
      </c>
      <c r="D925" s="611">
        <v>0</v>
      </c>
      <c r="E925" s="610">
        <f>SUMIF('Entries 24-25'!$B:$B,A:A,'Entries 24-25'!$D:$D)-SUMIF('Entries 24-25'!$B:$B,A:A,'Entries 24-25'!$E:$E)+SUMIF('IND AS entries 24-25'!$B:$B,A:A,'IND AS entries 24-25'!$D:$D)-SUMIF('IND AS entries 24-25'!$B:$B,A:A,'IND AS entries 24-25'!$E:$E)</f>
        <v>0</v>
      </c>
      <c r="F925" s="611">
        <f t="shared" si="100"/>
        <v>0</v>
      </c>
      <c r="G925" s="610"/>
      <c r="H925" s="610"/>
      <c r="I925" s="611">
        <v>0</v>
      </c>
      <c r="J925" s="610">
        <v>0</v>
      </c>
      <c r="K925" s="611">
        <f t="shared" si="97"/>
        <v>0</v>
      </c>
      <c r="L925" s="612">
        <f>VLOOKUP(A925,'PL Gr'!A:A,1,0)</f>
        <v>503015</v>
      </c>
      <c r="M925" s="612">
        <f t="shared" si="102"/>
        <v>1</v>
      </c>
      <c r="N925" s="613">
        <f t="shared" si="101"/>
        <v>0</v>
      </c>
      <c r="O925" s="613">
        <f>VLOOKUP(A925,'PL Gr'!A:A,1,FALSE)</f>
        <v>503015</v>
      </c>
      <c r="P925" s="613">
        <v>0</v>
      </c>
      <c r="Q925" s="613">
        <f t="shared" si="98"/>
        <v>0</v>
      </c>
      <c r="R925" s="1514"/>
      <c r="S925" s="1617" t="e">
        <f>SUMIF('[105]TB for financial'!$A:$A,A925,'[105]TB for financial'!$E:$E)</f>
        <v>#VALUE!</v>
      </c>
    </row>
    <row r="926" spans="1:19">
      <c r="A926" s="608">
        <v>503020</v>
      </c>
      <c r="B926" s="609" t="s">
        <v>1704</v>
      </c>
      <c r="C926" s="610">
        <f t="shared" si="99"/>
        <v>0</v>
      </c>
      <c r="D926" s="611">
        <v>0</v>
      </c>
      <c r="E926" s="610">
        <f>SUMIF('Entries 24-25'!$B:$B,A:A,'Entries 24-25'!$D:$D)-SUMIF('Entries 24-25'!$B:$B,A:A,'Entries 24-25'!$E:$E)+SUMIF('IND AS entries 24-25'!$B:$B,A:A,'IND AS entries 24-25'!$D:$D)-SUMIF('IND AS entries 24-25'!$B:$B,A:A,'IND AS entries 24-25'!$E:$E)</f>
        <v>0</v>
      </c>
      <c r="F926" s="611">
        <f t="shared" si="100"/>
        <v>0</v>
      </c>
      <c r="G926" s="610"/>
      <c r="H926" s="610"/>
      <c r="I926" s="611">
        <v>0</v>
      </c>
      <c r="J926" s="610">
        <v>0</v>
      </c>
      <c r="K926" s="611">
        <f t="shared" si="97"/>
        <v>0</v>
      </c>
      <c r="L926" s="612">
        <f>VLOOKUP(A926,'PL Gr'!A:A,1,0)</f>
        <v>503020</v>
      </c>
      <c r="M926" s="612">
        <f t="shared" si="102"/>
        <v>1</v>
      </c>
      <c r="N926" s="613">
        <f t="shared" si="101"/>
        <v>0</v>
      </c>
      <c r="O926" s="613">
        <f>VLOOKUP(A926,'PL Gr'!A:A,1,FALSE)</f>
        <v>503020</v>
      </c>
      <c r="P926" s="613">
        <v>0</v>
      </c>
      <c r="Q926" s="613">
        <f t="shared" si="98"/>
        <v>0</v>
      </c>
      <c r="R926" s="1514"/>
      <c r="S926" s="1617" t="e">
        <f>SUMIF('[105]TB for financial'!$A:$A,A926,'[105]TB for financial'!$E:$E)</f>
        <v>#VALUE!</v>
      </c>
    </row>
    <row r="927" spans="1:19">
      <c r="A927" s="608">
        <v>503021</v>
      </c>
      <c r="B927" s="609" t="s">
        <v>1705</v>
      </c>
      <c r="C927" s="610">
        <f t="shared" si="99"/>
        <v>0</v>
      </c>
      <c r="D927" s="611">
        <v>0</v>
      </c>
      <c r="E927" s="610">
        <f>SUMIF('Entries 24-25'!$B:$B,A:A,'Entries 24-25'!$D:$D)-SUMIF('Entries 24-25'!$B:$B,A:A,'Entries 24-25'!$E:$E)+SUMIF('IND AS entries 24-25'!$B:$B,A:A,'IND AS entries 24-25'!$D:$D)-SUMIF('IND AS entries 24-25'!$B:$B,A:A,'IND AS entries 24-25'!$E:$E)</f>
        <v>0</v>
      </c>
      <c r="F927" s="611">
        <f t="shared" si="100"/>
        <v>0</v>
      </c>
      <c r="G927" s="610"/>
      <c r="H927" s="610"/>
      <c r="I927" s="611">
        <v>0</v>
      </c>
      <c r="J927" s="610">
        <v>0</v>
      </c>
      <c r="K927" s="611">
        <f t="shared" si="97"/>
        <v>0</v>
      </c>
      <c r="L927" s="612">
        <f>VLOOKUP(A927,'PL Gr'!A:A,1,0)</f>
        <v>503021</v>
      </c>
      <c r="M927" s="612">
        <f t="shared" si="102"/>
        <v>1</v>
      </c>
      <c r="N927" s="613">
        <f t="shared" si="101"/>
        <v>0</v>
      </c>
      <c r="O927" s="613">
        <f>VLOOKUP(A927,'PL Gr'!A:A,1,FALSE)</f>
        <v>503021</v>
      </c>
      <c r="P927" s="613">
        <v>0</v>
      </c>
      <c r="Q927" s="613">
        <f t="shared" si="98"/>
        <v>0</v>
      </c>
      <c r="R927" s="1514"/>
      <c r="S927" s="1617" t="e">
        <f>SUMIF('[105]TB for financial'!$A:$A,A927,'[105]TB for financial'!$E:$E)</f>
        <v>#VALUE!</v>
      </c>
    </row>
    <row r="928" spans="1:19">
      <c r="A928" s="608">
        <v>503022</v>
      </c>
      <c r="B928" s="609" t="s">
        <v>1706</v>
      </c>
      <c r="C928" s="610">
        <f t="shared" si="99"/>
        <v>0</v>
      </c>
      <c r="D928" s="611">
        <v>0</v>
      </c>
      <c r="E928" s="610">
        <f>SUMIF('Entries 24-25'!$B:$B,A:A,'Entries 24-25'!$D:$D)-SUMIF('Entries 24-25'!$B:$B,A:A,'Entries 24-25'!$E:$E)+SUMIF('IND AS entries 24-25'!$B:$B,A:A,'IND AS entries 24-25'!$D:$D)-SUMIF('IND AS entries 24-25'!$B:$B,A:A,'IND AS entries 24-25'!$E:$E)</f>
        <v>0</v>
      </c>
      <c r="F928" s="611">
        <f t="shared" si="100"/>
        <v>0</v>
      </c>
      <c r="G928" s="610"/>
      <c r="H928" s="610"/>
      <c r="I928" s="611">
        <v>0</v>
      </c>
      <c r="J928" s="610">
        <v>0</v>
      </c>
      <c r="K928" s="611">
        <f t="shared" si="97"/>
        <v>0</v>
      </c>
      <c r="L928" s="612">
        <f>VLOOKUP(A928,'PL Gr'!A:A,1,0)</f>
        <v>503022</v>
      </c>
      <c r="M928" s="612">
        <f t="shared" si="102"/>
        <v>1</v>
      </c>
      <c r="N928" s="613">
        <f t="shared" si="101"/>
        <v>0</v>
      </c>
      <c r="O928" s="613">
        <f>VLOOKUP(A928,'PL Gr'!A:A,1,FALSE)</f>
        <v>503022</v>
      </c>
      <c r="P928" s="613">
        <v>-1121</v>
      </c>
      <c r="Q928" s="613">
        <f t="shared" si="98"/>
        <v>1121</v>
      </c>
      <c r="R928" s="1514"/>
      <c r="S928" s="1617" t="e">
        <f>SUMIF('[105]TB for financial'!$A:$A,A928,'[105]TB for financial'!$E:$E)</f>
        <v>#VALUE!</v>
      </c>
    </row>
    <row r="929" spans="1:19">
      <c r="A929" s="608">
        <v>503025</v>
      </c>
      <c r="B929" s="609" t="s">
        <v>1707</v>
      </c>
      <c r="C929" s="610">
        <f t="shared" si="99"/>
        <v>0</v>
      </c>
      <c r="D929" s="611">
        <v>0</v>
      </c>
      <c r="E929" s="610">
        <f>SUMIF('Entries 24-25'!$B:$B,A:A,'Entries 24-25'!$D:$D)-SUMIF('Entries 24-25'!$B:$B,A:A,'Entries 24-25'!$E:$E)+SUMIF('IND AS entries 24-25'!$B:$B,A:A,'IND AS entries 24-25'!$D:$D)-SUMIF('IND AS entries 24-25'!$B:$B,A:A,'IND AS entries 24-25'!$E:$E)</f>
        <v>0</v>
      </c>
      <c r="F929" s="611">
        <f t="shared" si="100"/>
        <v>0</v>
      </c>
      <c r="G929" s="610"/>
      <c r="H929" s="610"/>
      <c r="I929" s="611">
        <v>0</v>
      </c>
      <c r="J929" s="610">
        <v>0</v>
      </c>
      <c r="K929" s="611">
        <f t="shared" si="97"/>
        <v>0</v>
      </c>
      <c r="L929" s="612">
        <f>VLOOKUP(A929,'PL Gr'!A:A,1,0)</f>
        <v>503025</v>
      </c>
      <c r="M929" s="612">
        <f t="shared" si="102"/>
        <v>1</v>
      </c>
      <c r="N929" s="613">
        <f t="shared" si="101"/>
        <v>0</v>
      </c>
      <c r="O929" s="613">
        <f>VLOOKUP(A929,'PL Gr'!A:A,1,FALSE)</f>
        <v>503025</v>
      </c>
      <c r="P929" s="613">
        <v>126701</v>
      </c>
      <c r="Q929" s="613">
        <f t="shared" si="98"/>
        <v>-126701</v>
      </c>
      <c r="R929" s="1514"/>
      <c r="S929" s="1617" t="e">
        <f>SUMIF('[105]TB for financial'!$A:$A,A929,'[105]TB for financial'!$E:$E)</f>
        <v>#VALUE!</v>
      </c>
    </row>
    <row r="930" spans="1:19">
      <c r="A930" s="608">
        <v>503030</v>
      </c>
      <c r="B930" s="609" t="s">
        <v>1708</v>
      </c>
      <c r="C930" s="610">
        <f t="shared" si="99"/>
        <v>0</v>
      </c>
      <c r="D930" s="611">
        <v>0</v>
      </c>
      <c r="E930" s="610">
        <f>SUMIF('Entries 24-25'!$B:$B,A:A,'Entries 24-25'!$D:$D)-SUMIF('Entries 24-25'!$B:$B,A:A,'Entries 24-25'!$E:$E)+SUMIF('IND AS entries 24-25'!$B:$B,A:A,'IND AS entries 24-25'!$D:$D)-SUMIF('IND AS entries 24-25'!$B:$B,A:A,'IND AS entries 24-25'!$E:$E)</f>
        <v>0</v>
      </c>
      <c r="F930" s="611">
        <f t="shared" si="100"/>
        <v>0</v>
      </c>
      <c r="G930" s="610"/>
      <c r="H930" s="610"/>
      <c r="I930" s="611">
        <v>0</v>
      </c>
      <c r="J930" s="610">
        <v>0</v>
      </c>
      <c r="K930" s="611">
        <f t="shared" si="97"/>
        <v>0</v>
      </c>
      <c r="L930" s="612">
        <f>VLOOKUP(A930,'PL Gr'!A:A,1,0)</f>
        <v>503030</v>
      </c>
      <c r="M930" s="612">
        <f t="shared" si="102"/>
        <v>1</v>
      </c>
      <c r="N930" s="613">
        <f t="shared" si="101"/>
        <v>0</v>
      </c>
      <c r="O930" s="613">
        <f>VLOOKUP(A930,'PL Gr'!A:A,1,FALSE)</f>
        <v>503030</v>
      </c>
      <c r="P930" s="613">
        <v>0</v>
      </c>
      <c r="Q930" s="613">
        <f t="shared" si="98"/>
        <v>0</v>
      </c>
      <c r="R930" s="1514"/>
      <c r="S930" s="1617" t="e">
        <f>SUMIF('[105]TB for financial'!$A:$A,A930,'[105]TB for financial'!$E:$E)</f>
        <v>#VALUE!</v>
      </c>
    </row>
    <row r="931" spans="1:19">
      <c r="A931" s="608">
        <v>503040</v>
      </c>
      <c r="B931" s="609" t="s">
        <v>1709</v>
      </c>
      <c r="C931" s="610">
        <f t="shared" si="99"/>
        <v>0</v>
      </c>
      <c r="D931" s="611">
        <v>0</v>
      </c>
      <c r="E931" s="610">
        <f>SUMIF('Entries 24-25'!$B:$B,A:A,'Entries 24-25'!$D:$D)-SUMIF('Entries 24-25'!$B:$B,A:A,'Entries 24-25'!$E:$E)+SUMIF('IND AS entries 24-25'!$B:$B,A:A,'IND AS entries 24-25'!$D:$D)-SUMIF('IND AS entries 24-25'!$B:$B,A:A,'IND AS entries 24-25'!$E:$E)</f>
        <v>0</v>
      </c>
      <c r="F931" s="611">
        <f t="shared" si="100"/>
        <v>0</v>
      </c>
      <c r="G931" s="610"/>
      <c r="H931" s="610"/>
      <c r="I931" s="611">
        <v>0</v>
      </c>
      <c r="J931" s="610">
        <v>0</v>
      </c>
      <c r="K931" s="611">
        <f t="shared" si="97"/>
        <v>0</v>
      </c>
      <c r="L931" s="612">
        <f>VLOOKUP(A931,'PL Gr'!A:A,1,0)</f>
        <v>503040</v>
      </c>
      <c r="M931" s="612">
        <f t="shared" si="102"/>
        <v>1</v>
      </c>
      <c r="N931" s="613">
        <f t="shared" si="101"/>
        <v>0</v>
      </c>
      <c r="O931" s="613">
        <f>VLOOKUP(A931,'PL Gr'!A:A,1,FALSE)</f>
        <v>503040</v>
      </c>
      <c r="P931" s="613">
        <v>0</v>
      </c>
      <c r="Q931" s="613">
        <f t="shared" si="98"/>
        <v>0</v>
      </c>
      <c r="R931" s="1514"/>
      <c r="S931" s="1617" t="e">
        <f>SUMIF('[105]TB for financial'!$A:$A,A931,'[105]TB for financial'!$E:$E)</f>
        <v>#VALUE!</v>
      </c>
    </row>
    <row r="932" spans="1:19">
      <c r="A932" s="608">
        <v>503041</v>
      </c>
      <c r="B932" s="609" t="s">
        <v>1710</v>
      </c>
      <c r="C932" s="610">
        <f t="shared" si="99"/>
        <v>0</v>
      </c>
      <c r="D932" s="611">
        <v>0</v>
      </c>
      <c r="E932" s="610">
        <f>SUMIF('Entries 24-25'!$B:$B,A:A,'Entries 24-25'!$D:$D)-SUMIF('Entries 24-25'!$B:$B,A:A,'Entries 24-25'!$E:$E)+SUMIF('IND AS entries 24-25'!$B:$B,A:A,'IND AS entries 24-25'!$D:$D)-SUMIF('IND AS entries 24-25'!$B:$B,A:A,'IND AS entries 24-25'!$E:$E)</f>
        <v>0</v>
      </c>
      <c r="F932" s="611">
        <f t="shared" si="100"/>
        <v>0</v>
      </c>
      <c r="G932" s="610"/>
      <c r="H932" s="610"/>
      <c r="I932" s="611">
        <v>0</v>
      </c>
      <c r="J932" s="610">
        <v>0</v>
      </c>
      <c r="K932" s="611">
        <f t="shared" si="97"/>
        <v>0</v>
      </c>
      <c r="L932" s="612">
        <f>VLOOKUP(A932,'PL Gr'!A:A,1,0)</f>
        <v>503041</v>
      </c>
      <c r="M932" s="612">
        <f t="shared" si="102"/>
        <v>1</v>
      </c>
      <c r="N932" s="613">
        <f t="shared" si="101"/>
        <v>0</v>
      </c>
      <c r="O932" s="613">
        <f>VLOOKUP(A932,'PL Gr'!A:A,1,FALSE)</f>
        <v>503041</v>
      </c>
      <c r="P932" s="613">
        <v>0</v>
      </c>
      <c r="Q932" s="613">
        <f t="shared" si="98"/>
        <v>0</v>
      </c>
      <c r="R932" s="1514"/>
      <c r="S932" s="1617" t="e">
        <f>SUMIF('[105]TB for financial'!$A:$A,A932,'[105]TB for financial'!$E:$E)</f>
        <v>#VALUE!</v>
      </c>
    </row>
    <row r="933" spans="1:19">
      <c r="A933" s="608">
        <v>503042</v>
      </c>
      <c r="B933" s="609" t="s">
        <v>1711</v>
      </c>
      <c r="C933" s="610">
        <f t="shared" si="99"/>
        <v>0</v>
      </c>
      <c r="D933" s="611">
        <v>0</v>
      </c>
      <c r="E933" s="610">
        <f>SUMIF('Entries 24-25'!$B:$B,A:A,'Entries 24-25'!$D:$D)-SUMIF('Entries 24-25'!$B:$B,A:A,'Entries 24-25'!$E:$E)+SUMIF('IND AS entries 24-25'!$B:$B,A:A,'IND AS entries 24-25'!$D:$D)-SUMIF('IND AS entries 24-25'!$B:$B,A:A,'IND AS entries 24-25'!$E:$E)</f>
        <v>0</v>
      </c>
      <c r="F933" s="611">
        <f t="shared" si="100"/>
        <v>0</v>
      </c>
      <c r="G933" s="610"/>
      <c r="H933" s="610"/>
      <c r="I933" s="611">
        <v>0</v>
      </c>
      <c r="J933" s="610">
        <v>0</v>
      </c>
      <c r="K933" s="611">
        <f t="shared" si="97"/>
        <v>0</v>
      </c>
      <c r="L933" s="612">
        <f>VLOOKUP(A933,'PL Gr'!A:A,1,0)</f>
        <v>503042</v>
      </c>
      <c r="M933" s="612">
        <f t="shared" si="102"/>
        <v>1</v>
      </c>
      <c r="N933" s="613">
        <f t="shared" si="101"/>
        <v>0</v>
      </c>
      <c r="O933" s="613">
        <f>VLOOKUP(A933,'PL Gr'!A:A,1,FALSE)</f>
        <v>503042</v>
      </c>
      <c r="P933" s="613">
        <v>0</v>
      </c>
      <c r="Q933" s="613">
        <f t="shared" si="98"/>
        <v>0</v>
      </c>
      <c r="R933" s="1514"/>
      <c r="S933" s="1617" t="e">
        <f>SUMIF('[105]TB for financial'!$A:$A,A933,'[105]TB for financial'!$E:$E)</f>
        <v>#VALUE!</v>
      </c>
    </row>
    <row r="934" spans="1:19">
      <c r="A934" s="608">
        <v>503045</v>
      </c>
      <c r="B934" s="609" t="s">
        <v>1712</v>
      </c>
      <c r="C934" s="610">
        <f t="shared" si="99"/>
        <v>0</v>
      </c>
      <c r="D934" s="611">
        <v>0</v>
      </c>
      <c r="E934" s="610">
        <f>SUMIF('Entries 24-25'!$B:$B,A:A,'Entries 24-25'!$D:$D)-SUMIF('Entries 24-25'!$B:$B,A:A,'Entries 24-25'!$E:$E)+SUMIF('IND AS entries 24-25'!$B:$B,A:A,'IND AS entries 24-25'!$D:$D)-SUMIF('IND AS entries 24-25'!$B:$B,A:A,'IND AS entries 24-25'!$E:$E)</f>
        <v>0</v>
      </c>
      <c r="F934" s="611">
        <f t="shared" si="100"/>
        <v>0</v>
      </c>
      <c r="G934" s="610"/>
      <c r="H934" s="610"/>
      <c r="I934" s="611">
        <v>0</v>
      </c>
      <c r="J934" s="610">
        <v>0</v>
      </c>
      <c r="K934" s="611">
        <f t="shared" si="97"/>
        <v>0</v>
      </c>
      <c r="L934" s="612">
        <f>VLOOKUP(A934,'PL Gr'!A:A,1,0)</f>
        <v>503045</v>
      </c>
      <c r="M934" s="612">
        <f t="shared" si="102"/>
        <v>1</v>
      </c>
      <c r="N934" s="613">
        <f t="shared" si="101"/>
        <v>0</v>
      </c>
      <c r="O934" s="613">
        <f>VLOOKUP(A934,'PL Gr'!A:A,1,FALSE)</f>
        <v>503045</v>
      </c>
      <c r="P934" s="613">
        <v>0</v>
      </c>
      <c r="Q934" s="613">
        <f t="shared" si="98"/>
        <v>0</v>
      </c>
      <c r="R934" s="1514"/>
      <c r="S934" s="1617" t="e">
        <f>SUMIF('[105]TB for financial'!$A:$A,A934,'[105]TB for financial'!$E:$E)</f>
        <v>#VALUE!</v>
      </c>
    </row>
    <row r="935" spans="1:19">
      <c r="A935" s="608">
        <v>503046</v>
      </c>
      <c r="B935" s="609" t="s">
        <v>1713</v>
      </c>
      <c r="C935" s="610">
        <f t="shared" si="99"/>
        <v>0</v>
      </c>
      <c r="D935" s="611">
        <v>0</v>
      </c>
      <c r="E935" s="610">
        <f>SUMIF('Entries 24-25'!$B:$B,A:A,'Entries 24-25'!$D:$D)-SUMIF('Entries 24-25'!$B:$B,A:A,'Entries 24-25'!$E:$E)+SUMIF('IND AS entries 24-25'!$B:$B,A:A,'IND AS entries 24-25'!$D:$D)-SUMIF('IND AS entries 24-25'!$B:$B,A:A,'IND AS entries 24-25'!$E:$E)</f>
        <v>0</v>
      </c>
      <c r="F935" s="611">
        <f t="shared" si="100"/>
        <v>0</v>
      </c>
      <c r="G935" s="610"/>
      <c r="H935" s="610"/>
      <c r="I935" s="611">
        <v>0</v>
      </c>
      <c r="J935" s="610">
        <v>0</v>
      </c>
      <c r="K935" s="611">
        <f t="shared" si="97"/>
        <v>0</v>
      </c>
      <c r="L935" s="612">
        <f>VLOOKUP(A935,'PL Gr'!A:A,1,0)</f>
        <v>503046</v>
      </c>
      <c r="M935" s="612">
        <f t="shared" si="102"/>
        <v>1</v>
      </c>
      <c r="N935" s="613">
        <f t="shared" si="101"/>
        <v>0</v>
      </c>
      <c r="O935" s="613">
        <f>VLOOKUP(A935,'PL Gr'!A:A,1,FALSE)</f>
        <v>503046</v>
      </c>
      <c r="P935" s="613">
        <v>1379042.78</v>
      </c>
      <c r="Q935" s="613">
        <f t="shared" si="98"/>
        <v>-1379042.78</v>
      </c>
      <c r="R935" s="1514"/>
      <c r="S935" s="1617" t="e">
        <f>SUMIF('[105]TB for financial'!$A:$A,A935,'[105]TB for financial'!$E:$E)</f>
        <v>#VALUE!</v>
      </c>
    </row>
    <row r="936" spans="1:19">
      <c r="A936" s="608">
        <v>503047</v>
      </c>
      <c r="B936" s="609" t="s">
        <v>1714</v>
      </c>
      <c r="C936" s="610">
        <f t="shared" si="99"/>
        <v>0</v>
      </c>
      <c r="D936" s="611">
        <v>0</v>
      </c>
      <c r="E936" s="610">
        <f>SUMIF('Entries 24-25'!$B:$B,A:A,'Entries 24-25'!$D:$D)-SUMIF('Entries 24-25'!$B:$B,A:A,'Entries 24-25'!$E:$E)+SUMIF('IND AS entries 24-25'!$B:$B,A:A,'IND AS entries 24-25'!$D:$D)-SUMIF('IND AS entries 24-25'!$B:$B,A:A,'IND AS entries 24-25'!$E:$E)</f>
        <v>0</v>
      </c>
      <c r="F936" s="611">
        <f t="shared" si="100"/>
        <v>0</v>
      </c>
      <c r="G936" s="610"/>
      <c r="H936" s="610"/>
      <c r="I936" s="611">
        <v>0</v>
      </c>
      <c r="J936" s="610">
        <v>0</v>
      </c>
      <c r="K936" s="611">
        <f t="shared" si="97"/>
        <v>0</v>
      </c>
      <c r="L936" s="612">
        <f>VLOOKUP(A936,'PL Gr'!A:A,1,0)</f>
        <v>503047</v>
      </c>
      <c r="M936" s="612">
        <f t="shared" si="102"/>
        <v>1</v>
      </c>
      <c r="N936" s="613">
        <f t="shared" si="101"/>
        <v>0</v>
      </c>
      <c r="O936" s="613">
        <f>VLOOKUP(A936,'PL Gr'!A:A,1,FALSE)</f>
        <v>503047</v>
      </c>
      <c r="P936" s="613">
        <v>0</v>
      </c>
      <c r="Q936" s="613">
        <f t="shared" si="98"/>
        <v>0</v>
      </c>
      <c r="R936" s="1514"/>
      <c r="S936" s="1617" t="e">
        <f>SUMIF('[105]TB for financial'!$A:$A,A936,'[105]TB for financial'!$E:$E)</f>
        <v>#VALUE!</v>
      </c>
    </row>
    <row r="937" spans="1:19">
      <c r="A937" s="608">
        <v>503048</v>
      </c>
      <c r="B937" s="609" t="s">
        <v>1715</v>
      </c>
      <c r="C937" s="610">
        <f t="shared" si="99"/>
        <v>0</v>
      </c>
      <c r="D937" s="611">
        <v>0</v>
      </c>
      <c r="E937" s="610">
        <f>SUMIF('Entries 24-25'!$B:$B,A:A,'Entries 24-25'!$D:$D)-SUMIF('Entries 24-25'!$B:$B,A:A,'Entries 24-25'!$E:$E)+SUMIF('IND AS entries 24-25'!$B:$B,A:A,'IND AS entries 24-25'!$D:$D)-SUMIF('IND AS entries 24-25'!$B:$B,A:A,'IND AS entries 24-25'!$E:$E)</f>
        <v>0</v>
      </c>
      <c r="F937" s="611">
        <f t="shared" si="100"/>
        <v>0</v>
      </c>
      <c r="G937" s="610"/>
      <c r="H937" s="610"/>
      <c r="I937" s="611">
        <v>0</v>
      </c>
      <c r="J937" s="610">
        <v>0</v>
      </c>
      <c r="K937" s="611">
        <f t="shared" si="97"/>
        <v>0</v>
      </c>
      <c r="L937" s="612">
        <f>VLOOKUP(A937,'PL Gr'!A:A,1,0)</f>
        <v>503048</v>
      </c>
      <c r="M937" s="612">
        <f t="shared" si="102"/>
        <v>1</v>
      </c>
      <c r="N937" s="613">
        <f t="shared" si="101"/>
        <v>0</v>
      </c>
      <c r="O937" s="613">
        <f>VLOOKUP(A937,'PL Gr'!A:A,1,FALSE)</f>
        <v>503048</v>
      </c>
      <c r="P937" s="613">
        <v>3517</v>
      </c>
      <c r="Q937" s="613">
        <f t="shared" si="98"/>
        <v>-3517</v>
      </c>
      <c r="R937" s="1514"/>
      <c r="S937" s="1617" t="e">
        <f>SUMIF('[105]TB for financial'!$A:$A,A937,'[105]TB for financial'!$E:$E)</f>
        <v>#VALUE!</v>
      </c>
    </row>
    <row r="938" spans="1:19">
      <c r="A938" s="608">
        <v>503049</v>
      </c>
      <c r="B938" s="609" t="s">
        <v>1716</v>
      </c>
      <c r="C938" s="610">
        <f t="shared" si="99"/>
        <v>0</v>
      </c>
      <c r="D938" s="611">
        <v>0</v>
      </c>
      <c r="E938" s="610">
        <f>SUMIF('Entries 24-25'!$B:$B,A:A,'Entries 24-25'!$D:$D)-SUMIF('Entries 24-25'!$B:$B,A:A,'Entries 24-25'!$E:$E)+SUMIF('IND AS entries 24-25'!$B:$B,A:A,'IND AS entries 24-25'!$D:$D)-SUMIF('IND AS entries 24-25'!$B:$B,A:A,'IND AS entries 24-25'!$E:$E)</f>
        <v>0</v>
      </c>
      <c r="F938" s="611">
        <f t="shared" si="100"/>
        <v>0</v>
      </c>
      <c r="G938" s="610"/>
      <c r="H938" s="610"/>
      <c r="I938" s="611">
        <v>0</v>
      </c>
      <c r="J938" s="610">
        <v>0</v>
      </c>
      <c r="K938" s="611">
        <f t="shared" si="97"/>
        <v>0</v>
      </c>
      <c r="L938" s="612">
        <f>VLOOKUP(A938,'PL Gr'!A:A,1,0)</f>
        <v>503049</v>
      </c>
      <c r="M938" s="612">
        <f t="shared" si="102"/>
        <v>1</v>
      </c>
      <c r="N938" s="613">
        <f t="shared" si="101"/>
        <v>0</v>
      </c>
      <c r="O938" s="613">
        <f>VLOOKUP(A938,'PL Gr'!A:A,1,FALSE)</f>
        <v>503049</v>
      </c>
      <c r="P938" s="613">
        <v>0</v>
      </c>
      <c r="Q938" s="613">
        <f t="shared" si="98"/>
        <v>0</v>
      </c>
      <c r="R938" s="1514"/>
      <c r="S938" s="1617" t="e">
        <f>SUMIF('[105]TB for financial'!$A:$A,A938,'[105]TB for financial'!$E:$E)</f>
        <v>#VALUE!</v>
      </c>
    </row>
    <row r="939" spans="1:19">
      <c r="A939" s="608">
        <v>503050</v>
      </c>
      <c r="B939" s="609" t="s">
        <v>1717</v>
      </c>
      <c r="C939" s="610">
        <f t="shared" si="99"/>
        <v>0</v>
      </c>
      <c r="D939" s="611">
        <v>0</v>
      </c>
      <c r="E939" s="610">
        <f>SUMIF('Entries 24-25'!$B:$B,A:A,'Entries 24-25'!$D:$D)-SUMIF('Entries 24-25'!$B:$B,A:A,'Entries 24-25'!$E:$E)+SUMIF('IND AS entries 24-25'!$B:$B,A:A,'IND AS entries 24-25'!$D:$D)-SUMIF('IND AS entries 24-25'!$B:$B,A:A,'IND AS entries 24-25'!$E:$E)</f>
        <v>0</v>
      </c>
      <c r="F939" s="611">
        <f t="shared" si="100"/>
        <v>0</v>
      </c>
      <c r="G939" s="610"/>
      <c r="H939" s="610"/>
      <c r="I939" s="611">
        <v>0</v>
      </c>
      <c r="J939" s="610">
        <v>0</v>
      </c>
      <c r="K939" s="611">
        <f t="shared" si="97"/>
        <v>0</v>
      </c>
      <c r="L939" s="612">
        <f>VLOOKUP(A939,'PL Gr'!A:A,1,0)</f>
        <v>503050</v>
      </c>
      <c r="M939" s="612">
        <f t="shared" si="102"/>
        <v>1</v>
      </c>
      <c r="N939" s="613">
        <f t="shared" si="101"/>
        <v>0</v>
      </c>
      <c r="O939" s="613">
        <f>VLOOKUP(A939,'PL Gr'!A:A,1,FALSE)</f>
        <v>503050</v>
      </c>
      <c r="P939" s="613">
        <v>0</v>
      </c>
      <c r="Q939" s="613">
        <f t="shared" si="98"/>
        <v>0</v>
      </c>
      <c r="R939" s="1514"/>
      <c r="S939" s="1617" t="e">
        <f>SUMIF('[105]TB for financial'!$A:$A,A939,'[105]TB for financial'!$E:$E)</f>
        <v>#VALUE!</v>
      </c>
    </row>
    <row r="940" spans="1:19">
      <c r="A940" s="608">
        <v>503055</v>
      </c>
      <c r="B940" s="609" t="s">
        <v>1718</v>
      </c>
      <c r="C940" s="610">
        <f t="shared" si="99"/>
        <v>0</v>
      </c>
      <c r="D940" s="611">
        <v>0</v>
      </c>
      <c r="E940" s="610">
        <f>SUMIF('Entries 24-25'!$B:$B,A:A,'Entries 24-25'!$D:$D)-SUMIF('Entries 24-25'!$B:$B,A:A,'Entries 24-25'!$E:$E)+SUMIF('IND AS entries 24-25'!$B:$B,A:A,'IND AS entries 24-25'!$D:$D)-SUMIF('IND AS entries 24-25'!$B:$B,A:A,'IND AS entries 24-25'!$E:$E)</f>
        <v>0</v>
      </c>
      <c r="F940" s="611">
        <f t="shared" si="100"/>
        <v>0</v>
      </c>
      <c r="G940" s="610"/>
      <c r="H940" s="610"/>
      <c r="I940" s="611">
        <v>0</v>
      </c>
      <c r="J940" s="610">
        <v>0</v>
      </c>
      <c r="K940" s="611">
        <f t="shared" si="97"/>
        <v>0</v>
      </c>
      <c r="L940" s="612">
        <f>VLOOKUP(A940,'PL Gr'!A:A,1,0)</f>
        <v>503055</v>
      </c>
      <c r="M940" s="612">
        <f t="shared" si="102"/>
        <v>1</v>
      </c>
      <c r="N940" s="613">
        <f t="shared" si="101"/>
        <v>0</v>
      </c>
      <c r="O940" s="613">
        <f>VLOOKUP(A940,'PL Gr'!A:A,1,FALSE)</f>
        <v>503055</v>
      </c>
      <c r="P940" s="613">
        <v>0</v>
      </c>
      <c r="Q940" s="613">
        <f t="shared" si="98"/>
        <v>0</v>
      </c>
      <c r="R940" s="1514"/>
      <c r="S940" s="1617" t="e">
        <f>SUMIF('[105]TB for financial'!$A:$A,A940,'[105]TB for financial'!$E:$E)</f>
        <v>#VALUE!</v>
      </c>
    </row>
    <row r="941" spans="1:19">
      <c r="A941" s="608">
        <v>503060</v>
      </c>
      <c r="B941" s="609" t="s">
        <v>1719</v>
      </c>
      <c r="C941" s="610">
        <f t="shared" si="99"/>
        <v>0</v>
      </c>
      <c r="D941" s="611">
        <v>0</v>
      </c>
      <c r="E941" s="610">
        <f>SUMIF('Entries 24-25'!$B:$B,A:A,'Entries 24-25'!$D:$D)-SUMIF('Entries 24-25'!$B:$B,A:A,'Entries 24-25'!$E:$E)+SUMIF('IND AS entries 24-25'!$B:$B,A:A,'IND AS entries 24-25'!$D:$D)-SUMIF('IND AS entries 24-25'!$B:$B,A:A,'IND AS entries 24-25'!$E:$E)</f>
        <v>0</v>
      </c>
      <c r="F941" s="611">
        <f t="shared" si="100"/>
        <v>0</v>
      </c>
      <c r="G941" s="610"/>
      <c r="H941" s="610"/>
      <c r="I941" s="611">
        <v>0</v>
      </c>
      <c r="J941" s="610">
        <v>0</v>
      </c>
      <c r="K941" s="611">
        <f t="shared" si="97"/>
        <v>0</v>
      </c>
      <c r="L941" s="612">
        <f>VLOOKUP(A941,'PL Gr'!A:A,1,0)</f>
        <v>503060</v>
      </c>
      <c r="M941" s="612">
        <f t="shared" si="102"/>
        <v>1</v>
      </c>
      <c r="N941" s="613">
        <f t="shared" si="101"/>
        <v>0</v>
      </c>
      <c r="O941" s="613">
        <f>VLOOKUP(A941,'PL Gr'!A:A,1,FALSE)</f>
        <v>503060</v>
      </c>
      <c r="P941" s="613">
        <v>0</v>
      </c>
      <c r="Q941" s="613">
        <f t="shared" si="98"/>
        <v>0</v>
      </c>
      <c r="R941" s="1514"/>
      <c r="S941" s="1617" t="e">
        <f>SUMIF('[105]TB for financial'!$A:$A,A941,'[105]TB for financial'!$E:$E)</f>
        <v>#VALUE!</v>
      </c>
    </row>
    <row r="942" spans="1:19">
      <c r="A942" s="608">
        <v>503061</v>
      </c>
      <c r="B942" s="609" t="s">
        <v>1720</v>
      </c>
      <c r="C942" s="610">
        <f t="shared" si="99"/>
        <v>0</v>
      </c>
      <c r="D942" s="611">
        <v>0</v>
      </c>
      <c r="E942" s="610">
        <f>SUMIF('Entries 24-25'!$B:$B,A:A,'Entries 24-25'!$D:$D)-SUMIF('Entries 24-25'!$B:$B,A:A,'Entries 24-25'!$E:$E)+SUMIF('IND AS entries 24-25'!$B:$B,A:A,'IND AS entries 24-25'!$D:$D)-SUMIF('IND AS entries 24-25'!$B:$B,A:A,'IND AS entries 24-25'!$E:$E)</f>
        <v>0</v>
      </c>
      <c r="F942" s="611">
        <f t="shared" si="100"/>
        <v>0</v>
      </c>
      <c r="G942" s="610"/>
      <c r="H942" s="610"/>
      <c r="I942" s="611">
        <v>0</v>
      </c>
      <c r="J942" s="610">
        <v>0</v>
      </c>
      <c r="K942" s="611">
        <f t="shared" si="97"/>
        <v>0</v>
      </c>
      <c r="L942" s="612">
        <f>VLOOKUP(A942,'PL Gr'!A:A,1,0)</f>
        <v>503061</v>
      </c>
      <c r="M942" s="612">
        <f t="shared" si="102"/>
        <v>1</v>
      </c>
      <c r="N942" s="613">
        <f t="shared" si="101"/>
        <v>0</v>
      </c>
      <c r="O942" s="613">
        <f>VLOOKUP(A942,'PL Gr'!A:A,1,FALSE)</f>
        <v>503061</v>
      </c>
      <c r="P942" s="613">
        <v>0</v>
      </c>
      <c r="Q942" s="613">
        <f t="shared" si="98"/>
        <v>0</v>
      </c>
      <c r="R942" s="1514"/>
      <c r="S942" s="1617" t="e">
        <f>SUMIF('[105]TB for financial'!$A:$A,A942,'[105]TB for financial'!$E:$E)</f>
        <v>#VALUE!</v>
      </c>
    </row>
    <row r="943" spans="1:19">
      <c r="A943" s="608">
        <v>503062</v>
      </c>
      <c r="B943" s="609" t="s">
        <v>1721</v>
      </c>
      <c r="C943" s="610">
        <f t="shared" si="99"/>
        <v>0</v>
      </c>
      <c r="D943" s="611">
        <v>0</v>
      </c>
      <c r="E943" s="610">
        <f>SUMIF('Entries 24-25'!$B:$B,A:A,'Entries 24-25'!$D:$D)-SUMIF('Entries 24-25'!$B:$B,A:A,'Entries 24-25'!$E:$E)+SUMIF('IND AS entries 24-25'!$B:$B,A:A,'IND AS entries 24-25'!$D:$D)-SUMIF('IND AS entries 24-25'!$B:$B,A:A,'IND AS entries 24-25'!$E:$E)</f>
        <v>0</v>
      </c>
      <c r="F943" s="611">
        <f t="shared" si="100"/>
        <v>0</v>
      </c>
      <c r="G943" s="610"/>
      <c r="H943" s="610"/>
      <c r="I943" s="611">
        <v>0</v>
      </c>
      <c r="J943" s="610">
        <v>0</v>
      </c>
      <c r="K943" s="611">
        <f t="shared" si="97"/>
        <v>0</v>
      </c>
      <c r="L943" s="612">
        <f>VLOOKUP(A943,'PL Gr'!A:A,1,0)</f>
        <v>503062</v>
      </c>
      <c r="M943" s="612">
        <f t="shared" si="102"/>
        <v>1</v>
      </c>
      <c r="N943" s="613">
        <f t="shared" si="101"/>
        <v>0</v>
      </c>
      <c r="O943" s="613">
        <f>VLOOKUP(A943,'PL Gr'!A:A,1,FALSE)</f>
        <v>503062</v>
      </c>
      <c r="P943" s="613">
        <v>0</v>
      </c>
      <c r="Q943" s="613">
        <f t="shared" si="98"/>
        <v>0</v>
      </c>
      <c r="R943" s="1514"/>
      <c r="S943" s="1617" t="e">
        <f>SUMIF('[105]TB for financial'!$A:$A,A943,'[105]TB for financial'!$E:$E)</f>
        <v>#VALUE!</v>
      </c>
    </row>
    <row r="944" spans="1:19">
      <c r="A944" s="608">
        <v>503063</v>
      </c>
      <c r="B944" s="609" t="s">
        <v>1722</v>
      </c>
      <c r="C944" s="610">
        <f t="shared" si="99"/>
        <v>0</v>
      </c>
      <c r="D944" s="611">
        <v>0</v>
      </c>
      <c r="E944" s="610">
        <f>SUMIF('Entries 24-25'!$B:$B,A:A,'Entries 24-25'!$D:$D)-SUMIF('Entries 24-25'!$B:$B,A:A,'Entries 24-25'!$E:$E)+SUMIF('IND AS entries 24-25'!$B:$B,A:A,'IND AS entries 24-25'!$D:$D)-SUMIF('IND AS entries 24-25'!$B:$B,A:A,'IND AS entries 24-25'!$E:$E)</f>
        <v>0</v>
      </c>
      <c r="F944" s="611">
        <f t="shared" si="100"/>
        <v>0</v>
      </c>
      <c r="G944" s="610"/>
      <c r="H944" s="610"/>
      <c r="I944" s="611">
        <v>0</v>
      </c>
      <c r="J944" s="610">
        <v>0</v>
      </c>
      <c r="K944" s="611">
        <f t="shared" si="97"/>
        <v>0</v>
      </c>
      <c r="L944" s="612">
        <f>VLOOKUP(A944,'PL Gr'!A:A,1,0)</f>
        <v>503063</v>
      </c>
      <c r="M944" s="612">
        <f t="shared" si="102"/>
        <v>1</v>
      </c>
      <c r="N944" s="613">
        <f t="shared" si="101"/>
        <v>0</v>
      </c>
      <c r="O944" s="613">
        <f>VLOOKUP(A944,'PL Gr'!A:A,1,FALSE)</f>
        <v>503063</v>
      </c>
      <c r="P944" s="613">
        <v>0</v>
      </c>
      <c r="Q944" s="613">
        <f t="shared" si="98"/>
        <v>0</v>
      </c>
      <c r="R944" s="1514"/>
      <c r="S944" s="1617" t="e">
        <f>SUMIF('[105]TB for financial'!$A:$A,A944,'[105]TB for financial'!$E:$E)</f>
        <v>#VALUE!</v>
      </c>
    </row>
    <row r="945" spans="1:19">
      <c r="A945" s="608">
        <v>503065</v>
      </c>
      <c r="B945" s="609" t="s">
        <v>1723</v>
      </c>
      <c r="C945" s="610">
        <f t="shared" si="99"/>
        <v>0</v>
      </c>
      <c r="D945" s="611">
        <v>0</v>
      </c>
      <c r="E945" s="610">
        <f>SUMIF('Entries 24-25'!$B:$B,A:A,'Entries 24-25'!$D:$D)-SUMIF('Entries 24-25'!$B:$B,A:A,'Entries 24-25'!$E:$E)+SUMIF('IND AS entries 24-25'!$B:$B,A:A,'IND AS entries 24-25'!$D:$D)-SUMIF('IND AS entries 24-25'!$B:$B,A:A,'IND AS entries 24-25'!$E:$E)</f>
        <v>0</v>
      </c>
      <c r="F945" s="611">
        <f t="shared" si="100"/>
        <v>0</v>
      </c>
      <c r="G945" s="610"/>
      <c r="H945" s="610"/>
      <c r="I945" s="611">
        <v>0</v>
      </c>
      <c r="J945" s="610">
        <v>0</v>
      </c>
      <c r="K945" s="611">
        <f t="shared" si="97"/>
        <v>0</v>
      </c>
      <c r="L945" s="612">
        <f>VLOOKUP(A945,'PL Gr'!A:A,1,0)</f>
        <v>503065</v>
      </c>
      <c r="M945" s="612">
        <f t="shared" si="102"/>
        <v>1</v>
      </c>
      <c r="N945" s="613">
        <f t="shared" si="101"/>
        <v>0</v>
      </c>
      <c r="O945" s="613">
        <f>VLOOKUP(A945,'PL Gr'!A:A,1,FALSE)</f>
        <v>503065</v>
      </c>
      <c r="P945" s="613">
        <v>0</v>
      </c>
      <c r="Q945" s="613">
        <f t="shared" si="98"/>
        <v>0</v>
      </c>
      <c r="R945" s="1514"/>
      <c r="S945" s="1617" t="e">
        <f>SUMIF('[105]TB for financial'!$A:$A,A945,'[105]TB for financial'!$E:$E)</f>
        <v>#VALUE!</v>
      </c>
    </row>
    <row r="946" spans="1:19">
      <c r="A946" s="608">
        <v>503070</v>
      </c>
      <c r="B946" s="609" t="s">
        <v>1724</v>
      </c>
      <c r="C946" s="610">
        <f t="shared" si="99"/>
        <v>0</v>
      </c>
      <c r="D946" s="611">
        <v>0</v>
      </c>
      <c r="E946" s="610">
        <f>SUMIF('Entries 24-25'!$B:$B,A:A,'Entries 24-25'!$D:$D)-SUMIF('Entries 24-25'!$B:$B,A:A,'Entries 24-25'!$E:$E)+SUMIF('IND AS entries 24-25'!$B:$B,A:A,'IND AS entries 24-25'!$D:$D)-SUMIF('IND AS entries 24-25'!$B:$B,A:A,'IND AS entries 24-25'!$E:$E)</f>
        <v>0</v>
      </c>
      <c r="F946" s="611">
        <f t="shared" si="100"/>
        <v>0</v>
      </c>
      <c r="G946" s="610"/>
      <c r="H946" s="610"/>
      <c r="I946" s="611">
        <v>0</v>
      </c>
      <c r="J946" s="610">
        <v>0</v>
      </c>
      <c r="K946" s="611">
        <f t="shared" si="97"/>
        <v>0</v>
      </c>
      <c r="L946" s="612">
        <f>VLOOKUP(A946,'PL Gr'!A:A,1,0)</f>
        <v>503070</v>
      </c>
      <c r="M946" s="612">
        <f t="shared" ref="M946:M977" si="103">COUNTIF(A:A,A946)</f>
        <v>1</v>
      </c>
      <c r="N946" s="613">
        <f t="shared" si="101"/>
        <v>0</v>
      </c>
      <c r="O946" s="613">
        <f>VLOOKUP(A946,'PL Gr'!A:A,1,FALSE)</f>
        <v>503070</v>
      </c>
      <c r="P946" s="613">
        <v>193669</v>
      </c>
      <c r="Q946" s="613">
        <f t="shared" si="98"/>
        <v>-193669</v>
      </c>
      <c r="R946" s="1514"/>
      <c r="S946" s="1617" t="e">
        <f>SUMIF('[105]TB for financial'!$A:$A,A946,'[105]TB for financial'!$E:$E)</f>
        <v>#VALUE!</v>
      </c>
    </row>
    <row r="947" spans="1:19">
      <c r="A947" s="608">
        <v>503075</v>
      </c>
      <c r="B947" s="609" t="s">
        <v>1725</v>
      </c>
      <c r="C947" s="610">
        <f t="shared" si="99"/>
        <v>0</v>
      </c>
      <c r="D947" s="611">
        <v>0</v>
      </c>
      <c r="E947" s="610">
        <f>SUMIF('Entries 24-25'!$B:$B,A:A,'Entries 24-25'!$D:$D)-SUMIF('Entries 24-25'!$B:$B,A:A,'Entries 24-25'!$E:$E)+SUMIF('IND AS entries 24-25'!$B:$B,A:A,'IND AS entries 24-25'!$D:$D)-SUMIF('IND AS entries 24-25'!$B:$B,A:A,'IND AS entries 24-25'!$E:$E)</f>
        <v>0</v>
      </c>
      <c r="F947" s="611">
        <f t="shared" si="100"/>
        <v>0</v>
      </c>
      <c r="G947" s="610"/>
      <c r="H947" s="610"/>
      <c r="I947" s="611">
        <v>0</v>
      </c>
      <c r="J947" s="610">
        <v>0</v>
      </c>
      <c r="K947" s="611">
        <f t="shared" si="97"/>
        <v>0</v>
      </c>
      <c r="L947" s="612">
        <f>VLOOKUP(A947,'PL Gr'!A:A,1,0)</f>
        <v>503075</v>
      </c>
      <c r="M947" s="612">
        <f t="shared" si="103"/>
        <v>1</v>
      </c>
      <c r="N947" s="613">
        <f t="shared" si="101"/>
        <v>0</v>
      </c>
      <c r="O947" s="613">
        <f>VLOOKUP(A947,'PL Gr'!A:A,1,FALSE)</f>
        <v>503075</v>
      </c>
      <c r="P947" s="613">
        <v>0</v>
      </c>
      <c r="Q947" s="613">
        <f t="shared" si="98"/>
        <v>0</v>
      </c>
      <c r="R947" s="1514"/>
      <c r="S947" s="1617" t="e">
        <f>SUMIF('[105]TB for financial'!$A:$A,A947,'[105]TB for financial'!$E:$E)</f>
        <v>#VALUE!</v>
      </c>
    </row>
    <row r="948" spans="1:19">
      <c r="A948" s="608">
        <v>503080</v>
      </c>
      <c r="B948" s="609" t="s">
        <v>1726</v>
      </c>
      <c r="C948" s="610">
        <f t="shared" si="99"/>
        <v>0</v>
      </c>
      <c r="D948" s="611">
        <v>0</v>
      </c>
      <c r="E948" s="610">
        <f>SUMIF('Entries 24-25'!$B:$B,A:A,'Entries 24-25'!$D:$D)-SUMIF('Entries 24-25'!$B:$B,A:A,'Entries 24-25'!$E:$E)+SUMIF('IND AS entries 24-25'!$B:$B,A:A,'IND AS entries 24-25'!$D:$D)-SUMIF('IND AS entries 24-25'!$B:$B,A:A,'IND AS entries 24-25'!$E:$E)</f>
        <v>0</v>
      </c>
      <c r="F948" s="611">
        <f t="shared" si="100"/>
        <v>0</v>
      </c>
      <c r="G948" s="610"/>
      <c r="H948" s="610"/>
      <c r="I948" s="611">
        <v>0</v>
      </c>
      <c r="J948" s="610">
        <v>0</v>
      </c>
      <c r="K948" s="611">
        <f t="shared" ref="K948:K1018" si="104">SUM(H948:J948)</f>
        <v>0</v>
      </c>
      <c r="L948" s="612">
        <f>VLOOKUP(A948,'PL Gr'!A:A,1,0)</f>
        <v>503080</v>
      </c>
      <c r="M948" s="612">
        <f t="shared" si="103"/>
        <v>1</v>
      </c>
      <c r="N948" s="613">
        <f t="shared" si="101"/>
        <v>0</v>
      </c>
      <c r="O948" s="613">
        <f>VLOOKUP(A948,'PL Gr'!A:A,1,FALSE)</f>
        <v>503080</v>
      </c>
      <c r="P948" s="613">
        <v>0</v>
      </c>
      <c r="Q948" s="613">
        <f t="shared" si="98"/>
        <v>0</v>
      </c>
      <c r="R948" s="1514"/>
      <c r="S948" s="1617" t="e">
        <f>SUMIF('[105]TB for financial'!$A:$A,A948,'[105]TB for financial'!$E:$E)</f>
        <v>#VALUE!</v>
      </c>
    </row>
    <row r="949" spans="1:19">
      <c r="A949" s="608">
        <v>503081</v>
      </c>
      <c r="B949" s="609" t="s">
        <v>1727</v>
      </c>
      <c r="C949" s="610">
        <f t="shared" si="99"/>
        <v>0</v>
      </c>
      <c r="D949" s="611">
        <v>0</v>
      </c>
      <c r="E949" s="610">
        <f>SUMIF('Entries 24-25'!$B:$B,A:A,'Entries 24-25'!$D:$D)-SUMIF('Entries 24-25'!$B:$B,A:A,'Entries 24-25'!$E:$E)+SUMIF('IND AS entries 24-25'!$B:$B,A:A,'IND AS entries 24-25'!$D:$D)-SUMIF('IND AS entries 24-25'!$B:$B,A:A,'IND AS entries 24-25'!$E:$E)</f>
        <v>0</v>
      </c>
      <c r="F949" s="611">
        <f t="shared" si="100"/>
        <v>0</v>
      </c>
      <c r="G949" s="610"/>
      <c r="H949" s="610"/>
      <c r="I949" s="611">
        <v>0</v>
      </c>
      <c r="J949" s="610">
        <v>0</v>
      </c>
      <c r="K949" s="611">
        <f t="shared" si="104"/>
        <v>0</v>
      </c>
      <c r="L949" s="612">
        <f>VLOOKUP(A949,'PL Gr'!A:A,1,0)</f>
        <v>503081</v>
      </c>
      <c r="M949" s="612">
        <f t="shared" si="103"/>
        <v>1</v>
      </c>
      <c r="N949" s="613">
        <f t="shared" si="101"/>
        <v>0</v>
      </c>
      <c r="O949" s="613">
        <f>VLOOKUP(A949,'PL Gr'!A:A,1,FALSE)</f>
        <v>503081</v>
      </c>
      <c r="P949" s="613">
        <v>3738.08</v>
      </c>
      <c r="Q949" s="613">
        <f t="shared" ref="Q949:Q1018" si="105">+K949-P949</f>
        <v>-3738.08</v>
      </c>
      <c r="R949" s="1514"/>
      <c r="S949" s="1617" t="e">
        <f>SUMIF('[105]TB for financial'!$A:$A,A949,'[105]TB for financial'!$E:$E)</f>
        <v>#VALUE!</v>
      </c>
    </row>
    <row r="950" spans="1:19">
      <c r="A950" s="608">
        <v>503082</v>
      </c>
      <c r="B950" s="609" t="s">
        <v>1728</v>
      </c>
      <c r="C950" s="610">
        <f t="shared" si="99"/>
        <v>0</v>
      </c>
      <c r="D950" s="611">
        <v>0</v>
      </c>
      <c r="E950" s="610">
        <f>SUMIF('Entries 24-25'!$B:$B,A:A,'Entries 24-25'!$D:$D)-SUMIF('Entries 24-25'!$B:$B,A:A,'Entries 24-25'!$E:$E)+SUMIF('IND AS entries 24-25'!$B:$B,A:A,'IND AS entries 24-25'!$D:$D)-SUMIF('IND AS entries 24-25'!$B:$B,A:A,'IND AS entries 24-25'!$E:$E)</f>
        <v>0</v>
      </c>
      <c r="F950" s="611">
        <f t="shared" si="100"/>
        <v>0</v>
      </c>
      <c r="G950" s="610"/>
      <c r="H950" s="610"/>
      <c r="I950" s="611">
        <v>0</v>
      </c>
      <c r="J950" s="610">
        <v>0</v>
      </c>
      <c r="K950" s="611">
        <f t="shared" si="104"/>
        <v>0</v>
      </c>
      <c r="L950" s="614">
        <f>VLOOKUP(A950,'PL Gr'!A:A,1,0)</f>
        <v>503082</v>
      </c>
      <c r="M950" s="612">
        <f t="shared" si="103"/>
        <v>1</v>
      </c>
      <c r="N950" s="613">
        <f t="shared" si="101"/>
        <v>0</v>
      </c>
      <c r="O950" s="613">
        <f>VLOOKUP(A950,'PL Gr'!A:A,1,FALSE)</f>
        <v>503082</v>
      </c>
      <c r="P950" s="613">
        <v>0</v>
      </c>
      <c r="Q950" s="613">
        <f t="shared" si="105"/>
        <v>0</v>
      </c>
      <c r="R950" s="1514"/>
      <c r="S950" s="1617" t="e">
        <f>SUMIF('[105]TB for financial'!$A:$A,A950,'[105]TB for financial'!$E:$E)</f>
        <v>#VALUE!</v>
      </c>
    </row>
    <row r="951" spans="1:19">
      <c r="A951" s="608">
        <v>503084</v>
      </c>
      <c r="B951" s="609" t="s">
        <v>1729</v>
      </c>
      <c r="C951" s="610">
        <f t="shared" si="99"/>
        <v>0</v>
      </c>
      <c r="D951" s="611">
        <v>0</v>
      </c>
      <c r="E951" s="610">
        <f>SUMIF('Entries 24-25'!$B:$B,A:A,'Entries 24-25'!$D:$D)-SUMIF('Entries 24-25'!$B:$B,A:A,'Entries 24-25'!$E:$E)+SUMIF('IND AS entries 24-25'!$B:$B,A:A,'IND AS entries 24-25'!$D:$D)-SUMIF('IND AS entries 24-25'!$B:$B,A:A,'IND AS entries 24-25'!$E:$E)</f>
        <v>0</v>
      </c>
      <c r="F951" s="611">
        <f t="shared" si="100"/>
        <v>0</v>
      </c>
      <c r="G951" s="610"/>
      <c r="H951" s="610"/>
      <c r="I951" s="611">
        <v>0</v>
      </c>
      <c r="J951" s="610">
        <v>0</v>
      </c>
      <c r="K951" s="611">
        <f t="shared" si="104"/>
        <v>0</v>
      </c>
      <c r="L951" s="612">
        <f>VLOOKUP(A951,'PL Gr'!A:A,1,0)</f>
        <v>503084</v>
      </c>
      <c r="M951" s="612">
        <f t="shared" si="103"/>
        <v>1</v>
      </c>
      <c r="N951" s="613">
        <f t="shared" si="101"/>
        <v>0</v>
      </c>
      <c r="O951" s="613">
        <f>VLOOKUP(A951,'PL Gr'!A:A,1,FALSE)</f>
        <v>503084</v>
      </c>
      <c r="P951" s="613">
        <v>0</v>
      </c>
      <c r="Q951" s="613">
        <f t="shared" si="105"/>
        <v>0</v>
      </c>
      <c r="R951" s="1514"/>
      <c r="S951" s="1617" t="e">
        <f>SUMIF('[105]TB for financial'!$A:$A,A951,'[105]TB for financial'!$E:$E)</f>
        <v>#VALUE!</v>
      </c>
    </row>
    <row r="952" spans="1:19">
      <c r="A952" s="608">
        <v>503085</v>
      </c>
      <c r="B952" s="609" t="s">
        <v>1730</v>
      </c>
      <c r="C952" s="610">
        <f t="shared" si="99"/>
        <v>0</v>
      </c>
      <c r="D952" s="611">
        <v>0</v>
      </c>
      <c r="E952" s="610">
        <f>SUMIF('Entries 24-25'!$B:$B,A:A,'Entries 24-25'!$D:$D)-SUMIF('Entries 24-25'!$B:$B,A:A,'Entries 24-25'!$E:$E)+SUMIF('IND AS entries 24-25'!$B:$B,A:A,'IND AS entries 24-25'!$D:$D)-SUMIF('IND AS entries 24-25'!$B:$B,A:A,'IND AS entries 24-25'!$E:$E)</f>
        <v>0</v>
      </c>
      <c r="F952" s="611">
        <f t="shared" si="100"/>
        <v>0</v>
      </c>
      <c r="G952" s="610"/>
      <c r="H952" s="610"/>
      <c r="I952" s="611">
        <v>0</v>
      </c>
      <c r="J952" s="610">
        <v>0</v>
      </c>
      <c r="K952" s="611">
        <f t="shared" si="104"/>
        <v>0</v>
      </c>
      <c r="L952" s="612">
        <f>VLOOKUP(A952,'PL Gr'!A:A,1,0)</f>
        <v>503085</v>
      </c>
      <c r="M952" s="612">
        <f t="shared" si="103"/>
        <v>1</v>
      </c>
      <c r="N952" s="613">
        <f t="shared" si="101"/>
        <v>0</v>
      </c>
      <c r="O952" s="613">
        <f>VLOOKUP(A952,'PL Gr'!A:A,1,FALSE)</f>
        <v>503085</v>
      </c>
      <c r="P952" s="613">
        <v>0</v>
      </c>
      <c r="Q952" s="613">
        <f t="shared" si="105"/>
        <v>0</v>
      </c>
      <c r="R952" s="1514"/>
      <c r="S952" s="1617" t="e">
        <f>SUMIF('[105]TB for financial'!$A:$A,A952,'[105]TB for financial'!$E:$E)</f>
        <v>#VALUE!</v>
      </c>
    </row>
    <row r="953" spans="1:19">
      <c r="A953" s="608">
        <v>503086</v>
      </c>
      <c r="B953" s="609" t="s">
        <v>1731</v>
      </c>
      <c r="C953" s="610">
        <f t="shared" si="99"/>
        <v>0</v>
      </c>
      <c r="D953" s="611">
        <v>0</v>
      </c>
      <c r="E953" s="610">
        <f>SUMIF('Entries 24-25'!$B:$B,A:A,'Entries 24-25'!$D:$D)-SUMIF('Entries 24-25'!$B:$B,A:A,'Entries 24-25'!$E:$E)+SUMIF('IND AS entries 24-25'!$B:$B,A:A,'IND AS entries 24-25'!$D:$D)-SUMIF('IND AS entries 24-25'!$B:$B,A:A,'IND AS entries 24-25'!$E:$E)</f>
        <v>0</v>
      </c>
      <c r="F953" s="611">
        <f t="shared" si="100"/>
        <v>0</v>
      </c>
      <c r="G953" s="610"/>
      <c r="H953" s="610"/>
      <c r="I953" s="611">
        <v>0</v>
      </c>
      <c r="J953" s="610">
        <v>0</v>
      </c>
      <c r="K953" s="611">
        <f t="shared" si="104"/>
        <v>0</v>
      </c>
      <c r="L953" s="612">
        <f>VLOOKUP(A953,'PL Gr'!A:A,1,0)</f>
        <v>503086</v>
      </c>
      <c r="M953" s="612">
        <f t="shared" si="103"/>
        <v>1</v>
      </c>
      <c r="N953" s="613">
        <f t="shared" si="101"/>
        <v>0</v>
      </c>
      <c r="O953" s="613">
        <f>VLOOKUP(A953,'PL Gr'!A:A,1,FALSE)</f>
        <v>503086</v>
      </c>
      <c r="P953" s="613">
        <v>4405175</v>
      </c>
      <c r="Q953" s="613">
        <f t="shared" si="105"/>
        <v>-4405175</v>
      </c>
      <c r="R953" s="1514"/>
      <c r="S953" s="1617" t="e">
        <f>SUMIF('[105]TB for financial'!$A:$A,A953,'[105]TB for financial'!$E:$E)</f>
        <v>#VALUE!</v>
      </c>
    </row>
    <row r="954" spans="1:19">
      <c r="A954" s="608">
        <v>503087</v>
      </c>
      <c r="B954" s="609" t="s">
        <v>1732</v>
      </c>
      <c r="C954" s="610">
        <f t="shared" si="99"/>
        <v>0</v>
      </c>
      <c r="D954" s="611">
        <v>0</v>
      </c>
      <c r="E954" s="610">
        <f>SUMIF('Entries 24-25'!$B:$B,A:A,'Entries 24-25'!$D:$D)-SUMIF('Entries 24-25'!$B:$B,A:A,'Entries 24-25'!$E:$E)+SUMIF('IND AS entries 24-25'!$B:$B,A:A,'IND AS entries 24-25'!$D:$D)-SUMIF('IND AS entries 24-25'!$B:$B,A:A,'IND AS entries 24-25'!$E:$E)</f>
        <v>0</v>
      </c>
      <c r="F954" s="611">
        <f t="shared" si="100"/>
        <v>0</v>
      </c>
      <c r="G954" s="610"/>
      <c r="H954" s="610"/>
      <c r="I954" s="611">
        <v>0</v>
      </c>
      <c r="J954" s="610">
        <v>0</v>
      </c>
      <c r="K954" s="611">
        <f t="shared" si="104"/>
        <v>0</v>
      </c>
      <c r="L954" s="612">
        <f>VLOOKUP(A954,'PL Gr'!A:A,1,0)</f>
        <v>503087</v>
      </c>
      <c r="M954" s="612">
        <f t="shared" si="103"/>
        <v>1</v>
      </c>
      <c r="N954" s="613">
        <f t="shared" si="101"/>
        <v>0</v>
      </c>
      <c r="O954" s="613">
        <f>VLOOKUP(A954,'PL Gr'!A:A,1,FALSE)</f>
        <v>503087</v>
      </c>
      <c r="P954" s="613">
        <v>0</v>
      </c>
      <c r="Q954" s="613">
        <f t="shared" si="105"/>
        <v>0</v>
      </c>
      <c r="R954" s="1514"/>
      <c r="S954" s="1617" t="e">
        <f>SUMIF('[105]TB for financial'!$A:$A,A954,'[105]TB for financial'!$E:$E)</f>
        <v>#VALUE!</v>
      </c>
    </row>
    <row r="955" spans="1:19">
      <c r="A955" s="608">
        <v>503088</v>
      </c>
      <c r="B955" s="609" t="s">
        <v>1733</v>
      </c>
      <c r="C955" s="610">
        <f t="shared" si="99"/>
        <v>0</v>
      </c>
      <c r="D955" s="611">
        <v>0</v>
      </c>
      <c r="E955" s="610">
        <f>SUMIF('Entries 24-25'!$B:$B,A:A,'Entries 24-25'!$D:$D)-SUMIF('Entries 24-25'!$B:$B,A:A,'Entries 24-25'!$E:$E)+SUMIF('IND AS entries 24-25'!$B:$B,A:A,'IND AS entries 24-25'!$D:$D)-SUMIF('IND AS entries 24-25'!$B:$B,A:A,'IND AS entries 24-25'!$E:$E)</f>
        <v>0</v>
      </c>
      <c r="F955" s="611">
        <f t="shared" si="100"/>
        <v>0</v>
      </c>
      <c r="G955" s="610"/>
      <c r="H955" s="610"/>
      <c r="I955" s="611">
        <v>0</v>
      </c>
      <c r="J955" s="610">
        <v>0</v>
      </c>
      <c r="K955" s="611">
        <f t="shared" si="104"/>
        <v>0</v>
      </c>
      <c r="L955" s="612">
        <f>VLOOKUP(A955,'PL Gr'!A:A,1,0)</f>
        <v>503088</v>
      </c>
      <c r="M955" s="612">
        <f t="shared" si="103"/>
        <v>1</v>
      </c>
      <c r="N955" s="613">
        <f t="shared" si="101"/>
        <v>0</v>
      </c>
      <c r="O955" s="613">
        <f>VLOOKUP(A955,'PL Gr'!A:A,1,FALSE)</f>
        <v>503088</v>
      </c>
      <c r="P955" s="613">
        <v>0</v>
      </c>
      <c r="Q955" s="613">
        <f t="shared" si="105"/>
        <v>0</v>
      </c>
      <c r="R955" s="1514"/>
      <c r="S955" s="1617" t="e">
        <f>SUMIF('[105]TB for financial'!$A:$A,A955,'[105]TB for financial'!$E:$E)</f>
        <v>#VALUE!</v>
      </c>
    </row>
    <row r="956" spans="1:19">
      <c r="A956" s="608">
        <v>503089</v>
      </c>
      <c r="B956" s="609" t="s">
        <v>1734</v>
      </c>
      <c r="C956" s="610">
        <f t="shared" si="99"/>
        <v>0</v>
      </c>
      <c r="D956" s="611">
        <v>0</v>
      </c>
      <c r="E956" s="610">
        <f>SUMIF('Entries 24-25'!$B:$B,A:A,'Entries 24-25'!$D:$D)-SUMIF('Entries 24-25'!$B:$B,A:A,'Entries 24-25'!$E:$E)+SUMIF('IND AS entries 24-25'!$B:$B,A:A,'IND AS entries 24-25'!$D:$D)-SUMIF('IND AS entries 24-25'!$B:$B,A:A,'IND AS entries 24-25'!$E:$E)</f>
        <v>0</v>
      </c>
      <c r="F956" s="611">
        <f t="shared" si="100"/>
        <v>0</v>
      </c>
      <c r="G956" s="610"/>
      <c r="H956" s="610"/>
      <c r="I956" s="611">
        <v>0</v>
      </c>
      <c r="J956" s="610">
        <v>0</v>
      </c>
      <c r="K956" s="611">
        <f t="shared" si="104"/>
        <v>0</v>
      </c>
      <c r="L956" s="612">
        <f>VLOOKUP(A956,'PL Gr'!A:A,1,0)</f>
        <v>503089</v>
      </c>
      <c r="M956" s="612">
        <f t="shared" si="103"/>
        <v>1</v>
      </c>
      <c r="N956" s="613">
        <f t="shared" si="101"/>
        <v>0</v>
      </c>
      <c r="O956" s="613">
        <f>VLOOKUP(A956,'PL Gr'!A:A,1,FALSE)</f>
        <v>503089</v>
      </c>
      <c r="P956" s="613">
        <v>0</v>
      </c>
      <c r="Q956" s="613">
        <f t="shared" si="105"/>
        <v>0</v>
      </c>
      <c r="R956" s="1514"/>
      <c r="S956" s="1617" t="e">
        <f>SUMIF('[105]TB for financial'!$A:$A,A956,'[105]TB for financial'!$E:$E)</f>
        <v>#VALUE!</v>
      </c>
    </row>
    <row r="957" spans="1:19">
      <c r="A957" s="608">
        <v>503090</v>
      </c>
      <c r="B957" s="609" t="s">
        <v>1735</v>
      </c>
      <c r="C957" s="610">
        <f t="shared" si="99"/>
        <v>0</v>
      </c>
      <c r="D957" s="611">
        <v>0</v>
      </c>
      <c r="E957" s="610">
        <f>SUMIF('Entries 24-25'!$B:$B,A:A,'Entries 24-25'!$D:$D)-SUMIF('Entries 24-25'!$B:$B,A:A,'Entries 24-25'!$E:$E)+SUMIF('IND AS entries 24-25'!$B:$B,A:A,'IND AS entries 24-25'!$D:$D)-SUMIF('IND AS entries 24-25'!$B:$B,A:A,'IND AS entries 24-25'!$E:$E)</f>
        <v>0</v>
      </c>
      <c r="F957" s="611">
        <f t="shared" si="100"/>
        <v>0</v>
      </c>
      <c r="G957" s="610"/>
      <c r="H957" s="610"/>
      <c r="I957" s="611">
        <v>0</v>
      </c>
      <c r="J957" s="610">
        <v>0</v>
      </c>
      <c r="K957" s="611">
        <f t="shared" si="104"/>
        <v>0</v>
      </c>
      <c r="L957" s="612">
        <f>VLOOKUP(A957,'PL Gr'!A:A,1,0)</f>
        <v>503090</v>
      </c>
      <c r="M957" s="612">
        <f t="shared" si="103"/>
        <v>1</v>
      </c>
      <c r="N957" s="613">
        <f t="shared" si="101"/>
        <v>0</v>
      </c>
      <c r="O957" s="613">
        <f>VLOOKUP(A957,'PL Gr'!A:A,1,FALSE)</f>
        <v>503090</v>
      </c>
      <c r="P957" s="613">
        <v>0</v>
      </c>
      <c r="Q957" s="613">
        <f t="shared" si="105"/>
        <v>0</v>
      </c>
      <c r="R957" s="1514"/>
      <c r="S957" s="1617" t="e">
        <f>SUMIF('[105]TB for financial'!$A:$A,A957,'[105]TB for financial'!$E:$E)</f>
        <v>#VALUE!</v>
      </c>
    </row>
    <row r="958" spans="1:19">
      <c r="A958" s="608">
        <v>503095</v>
      </c>
      <c r="B958" s="609" t="s">
        <v>1736</v>
      </c>
      <c r="C958" s="610">
        <f t="shared" si="99"/>
        <v>0</v>
      </c>
      <c r="D958" s="611">
        <v>0</v>
      </c>
      <c r="E958" s="610">
        <f>SUMIF('Entries 24-25'!$B:$B,A:A,'Entries 24-25'!$D:$D)-SUMIF('Entries 24-25'!$B:$B,A:A,'Entries 24-25'!$E:$E)+SUMIF('IND AS entries 24-25'!$B:$B,A:A,'IND AS entries 24-25'!$D:$D)-SUMIF('IND AS entries 24-25'!$B:$B,A:A,'IND AS entries 24-25'!$E:$E)</f>
        <v>0</v>
      </c>
      <c r="F958" s="611">
        <f t="shared" si="100"/>
        <v>0</v>
      </c>
      <c r="G958" s="610"/>
      <c r="H958" s="610"/>
      <c r="I958" s="611">
        <v>0</v>
      </c>
      <c r="J958" s="610">
        <v>0</v>
      </c>
      <c r="K958" s="611">
        <f t="shared" si="104"/>
        <v>0</v>
      </c>
      <c r="L958" s="612">
        <f>VLOOKUP(A958,'PL Gr'!A:A,1,0)</f>
        <v>503095</v>
      </c>
      <c r="M958" s="612">
        <f t="shared" si="103"/>
        <v>1</v>
      </c>
      <c r="N958" s="613">
        <f t="shared" si="101"/>
        <v>0</v>
      </c>
      <c r="O958" s="613">
        <f>VLOOKUP(A958,'PL Gr'!A:A,1,FALSE)</f>
        <v>503095</v>
      </c>
      <c r="P958" s="613">
        <v>113905</v>
      </c>
      <c r="Q958" s="613">
        <f t="shared" si="105"/>
        <v>-113905</v>
      </c>
      <c r="R958" s="1514"/>
      <c r="S958" s="1617" t="e">
        <f>SUMIF('[105]TB for financial'!$A:$A,A958,'[105]TB for financial'!$E:$E)</f>
        <v>#VALUE!</v>
      </c>
    </row>
    <row r="959" spans="1:19">
      <c r="A959" s="608">
        <v>503096</v>
      </c>
      <c r="B959" s="609" t="s">
        <v>1737</v>
      </c>
      <c r="C959" s="610">
        <f t="shared" si="99"/>
        <v>0</v>
      </c>
      <c r="D959" s="611">
        <v>0</v>
      </c>
      <c r="E959" s="610">
        <f>SUMIF('Entries 24-25'!$B:$B,A:A,'Entries 24-25'!$D:$D)-SUMIF('Entries 24-25'!$B:$B,A:A,'Entries 24-25'!$E:$E)+SUMIF('IND AS entries 24-25'!$B:$B,A:A,'IND AS entries 24-25'!$D:$D)-SUMIF('IND AS entries 24-25'!$B:$B,A:A,'IND AS entries 24-25'!$E:$E)</f>
        <v>0</v>
      </c>
      <c r="F959" s="611">
        <f t="shared" si="100"/>
        <v>0</v>
      </c>
      <c r="G959" s="610"/>
      <c r="H959" s="610"/>
      <c r="I959" s="611">
        <v>0</v>
      </c>
      <c r="J959" s="610">
        <v>0</v>
      </c>
      <c r="K959" s="611">
        <f t="shared" si="104"/>
        <v>0</v>
      </c>
      <c r="L959" s="612">
        <f>VLOOKUP(A959,'PL Gr'!A:A,1,0)</f>
        <v>503096</v>
      </c>
      <c r="M959" s="612">
        <f t="shared" si="103"/>
        <v>1</v>
      </c>
      <c r="N959" s="613">
        <f t="shared" si="101"/>
        <v>0</v>
      </c>
      <c r="O959" s="613">
        <f>VLOOKUP(A959,'PL Gr'!A:A,1,FALSE)</f>
        <v>503096</v>
      </c>
      <c r="P959" s="613">
        <v>0</v>
      </c>
      <c r="Q959" s="613">
        <f t="shared" si="105"/>
        <v>0</v>
      </c>
      <c r="R959" s="1514"/>
      <c r="S959" s="1617" t="e">
        <f>SUMIF('[105]TB for financial'!$A:$A,A959,'[105]TB for financial'!$E:$E)</f>
        <v>#VALUE!</v>
      </c>
    </row>
    <row r="960" spans="1:19">
      <c r="A960" s="608">
        <v>503097</v>
      </c>
      <c r="B960" s="609" t="s">
        <v>1738</v>
      </c>
      <c r="C960" s="610">
        <f t="shared" si="99"/>
        <v>0</v>
      </c>
      <c r="D960" s="611">
        <v>0</v>
      </c>
      <c r="E960" s="610">
        <f>SUMIF('Entries 24-25'!$B:$B,A:A,'Entries 24-25'!$D:$D)-SUMIF('Entries 24-25'!$B:$B,A:A,'Entries 24-25'!$E:$E)+SUMIF('IND AS entries 24-25'!$B:$B,A:A,'IND AS entries 24-25'!$D:$D)-SUMIF('IND AS entries 24-25'!$B:$B,A:A,'IND AS entries 24-25'!$E:$E)</f>
        <v>0</v>
      </c>
      <c r="F960" s="611">
        <f t="shared" si="100"/>
        <v>0</v>
      </c>
      <c r="G960" s="610"/>
      <c r="H960" s="610"/>
      <c r="I960" s="611">
        <v>0</v>
      </c>
      <c r="J960" s="610">
        <v>0</v>
      </c>
      <c r="K960" s="611">
        <f t="shared" si="104"/>
        <v>0</v>
      </c>
      <c r="L960" s="612">
        <f>VLOOKUP(A960,'PL Gr'!A:A,1,0)</f>
        <v>503097</v>
      </c>
      <c r="M960" s="612">
        <f t="shared" si="103"/>
        <v>1</v>
      </c>
      <c r="N960" s="613">
        <f t="shared" si="101"/>
        <v>0</v>
      </c>
      <c r="O960" s="613">
        <f>VLOOKUP(A960,'PL Gr'!A:A,1,FALSE)</f>
        <v>503097</v>
      </c>
      <c r="P960" s="613">
        <v>0</v>
      </c>
      <c r="Q960" s="613">
        <f t="shared" si="105"/>
        <v>0</v>
      </c>
      <c r="R960" s="1514"/>
      <c r="S960" s="1617" t="e">
        <f>SUMIF('[105]TB for financial'!$A:$A,A960,'[105]TB for financial'!$E:$E)</f>
        <v>#VALUE!</v>
      </c>
    </row>
    <row r="961" spans="1:19">
      <c r="A961" s="608">
        <v>503098</v>
      </c>
      <c r="B961" s="609" t="s">
        <v>1739</v>
      </c>
      <c r="C961" s="610">
        <f t="shared" si="99"/>
        <v>0</v>
      </c>
      <c r="D961" s="611">
        <v>0</v>
      </c>
      <c r="E961" s="610">
        <f>SUMIF('Entries 24-25'!$B:$B,A:A,'Entries 24-25'!$D:$D)-SUMIF('Entries 24-25'!$B:$B,A:A,'Entries 24-25'!$E:$E)+SUMIF('IND AS entries 24-25'!$B:$B,A:A,'IND AS entries 24-25'!$D:$D)-SUMIF('IND AS entries 24-25'!$B:$B,A:A,'IND AS entries 24-25'!$E:$E)</f>
        <v>0</v>
      </c>
      <c r="F961" s="611">
        <f t="shared" si="100"/>
        <v>0</v>
      </c>
      <c r="G961" s="610"/>
      <c r="H961" s="610"/>
      <c r="I961" s="611">
        <v>0</v>
      </c>
      <c r="J961" s="610">
        <v>0</v>
      </c>
      <c r="K961" s="611">
        <f t="shared" si="104"/>
        <v>0</v>
      </c>
      <c r="L961" s="612">
        <f>VLOOKUP(A961,'PL Gr'!A:A,1,0)</f>
        <v>503098</v>
      </c>
      <c r="M961" s="612">
        <f t="shared" si="103"/>
        <v>1</v>
      </c>
      <c r="N961" s="613">
        <f t="shared" si="101"/>
        <v>0</v>
      </c>
      <c r="O961" s="613">
        <f>VLOOKUP(A961,'PL Gr'!A:A,1,FALSE)</f>
        <v>503098</v>
      </c>
      <c r="P961" s="613">
        <v>0</v>
      </c>
      <c r="Q961" s="613">
        <f t="shared" si="105"/>
        <v>0</v>
      </c>
      <c r="R961" s="1514"/>
      <c r="S961" s="1617" t="e">
        <f>SUMIF('[105]TB for financial'!$A:$A,A961,'[105]TB for financial'!$E:$E)</f>
        <v>#VALUE!</v>
      </c>
    </row>
    <row r="962" spans="1:19">
      <c r="A962" s="608">
        <v>503099</v>
      </c>
      <c r="B962" s="609" t="s">
        <v>1740</v>
      </c>
      <c r="C962" s="610">
        <f t="shared" si="99"/>
        <v>0</v>
      </c>
      <c r="D962" s="611">
        <v>0</v>
      </c>
      <c r="E962" s="610">
        <f>SUMIF('Entries 24-25'!$B:$B,A:A,'Entries 24-25'!$D:$D)-SUMIF('Entries 24-25'!$B:$B,A:A,'Entries 24-25'!$E:$E)+SUMIF('IND AS entries 24-25'!$B:$B,A:A,'IND AS entries 24-25'!$D:$D)-SUMIF('IND AS entries 24-25'!$B:$B,A:A,'IND AS entries 24-25'!$E:$E)</f>
        <v>0</v>
      </c>
      <c r="F962" s="611">
        <f t="shared" si="100"/>
        <v>0</v>
      </c>
      <c r="G962" s="610"/>
      <c r="H962" s="610"/>
      <c r="I962" s="611">
        <v>0</v>
      </c>
      <c r="J962" s="610">
        <v>0</v>
      </c>
      <c r="K962" s="611">
        <f t="shared" si="104"/>
        <v>0</v>
      </c>
      <c r="L962" s="612">
        <f>VLOOKUP(A962,'PL Gr'!A:A,1,0)</f>
        <v>503099</v>
      </c>
      <c r="M962" s="612">
        <f t="shared" si="103"/>
        <v>1</v>
      </c>
      <c r="N962" s="613">
        <f t="shared" si="101"/>
        <v>0</v>
      </c>
      <c r="O962" s="613">
        <f>VLOOKUP(A962,'PL Gr'!A:A,1,FALSE)</f>
        <v>503099</v>
      </c>
      <c r="P962" s="613">
        <v>0</v>
      </c>
      <c r="Q962" s="613">
        <f t="shared" si="105"/>
        <v>0</v>
      </c>
      <c r="R962" s="1514"/>
      <c r="S962" s="1617" t="e">
        <f>SUMIF('[105]TB for financial'!$A:$A,A962,'[105]TB for financial'!$E:$E)</f>
        <v>#VALUE!</v>
      </c>
    </row>
    <row r="963" spans="1:19">
      <c r="A963" s="608">
        <v>503100</v>
      </c>
      <c r="B963" s="609" t="s">
        <v>1741</v>
      </c>
      <c r="C963" s="610">
        <f t="shared" si="99"/>
        <v>0</v>
      </c>
      <c r="D963" s="611">
        <v>0</v>
      </c>
      <c r="E963" s="610">
        <f>SUMIF('Entries 24-25'!$B:$B,A:A,'Entries 24-25'!$D:$D)-SUMIF('Entries 24-25'!$B:$B,A:A,'Entries 24-25'!$E:$E)+SUMIF('IND AS entries 24-25'!$B:$B,A:A,'IND AS entries 24-25'!$D:$D)-SUMIF('IND AS entries 24-25'!$B:$B,A:A,'IND AS entries 24-25'!$E:$E)</f>
        <v>0</v>
      </c>
      <c r="F963" s="611">
        <f t="shared" si="100"/>
        <v>0</v>
      </c>
      <c r="G963" s="610"/>
      <c r="H963" s="610"/>
      <c r="I963" s="611">
        <v>0</v>
      </c>
      <c r="J963" s="610">
        <v>0</v>
      </c>
      <c r="K963" s="611">
        <f t="shared" si="104"/>
        <v>0</v>
      </c>
      <c r="L963" s="612">
        <f>VLOOKUP(A963,'PL Gr'!A:A,1,0)</f>
        <v>503100</v>
      </c>
      <c r="M963" s="612">
        <f t="shared" si="103"/>
        <v>1</v>
      </c>
      <c r="N963" s="613">
        <f t="shared" si="101"/>
        <v>0</v>
      </c>
      <c r="O963" s="613">
        <f>VLOOKUP(A963,'PL Gr'!A:A,1,FALSE)</f>
        <v>503100</v>
      </c>
      <c r="P963" s="613">
        <v>31404</v>
      </c>
      <c r="Q963" s="613">
        <f t="shared" si="105"/>
        <v>-31404</v>
      </c>
      <c r="R963" s="1514"/>
      <c r="S963" s="1617" t="e">
        <f>SUMIF('[105]TB for financial'!$A:$A,A963,'[105]TB for financial'!$E:$E)</f>
        <v>#VALUE!</v>
      </c>
    </row>
    <row r="964" spans="1:19">
      <c r="A964" s="608">
        <v>503101</v>
      </c>
      <c r="B964" s="609" t="s">
        <v>1742</v>
      </c>
      <c r="C964" s="610">
        <f t="shared" si="99"/>
        <v>0</v>
      </c>
      <c r="D964" s="611">
        <v>0</v>
      </c>
      <c r="E964" s="610">
        <f>SUMIF('Entries 24-25'!$B:$B,A:A,'Entries 24-25'!$D:$D)-SUMIF('Entries 24-25'!$B:$B,A:A,'Entries 24-25'!$E:$E)+SUMIF('IND AS entries 24-25'!$B:$B,A:A,'IND AS entries 24-25'!$D:$D)-SUMIF('IND AS entries 24-25'!$B:$B,A:A,'IND AS entries 24-25'!$E:$E)</f>
        <v>0</v>
      </c>
      <c r="F964" s="611">
        <f t="shared" si="100"/>
        <v>0</v>
      </c>
      <c r="G964" s="610"/>
      <c r="H964" s="610"/>
      <c r="I964" s="611">
        <v>0</v>
      </c>
      <c r="J964" s="610">
        <v>0</v>
      </c>
      <c r="K964" s="611">
        <f t="shared" si="104"/>
        <v>0</v>
      </c>
      <c r="L964" s="612">
        <f>VLOOKUP(A964,'PL Gr'!A:A,1,0)</f>
        <v>503101</v>
      </c>
      <c r="M964" s="612">
        <f t="shared" si="103"/>
        <v>1</v>
      </c>
      <c r="N964" s="613">
        <f t="shared" si="101"/>
        <v>0</v>
      </c>
      <c r="O964" s="613">
        <f>VLOOKUP(A964,'PL Gr'!A:A,1,FALSE)</f>
        <v>503101</v>
      </c>
      <c r="P964" s="613">
        <v>7678808.8747658543</v>
      </c>
      <c r="Q964" s="613">
        <f t="shared" si="105"/>
        <v>-7678808.8747658543</v>
      </c>
      <c r="R964" s="1514"/>
      <c r="S964" s="1617" t="e">
        <f>SUMIF('[105]TB for financial'!$A:$A,A964,'[105]TB for financial'!$E:$E)</f>
        <v>#VALUE!</v>
      </c>
    </row>
    <row r="965" spans="1:19">
      <c r="A965" s="608">
        <v>503102</v>
      </c>
      <c r="B965" s="609" t="s">
        <v>1743</v>
      </c>
      <c r="C965" s="610">
        <f t="shared" si="99"/>
        <v>0</v>
      </c>
      <c r="D965" s="611">
        <v>0</v>
      </c>
      <c r="E965" s="610">
        <f>SUMIF('Entries 24-25'!$B:$B,A:A,'Entries 24-25'!$D:$D)-SUMIF('Entries 24-25'!$B:$B,A:A,'Entries 24-25'!$E:$E)+SUMIF('IND AS entries 24-25'!$B:$B,A:A,'IND AS entries 24-25'!$D:$D)-SUMIF('IND AS entries 24-25'!$B:$B,A:A,'IND AS entries 24-25'!$E:$E)</f>
        <v>0</v>
      </c>
      <c r="F965" s="611">
        <f t="shared" si="100"/>
        <v>0</v>
      </c>
      <c r="G965" s="610"/>
      <c r="H965" s="610"/>
      <c r="I965" s="611">
        <v>0</v>
      </c>
      <c r="J965" s="610">
        <v>0</v>
      </c>
      <c r="K965" s="611">
        <f t="shared" si="104"/>
        <v>0</v>
      </c>
      <c r="L965" s="612">
        <f>VLOOKUP(A965,'PL Gr'!A:A,1,0)</f>
        <v>503102</v>
      </c>
      <c r="M965" s="612">
        <f t="shared" si="103"/>
        <v>1</v>
      </c>
      <c r="N965" s="613">
        <f t="shared" si="101"/>
        <v>0</v>
      </c>
      <c r="O965" s="613">
        <f>VLOOKUP(A965,'PL Gr'!A:A,1,FALSE)</f>
        <v>503102</v>
      </c>
      <c r="P965" s="613">
        <v>870831.2</v>
      </c>
      <c r="Q965" s="613">
        <f t="shared" si="105"/>
        <v>-870831.2</v>
      </c>
      <c r="R965" s="1514"/>
      <c r="S965" s="1617" t="e">
        <f>SUMIF('[105]TB for financial'!$A:$A,A965,'[105]TB for financial'!$E:$E)</f>
        <v>#VALUE!</v>
      </c>
    </row>
    <row r="966" spans="1:19">
      <c r="A966" s="608">
        <v>503103</v>
      </c>
      <c r="B966" s="609" t="s">
        <v>1744</v>
      </c>
      <c r="C966" s="610">
        <f t="shared" si="99"/>
        <v>0</v>
      </c>
      <c r="D966" s="611">
        <v>0</v>
      </c>
      <c r="E966" s="610">
        <f>SUMIF('Entries 24-25'!$B:$B,A:A,'Entries 24-25'!$D:$D)-SUMIF('Entries 24-25'!$B:$B,A:A,'Entries 24-25'!$E:$E)+SUMIF('IND AS entries 24-25'!$B:$B,A:A,'IND AS entries 24-25'!$D:$D)-SUMIF('IND AS entries 24-25'!$B:$B,A:A,'IND AS entries 24-25'!$E:$E)</f>
        <v>0</v>
      </c>
      <c r="F966" s="611">
        <f t="shared" si="100"/>
        <v>0</v>
      </c>
      <c r="G966" s="610"/>
      <c r="H966" s="610"/>
      <c r="I966" s="611">
        <v>0</v>
      </c>
      <c r="J966" s="610">
        <v>0</v>
      </c>
      <c r="K966" s="611">
        <f t="shared" si="104"/>
        <v>0</v>
      </c>
      <c r="L966" s="612">
        <f>VLOOKUP(A966,'PL Gr'!A:A,1,0)</f>
        <v>503103</v>
      </c>
      <c r="M966" s="612">
        <f t="shared" si="103"/>
        <v>1</v>
      </c>
      <c r="N966" s="613">
        <f t="shared" si="101"/>
        <v>0</v>
      </c>
      <c r="O966" s="613">
        <f>VLOOKUP(A966,'PL Gr'!A:A,1,FALSE)</f>
        <v>503103</v>
      </c>
      <c r="P966" s="613"/>
      <c r="Q966" s="613"/>
      <c r="R966" s="1514"/>
      <c r="S966" s="1617" t="e">
        <f>SUMIF('[105]TB for financial'!$A:$A,A966,'[105]TB for financial'!$E:$E)</f>
        <v>#VALUE!</v>
      </c>
    </row>
    <row r="967" spans="1:19">
      <c r="A967" s="608">
        <v>503104</v>
      </c>
      <c r="B967" s="609" t="s">
        <v>1745</v>
      </c>
      <c r="C967" s="610">
        <f t="shared" si="99"/>
        <v>0</v>
      </c>
      <c r="D967" s="611">
        <v>0</v>
      </c>
      <c r="E967" s="610">
        <f>SUMIF('Entries 24-25'!$B:$B,A:A,'Entries 24-25'!$D:$D)-SUMIF('Entries 24-25'!$B:$B,A:A,'Entries 24-25'!$E:$E)+SUMIF('IND AS entries 24-25'!$B:$B,A:A,'IND AS entries 24-25'!$D:$D)-SUMIF('IND AS entries 24-25'!$B:$B,A:A,'IND AS entries 24-25'!$E:$E)</f>
        <v>0</v>
      </c>
      <c r="F967" s="611">
        <f t="shared" si="100"/>
        <v>0</v>
      </c>
      <c r="G967" s="610"/>
      <c r="H967" s="610"/>
      <c r="I967" s="611">
        <v>0</v>
      </c>
      <c r="J967" s="610">
        <v>0</v>
      </c>
      <c r="K967" s="611">
        <f t="shared" si="104"/>
        <v>0</v>
      </c>
      <c r="L967" s="612">
        <f>VLOOKUP(A967,'PL Gr'!A:A,1,0)</f>
        <v>503104</v>
      </c>
      <c r="M967" s="612">
        <f t="shared" si="103"/>
        <v>1</v>
      </c>
      <c r="N967" s="613">
        <f t="shared" si="101"/>
        <v>0</v>
      </c>
      <c r="O967" s="613">
        <f>VLOOKUP(A967,'PL Gr'!A:A,1,FALSE)</f>
        <v>503104</v>
      </c>
      <c r="P967" s="613">
        <v>0</v>
      </c>
      <c r="Q967" s="613">
        <f t="shared" si="105"/>
        <v>0</v>
      </c>
      <c r="R967" s="1514"/>
      <c r="S967" s="1617" t="e">
        <f>SUMIF('[105]TB for financial'!$A:$A,A967,'[105]TB for financial'!$E:$E)</f>
        <v>#VALUE!</v>
      </c>
    </row>
    <row r="968" spans="1:19">
      <c r="A968" s="608">
        <v>504010</v>
      </c>
      <c r="B968" s="609" t="s">
        <v>1746</v>
      </c>
      <c r="C968" s="610">
        <f t="shared" si="99"/>
        <v>0</v>
      </c>
      <c r="D968" s="611">
        <v>0</v>
      </c>
      <c r="E968" s="610">
        <f>SUMIF('Entries 24-25'!$B:$B,A:A,'Entries 24-25'!$D:$D)-SUMIF('Entries 24-25'!$B:$B,A:A,'Entries 24-25'!$E:$E)+SUMIF('IND AS entries 24-25'!$B:$B,A:A,'IND AS entries 24-25'!$D:$D)-SUMIF('IND AS entries 24-25'!$B:$B,A:A,'IND AS entries 24-25'!$E:$E)</f>
        <v>0</v>
      </c>
      <c r="F968" s="611">
        <f t="shared" si="100"/>
        <v>0</v>
      </c>
      <c r="G968" s="610"/>
      <c r="H968" s="610"/>
      <c r="I968" s="611">
        <v>0</v>
      </c>
      <c r="J968" s="610">
        <v>0</v>
      </c>
      <c r="K968" s="611">
        <f t="shared" si="104"/>
        <v>0</v>
      </c>
      <c r="L968" s="612">
        <f>VLOOKUP(A968,'PL Gr'!A:A,1,0)</f>
        <v>504010</v>
      </c>
      <c r="M968" s="612">
        <f t="shared" si="103"/>
        <v>1</v>
      </c>
      <c r="N968" s="613">
        <f t="shared" si="101"/>
        <v>0</v>
      </c>
      <c r="O968" s="613">
        <f>VLOOKUP(A968,'PL Gr'!A:A,1,FALSE)</f>
        <v>504010</v>
      </c>
      <c r="P968" s="613">
        <v>0</v>
      </c>
      <c r="Q968" s="613">
        <f t="shared" si="105"/>
        <v>0</v>
      </c>
      <c r="R968" s="1514"/>
      <c r="S968" s="1617" t="e">
        <f>SUMIF('[105]TB for financial'!$A:$A,A968,'[105]TB for financial'!$E:$E)</f>
        <v>#VALUE!</v>
      </c>
    </row>
    <row r="969" spans="1:19">
      <c r="A969" s="608">
        <v>504015</v>
      </c>
      <c r="B969" s="609" t="s">
        <v>1747</v>
      </c>
      <c r="C969" s="610">
        <f t="shared" si="99"/>
        <v>0</v>
      </c>
      <c r="D969" s="611">
        <v>0</v>
      </c>
      <c r="E969" s="610">
        <f>SUMIF('Entries 24-25'!$B:$B,A:A,'Entries 24-25'!$D:$D)-SUMIF('Entries 24-25'!$B:$B,A:A,'Entries 24-25'!$E:$E)+SUMIF('IND AS entries 24-25'!$B:$B,A:A,'IND AS entries 24-25'!$D:$D)-SUMIF('IND AS entries 24-25'!$B:$B,A:A,'IND AS entries 24-25'!$E:$E)</f>
        <v>0</v>
      </c>
      <c r="F969" s="611">
        <f t="shared" si="100"/>
        <v>0</v>
      </c>
      <c r="G969" s="610"/>
      <c r="H969" s="610"/>
      <c r="I969" s="611">
        <v>0</v>
      </c>
      <c r="J969" s="610">
        <v>0</v>
      </c>
      <c r="K969" s="611">
        <f t="shared" si="104"/>
        <v>0</v>
      </c>
      <c r="L969" s="612">
        <f>VLOOKUP(A969,'PL Gr'!A:A,1,0)</f>
        <v>504015</v>
      </c>
      <c r="M969" s="612">
        <f t="shared" si="103"/>
        <v>1</v>
      </c>
      <c r="N969" s="613">
        <f t="shared" si="101"/>
        <v>0</v>
      </c>
      <c r="O969" s="613">
        <f>VLOOKUP(A969,'PL Gr'!A:A,1,FALSE)</f>
        <v>504015</v>
      </c>
      <c r="P969" s="613">
        <v>0</v>
      </c>
      <c r="Q969" s="613">
        <f t="shared" si="105"/>
        <v>0</v>
      </c>
      <c r="R969" s="1514"/>
      <c r="S969" s="1617" t="e">
        <f>SUMIF('[105]TB for financial'!$A:$A,A969,'[105]TB for financial'!$E:$E)</f>
        <v>#VALUE!</v>
      </c>
    </row>
    <row r="970" spans="1:19">
      <c r="A970" s="608">
        <v>504016</v>
      </c>
      <c r="B970" s="609" t="s">
        <v>1748</v>
      </c>
      <c r="C970" s="610">
        <f t="shared" si="99"/>
        <v>0</v>
      </c>
      <c r="D970" s="611">
        <v>0</v>
      </c>
      <c r="E970" s="610">
        <f>SUMIF('Entries 24-25'!$B:$B,A:A,'Entries 24-25'!$D:$D)-SUMIF('Entries 24-25'!$B:$B,A:A,'Entries 24-25'!$E:$E)+SUMIF('IND AS entries 24-25'!$B:$B,A:A,'IND AS entries 24-25'!$D:$D)-SUMIF('IND AS entries 24-25'!$B:$B,A:A,'IND AS entries 24-25'!$E:$E)</f>
        <v>0</v>
      </c>
      <c r="F970" s="611">
        <f t="shared" si="100"/>
        <v>0</v>
      </c>
      <c r="G970" s="610"/>
      <c r="H970" s="610"/>
      <c r="I970" s="611">
        <v>0</v>
      </c>
      <c r="J970" s="610">
        <v>0</v>
      </c>
      <c r="K970" s="611">
        <f t="shared" si="104"/>
        <v>0</v>
      </c>
      <c r="L970" s="612">
        <f>VLOOKUP(A970,'PL Gr'!A:A,1,0)</f>
        <v>504016</v>
      </c>
      <c r="M970" s="612">
        <f t="shared" si="103"/>
        <v>1</v>
      </c>
      <c r="N970" s="613">
        <f t="shared" si="101"/>
        <v>0</v>
      </c>
      <c r="O970" s="613">
        <f>VLOOKUP(A970,'PL Gr'!A:A,1,FALSE)</f>
        <v>504016</v>
      </c>
      <c r="P970" s="613">
        <v>0</v>
      </c>
      <c r="Q970" s="613">
        <f t="shared" si="105"/>
        <v>0</v>
      </c>
      <c r="R970" s="1514"/>
      <c r="S970" s="1617" t="e">
        <f>SUMIF('[105]TB for financial'!$A:$A,A970,'[105]TB for financial'!$E:$E)</f>
        <v>#VALUE!</v>
      </c>
    </row>
    <row r="971" spans="1:19">
      <c r="A971" s="608">
        <v>504018</v>
      </c>
      <c r="B971" s="609" t="s">
        <v>1611</v>
      </c>
      <c r="C971" s="610">
        <f t="shared" si="99"/>
        <v>0</v>
      </c>
      <c r="D971" s="611">
        <v>0</v>
      </c>
      <c r="E971" s="610">
        <f>SUMIF('Entries 24-25'!$B:$B,A:A,'Entries 24-25'!$D:$D)-SUMIF('Entries 24-25'!$B:$B,A:A,'Entries 24-25'!$E:$E)+SUMIF('IND AS entries 24-25'!$B:$B,A:A,'IND AS entries 24-25'!$D:$D)-SUMIF('IND AS entries 24-25'!$B:$B,A:A,'IND AS entries 24-25'!$E:$E)</f>
        <v>0</v>
      </c>
      <c r="F971" s="611">
        <f t="shared" si="100"/>
        <v>0</v>
      </c>
      <c r="G971" s="610"/>
      <c r="H971" s="610"/>
      <c r="I971" s="611">
        <v>0</v>
      </c>
      <c r="J971" s="610">
        <v>0</v>
      </c>
      <c r="K971" s="611">
        <f t="shared" si="104"/>
        <v>0</v>
      </c>
      <c r="L971" s="612">
        <f>VLOOKUP(A971,'PL Gr'!A:A,1,0)</f>
        <v>504018</v>
      </c>
      <c r="M971" s="612">
        <f t="shared" si="103"/>
        <v>1</v>
      </c>
      <c r="N971" s="613">
        <f t="shared" si="101"/>
        <v>0</v>
      </c>
      <c r="O971" s="613">
        <f>VLOOKUP(A971,'PL Gr'!A:A,1,FALSE)</f>
        <v>504018</v>
      </c>
      <c r="P971" s="613">
        <v>0</v>
      </c>
      <c r="Q971" s="613">
        <f t="shared" si="105"/>
        <v>0</v>
      </c>
      <c r="R971" s="1514"/>
      <c r="S971" s="1617" t="e">
        <f>SUMIF('[105]TB for financial'!$A:$A,A971,'[105]TB for financial'!$E:$E)</f>
        <v>#VALUE!</v>
      </c>
    </row>
    <row r="972" spans="1:19">
      <c r="A972" s="608">
        <v>504020</v>
      </c>
      <c r="B972" s="609" t="s">
        <v>1749</v>
      </c>
      <c r="C972" s="610">
        <f t="shared" ref="C972:C1032" si="106">K972</f>
        <v>0</v>
      </c>
      <c r="D972" s="611">
        <v>0</v>
      </c>
      <c r="E972" s="610">
        <f>SUMIF('Entries 24-25'!$B:$B,A:A,'Entries 24-25'!$D:$D)-SUMIF('Entries 24-25'!$B:$B,A:A,'Entries 24-25'!$E:$E)+SUMIF('IND AS entries 24-25'!$B:$B,A:A,'IND AS entries 24-25'!$D:$D)-SUMIF('IND AS entries 24-25'!$B:$B,A:A,'IND AS entries 24-25'!$E:$E)</f>
        <v>0</v>
      </c>
      <c r="F972" s="611">
        <f t="shared" si="100"/>
        <v>0</v>
      </c>
      <c r="G972" s="610"/>
      <c r="H972" s="610"/>
      <c r="I972" s="611">
        <v>0</v>
      </c>
      <c r="J972" s="610">
        <v>0</v>
      </c>
      <c r="K972" s="611">
        <f t="shared" si="104"/>
        <v>0</v>
      </c>
      <c r="L972" s="612">
        <f>VLOOKUP(A972,'PL Gr'!A:A,1,0)</f>
        <v>504020</v>
      </c>
      <c r="M972" s="612">
        <f t="shared" si="103"/>
        <v>1</v>
      </c>
      <c r="N972" s="613">
        <f t="shared" si="101"/>
        <v>0</v>
      </c>
      <c r="O972" s="613">
        <f>VLOOKUP(A972,'PL Gr'!A:A,1,FALSE)</f>
        <v>504020</v>
      </c>
      <c r="P972" s="613">
        <v>0</v>
      </c>
      <c r="Q972" s="613">
        <f t="shared" si="105"/>
        <v>0</v>
      </c>
      <c r="R972" s="1514"/>
      <c r="S972" s="1617" t="e">
        <f>SUMIF('[105]TB for financial'!$A:$A,A972,'[105]TB for financial'!$E:$E)</f>
        <v>#VALUE!</v>
      </c>
    </row>
    <row r="973" spans="1:19">
      <c r="A973" s="608">
        <v>504025</v>
      </c>
      <c r="B973" s="609" t="s">
        <v>1750</v>
      </c>
      <c r="C973" s="610">
        <f t="shared" si="106"/>
        <v>0</v>
      </c>
      <c r="D973" s="611">
        <v>0</v>
      </c>
      <c r="E973" s="610">
        <f>SUMIF('Entries 24-25'!$B:$B,A:A,'Entries 24-25'!$D:$D)-SUMIF('Entries 24-25'!$B:$B,A:A,'Entries 24-25'!$E:$E)+SUMIF('IND AS entries 24-25'!$B:$B,A:A,'IND AS entries 24-25'!$D:$D)-SUMIF('IND AS entries 24-25'!$B:$B,A:A,'IND AS entries 24-25'!$E:$E)</f>
        <v>0</v>
      </c>
      <c r="F973" s="611">
        <f t="shared" si="100"/>
        <v>0</v>
      </c>
      <c r="G973" s="610"/>
      <c r="H973" s="610"/>
      <c r="I973" s="611">
        <v>0</v>
      </c>
      <c r="J973" s="610">
        <v>0</v>
      </c>
      <c r="K973" s="611">
        <f t="shared" si="104"/>
        <v>0</v>
      </c>
      <c r="L973" s="612">
        <f>VLOOKUP(A973,'PL Gr'!A:A,1,0)</f>
        <v>504025</v>
      </c>
      <c r="M973" s="612">
        <f t="shared" si="103"/>
        <v>1</v>
      </c>
      <c r="N973" s="613">
        <f t="shared" si="101"/>
        <v>0</v>
      </c>
      <c r="O973" s="613">
        <f>VLOOKUP(A973,'PL Gr'!A:A,1,FALSE)</f>
        <v>504025</v>
      </c>
      <c r="P973" s="613">
        <v>0</v>
      </c>
      <c r="Q973" s="613">
        <f t="shared" si="105"/>
        <v>0</v>
      </c>
      <c r="R973" s="1514"/>
      <c r="S973" s="1617" t="e">
        <f>SUMIF('[105]TB for financial'!$A:$A,A973,'[105]TB for financial'!$E:$E)</f>
        <v>#VALUE!</v>
      </c>
    </row>
    <row r="974" spans="1:19">
      <c r="A974" s="608">
        <v>504030</v>
      </c>
      <c r="B974" s="609" t="s">
        <v>1751</v>
      </c>
      <c r="C974" s="610">
        <f t="shared" si="106"/>
        <v>0</v>
      </c>
      <c r="D974" s="611">
        <v>0</v>
      </c>
      <c r="E974" s="610">
        <f>SUMIF('Entries 24-25'!$B:$B,A:A,'Entries 24-25'!$D:$D)-SUMIF('Entries 24-25'!$B:$B,A:A,'Entries 24-25'!$E:$E)+SUMIF('IND AS entries 24-25'!$B:$B,A:A,'IND AS entries 24-25'!$D:$D)-SUMIF('IND AS entries 24-25'!$B:$B,A:A,'IND AS entries 24-25'!$E:$E)</f>
        <v>0</v>
      </c>
      <c r="F974" s="611">
        <f t="shared" ref="F974:F1038" si="107">SUM(C974:E974)</f>
        <v>0</v>
      </c>
      <c r="G974" s="610"/>
      <c r="H974" s="610"/>
      <c r="I974" s="611">
        <v>0</v>
      </c>
      <c r="J974" s="610">
        <v>0</v>
      </c>
      <c r="K974" s="611">
        <f t="shared" si="104"/>
        <v>0</v>
      </c>
      <c r="L974" s="612">
        <f>VLOOKUP(A974,'PL Gr'!A:A,1,0)</f>
        <v>504030</v>
      </c>
      <c r="M974" s="612">
        <f t="shared" si="103"/>
        <v>1</v>
      </c>
      <c r="N974" s="613">
        <f t="shared" si="101"/>
        <v>0</v>
      </c>
      <c r="O974" s="613">
        <f>VLOOKUP(A974,'PL Gr'!A:A,1,FALSE)</f>
        <v>504030</v>
      </c>
      <c r="P974" s="613">
        <v>0</v>
      </c>
      <c r="Q974" s="613">
        <f t="shared" si="105"/>
        <v>0</v>
      </c>
      <c r="R974" s="1514"/>
      <c r="S974" s="1617" t="e">
        <f>SUMIF('[105]TB for financial'!$A:$A,A974,'[105]TB for financial'!$E:$E)</f>
        <v>#VALUE!</v>
      </c>
    </row>
    <row r="975" spans="1:19">
      <c r="A975" s="608">
        <v>504035</v>
      </c>
      <c r="B975" s="609" t="s">
        <v>1752</v>
      </c>
      <c r="C975" s="610">
        <f t="shared" si="106"/>
        <v>0</v>
      </c>
      <c r="D975" s="611">
        <v>0</v>
      </c>
      <c r="E975" s="610">
        <f>SUMIF('Entries 24-25'!$B:$B,A:A,'Entries 24-25'!$D:$D)-SUMIF('Entries 24-25'!$B:$B,A:A,'Entries 24-25'!$E:$E)+SUMIF('IND AS entries 24-25'!$B:$B,A:A,'IND AS entries 24-25'!$D:$D)-SUMIF('IND AS entries 24-25'!$B:$B,A:A,'IND AS entries 24-25'!$E:$E)</f>
        <v>0</v>
      </c>
      <c r="F975" s="611">
        <f t="shared" si="107"/>
        <v>0</v>
      </c>
      <c r="G975" s="610"/>
      <c r="H975" s="610"/>
      <c r="I975" s="611">
        <v>0</v>
      </c>
      <c r="J975" s="610">
        <v>0</v>
      </c>
      <c r="K975" s="611">
        <f t="shared" si="104"/>
        <v>0</v>
      </c>
      <c r="L975" s="612">
        <f>VLOOKUP(A975,'PL Gr'!A:A,1,0)</f>
        <v>504035</v>
      </c>
      <c r="M975" s="612">
        <f t="shared" si="103"/>
        <v>1</v>
      </c>
      <c r="N975" s="613">
        <f t="shared" si="101"/>
        <v>0</v>
      </c>
      <c r="O975" s="613">
        <f>VLOOKUP(A975,'PL Gr'!A:A,1,FALSE)</f>
        <v>504035</v>
      </c>
      <c r="P975" s="613">
        <v>0</v>
      </c>
      <c r="Q975" s="613">
        <f t="shared" si="105"/>
        <v>0</v>
      </c>
      <c r="R975" s="1514"/>
      <c r="S975" s="1617" t="e">
        <f>SUMIF('[105]TB for financial'!$A:$A,A975,'[105]TB for financial'!$E:$E)</f>
        <v>#VALUE!</v>
      </c>
    </row>
    <row r="976" spans="1:19">
      <c r="A976" s="608">
        <v>504040</v>
      </c>
      <c r="B976" s="609" t="s">
        <v>1753</v>
      </c>
      <c r="C976" s="610">
        <f t="shared" si="106"/>
        <v>0</v>
      </c>
      <c r="D976" s="611">
        <v>0</v>
      </c>
      <c r="E976" s="610">
        <f>SUMIF('Entries 24-25'!$B:$B,A:A,'Entries 24-25'!$D:$D)-SUMIF('Entries 24-25'!$B:$B,A:A,'Entries 24-25'!$E:$E)+SUMIF('IND AS entries 24-25'!$B:$B,A:A,'IND AS entries 24-25'!$D:$D)-SUMIF('IND AS entries 24-25'!$B:$B,A:A,'IND AS entries 24-25'!$E:$E)</f>
        <v>0</v>
      </c>
      <c r="F976" s="611">
        <f t="shared" si="107"/>
        <v>0</v>
      </c>
      <c r="G976" s="610"/>
      <c r="H976" s="610"/>
      <c r="I976" s="611">
        <v>0</v>
      </c>
      <c r="J976" s="610">
        <v>0</v>
      </c>
      <c r="K976" s="611">
        <f t="shared" si="104"/>
        <v>0</v>
      </c>
      <c r="L976" s="612">
        <f>VLOOKUP(A976,'PL Gr'!A:A,1,0)</f>
        <v>504040</v>
      </c>
      <c r="M976" s="612">
        <f t="shared" si="103"/>
        <v>1</v>
      </c>
      <c r="N976" s="613">
        <f t="shared" ref="N976:N1032" si="108">C976-K976</f>
        <v>0</v>
      </c>
      <c r="O976" s="613">
        <f>VLOOKUP(A976,'PL Gr'!A:A,1,FALSE)</f>
        <v>504040</v>
      </c>
      <c r="P976" s="613">
        <v>0</v>
      </c>
      <c r="Q976" s="613">
        <f t="shared" si="105"/>
        <v>0</v>
      </c>
      <c r="R976" s="1514"/>
      <c r="S976" s="1617" t="e">
        <f>SUMIF('[105]TB for financial'!$A:$A,A976,'[105]TB for financial'!$E:$E)</f>
        <v>#VALUE!</v>
      </c>
    </row>
    <row r="977" spans="1:19">
      <c r="A977" s="608">
        <v>504042</v>
      </c>
      <c r="B977" s="609" t="s">
        <v>1754</v>
      </c>
      <c r="C977" s="610">
        <f t="shared" si="106"/>
        <v>0</v>
      </c>
      <c r="D977" s="611">
        <v>0</v>
      </c>
      <c r="E977" s="610">
        <f>SUMIF('Entries 24-25'!$B:$B,A:A,'Entries 24-25'!$D:$D)-SUMIF('Entries 24-25'!$B:$B,A:A,'Entries 24-25'!$E:$E)+SUMIF('IND AS entries 24-25'!$B:$B,A:A,'IND AS entries 24-25'!$D:$D)-SUMIF('IND AS entries 24-25'!$B:$B,A:A,'IND AS entries 24-25'!$E:$E)</f>
        <v>0</v>
      </c>
      <c r="F977" s="611">
        <f t="shared" si="107"/>
        <v>0</v>
      </c>
      <c r="G977" s="610"/>
      <c r="H977" s="610"/>
      <c r="I977" s="611">
        <v>0</v>
      </c>
      <c r="J977" s="610">
        <v>0</v>
      </c>
      <c r="K977" s="611">
        <f t="shared" si="104"/>
        <v>0</v>
      </c>
      <c r="L977" s="612">
        <f>VLOOKUP(A977,'PL Gr'!A:A,1,0)</f>
        <v>504042</v>
      </c>
      <c r="M977" s="612">
        <f t="shared" si="103"/>
        <v>1</v>
      </c>
      <c r="N977" s="613">
        <f t="shared" si="108"/>
        <v>0</v>
      </c>
      <c r="O977" s="613">
        <f>VLOOKUP(A977,'PL Gr'!A:A,1,FALSE)</f>
        <v>504042</v>
      </c>
      <c r="P977" s="613">
        <v>0</v>
      </c>
      <c r="Q977" s="613">
        <f t="shared" si="105"/>
        <v>0</v>
      </c>
      <c r="R977" s="1514"/>
      <c r="S977" s="1617" t="e">
        <f>SUMIF('[105]TB for financial'!$A:$A,A977,'[105]TB for financial'!$E:$E)</f>
        <v>#VALUE!</v>
      </c>
    </row>
    <row r="978" spans="1:19">
      <c r="A978" s="608">
        <v>504044</v>
      </c>
      <c r="B978" s="609" t="s">
        <v>1755</v>
      </c>
      <c r="C978" s="610">
        <f t="shared" si="106"/>
        <v>0</v>
      </c>
      <c r="D978" s="611">
        <v>0</v>
      </c>
      <c r="E978" s="610">
        <f>SUMIF('Entries 24-25'!$B:$B,A:A,'Entries 24-25'!$D:$D)-SUMIF('Entries 24-25'!$B:$B,A:A,'Entries 24-25'!$E:$E)+SUMIF('IND AS entries 24-25'!$B:$B,A:A,'IND AS entries 24-25'!$D:$D)-SUMIF('IND AS entries 24-25'!$B:$B,A:A,'IND AS entries 24-25'!$E:$E)</f>
        <v>0</v>
      </c>
      <c r="F978" s="611">
        <f t="shared" si="107"/>
        <v>0</v>
      </c>
      <c r="G978" s="610"/>
      <c r="H978" s="610"/>
      <c r="I978" s="611">
        <v>0</v>
      </c>
      <c r="J978" s="610">
        <v>0</v>
      </c>
      <c r="K978" s="611">
        <f t="shared" si="104"/>
        <v>0</v>
      </c>
      <c r="L978" s="612">
        <f>VLOOKUP(A978,'PL Gr'!A:A,1,0)</f>
        <v>504044</v>
      </c>
      <c r="M978" s="612">
        <f t="shared" ref="M978:M1009" si="109">COUNTIF(A:A,A978)</f>
        <v>1</v>
      </c>
      <c r="N978" s="613">
        <f t="shared" si="108"/>
        <v>0</v>
      </c>
      <c r="O978" s="613">
        <f>VLOOKUP(A978,'PL Gr'!A:A,1,FALSE)</f>
        <v>504044</v>
      </c>
      <c r="P978" s="613">
        <v>0</v>
      </c>
      <c r="Q978" s="613">
        <f t="shared" si="105"/>
        <v>0</v>
      </c>
      <c r="R978" s="1514"/>
      <c r="S978" s="1617" t="e">
        <f>SUMIF('[105]TB for financial'!$A:$A,A978,'[105]TB for financial'!$E:$E)</f>
        <v>#VALUE!</v>
      </c>
    </row>
    <row r="979" spans="1:19">
      <c r="A979" s="608">
        <v>504045</v>
      </c>
      <c r="B979" s="609" t="s">
        <v>1756</v>
      </c>
      <c r="C979" s="610">
        <f t="shared" si="106"/>
        <v>0</v>
      </c>
      <c r="D979" s="611">
        <v>0</v>
      </c>
      <c r="E979" s="610">
        <f>SUMIF('Entries 24-25'!$B:$B,A:A,'Entries 24-25'!$D:$D)-SUMIF('Entries 24-25'!$B:$B,A:A,'Entries 24-25'!$E:$E)+SUMIF('IND AS entries 24-25'!$B:$B,A:A,'IND AS entries 24-25'!$D:$D)-SUMIF('IND AS entries 24-25'!$B:$B,A:A,'IND AS entries 24-25'!$E:$E)</f>
        <v>0</v>
      </c>
      <c r="F979" s="611">
        <f t="shared" si="107"/>
        <v>0</v>
      </c>
      <c r="G979" s="610"/>
      <c r="H979" s="610"/>
      <c r="I979" s="611">
        <v>0</v>
      </c>
      <c r="J979" s="610">
        <v>0</v>
      </c>
      <c r="K979" s="611">
        <f t="shared" si="104"/>
        <v>0</v>
      </c>
      <c r="L979" s="612">
        <f>VLOOKUP(A979,'PL Gr'!A:A,1,0)</f>
        <v>504045</v>
      </c>
      <c r="M979" s="612">
        <f t="shared" si="109"/>
        <v>1</v>
      </c>
      <c r="N979" s="613">
        <f t="shared" si="108"/>
        <v>0</v>
      </c>
      <c r="O979" s="613">
        <f>VLOOKUP(A979,'PL Gr'!A:A,1,FALSE)</f>
        <v>504045</v>
      </c>
      <c r="P979" s="613">
        <v>0</v>
      </c>
      <c r="Q979" s="613">
        <f t="shared" si="105"/>
        <v>0</v>
      </c>
      <c r="R979" s="1514"/>
      <c r="S979" s="1617" t="e">
        <f>SUMIF('[105]TB for financial'!$A:$A,A979,'[105]TB for financial'!$E:$E)</f>
        <v>#VALUE!</v>
      </c>
    </row>
    <row r="980" spans="1:19">
      <c r="A980" s="608">
        <v>504046</v>
      </c>
      <c r="B980" s="609" t="s">
        <v>1757</v>
      </c>
      <c r="C980" s="610">
        <f t="shared" si="106"/>
        <v>0</v>
      </c>
      <c r="D980" s="611">
        <v>0</v>
      </c>
      <c r="E980" s="610">
        <f>SUMIF('Entries 24-25'!$B:$B,A:A,'Entries 24-25'!$D:$D)-SUMIF('Entries 24-25'!$B:$B,A:A,'Entries 24-25'!$E:$E)+SUMIF('IND AS entries 24-25'!$B:$B,A:A,'IND AS entries 24-25'!$D:$D)-SUMIF('IND AS entries 24-25'!$B:$B,A:A,'IND AS entries 24-25'!$E:$E)</f>
        <v>0</v>
      </c>
      <c r="F980" s="611">
        <f t="shared" si="107"/>
        <v>0</v>
      </c>
      <c r="G980" s="610"/>
      <c r="H980" s="610"/>
      <c r="I980" s="611">
        <v>0</v>
      </c>
      <c r="J980" s="610">
        <v>0</v>
      </c>
      <c r="K980" s="611">
        <f t="shared" si="104"/>
        <v>0</v>
      </c>
      <c r="L980" s="612">
        <f>VLOOKUP(A980,'PL Gr'!A:A,1,0)</f>
        <v>504046</v>
      </c>
      <c r="M980" s="612">
        <f t="shared" si="109"/>
        <v>1</v>
      </c>
      <c r="N980" s="613">
        <f t="shared" si="108"/>
        <v>0</v>
      </c>
      <c r="O980" s="613">
        <f>VLOOKUP(A980,'PL Gr'!A:A,1,FALSE)</f>
        <v>504046</v>
      </c>
      <c r="P980" s="613">
        <v>0</v>
      </c>
      <c r="Q980" s="613">
        <f t="shared" si="105"/>
        <v>0</v>
      </c>
      <c r="R980" s="1514"/>
      <c r="S980" s="1617" t="e">
        <f>SUMIF('[105]TB for financial'!$A:$A,A980,'[105]TB for financial'!$E:$E)</f>
        <v>#VALUE!</v>
      </c>
    </row>
    <row r="981" spans="1:19">
      <c r="A981" s="608">
        <v>504048</v>
      </c>
      <c r="B981" s="609" t="s">
        <v>1758</v>
      </c>
      <c r="C981" s="610">
        <f t="shared" si="106"/>
        <v>0</v>
      </c>
      <c r="D981" s="611">
        <v>0</v>
      </c>
      <c r="E981" s="610">
        <f>SUMIF('Entries 24-25'!$B:$B,A:A,'Entries 24-25'!$D:$D)-SUMIF('Entries 24-25'!$B:$B,A:A,'Entries 24-25'!$E:$E)+SUMIF('IND AS entries 24-25'!$B:$B,A:A,'IND AS entries 24-25'!$D:$D)-SUMIF('IND AS entries 24-25'!$B:$B,A:A,'IND AS entries 24-25'!$E:$E)</f>
        <v>0</v>
      </c>
      <c r="F981" s="611">
        <f t="shared" si="107"/>
        <v>0</v>
      </c>
      <c r="G981" s="610"/>
      <c r="H981" s="610"/>
      <c r="I981" s="611">
        <v>0</v>
      </c>
      <c r="J981" s="610">
        <v>0</v>
      </c>
      <c r="K981" s="611">
        <f t="shared" si="104"/>
        <v>0</v>
      </c>
      <c r="L981" s="612">
        <f>VLOOKUP(A981,'PL Gr'!A:A,1,0)</f>
        <v>504048</v>
      </c>
      <c r="M981" s="612">
        <f t="shared" si="109"/>
        <v>1</v>
      </c>
      <c r="N981" s="613">
        <f t="shared" si="108"/>
        <v>0</v>
      </c>
      <c r="O981" s="613">
        <f>VLOOKUP(A981,'PL Gr'!A:A,1,FALSE)</f>
        <v>504048</v>
      </c>
      <c r="P981" s="613">
        <v>0</v>
      </c>
      <c r="Q981" s="613">
        <f t="shared" si="105"/>
        <v>0</v>
      </c>
      <c r="R981" s="1514"/>
      <c r="S981" s="1617" t="e">
        <f>SUMIF('[105]TB for financial'!$A:$A,A981,'[105]TB for financial'!$E:$E)</f>
        <v>#VALUE!</v>
      </c>
    </row>
    <row r="982" spans="1:19">
      <c r="A982" s="608">
        <v>504052</v>
      </c>
      <c r="B982" s="609" t="s">
        <v>1759</v>
      </c>
      <c r="C982" s="610">
        <f t="shared" si="106"/>
        <v>0</v>
      </c>
      <c r="D982" s="611">
        <v>0</v>
      </c>
      <c r="E982" s="610">
        <f>SUMIF('Entries 24-25'!$B:$B,A:A,'Entries 24-25'!$D:$D)-SUMIF('Entries 24-25'!$B:$B,A:A,'Entries 24-25'!$E:$E)+SUMIF('IND AS entries 24-25'!$B:$B,A:A,'IND AS entries 24-25'!$D:$D)-SUMIF('IND AS entries 24-25'!$B:$B,A:A,'IND AS entries 24-25'!$E:$E)</f>
        <v>0</v>
      </c>
      <c r="F982" s="611">
        <f t="shared" si="107"/>
        <v>0</v>
      </c>
      <c r="G982" s="610"/>
      <c r="H982" s="610"/>
      <c r="I982" s="611">
        <v>0</v>
      </c>
      <c r="J982" s="610">
        <v>0</v>
      </c>
      <c r="K982" s="611">
        <f t="shared" si="104"/>
        <v>0</v>
      </c>
      <c r="L982" s="612">
        <f>VLOOKUP(A982,'PL Gr'!A:A,1,0)</f>
        <v>504052</v>
      </c>
      <c r="M982" s="612">
        <f t="shared" si="109"/>
        <v>1</v>
      </c>
      <c r="N982" s="613">
        <f t="shared" si="108"/>
        <v>0</v>
      </c>
      <c r="O982" s="613">
        <f>VLOOKUP(A982,'PL Gr'!A:A,1,FALSE)</f>
        <v>504052</v>
      </c>
      <c r="P982" s="613">
        <v>0</v>
      </c>
      <c r="Q982" s="613">
        <f t="shared" si="105"/>
        <v>0</v>
      </c>
      <c r="R982" s="1514"/>
      <c r="S982" s="1617" t="e">
        <f>SUMIF('[105]TB for financial'!$A:$A,A982,'[105]TB for financial'!$E:$E)</f>
        <v>#VALUE!</v>
      </c>
    </row>
    <row r="983" spans="1:19">
      <c r="A983" s="608">
        <v>504060</v>
      </c>
      <c r="B983" s="609" t="s">
        <v>1760</v>
      </c>
      <c r="C983" s="610">
        <f t="shared" si="106"/>
        <v>0</v>
      </c>
      <c r="D983" s="611">
        <v>0</v>
      </c>
      <c r="E983" s="610">
        <f>SUMIF('Entries 24-25'!$B:$B,A:A,'Entries 24-25'!$D:$D)-SUMIF('Entries 24-25'!$B:$B,A:A,'Entries 24-25'!$E:$E)+SUMIF('IND AS entries 24-25'!$B:$B,A:A,'IND AS entries 24-25'!$D:$D)-SUMIF('IND AS entries 24-25'!$B:$B,A:A,'IND AS entries 24-25'!$E:$E)</f>
        <v>0</v>
      </c>
      <c r="F983" s="611">
        <f t="shared" si="107"/>
        <v>0</v>
      </c>
      <c r="G983" s="610"/>
      <c r="H983" s="610"/>
      <c r="I983" s="611">
        <v>0</v>
      </c>
      <c r="J983" s="610">
        <v>0</v>
      </c>
      <c r="K983" s="611">
        <f t="shared" si="104"/>
        <v>0</v>
      </c>
      <c r="L983" s="612">
        <f>VLOOKUP(A983,'PL Gr'!A:A,1,0)</f>
        <v>504060</v>
      </c>
      <c r="M983" s="612">
        <f t="shared" si="109"/>
        <v>1</v>
      </c>
      <c r="N983" s="613">
        <f t="shared" si="108"/>
        <v>0</v>
      </c>
      <c r="O983" s="613">
        <f>VLOOKUP(A983,'PL Gr'!A:A,1,FALSE)</f>
        <v>504060</v>
      </c>
      <c r="P983" s="613">
        <v>0</v>
      </c>
      <c r="Q983" s="613">
        <f t="shared" si="105"/>
        <v>0</v>
      </c>
      <c r="R983" s="1514"/>
      <c r="S983" s="1617" t="e">
        <f>SUMIF('[105]TB for financial'!$A:$A,A983,'[105]TB for financial'!$E:$E)</f>
        <v>#VALUE!</v>
      </c>
    </row>
    <row r="984" spans="1:19">
      <c r="A984" s="608">
        <v>504090</v>
      </c>
      <c r="B984" s="609" t="s">
        <v>1761</v>
      </c>
      <c r="C984" s="610">
        <f t="shared" si="106"/>
        <v>0</v>
      </c>
      <c r="D984" s="611">
        <v>0</v>
      </c>
      <c r="E984" s="610">
        <f>SUMIF('Entries 24-25'!$B:$B,A:A,'Entries 24-25'!$D:$D)-SUMIF('Entries 24-25'!$B:$B,A:A,'Entries 24-25'!$E:$E)+SUMIF('IND AS entries 24-25'!$B:$B,A:A,'IND AS entries 24-25'!$D:$D)-SUMIF('IND AS entries 24-25'!$B:$B,A:A,'IND AS entries 24-25'!$E:$E)</f>
        <v>0</v>
      </c>
      <c r="F984" s="611">
        <f t="shared" si="107"/>
        <v>0</v>
      </c>
      <c r="G984" s="610"/>
      <c r="H984" s="610"/>
      <c r="I984" s="611">
        <v>0</v>
      </c>
      <c r="J984" s="610">
        <v>0</v>
      </c>
      <c r="K984" s="611">
        <f t="shared" si="104"/>
        <v>0</v>
      </c>
      <c r="L984" s="612">
        <f>VLOOKUP(A984,'PL Gr'!A:A,1,0)</f>
        <v>504090</v>
      </c>
      <c r="M984" s="612">
        <f t="shared" si="109"/>
        <v>1</v>
      </c>
      <c r="N984" s="613">
        <f t="shared" si="108"/>
        <v>0</v>
      </c>
      <c r="O984" s="613">
        <f>VLOOKUP(A984,'PL Gr'!A:A,1,FALSE)</f>
        <v>504090</v>
      </c>
      <c r="P984" s="613">
        <v>5818838.04</v>
      </c>
      <c r="Q984" s="613">
        <f t="shared" si="105"/>
        <v>-5818838.04</v>
      </c>
      <c r="R984" s="1514"/>
      <c r="S984" s="1617" t="e">
        <f>SUMIF('[105]TB for financial'!$A:$A,A984,'[105]TB for financial'!$E:$E)</f>
        <v>#VALUE!</v>
      </c>
    </row>
    <row r="985" spans="1:19">
      <c r="A985" s="608">
        <v>505010</v>
      </c>
      <c r="B985" s="609" t="s">
        <v>1762</v>
      </c>
      <c r="C985" s="610">
        <f t="shared" si="106"/>
        <v>0</v>
      </c>
      <c r="D985" s="611">
        <v>0</v>
      </c>
      <c r="E985" s="610">
        <f>SUMIF('Entries 24-25'!$B:$B,A:A,'Entries 24-25'!$D:$D)-SUMIF('Entries 24-25'!$B:$B,A:A,'Entries 24-25'!$E:$E)+SUMIF('IND AS entries 24-25'!$B:$B,A:A,'IND AS entries 24-25'!$D:$D)-SUMIF('IND AS entries 24-25'!$B:$B,A:A,'IND AS entries 24-25'!$E:$E)</f>
        <v>0</v>
      </c>
      <c r="F985" s="611">
        <f t="shared" si="107"/>
        <v>0</v>
      </c>
      <c r="G985" s="610"/>
      <c r="H985" s="610"/>
      <c r="I985" s="611">
        <v>0</v>
      </c>
      <c r="J985" s="610">
        <v>0</v>
      </c>
      <c r="K985" s="611">
        <f t="shared" si="104"/>
        <v>0</v>
      </c>
      <c r="L985" s="612">
        <f>VLOOKUP(A985,'PL Gr'!A:A,1,0)</f>
        <v>505010</v>
      </c>
      <c r="M985" s="612">
        <f t="shared" si="109"/>
        <v>1</v>
      </c>
      <c r="N985" s="613">
        <f t="shared" si="108"/>
        <v>0</v>
      </c>
      <c r="O985" s="613">
        <f>VLOOKUP(A985,'PL Gr'!A:A,1,FALSE)</f>
        <v>505010</v>
      </c>
      <c r="P985" s="613">
        <v>0</v>
      </c>
      <c r="Q985" s="613">
        <f t="shared" si="105"/>
        <v>0</v>
      </c>
      <c r="R985" s="1514"/>
      <c r="S985" s="1617" t="e">
        <f>SUMIF('[105]TB for financial'!$A:$A,A985,'[105]TB for financial'!$E:$E)</f>
        <v>#VALUE!</v>
      </c>
    </row>
    <row r="986" spans="1:19">
      <c r="A986" s="608">
        <v>505011</v>
      </c>
      <c r="B986" s="609" t="s">
        <v>1763</v>
      </c>
      <c r="C986" s="610">
        <f t="shared" si="106"/>
        <v>0</v>
      </c>
      <c r="D986" s="611">
        <v>0</v>
      </c>
      <c r="E986" s="610">
        <f>SUMIF('Entries 24-25'!$B:$B,A:A,'Entries 24-25'!$D:$D)-SUMIF('Entries 24-25'!$B:$B,A:A,'Entries 24-25'!$E:$E)+SUMIF('IND AS entries 24-25'!$B:$B,A:A,'IND AS entries 24-25'!$D:$D)-SUMIF('IND AS entries 24-25'!$B:$B,A:A,'IND AS entries 24-25'!$E:$E)</f>
        <v>0</v>
      </c>
      <c r="F986" s="611">
        <f t="shared" si="107"/>
        <v>0</v>
      </c>
      <c r="G986" s="610"/>
      <c r="H986" s="610"/>
      <c r="I986" s="611">
        <v>0</v>
      </c>
      <c r="J986" s="610">
        <v>0</v>
      </c>
      <c r="K986" s="611">
        <f t="shared" si="104"/>
        <v>0</v>
      </c>
      <c r="L986" s="612">
        <f>VLOOKUP(A986,'PL Gr'!A:A,1,0)</f>
        <v>505011</v>
      </c>
      <c r="M986" s="612">
        <f t="shared" si="109"/>
        <v>1</v>
      </c>
      <c r="N986" s="613">
        <f t="shared" si="108"/>
        <v>0</v>
      </c>
      <c r="O986" s="613">
        <f>VLOOKUP(A986,'PL Gr'!A:A,1,FALSE)</f>
        <v>505011</v>
      </c>
      <c r="P986" s="613">
        <v>1875316</v>
      </c>
      <c r="Q986" s="613">
        <f t="shared" si="105"/>
        <v>-1875316</v>
      </c>
      <c r="R986" s="1514"/>
      <c r="S986" s="1617" t="e">
        <f>SUMIF('[105]TB for financial'!$A:$A,A986,'[105]TB for financial'!$E:$E)</f>
        <v>#VALUE!</v>
      </c>
    </row>
    <row r="987" spans="1:19">
      <c r="A987" s="608">
        <v>505012</v>
      </c>
      <c r="B987" s="609" t="s">
        <v>1764</v>
      </c>
      <c r="C987" s="610">
        <f t="shared" si="106"/>
        <v>0</v>
      </c>
      <c r="D987" s="611">
        <v>0</v>
      </c>
      <c r="E987" s="610">
        <f>SUMIF('Entries 24-25'!$B:$B,A:A,'Entries 24-25'!$D:$D)-SUMIF('Entries 24-25'!$B:$B,A:A,'Entries 24-25'!$E:$E)+SUMIF('IND AS entries 24-25'!$B:$B,A:A,'IND AS entries 24-25'!$D:$D)-SUMIF('IND AS entries 24-25'!$B:$B,A:A,'IND AS entries 24-25'!$E:$E)</f>
        <v>0</v>
      </c>
      <c r="F987" s="611">
        <f t="shared" si="107"/>
        <v>0</v>
      </c>
      <c r="G987" s="610"/>
      <c r="H987" s="610"/>
      <c r="I987" s="611">
        <v>0</v>
      </c>
      <c r="J987" s="610">
        <v>0</v>
      </c>
      <c r="K987" s="611">
        <f t="shared" si="104"/>
        <v>0</v>
      </c>
      <c r="L987" s="612">
        <f>VLOOKUP(A987,'PL Gr'!A:A,1,0)</f>
        <v>505012</v>
      </c>
      <c r="M987" s="612">
        <f t="shared" si="109"/>
        <v>1</v>
      </c>
      <c r="N987" s="613">
        <f t="shared" si="108"/>
        <v>0</v>
      </c>
      <c r="O987" s="613">
        <f>VLOOKUP(A987,'PL Gr'!A:A,1,FALSE)</f>
        <v>505012</v>
      </c>
      <c r="P987" s="613">
        <v>63747</v>
      </c>
      <c r="Q987" s="613">
        <f t="shared" si="105"/>
        <v>-63747</v>
      </c>
      <c r="R987" s="1514"/>
      <c r="S987" s="1617" t="e">
        <f>SUMIF('[105]TB for financial'!$A:$A,A987,'[105]TB for financial'!$E:$E)</f>
        <v>#VALUE!</v>
      </c>
    </row>
    <row r="988" spans="1:19">
      <c r="A988" s="608">
        <v>505013</v>
      </c>
      <c r="B988" s="609" t="s">
        <v>1765</v>
      </c>
      <c r="C988" s="610">
        <f t="shared" si="106"/>
        <v>0</v>
      </c>
      <c r="D988" s="611">
        <v>0</v>
      </c>
      <c r="E988" s="610">
        <f>SUMIF('Entries 24-25'!$B:$B,A:A,'Entries 24-25'!$D:$D)-SUMIF('Entries 24-25'!$B:$B,A:A,'Entries 24-25'!$E:$E)+SUMIF('IND AS entries 24-25'!$B:$B,A:A,'IND AS entries 24-25'!$D:$D)-SUMIF('IND AS entries 24-25'!$B:$B,A:A,'IND AS entries 24-25'!$E:$E)</f>
        <v>0</v>
      </c>
      <c r="F988" s="611">
        <f t="shared" si="107"/>
        <v>0</v>
      </c>
      <c r="G988" s="610"/>
      <c r="H988" s="610"/>
      <c r="I988" s="611">
        <v>0</v>
      </c>
      <c r="J988" s="610">
        <v>0</v>
      </c>
      <c r="K988" s="611">
        <f t="shared" si="104"/>
        <v>0</v>
      </c>
      <c r="L988" s="612">
        <f>VLOOKUP(A988,'PL Gr'!A:A,1,0)</f>
        <v>505013</v>
      </c>
      <c r="M988" s="612">
        <f t="shared" si="109"/>
        <v>1</v>
      </c>
      <c r="N988" s="613">
        <f t="shared" si="108"/>
        <v>0</v>
      </c>
      <c r="O988" s="613">
        <f>VLOOKUP(A988,'PL Gr'!A:A,1,FALSE)</f>
        <v>505013</v>
      </c>
      <c r="P988" s="613">
        <v>0</v>
      </c>
      <c r="Q988" s="613">
        <f t="shared" si="105"/>
        <v>0</v>
      </c>
      <c r="R988" s="1514"/>
      <c r="S988" s="1617" t="e">
        <f>SUMIF('[105]TB for financial'!$A:$A,A988,'[105]TB for financial'!$E:$E)</f>
        <v>#VALUE!</v>
      </c>
    </row>
    <row r="989" spans="1:19">
      <c r="A989" s="608">
        <v>505015</v>
      </c>
      <c r="B989" s="609" t="s">
        <v>1766</v>
      </c>
      <c r="C989" s="610">
        <f t="shared" si="106"/>
        <v>0</v>
      </c>
      <c r="D989" s="611">
        <v>0</v>
      </c>
      <c r="E989" s="610">
        <f>SUMIF('Entries 24-25'!$B:$B,A:A,'Entries 24-25'!$D:$D)-SUMIF('Entries 24-25'!$B:$B,A:A,'Entries 24-25'!$E:$E)+SUMIF('IND AS entries 24-25'!$B:$B,A:A,'IND AS entries 24-25'!$D:$D)-SUMIF('IND AS entries 24-25'!$B:$B,A:A,'IND AS entries 24-25'!$E:$E)</f>
        <v>0</v>
      </c>
      <c r="F989" s="611">
        <f t="shared" si="107"/>
        <v>0</v>
      </c>
      <c r="G989" s="610"/>
      <c r="H989" s="610"/>
      <c r="I989" s="611">
        <v>0</v>
      </c>
      <c r="J989" s="610">
        <v>0</v>
      </c>
      <c r="K989" s="611">
        <f t="shared" si="104"/>
        <v>0</v>
      </c>
      <c r="L989" s="612">
        <f>VLOOKUP(A989,'PL Gr'!A:A,1,0)</f>
        <v>505015</v>
      </c>
      <c r="M989" s="612">
        <f t="shared" si="109"/>
        <v>1</v>
      </c>
      <c r="N989" s="613">
        <f t="shared" si="108"/>
        <v>0</v>
      </c>
      <c r="O989" s="613">
        <f>VLOOKUP(A989,'PL Gr'!A:A,1,FALSE)</f>
        <v>505015</v>
      </c>
      <c r="P989" s="613">
        <v>48324.75</v>
      </c>
      <c r="Q989" s="613">
        <f t="shared" si="105"/>
        <v>-48324.75</v>
      </c>
      <c r="R989" s="1514"/>
      <c r="S989" s="1617" t="e">
        <f>SUMIF('[105]TB for financial'!$A:$A,A989,'[105]TB for financial'!$E:$E)</f>
        <v>#VALUE!</v>
      </c>
    </row>
    <row r="990" spans="1:19">
      <c r="A990" s="608">
        <v>505017</v>
      </c>
      <c r="B990" s="609" t="s">
        <v>1229</v>
      </c>
      <c r="C990" s="610">
        <f t="shared" si="106"/>
        <v>0</v>
      </c>
      <c r="D990" s="611">
        <v>0</v>
      </c>
      <c r="E990" s="610">
        <f>SUMIF('Entries 24-25'!$B:$B,A:A,'Entries 24-25'!$D:$D)-SUMIF('Entries 24-25'!$B:$B,A:A,'Entries 24-25'!$E:$E)+SUMIF('IND AS entries 24-25'!$B:$B,A:A,'IND AS entries 24-25'!$D:$D)-SUMIF('IND AS entries 24-25'!$B:$B,A:A,'IND AS entries 24-25'!$E:$E)</f>
        <v>0</v>
      </c>
      <c r="F990" s="611">
        <f t="shared" si="107"/>
        <v>0</v>
      </c>
      <c r="G990" s="610"/>
      <c r="H990" s="610"/>
      <c r="I990" s="611">
        <v>0</v>
      </c>
      <c r="J990" s="610">
        <v>0</v>
      </c>
      <c r="K990" s="611">
        <f t="shared" si="104"/>
        <v>0</v>
      </c>
      <c r="L990" s="612">
        <f>VLOOKUP(A990,'PL Gr'!A:A,1,0)</f>
        <v>505017</v>
      </c>
      <c r="M990" s="612">
        <f t="shared" si="109"/>
        <v>1</v>
      </c>
      <c r="N990" s="613">
        <f t="shared" si="108"/>
        <v>0</v>
      </c>
      <c r="O990" s="613">
        <f>VLOOKUP(A990,'PL Gr'!A:A,1,FALSE)</f>
        <v>505017</v>
      </c>
      <c r="P990" s="613">
        <v>0</v>
      </c>
      <c r="Q990" s="613">
        <f t="shared" si="105"/>
        <v>0</v>
      </c>
      <c r="R990" s="1514"/>
      <c r="S990" s="1617" t="e">
        <f>SUMIF('[105]TB for financial'!$A:$A,A990,'[105]TB for financial'!$E:$E)</f>
        <v>#VALUE!</v>
      </c>
    </row>
    <row r="991" spans="1:19">
      <c r="A991" s="608">
        <v>505019</v>
      </c>
      <c r="B991" s="615" t="s">
        <v>1767</v>
      </c>
      <c r="C991" s="610">
        <f t="shared" si="106"/>
        <v>0</v>
      </c>
      <c r="D991" s="611">
        <v>0</v>
      </c>
      <c r="E991" s="610">
        <f>SUMIF('Entries 24-25'!$B:$B,A:A,'Entries 24-25'!$D:$D)-SUMIF('Entries 24-25'!$B:$B,A:A,'Entries 24-25'!$E:$E)+SUMIF('IND AS entries 24-25'!$B:$B,A:A,'IND AS entries 24-25'!$D:$D)-SUMIF('IND AS entries 24-25'!$B:$B,A:A,'IND AS entries 24-25'!$E:$E)</f>
        <v>0</v>
      </c>
      <c r="F991" s="611">
        <f t="shared" si="107"/>
        <v>0</v>
      </c>
      <c r="G991" s="610"/>
      <c r="H991" s="610"/>
      <c r="I991" s="611">
        <v>0</v>
      </c>
      <c r="J991" s="610">
        <v>0</v>
      </c>
      <c r="K991" s="611">
        <f t="shared" si="104"/>
        <v>0</v>
      </c>
      <c r="L991" s="612">
        <f>VLOOKUP(A991,'PL Gr'!A:A,1,0)</f>
        <v>505019</v>
      </c>
      <c r="M991" s="612">
        <f t="shared" si="109"/>
        <v>1</v>
      </c>
      <c r="N991" s="613">
        <f t="shared" si="108"/>
        <v>0</v>
      </c>
      <c r="O991" s="613">
        <f>VLOOKUP(A991,'PL Gr'!A:A,1,FALSE)</f>
        <v>505019</v>
      </c>
      <c r="P991" s="613">
        <v>0</v>
      </c>
      <c r="Q991" s="613">
        <f t="shared" si="105"/>
        <v>0</v>
      </c>
      <c r="R991" s="1514"/>
      <c r="S991" s="1617" t="e">
        <f>SUMIF('[105]TB for financial'!$A:$A,A991,'[105]TB for financial'!$E:$E)</f>
        <v>#VALUE!</v>
      </c>
    </row>
    <row r="992" spans="1:19">
      <c r="A992" s="608">
        <v>505020</v>
      </c>
      <c r="B992" s="609" t="s">
        <v>1768</v>
      </c>
      <c r="C992" s="610">
        <f t="shared" si="106"/>
        <v>0</v>
      </c>
      <c r="D992" s="611">
        <v>0</v>
      </c>
      <c r="E992" s="610">
        <f>SUMIF('Entries 24-25'!$B:$B,A:A,'Entries 24-25'!$D:$D)-SUMIF('Entries 24-25'!$B:$B,A:A,'Entries 24-25'!$E:$E)+SUMIF('IND AS entries 24-25'!$B:$B,A:A,'IND AS entries 24-25'!$D:$D)-SUMIF('IND AS entries 24-25'!$B:$B,A:A,'IND AS entries 24-25'!$E:$E)</f>
        <v>0</v>
      </c>
      <c r="F992" s="611">
        <f t="shared" si="107"/>
        <v>0</v>
      </c>
      <c r="G992" s="610"/>
      <c r="H992" s="610"/>
      <c r="I992" s="611">
        <v>0</v>
      </c>
      <c r="J992" s="610">
        <v>0</v>
      </c>
      <c r="K992" s="611">
        <f t="shared" si="104"/>
        <v>0</v>
      </c>
      <c r="L992" s="612">
        <f>VLOOKUP(A992,'PL Gr'!A:A,1,0)</f>
        <v>505020</v>
      </c>
      <c r="M992" s="612">
        <f t="shared" si="109"/>
        <v>1</v>
      </c>
      <c r="N992" s="613">
        <f t="shared" si="108"/>
        <v>0</v>
      </c>
      <c r="O992" s="613">
        <f>VLOOKUP(A992,'PL Gr'!A:A,1,FALSE)</f>
        <v>505020</v>
      </c>
      <c r="P992" s="613">
        <v>0</v>
      </c>
      <c r="Q992" s="613">
        <f t="shared" si="105"/>
        <v>0</v>
      </c>
      <c r="R992" s="1514"/>
      <c r="S992" s="1617" t="e">
        <f>SUMIF('[105]TB for financial'!$A:$A,A992,'[105]TB for financial'!$E:$E)</f>
        <v>#VALUE!</v>
      </c>
    </row>
    <row r="993" spans="1:20">
      <c r="A993" s="608">
        <v>505025</v>
      </c>
      <c r="B993" s="609" t="s">
        <v>1769</v>
      </c>
      <c r="C993" s="610">
        <f t="shared" si="106"/>
        <v>0</v>
      </c>
      <c r="D993" s="611">
        <v>0</v>
      </c>
      <c r="E993" s="610">
        <f>SUMIF('Entries 24-25'!$B:$B,A:A,'Entries 24-25'!$D:$D)-SUMIF('Entries 24-25'!$B:$B,A:A,'Entries 24-25'!$E:$E)+SUMIF('IND AS entries 24-25'!$B:$B,A:A,'IND AS entries 24-25'!$D:$D)-SUMIF('IND AS entries 24-25'!$B:$B,A:A,'IND AS entries 24-25'!$E:$E)</f>
        <v>0</v>
      </c>
      <c r="F993" s="611">
        <f t="shared" si="107"/>
        <v>0</v>
      </c>
      <c r="G993" s="610"/>
      <c r="H993" s="610"/>
      <c r="I993" s="611">
        <v>0</v>
      </c>
      <c r="J993" s="610">
        <v>0</v>
      </c>
      <c r="K993" s="611">
        <f t="shared" si="104"/>
        <v>0</v>
      </c>
      <c r="L993" s="612">
        <f>VLOOKUP(A993,'PL Gr'!A:A,1,0)</f>
        <v>505025</v>
      </c>
      <c r="M993" s="612">
        <f t="shared" si="109"/>
        <v>1</v>
      </c>
      <c r="N993" s="613">
        <f t="shared" si="108"/>
        <v>0</v>
      </c>
      <c r="O993" s="613">
        <f>VLOOKUP(A993,'PL Gr'!A:A,1,FALSE)</f>
        <v>505025</v>
      </c>
      <c r="P993" s="613">
        <v>991621.25</v>
      </c>
      <c r="Q993" s="613">
        <f t="shared" si="105"/>
        <v>-991621.25</v>
      </c>
      <c r="R993" s="1514"/>
      <c r="S993" s="1617" t="e">
        <f>SUMIF('[105]TB for financial'!$A:$A,A993,'[105]TB for financial'!$E:$E)</f>
        <v>#VALUE!</v>
      </c>
    </row>
    <row r="994" spans="1:20">
      <c r="A994" s="608">
        <v>505026</v>
      </c>
      <c r="B994" s="609" t="s">
        <v>1770</v>
      </c>
      <c r="C994" s="610">
        <f t="shared" si="106"/>
        <v>0</v>
      </c>
      <c r="D994" s="611">
        <v>0</v>
      </c>
      <c r="E994" s="610">
        <f>SUMIF('Entries 24-25'!$B:$B,A:A,'Entries 24-25'!$D:$D)-SUMIF('Entries 24-25'!$B:$B,A:A,'Entries 24-25'!$E:$E)+SUMIF('IND AS entries 24-25'!$B:$B,A:A,'IND AS entries 24-25'!$D:$D)-SUMIF('IND AS entries 24-25'!$B:$B,A:A,'IND AS entries 24-25'!$E:$E)</f>
        <v>0</v>
      </c>
      <c r="F994" s="611">
        <f t="shared" si="107"/>
        <v>0</v>
      </c>
      <c r="G994" s="610"/>
      <c r="H994" s="610"/>
      <c r="I994" s="611">
        <v>0</v>
      </c>
      <c r="J994" s="610">
        <v>0</v>
      </c>
      <c r="K994" s="611">
        <f t="shared" si="104"/>
        <v>0</v>
      </c>
      <c r="L994" s="612">
        <f>VLOOKUP(A994,'PL Gr'!A:A,1,0)</f>
        <v>505026</v>
      </c>
      <c r="M994" s="612">
        <f t="shared" si="109"/>
        <v>1</v>
      </c>
      <c r="N994" s="613">
        <f t="shared" si="108"/>
        <v>0</v>
      </c>
      <c r="O994" s="613">
        <f>VLOOKUP(A994,'PL Gr'!A:A,1,FALSE)</f>
        <v>505026</v>
      </c>
      <c r="P994" s="613">
        <v>1070729</v>
      </c>
      <c r="Q994" s="613">
        <f t="shared" si="105"/>
        <v>-1070729</v>
      </c>
      <c r="R994" s="1514"/>
      <c r="S994" s="1617" t="e">
        <f>SUMIF('[105]TB for financial'!$A:$A,A994,'[105]TB for financial'!$E:$E)</f>
        <v>#VALUE!</v>
      </c>
    </row>
    <row r="995" spans="1:20">
      <c r="A995" s="608">
        <v>505027</v>
      </c>
      <c r="B995" s="609" t="s">
        <v>1771</v>
      </c>
      <c r="C995" s="610">
        <f t="shared" si="106"/>
        <v>0</v>
      </c>
      <c r="D995" s="611">
        <v>0</v>
      </c>
      <c r="E995" s="610">
        <f>SUMIF('Entries 24-25'!$B:$B,A:A,'Entries 24-25'!$D:$D)-SUMIF('Entries 24-25'!$B:$B,A:A,'Entries 24-25'!$E:$E)+SUMIF('IND AS entries 24-25'!$B:$B,A:A,'IND AS entries 24-25'!$D:$D)-SUMIF('IND AS entries 24-25'!$B:$B,A:A,'IND AS entries 24-25'!$E:$E)</f>
        <v>0</v>
      </c>
      <c r="F995" s="611">
        <f t="shared" si="107"/>
        <v>0</v>
      </c>
      <c r="G995" s="610"/>
      <c r="H995" s="610"/>
      <c r="I995" s="611">
        <v>0</v>
      </c>
      <c r="J995" s="610">
        <v>0</v>
      </c>
      <c r="K995" s="611">
        <f t="shared" si="104"/>
        <v>0</v>
      </c>
      <c r="L995" s="612">
        <f>VLOOKUP(A995,'PL Gr'!A:A,1,0)</f>
        <v>505027</v>
      </c>
      <c r="M995" s="612">
        <f t="shared" si="109"/>
        <v>1</v>
      </c>
      <c r="N995" s="613">
        <f t="shared" si="108"/>
        <v>0</v>
      </c>
      <c r="O995" s="613">
        <f>VLOOKUP(A995,'PL Gr'!A:A,1,FALSE)</f>
        <v>505027</v>
      </c>
      <c r="P995" s="613">
        <v>0</v>
      </c>
      <c r="Q995" s="613">
        <f t="shared" si="105"/>
        <v>0</v>
      </c>
      <c r="R995" s="1514"/>
      <c r="S995" s="1617" t="e">
        <f>SUMIF('[105]TB for financial'!$A:$A,A995,'[105]TB for financial'!$E:$E)</f>
        <v>#VALUE!</v>
      </c>
    </row>
    <row r="996" spans="1:20">
      <c r="A996" s="608">
        <v>505028</v>
      </c>
      <c r="B996" s="609" t="s">
        <v>1772</v>
      </c>
      <c r="C996" s="610">
        <f t="shared" si="106"/>
        <v>0</v>
      </c>
      <c r="D996" s="611">
        <v>0</v>
      </c>
      <c r="E996" s="610">
        <f>SUMIF('Entries 24-25'!$B:$B,A:A,'Entries 24-25'!$D:$D)-SUMIF('Entries 24-25'!$B:$B,A:A,'Entries 24-25'!$E:$E)+SUMIF('IND AS entries 24-25'!$B:$B,A:A,'IND AS entries 24-25'!$D:$D)-SUMIF('IND AS entries 24-25'!$B:$B,A:A,'IND AS entries 24-25'!$E:$E)</f>
        <v>0</v>
      </c>
      <c r="F996" s="611">
        <f t="shared" si="107"/>
        <v>0</v>
      </c>
      <c r="G996" s="610"/>
      <c r="H996" s="610"/>
      <c r="I996" s="611">
        <v>0</v>
      </c>
      <c r="J996" s="610">
        <v>0</v>
      </c>
      <c r="K996" s="611">
        <f t="shared" si="104"/>
        <v>0</v>
      </c>
      <c r="L996" s="612">
        <f>VLOOKUP(A996,'PL Gr'!A:A,1,0)</f>
        <v>505028</v>
      </c>
      <c r="M996" s="612">
        <f t="shared" si="109"/>
        <v>1</v>
      </c>
      <c r="N996" s="613">
        <f t="shared" si="108"/>
        <v>0</v>
      </c>
      <c r="O996" s="613">
        <f>VLOOKUP(A996,'PL Gr'!A:A,1,FALSE)</f>
        <v>505028</v>
      </c>
      <c r="P996" s="613">
        <v>0</v>
      </c>
      <c r="Q996" s="613">
        <f t="shared" si="105"/>
        <v>0</v>
      </c>
      <c r="R996" s="1514"/>
      <c r="S996" s="1617" t="e">
        <f>SUMIF('[105]TB for financial'!$A:$A,A996,'[105]TB for financial'!$E:$E)</f>
        <v>#VALUE!</v>
      </c>
    </row>
    <row r="997" spans="1:20">
      <c r="A997" s="608">
        <v>505029</v>
      </c>
      <c r="B997" s="609" t="s">
        <v>1773</v>
      </c>
      <c r="C997" s="610">
        <f t="shared" si="106"/>
        <v>0</v>
      </c>
      <c r="D997" s="611">
        <v>0</v>
      </c>
      <c r="E997" s="610">
        <f>SUMIF('Entries 24-25'!$B:$B,A:A,'Entries 24-25'!$D:$D)-SUMIF('Entries 24-25'!$B:$B,A:A,'Entries 24-25'!$E:$E)+SUMIF('IND AS entries 24-25'!$B:$B,A:A,'IND AS entries 24-25'!$D:$D)-SUMIF('IND AS entries 24-25'!$B:$B,A:A,'IND AS entries 24-25'!$E:$E)</f>
        <v>0</v>
      </c>
      <c r="F997" s="611">
        <f t="shared" si="107"/>
        <v>0</v>
      </c>
      <c r="G997" s="610"/>
      <c r="H997" s="610"/>
      <c r="I997" s="611">
        <v>0</v>
      </c>
      <c r="J997" s="610">
        <v>0</v>
      </c>
      <c r="K997" s="611">
        <f t="shared" si="104"/>
        <v>0</v>
      </c>
      <c r="L997" s="612">
        <f>VLOOKUP(A997,'PL Gr'!A:A,1,0)</f>
        <v>505029</v>
      </c>
      <c r="M997" s="612">
        <f t="shared" si="109"/>
        <v>1</v>
      </c>
      <c r="N997" s="613">
        <f t="shared" si="108"/>
        <v>0</v>
      </c>
      <c r="O997" s="613">
        <f>VLOOKUP(A997,'PL Gr'!A:A,1,FALSE)</f>
        <v>505029</v>
      </c>
      <c r="P997" s="613">
        <v>0</v>
      </c>
      <c r="Q997" s="613">
        <f t="shared" si="105"/>
        <v>0</v>
      </c>
      <c r="R997" s="1514"/>
      <c r="S997" s="1617" t="e">
        <f>SUMIF('[105]TB for financial'!$A:$A,A997,'[105]TB for financial'!$E:$E)</f>
        <v>#VALUE!</v>
      </c>
    </row>
    <row r="998" spans="1:20">
      <c r="A998" s="608">
        <v>505030</v>
      </c>
      <c r="B998" s="609" t="s">
        <v>1774</v>
      </c>
      <c r="C998" s="610">
        <f t="shared" si="106"/>
        <v>0</v>
      </c>
      <c r="D998" s="611">
        <v>0</v>
      </c>
      <c r="E998" s="610">
        <f>SUMIF('Entries 24-25'!$B:$B,A:A,'Entries 24-25'!$D:$D)-SUMIF('Entries 24-25'!$B:$B,A:A,'Entries 24-25'!$E:$E)+SUMIF('IND AS entries 24-25'!$B:$B,A:A,'IND AS entries 24-25'!$D:$D)-SUMIF('IND AS entries 24-25'!$B:$B,A:A,'IND AS entries 24-25'!$E:$E)</f>
        <v>0</v>
      </c>
      <c r="F998" s="611">
        <f t="shared" si="107"/>
        <v>0</v>
      </c>
      <c r="G998" s="610"/>
      <c r="H998" s="610"/>
      <c r="I998" s="611">
        <v>0</v>
      </c>
      <c r="J998" s="610">
        <v>0</v>
      </c>
      <c r="K998" s="611">
        <f t="shared" si="104"/>
        <v>0</v>
      </c>
      <c r="L998" s="612">
        <f>VLOOKUP(A998,'PL Gr'!A:A,1,0)</f>
        <v>505030</v>
      </c>
      <c r="M998" s="612">
        <f t="shared" si="109"/>
        <v>1</v>
      </c>
      <c r="N998" s="613">
        <f t="shared" si="108"/>
        <v>0</v>
      </c>
      <c r="O998" s="613">
        <f>VLOOKUP(A998,'PL Gr'!A:A,1,FALSE)</f>
        <v>505030</v>
      </c>
      <c r="P998" s="613">
        <v>0</v>
      </c>
      <c r="Q998" s="613">
        <f t="shared" si="105"/>
        <v>0</v>
      </c>
      <c r="R998" s="1514"/>
      <c r="S998" s="1617" t="e">
        <f>SUMIF('[105]TB for financial'!$A:$A,A998,'[105]TB for financial'!$E:$E)</f>
        <v>#VALUE!</v>
      </c>
    </row>
    <row r="999" spans="1:20">
      <c r="A999" s="608">
        <v>505031</v>
      </c>
      <c r="B999" s="609" t="s">
        <v>1775</v>
      </c>
      <c r="C999" s="610">
        <f t="shared" si="106"/>
        <v>0</v>
      </c>
      <c r="D999" s="611">
        <v>0</v>
      </c>
      <c r="E999" s="610">
        <f>SUMIF('Entries 24-25'!$B:$B,A:A,'Entries 24-25'!$D:$D)-SUMIF('Entries 24-25'!$B:$B,A:A,'Entries 24-25'!$E:$E)+SUMIF('IND AS entries 24-25'!$B:$B,A:A,'IND AS entries 24-25'!$D:$D)-SUMIF('IND AS entries 24-25'!$B:$B,A:A,'IND AS entries 24-25'!$E:$E)</f>
        <v>0</v>
      </c>
      <c r="F999" s="611">
        <f t="shared" si="107"/>
        <v>0</v>
      </c>
      <c r="G999" s="610"/>
      <c r="H999" s="610"/>
      <c r="I999" s="611">
        <v>0</v>
      </c>
      <c r="J999" s="610">
        <v>0</v>
      </c>
      <c r="K999" s="611">
        <f t="shared" si="104"/>
        <v>0</v>
      </c>
      <c r="L999" s="612">
        <f>VLOOKUP(A999,'PL Gr'!A:A,1,0)</f>
        <v>505031</v>
      </c>
      <c r="M999" s="612">
        <f t="shared" si="109"/>
        <v>1</v>
      </c>
      <c r="N999" s="613">
        <f t="shared" si="108"/>
        <v>0</v>
      </c>
      <c r="O999" s="613">
        <f>VLOOKUP(A999,'PL Gr'!A:A,1,FALSE)</f>
        <v>505031</v>
      </c>
      <c r="P999" s="613">
        <v>113731</v>
      </c>
      <c r="Q999" s="613">
        <f t="shared" si="105"/>
        <v>-113731</v>
      </c>
      <c r="R999" s="1514"/>
      <c r="S999" s="1617" t="e">
        <f>SUMIF('[105]TB for financial'!$A:$A,A999,'[105]TB for financial'!$E:$E)</f>
        <v>#VALUE!</v>
      </c>
    </row>
    <row r="1000" spans="1:20">
      <c r="A1000" s="608">
        <v>505032</v>
      </c>
      <c r="B1000" s="609" t="s">
        <v>1776</v>
      </c>
      <c r="C1000" s="610">
        <f t="shared" si="106"/>
        <v>0</v>
      </c>
      <c r="D1000" s="611">
        <v>0</v>
      </c>
      <c r="E1000" s="610">
        <f>SUMIF('Entries 24-25'!$B:$B,A:A,'Entries 24-25'!$D:$D)-SUMIF('Entries 24-25'!$B:$B,A:A,'Entries 24-25'!$E:$E)+SUMIF('IND AS entries 24-25'!$B:$B,A:A,'IND AS entries 24-25'!$D:$D)-SUMIF('IND AS entries 24-25'!$B:$B,A:A,'IND AS entries 24-25'!$E:$E)</f>
        <v>0</v>
      </c>
      <c r="F1000" s="611">
        <f t="shared" si="107"/>
        <v>0</v>
      </c>
      <c r="G1000" s="610"/>
      <c r="H1000" s="610"/>
      <c r="I1000" s="611">
        <v>0</v>
      </c>
      <c r="J1000" s="610">
        <v>0</v>
      </c>
      <c r="K1000" s="611">
        <f t="shared" si="104"/>
        <v>0</v>
      </c>
      <c r="L1000" s="612">
        <f>VLOOKUP(A1000,'PL Gr'!A:A,1,0)</f>
        <v>505032</v>
      </c>
      <c r="M1000" s="612">
        <f t="shared" si="109"/>
        <v>1</v>
      </c>
      <c r="N1000" s="613">
        <f t="shared" si="108"/>
        <v>0</v>
      </c>
      <c r="O1000" s="613">
        <f>VLOOKUP(A1000,'PL Gr'!A:A,1,FALSE)</f>
        <v>505032</v>
      </c>
      <c r="P1000" s="613"/>
      <c r="Q1000" s="613"/>
      <c r="R1000" s="1514"/>
      <c r="S1000" s="1617" t="e">
        <f>SUMIF('[105]TB for financial'!$A:$A,A1000,'[105]TB for financial'!$E:$E)</f>
        <v>#VALUE!</v>
      </c>
    </row>
    <row r="1001" spans="1:20">
      <c r="A1001" s="608">
        <v>505035</v>
      </c>
      <c r="B1001" s="609" t="s">
        <v>1777</v>
      </c>
      <c r="C1001" s="610">
        <f t="shared" si="106"/>
        <v>0</v>
      </c>
      <c r="D1001" s="611">
        <v>0</v>
      </c>
      <c r="E1001" s="610">
        <f>SUMIF('Entries 24-25'!$B:$B,A:A,'Entries 24-25'!$D:$D)-SUMIF('Entries 24-25'!$B:$B,A:A,'Entries 24-25'!$E:$E)+SUMIF('IND AS entries 24-25'!$B:$B,A:A,'IND AS entries 24-25'!$D:$D)-SUMIF('IND AS entries 24-25'!$B:$B,A:A,'IND AS entries 24-25'!$E:$E)</f>
        <v>0</v>
      </c>
      <c r="F1001" s="611">
        <f t="shared" si="107"/>
        <v>0</v>
      </c>
      <c r="G1001" s="610"/>
      <c r="H1001" s="610"/>
      <c r="I1001" s="611">
        <v>0</v>
      </c>
      <c r="J1001" s="610">
        <v>0</v>
      </c>
      <c r="K1001" s="611">
        <f t="shared" si="104"/>
        <v>0</v>
      </c>
      <c r="L1001" s="612">
        <f>VLOOKUP(A1001,'PL Gr'!A:A,1,0)</f>
        <v>505035</v>
      </c>
      <c r="M1001" s="612">
        <f t="shared" si="109"/>
        <v>1</v>
      </c>
      <c r="N1001" s="613">
        <f t="shared" si="108"/>
        <v>0</v>
      </c>
      <c r="O1001" s="613">
        <f>VLOOKUP(A1001,'PL Gr'!A:A,1,FALSE)</f>
        <v>505035</v>
      </c>
      <c r="P1001" s="613">
        <v>5631</v>
      </c>
      <c r="Q1001" s="613">
        <f t="shared" si="105"/>
        <v>-5631</v>
      </c>
      <c r="R1001" s="1514"/>
      <c r="S1001" s="1617" t="e">
        <f>SUMIF('[105]TB for financial'!$A:$A,A1001,'[105]TB for financial'!$E:$E)</f>
        <v>#VALUE!</v>
      </c>
    </row>
    <row r="1002" spans="1:20">
      <c r="A1002" s="608">
        <v>505040</v>
      </c>
      <c r="B1002" s="609" t="s">
        <v>1778</v>
      </c>
      <c r="C1002" s="610">
        <f t="shared" si="106"/>
        <v>0</v>
      </c>
      <c r="D1002" s="611">
        <v>0</v>
      </c>
      <c r="E1002" s="610">
        <f>SUMIF('Entries 24-25'!$B:$B,A:A,'Entries 24-25'!$D:$D)-SUMIF('Entries 24-25'!$B:$B,A:A,'Entries 24-25'!$E:$E)+SUMIF('IND AS entries 24-25'!$B:$B,A:A,'IND AS entries 24-25'!$D:$D)-SUMIF('IND AS entries 24-25'!$B:$B,A:A,'IND AS entries 24-25'!$E:$E)</f>
        <v>0</v>
      </c>
      <c r="F1002" s="611">
        <f t="shared" si="107"/>
        <v>0</v>
      </c>
      <c r="G1002" s="610"/>
      <c r="H1002" s="610"/>
      <c r="I1002" s="611">
        <v>0</v>
      </c>
      <c r="J1002" s="610">
        <v>0</v>
      </c>
      <c r="K1002" s="611">
        <f t="shared" si="104"/>
        <v>0</v>
      </c>
      <c r="L1002" s="612">
        <f>VLOOKUP(A1002,'PL Gr'!A:A,1,0)</f>
        <v>505040</v>
      </c>
      <c r="M1002" s="612">
        <f t="shared" si="109"/>
        <v>1</v>
      </c>
      <c r="N1002" s="613">
        <f t="shared" si="108"/>
        <v>0</v>
      </c>
      <c r="O1002" s="613">
        <f>VLOOKUP(A1002,'PL Gr'!A:A,1,FALSE)</f>
        <v>505040</v>
      </c>
      <c r="P1002" s="613">
        <v>0</v>
      </c>
      <c r="Q1002" s="613">
        <f t="shared" si="105"/>
        <v>0</v>
      </c>
      <c r="R1002" s="1514"/>
      <c r="S1002" s="1617" t="e">
        <f>SUMIF('[105]TB for financial'!$A:$A,A1002,'[105]TB for financial'!$E:$E)</f>
        <v>#VALUE!</v>
      </c>
    </row>
    <row r="1003" spans="1:20">
      <c r="A1003" s="608">
        <v>505043</v>
      </c>
      <c r="B1003" s="615" t="s">
        <v>1779</v>
      </c>
      <c r="C1003" s="610">
        <f t="shared" si="106"/>
        <v>0</v>
      </c>
      <c r="D1003" s="611">
        <v>0</v>
      </c>
      <c r="E1003" s="610">
        <f>SUMIF('Entries 24-25'!$B:$B,A:A,'Entries 24-25'!$D:$D)-SUMIF('Entries 24-25'!$B:$B,A:A,'Entries 24-25'!$E:$E)+SUMIF('IND AS entries 24-25'!$B:$B,A:A,'IND AS entries 24-25'!$D:$D)-SUMIF('IND AS entries 24-25'!$B:$B,A:A,'IND AS entries 24-25'!$E:$E)</f>
        <v>0</v>
      </c>
      <c r="F1003" s="611">
        <f t="shared" si="107"/>
        <v>0</v>
      </c>
      <c r="G1003" s="610"/>
      <c r="H1003" s="610"/>
      <c r="I1003" s="611">
        <v>0</v>
      </c>
      <c r="J1003" s="610">
        <v>0</v>
      </c>
      <c r="K1003" s="611">
        <f t="shared" si="104"/>
        <v>0</v>
      </c>
      <c r="L1003" s="612">
        <f>VLOOKUP(A1003,'PL Gr'!A:A,1,0)</f>
        <v>505043</v>
      </c>
      <c r="M1003" s="612">
        <f t="shared" si="109"/>
        <v>1</v>
      </c>
      <c r="N1003" s="613">
        <f t="shared" si="108"/>
        <v>0</v>
      </c>
      <c r="O1003" s="613">
        <f>VLOOKUP(A1003,'PL Gr'!A:A,1,FALSE)</f>
        <v>505043</v>
      </c>
      <c r="P1003" s="613">
        <v>0</v>
      </c>
      <c r="Q1003" s="613">
        <f t="shared" si="105"/>
        <v>0</v>
      </c>
      <c r="R1003" s="1514"/>
      <c r="S1003" s="1617" t="e">
        <f>SUMIF('[105]TB for financial'!$A:$A,A1003,'[105]TB for financial'!$E:$E)</f>
        <v>#VALUE!</v>
      </c>
    </row>
    <row r="1004" spans="1:20">
      <c r="A1004" s="608">
        <v>505053</v>
      </c>
      <c r="B1004" s="615" t="s">
        <v>2286</v>
      </c>
      <c r="C1004" s="610">
        <f t="shared" si="106"/>
        <v>0</v>
      </c>
      <c r="D1004" s="611">
        <v>0</v>
      </c>
      <c r="E1004" s="610">
        <f>SUMIF('Entries 24-25'!$B:$B,A:A,'Entries 24-25'!$D:$D)-SUMIF('Entries 24-25'!$B:$B,A:A,'Entries 24-25'!$E:$E)+SUMIF('IND AS entries 24-25'!$B:$B,A:A,'IND AS entries 24-25'!$D:$D)-SUMIF('IND AS entries 24-25'!$B:$B,A:A,'IND AS entries 24-25'!$E:$E)</f>
        <v>0</v>
      </c>
      <c r="F1004" s="611">
        <f t="shared" si="107"/>
        <v>0</v>
      </c>
      <c r="G1004" s="610"/>
      <c r="H1004" s="610"/>
      <c r="I1004" s="611">
        <v>0</v>
      </c>
      <c r="J1004" s="610">
        <v>0</v>
      </c>
      <c r="K1004" s="611">
        <f t="shared" si="104"/>
        <v>0</v>
      </c>
      <c r="L1004" s="612">
        <f>VLOOKUP(A1004,'PL Gr'!A:A,1,0)</f>
        <v>505053</v>
      </c>
      <c r="M1004" s="612">
        <f t="shared" si="109"/>
        <v>1</v>
      </c>
      <c r="N1004" s="613">
        <f t="shared" si="108"/>
        <v>0</v>
      </c>
      <c r="O1004" s="613">
        <f>VLOOKUP(A1004,'PL Gr'!A:A,1,FALSE)</f>
        <v>505053</v>
      </c>
      <c r="P1004" s="613"/>
      <c r="Q1004" s="613"/>
      <c r="R1004" s="1514"/>
      <c r="S1004" s="1617" t="e">
        <f>SUMIF('[105]TB for financial'!$A:$A,A1004,'[105]TB for financial'!$E:$E)</f>
        <v>#VALUE!</v>
      </c>
    </row>
    <row r="1005" spans="1:20">
      <c r="A1005" s="608">
        <v>601010</v>
      </c>
      <c r="B1005" s="609" t="s">
        <v>1780</v>
      </c>
      <c r="C1005" s="610">
        <f t="shared" si="106"/>
        <v>0</v>
      </c>
      <c r="D1005" s="611">
        <v>0</v>
      </c>
      <c r="E1005" s="610">
        <f>SUMIF('Entries 24-25'!$B:$B,A:A,'Entries 24-25'!$D:$D)-SUMIF('Entries 24-25'!$B:$B,A:A,'Entries 24-25'!$E:$E)+SUMIF('IND AS entries 24-25'!$B:$B,A:A,'IND AS entries 24-25'!$D:$D)-SUMIF('IND AS entries 24-25'!$B:$B,A:A,'IND AS entries 24-25'!$E:$E)</f>
        <v>0</v>
      </c>
      <c r="F1005" s="611">
        <f t="shared" si="107"/>
        <v>0</v>
      </c>
      <c r="G1005" s="610"/>
      <c r="H1005" s="610"/>
      <c r="I1005" s="611">
        <v>0</v>
      </c>
      <c r="J1005" s="610">
        <v>0</v>
      </c>
      <c r="K1005" s="611">
        <f t="shared" si="104"/>
        <v>0</v>
      </c>
      <c r="L1005" s="612">
        <f>VLOOKUP(A1005,'PL Gr'!A:A,1,0)</f>
        <v>601010</v>
      </c>
      <c r="M1005" s="612">
        <f t="shared" si="109"/>
        <v>1</v>
      </c>
      <c r="N1005" s="613">
        <f t="shared" si="108"/>
        <v>0</v>
      </c>
      <c r="O1005" s="613">
        <f>VLOOKUP(A1005,'PL Gr'!A:A,1,FALSE)</f>
        <v>601010</v>
      </c>
      <c r="P1005" s="613">
        <v>-26502680.469999999</v>
      </c>
      <c r="Q1005" s="613">
        <f t="shared" si="105"/>
        <v>26502680.469999999</v>
      </c>
      <c r="R1005" s="1514"/>
      <c r="S1005" s="1617" t="e">
        <f>SUMIF('[105]TB for financial'!$A:$A,A1005,'[105]TB for financial'!$E:$E)</f>
        <v>#VALUE!</v>
      </c>
      <c r="T1005" s="613"/>
    </row>
    <row r="1006" spans="1:20">
      <c r="A1006" s="608">
        <v>601011</v>
      </c>
      <c r="B1006" s="609" t="s">
        <v>1781</v>
      </c>
      <c r="C1006" s="610">
        <f t="shared" si="106"/>
        <v>0</v>
      </c>
      <c r="D1006" s="611">
        <v>0</v>
      </c>
      <c r="E1006" s="610">
        <f>SUMIF('Entries 24-25'!$B:$B,A:A,'Entries 24-25'!$D:$D)-SUMIF('Entries 24-25'!$B:$B,A:A,'Entries 24-25'!$E:$E)+SUMIF('IND AS entries 24-25'!$B:$B,A:A,'IND AS entries 24-25'!$D:$D)-SUMIF('IND AS entries 24-25'!$B:$B,A:A,'IND AS entries 24-25'!$E:$E)</f>
        <v>0</v>
      </c>
      <c r="F1006" s="611">
        <f t="shared" si="107"/>
        <v>0</v>
      </c>
      <c r="G1006" s="610"/>
      <c r="H1006" s="610"/>
      <c r="I1006" s="611">
        <v>0</v>
      </c>
      <c r="J1006" s="610">
        <v>0</v>
      </c>
      <c r="K1006" s="611">
        <f t="shared" si="104"/>
        <v>0</v>
      </c>
      <c r="L1006" s="612">
        <f>VLOOKUP(A1006,'PL Gr'!A:A,1,0)</f>
        <v>601011</v>
      </c>
      <c r="M1006" s="612">
        <f t="shared" si="109"/>
        <v>1</v>
      </c>
      <c r="N1006" s="613">
        <f t="shared" si="108"/>
        <v>0</v>
      </c>
      <c r="O1006" s="613">
        <f>VLOOKUP(A1006,'PL Gr'!A:A,1,FALSE)</f>
        <v>601011</v>
      </c>
      <c r="P1006" s="613">
        <v>-1653813.6396160005</v>
      </c>
      <c r="Q1006" s="613">
        <f t="shared" si="105"/>
        <v>1653813.6396160005</v>
      </c>
      <c r="R1006" s="1514"/>
      <c r="S1006" s="1617" t="e">
        <f>SUMIF('[105]TB for financial'!$A:$A,A1006,'[105]TB for financial'!$E:$E)</f>
        <v>#VALUE!</v>
      </c>
      <c r="T1006" s="613"/>
    </row>
    <row r="1007" spans="1:20">
      <c r="A1007" s="608">
        <v>601012</v>
      </c>
      <c r="B1007" s="609" t="s">
        <v>781</v>
      </c>
      <c r="C1007" s="610">
        <f t="shared" si="106"/>
        <v>0</v>
      </c>
      <c r="D1007" s="611">
        <v>0</v>
      </c>
      <c r="E1007" s="610">
        <f>SUMIF('Entries 24-25'!$B:$B,A:A,'Entries 24-25'!$D:$D)-SUMIF('Entries 24-25'!$B:$B,A:A,'Entries 24-25'!$E:$E)+SUMIF('IND AS entries 24-25'!$B:$B,A:A,'IND AS entries 24-25'!$D:$D)-SUMIF('IND AS entries 24-25'!$B:$B,A:A,'IND AS entries 24-25'!$E:$E)</f>
        <v>0</v>
      </c>
      <c r="F1007" s="611">
        <f t="shared" si="107"/>
        <v>0</v>
      </c>
      <c r="G1007" s="610"/>
      <c r="H1007" s="610"/>
      <c r="I1007" s="611">
        <v>0</v>
      </c>
      <c r="J1007" s="610">
        <v>0</v>
      </c>
      <c r="K1007" s="611">
        <f t="shared" si="104"/>
        <v>0</v>
      </c>
      <c r="L1007" s="612">
        <f>VLOOKUP(A1007,'PL Gr'!A:A,1,0)</f>
        <v>601012</v>
      </c>
      <c r="M1007" s="612">
        <f t="shared" si="109"/>
        <v>1</v>
      </c>
      <c r="N1007" s="613">
        <f t="shared" si="108"/>
        <v>0</v>
      </c>
      <c r="O1007" s="613">
        <f>VLOOKUP(A1007,'PL Gr'!A:A,1,FALSE)</f>
        <v>601012</v>
      </c>
      <c r="P1007" s="613">
        <v>0</v>
      </c>
      <c r="Q1007" s="613">
        <f t="shared" si="105"/>
        <v>0</v>
      </c>
      <c r="R1007" s="1514"/>
      <c r="S1007" s="1617" t="e">
        <f>SUMIF('[105]TB for financial'!$A:$A,A1007,'[105]TB for financial'!$E:$E)</f>
        <v>#VALUE!</v>
      </c>
      <c r="T1007" s="613"/>
    </row>
    <row r="1008" spans="1:20">
      <c r="A1008" s="608">
        <v>601013</v>
      </c>
      <c r="B1008" s="609" t="s">
        <v>1782</v>
      </c>
      <c r="C1008" s="610">
        <f t="shared" si="106"/>
        <v>0</v>
      </c>
      <c r="D1008" s="611">
        <v>0</v>
      </c>
      <c r="E1008" s="610">
        <f>SUMIF('Entries 24-25'!$B:$B,A:A,'Entries 24-25'!$D:$D)-SUMIF('Entries 24-25'!$B:$B,A:A,'Entries 24-25'!$E:$E)+SUMIF('IND AS entries 24-25'!$B:$B,A:A,'IND AS entries 24-25'!$D:$D)-SUMIF('IND AS entries 24-25'!$B:$B,A:A,'IND AS entries 24-25'!$E:$E)</f>
        <v>0</v>
      </c>
      <c r="F1008" s="611">
        <f t="shared" si="107"/>
        <v>0</v>
      </c>
      <c r="G1008" s="610"/>
      <c r="H1008" s="610"/>
      <c r="I1008" s="611">
        <v>0</v>
      </c>
      <c r="J1008" s="610">
        <v>0</v>
      </c>
      <c r="K1008" s="611">
        <f t="shared" si="104"/>
        <v>0</v>
      </c>
      <c r="L1008" s="612">
        <f>VLOOKUP(A1008,'PL Gr'!A:A,1,0)</f>
        <v>601013</v>
      </c>
      <c r="M1008" s="612">
        <f t="shared" si="109"/>
        <v>1</v>
      </c>
      <c r="N1008" s="613">
        <f t="shared" si="108"/>
        <v>0</v>
      </c>
      <c r="O1008" s="613">
        <f>VLOOKUP(A1008,'PL Gr'!A:A,1,FALSE)</f>
        <v>601013</v>
      </c>
      <c r="P1008" s="613">
        <v>-3161370.9254946047</v>
      </c>
      <c r="Q1008" s="613">
        <f t="shared" si="105"/>
        <v>3161370.9254946047</v>
      </c>
      <c r="R1008" s="1514"/>
      <c r="S1008" s="1617" t="e">
        <f>SUMIF('[105]TB for financial'!$A:$A,A1008,'[105]TB for financial'!$E:$E)</f>
        <v>#VALUE!</v>
      </c>
      <c r="T1008" s="613"/>
    </row>
    <row r="1009" spans="1:20">
      <c r="A1009" s="608">
        <v>601023</v>
      </c>
      <c r="B1009" s="609" t="s">
        <v>2299</v>
      </c>
      <c r="C1009" s="610">
        <f t="shared" si="106"/>
        <v>0</v>
      </c>
      <c r="D1009" s="611">
        <v>0</v>
      </c>
      <c r="E1009" s="610">
        <f>SUMIF('Entries 24-25'!$B:$B,A:A,'Entries 24-25'!$D:$D)-SUMIF('Entries 24-25'!$B:$B,A:A,'Entries 24-25'!$E:$E)+SUMIF('IND AS entries 24-25'!$B:$B,A:A,'IND AS entries 24-25'!$D:$D)-SUMIF('IND AS entries 24-25'!$B:$B,A:A,'IND AS entries 24-25'!$E:$E)</f>
        <v>0</v>
      </c>
      <c r="F1009" s="611">
        <f t="shared" si="107"/>
        <v>0</v>
      </c>
      <c r="G1009" s="610"/>
      <c r="H1009" s="610"/>
      <c r="I1009" s="611">
        <v>0</v>
      </c>
      <c r="J1009" s="610">
        <v>0</v>
      </c>
      <c r="K1009" s="611">
        <f t="shared" si="104"/>
        <v>0</v>
      </c>
      <c r="L1009" s="612">
        <f>VLOOKUP(A1009,'PL Gr'!A:A,1,0)</f>
        <v>601023</v>
      </c>
      <c r="M1009" s="612">
        <f t="shared" si="109"/>
        <v>1</v>
      </c>
      <c r="N1009" s="613">
        <f t="shared" si="108"/>
        <v>0</v>
      </c>
      <c r="O1009" s="613">
        <f>VLOOKUP(A1009,'PL Gr'!A:A,1,FALSE)</f>
        <v>601023</v>
      </c>
      <c r="P1009" s="613"/>
      <c r="Q1009" s="613"/>
      <c r="R1009" s="1514"/>
      <c r="S1009" s="1617" t="e">
        <f>SUMIF('[105]TB for financial'!$A:$A,A1009,'[105]TB for financial'!$E:$E)</f>
        <v>#VALUE!</v>
      </c>
      <c r="T1009" s="613"/>
    </row>
    <row r="1010" spans="1:20">
      <c r="A1010" s="608">
        <v>601032</v>
      </c>
      <c r="B1010" s="609" t="s">
        <v>1783</v>
      </c>
      <c r="C1010" s="610">
        <f t="shared" si="106"/>
        <v>0</v>
      </c>
      <c r="D1010" s="611">
        <v>0</v>
      </c>
      <c r="E1010" s="610">
        <f>SUMIF('Entries 24-25'!$B:$B,A:A,'Entries 24-25'!$D:$D)-SUMIF('Entries 24-25'!$B:$B,A:A,'Entries 24-25'!$E:$E)+SUMIF('IND AS entries 24-25'!$B:$B,A:A,'IND AS entries 24-25'!$D:$D)-SUMIF('IND AS entries 24-25'!$B:$B,A:A,'IND AS entries 24-25'!$E:$E)</f>
        <v>0</v>
      </c>
      <c r="F1010" s="611">
        <f t="shared" si="107"/>
        <v>0</v>
      </c>
      <c r="G1010" s="610"/>
      <c r="H1010" s="610"/>
      <c r="I1010" s="611">
        <v>0</v>
      </c>
      <c r="J1010" s="610">
        <v>0</v>
      </c>
      <c r="K1010" s="611">
        <f t="shared" si="104"/>
        <v>0</v>
      </c>
      <c r="L1010" s="612">
        <f>VLOOKUP(A1010,'PL Gr'!A:A,1,0)</f>
        <v>601032</v>
      </c>
      <c r="M1010" s="612">
        <f t="shared" ref="M1010:M1031" si="110">COUNTIF(A:A,A1010)</f>
        <v>1</v>
      </c>
      <c r="N1010" s="613">
        <f t="shared" si="108"/>
        <v>0</v>
      </c>
      <c r="O1010" s="613">
        <f>VLOOKUP(A1010,'PL Gr'!A:A,1,FALSE)</f>
        <v>601032</v>
      </c>
      <c r="P1010" s="613"/>
      <c r="Q1010" s="613"/>
      <c r="R1010" s="1514"/>
      <c r="S1010" s="1617" t="e">
        <f>SUMIF('[105]TB for financial'!$A:$A,A1010,'[105]TB for financial'!$E:$E)</f>
        <v>#VALUE!</v>
      </c>
      <c r="T1010" s="613"/>
    </row>
    <row r="1011" spans="1:20">
      <c r="A1011" s="608">
        <v>601033</v>
      </c>
      <c r="B1011" s="609" t="s">
        <v>1784</v>
      </c>
      <c r="C1011" s="610">
        <f t="shared" si="106"/>
        <v>0</v>
      </c>
      <c r="D1011" s="611">
        <v>0</v>
      </c>
      <c r="E1011" s="610">
        <f>SUMIF('Entries 24-25'!$B:$B,A:A,'Entries 24-25'!$D:$D)-SUMIF('Entries 24-25'!$B:$B,A:A,'Entries 24-25'!$E:$E)+SUMIF('IND AS entries 24-25'!$B:$B,A:A,'IND AS entries 24-25'!$D:$D)-SUMIF('IND AS entries 24-25'!$B:$B,A:A,'IND AS entries 24-25'!$E:$E)</f>
        <v>0</v>
      </c>
      <c r="F1011" s="611">
        <f t="shared" si="107"/>
        <v>0</v>
      </c>
      <c r="G1011" s="610"/>
      <c r="H1011" s="610"/>
      <c r="I1011" s="611">
        <v>0</v>
      </c>
      <c r="J1011" s="610">
        <v>0</v>
      </c>
      <c r="K1011" s="611">
        <f t="shared" si="104"/>
        <v>0</v>
      </c>
      <c r="L1011" s="612">
        <f>VLOOKUP(A1011,'PL Gr'!A:A,1,0)</f>
        <v>601033</v>
      </c>
      <c r="M1011" s="612">
        <f t="shared" si="110"/>
        <v>1</v>
      </c>
      <c r="N1011" s="613">
        <f t="shared" si="108"/>
        <v>0</v>
      </c>
      <c r="O1011" s="613">
        <f>VLOOKUP(A1011,'PL Gr'!A:A,1,FALSE)</f>
        <v>601033</v>
      </c>
      <c r="P1011" s="613"/>
      <c r="Q1011" s="613"/>
      <c r="R1011" s="1514"/>
      <c r="S1011" s="1617" t="e">
        <f>SUMIF('[105]TB for financial'!$A:$A,A1011,'[105]TB for financial'!$E:$E)</f>
        <v>#VALUE!</v>
      </c>
      <c r="T1011" s="613"/>
    </row>
    <row r="1012" spans="1:20">
      <c r="A1012" s="608">
        <v>601014</v>
      </c>
      <c r="B1012" s="609" t="s">
        <v>786</v>
      </c>
      <c r="C1012" s="610">
        <f t="shared" si="106"/>
        <v>0</v>
      </c>
      <c r="D1012" s="611">
        <v>0</v>
      </c>
      <c r="E1012" s="610">
        <f>SUMIF('Entries 24-25'!$B:$B,A:A,'Entries 24-25'!$D:$D)-SUMIF('Entries 24-25'!$B:$B,A:A,'Entries 24-25'!$E:$E)+SUMIF('IND AS entries 24-25'!$B:$B,A:A,'IND AS entries 24-25'!$D:$D)-SUMIF('IND AS entries 24-25'!$B:$B,A:A,'IND AS entries 24-25'!$E:$E)</f>
        <v>0</v>
      </c>
      <c r="F1012" s="611">
        <f t="shared" si="107"/>
        <v>0</v>
      </c>
      <c r="G1012" s="610"/>
      <c r="H1012" s="610"/>
      <c r="I1012" s="611">
        <v>0</v>
      </c>
      <c r="J1012" s="610">
        <v>0</v>
      </c>
      <c r="K1012" s="611">
        <f t="shared" si="104"/>
        <v>0</v>
      </c>
      <c r="L1012" s="612">
        <f>VLOOKUP(A1012,'PL Gr'!A:A,1,0)</f>
        <v>601014</v>
      </c>
      <c r="M1012" s="612">
        <f t="shared" si="110"/>
        <v>1</v>
      </c>
      <c r="N1012" s="613">
        <f t="shared" si="108"/>
        <v>0</v>
      </c>
      <c r="O1012" s="613">
        <f>VLOOKUP(A1012,'PL Gr'!A:A,1,FALSE)</f>
        <v>601014</v>
      </c>
      <c r="P1012" s="613">
        <v>-261</v>
      </c>
      <c r="Q1012" s="613">
        <f t="shared" si="105"/>
        <v>261</v>
      </c>
      <c r="R1012" s="1514"/>
      <c r="S1012" s="1617" t="e">
        <f>SUMIF('[105]TB for financial'!$A:$A,A1012,'[105]TB for financial'!$E:$E)</f>
        <v>#VALUE!</v>
      </c>
      <c r="T1012" s="613"/>
    </row>
    <row r="1013" spans="1:20">
      <c r="A1013" s="608">
        <v>601015</v>
      </c>
      <c r="B1013" s="609" t="s">
        <v>1785</v>
      </c>
      <c r="C1013" s="610">
        <f t="shared" si="106"/>
        <v>0</v>
      </c>
      <c r="D1013" s="611">
        <v>0</v>
      </c>
      <c r="E1013" s="610">
        <f>SUMIF('Entries 24-25'!$B:$B,A:A,'Entries 24-25'!$D:$D)-SUMIF('Entries 24-25'!$B:$B,A:A,'Entries 24-25'!$E:$E)+SUMIF('IND AS entries 24-25'!$B:$B,A:A,'IND AS entries 24-25'!$D:$D)-SUMIF('IND AS entries 24-25'!$B:$B,A:A,'IND AS entries 24-25'!$E:$E)</f>
        <v>0</v>
      </c>
      <c r="F1013" s="611">
        <f t="shared" si="107"/>
        <v>0</v>
      </c>
      <c r="G1013" s="610"/>
      <c r="H1013" s="610"/>
      <c r="I1013" s="611">
        <v>0</v>
      </c>
      <c r="J1013" s="610">
        <v>0</v>
      </c>
      <c r="K1013" s="611">
        <f t="shared" si="104"/>
        <v>0</v>
      </c>
      <c r="L1013" s="612">
        <f>VLOOKUP(A1013,'PL Gr'!A:A,1,0)</f>
        <v>601015</v>
      </c>
      <c r="M1013" s="612">
        <f t="shared" si="110"/>
        <v>1</v>
      </c>
      <c r="N1013" s="613">
        <f t="shared" si="108"/>
        <v>0</v>
      </c>
      <c r="O1013" s="613">
        <f>VLOOKUP(A1013,'PL Gr'!A:A,1,FALSE)</f>
        <v>601015</v>
      </c>
      <c r="P1013" s="613">
        <v>0</v>
      </c>
      <c r="Q1013" s="613">
        <f t="shared" si="105"/>
        <v>0</v>
      </c>
      <c r="R1013" s="1514"/>
      <c r="S1013" s="1617" t="e">
        <f>SUMIF('[105]TB for financial'!$A:$A,A1013,'[105]TB for financial'!$E:$E)</f>
        <v>#VALUE!</v>
      </c>
      <c r="T1013" s="613"/>
    </row>
    <row r="1014" spans="1:20">
      <c r="A1014" s="608">
        <v>601016</v>
      </c>
      <c r="B1014" s="609" t="s">
        <v>1786</v>
      </c>
      <c r="C1014" s="610">
        <f t="shared" si="106"/>
        <v>0</v>
      </c>
      <c r="D1014" s="611">
        <v>0</v>
      </c>
      <c r="E1014" s="610">
        <f>SUMIF('Entries 24-25'!$B:$B,A:A,'Entries 24-25'!$D:$D)-SUMIF('Entries 24-25'!$B:$B,A:A,'Entries 24-25'!$E:$E)+SUMIF('IND AS entries 24-25'!$B:$B,A:A,'IND AS entries 24-25'!$D:$D)-SUMIF('IND AS entries 24-25'!$B:$B,A:A,'IND AS entries 24-25'!$E:$E)</f>
        <v>0</v>
      </c>
      <c r="F1014" s="611">
        <f t="shared" si="107"/>
        <v>0</v>
      </c>
      <c r="G1014" s="610"/>
      <c r="H1014" s="610"/>
      <c r="I1014" s="611">
        <v>0</v>
      </c>
      <c r="J1014" s="610">
        <v>0</v>
      </c>
      <c r="K1014" s="611">
        <f t="shared" si="104"/>
        <v>0</v>
      </c>
      <c r="L1014" s="612">
        <f>VLOOKUP(A1014,'PL Gr'!A:A,1,0)</f>
        <v>601016</v>
      </c>
      <c r="M1014" s="612">
        <f t="shared" si="110"/>
        <v>1</v>
      </c>
      <c r="N1014" s="613">
        <f t="shared" si="108"/>
        <v>0</v>
      </c>
      <c r="O1014" s="613">
        <f>VLOOKUP(A1014,'PL Gr'!A:A,1,FALSE)</f>
        <v>601016</v>
      </c>
      <c r="P1014" s="613">
        <v>0</v>
      </c>
      <c r="Q1014" s="613">
        <f t="shared" si="105"/>
        <v>0</v>
      </c>
      <c r="R1014" s="1514"/>
      <c r="S1014" s="1617" t="e">
        <f>SUMIF('[105]TB for financial'!$A:$A,A1014,'[105]TB for financial'!$E:$E)</f>
        <v>#VALUE!</v>
      </c>
      <c r="T1014" s="613"/>
    </row>
    <row r="1015" spans="1:20">
      <c r="A1015" s="608">
        <v>601017</v>
      </c>
      <c r="B1015" s="609" t="s">
        <v>1787</v>
      </c>
      <c r="C1015" s="610">
        <f t="shared" si="106"/>
        <v>0</v>
      </c>
      <c r="D1015" s="611">
        <v>0</v>
      </c>
      <c r="E1015" s="610">
        <f>SUMIF('Entries 24-25'!$B:$B,A:A,'Entries 24-25'!$D:$D)-SUMIF('Entries 24-25'!$B:$B,A:A,'Entries 24-25'!$E:$E)+SUMIF('IND AS entries 24-25'!$B:$B,A:A,'IND AS entries 24-25'!$D:$D)-SUMIF('IND AS entries 24-25'!$B:$B,A:A,'IND AS entries 24-25'!$E:$E)</f>
        <v>0</v>
      </c>
      <c r="F1015" s="611">
        <f t="shared" si="107"/>
        <v>0</v>
      </c>
      <c r="G1015" s="610"/>
      <c r="H1015" s="610"/>
      <c r="I1015" s="611">
        <v>0</v>
      </c>
      <c r="J1015" s="610">
        <v>0</v>
      </c>
      <c r="K1015" s="611">
        <f t="shared" si="104"/>
        <v>0</v>
      </c>
      <c r="L1015" s="612">
        <f>VLOOKUP(A1015,'PL Gr'!A:A,1,0)</f>
        <v>601017</v>
      </c>
      <c r="M1015" s="612">
        <f t="shared" si="110"/>
        <v>1</v>
      </c>
      <c r="N1015" s="613">
        <f t="shared" si="108"/>
        <v>0</v>
      </c>
      <c r="O1015" s="613">
        <f>VLOOKUP(A1015,'PL Gr'!A:A,1,FALSE)</f>
        <v>601017</v>
      </c>
      <c r="P1015" s="613">
        <v>-1777079.08</v>
      </c>
      <c r="Q1015" s="613">
        <f t="shared" si="105"/>
        <v>1777079.08</v>
      </c>
      <c r="R1015" s="1514"/>
      <c r="S1015" s="1617" t="e">
        <f>SUMIF('[105]TB for financial'!$A:$A,A1015,'[105]TB for financial'!$E:$E)</f>
        <v>#VALUE!</v>
      </c>
      <c r="T1015" s="613"/>
    </row>
    <row r="1016" spans="1:20">
      <c r="A1016" s="608">
        <v>601018</v>
      </c>
      <c r="B1016" s="609" t="s">
        <v>1788</v>
      </c>
      <c r="C1016" s="610">
        <f t="shared" si="106"/>
        <v>0</v>
      </c>
      <c r="D1016" s="611">
        <v>0</v>
      </c>
      <c r="E1016" s="610">
        <f>SUMIF('Entries 24-25'!$B:$B,A:A,'Entries 24-25'!$D:$D)-SUMIF('Entries 24-25'!$B:$B,A:A,'Entries 24-25'!$E:$E)+SUMIF('IND AS entries 24-25'!$B:$B,A:A,'IND AS entries 24-25'!$D:$D)-SUMIF('IND AS entries 24-25'!$B:$B,A:A,'IND AS entries 24-25'!$E:$E)</f>
        <v>0</v>
      </c>
      <c r="F1016" s="611">
        <f t="shared" si="107"/>
        <v>0</v>
      </c>
      <c r="G1016" s="610"/>
      <c r="H1016" s="610"/>
      <c r="I1016" s="611">
        <v>0</v>
      </c>
      <c r="J1016" s="610">
        <v>0</v>
      </c>
      <c r="K1016" s="611">
        <f t="shared" si="104"/>
        <v>0</v>
      </c>
      <c r="L1016" s="612">
        <f>VLOOKUP(A1016,'PL Gr'!A:A,1,0)</f>
        <v>601018</v>
      </c>
      <c r="M1016" s="612">
        <f t="shared" si="110"/>
        <v>1</v>
      </c>
      <c r="N1016" s="613">
        <f t="shared" si="108"/>
        <v>0</v>
      </c>
      <c r="O1016" s="613">
        <f>VLOOKUP(A1016,'PL Gr'!A:A,1,FALSE)</f>
        <v>601018</v>
      </c>
      <c r="P1016" s="613">
        <v>-567</v>
      </c>
      <c r="Q1016" s="613">
        <f t="shared" si="105"/>
        <v>567</v>
      </c>
      <c r="R1016" s="1514"/>
      <c r="S1016" s="1617" t="e">
        <f>SUMIF('[105]TB for financial'!$A:$A,A1016,'[105]TB for financial'!$E:$E)</f>
        <v>#VALUE!</v>
      </c>
      <c r="T1016" s="613"/>
    </row>
    <row r="1017" spans="1:20">
      <c r="A1017" s="608">
        <v>601019</v>
      </c>
      <c r="B1017" s="609" t="s">
        <v>1789</v>
      </c>
      <c r="C1017" s="610">
        <f t="shared" si="106"/>
        <v>0</v>
      </c>
      <c r="D1017" s="611">
        <v>0</v>
      </c>
      <c r="E1017" s="610">
        <f>SUMIF('Entries 24-25'!$B:$B,A:A,'Entries 24-25'!$D:$D)-SUMIF('Entries 24-25'!$B:$B,A:A,'Entries 24-25'!$E:$E)+SUMIF('IND AS entries 24-25'!$B:$B,A:A,'IND AS entries 24-25'!$D:$D)-SUMIF('IND AS entries 24-25'!$B:$B,A:A,'IND AS entries 24-25'!$E:$E)</f>
        <v>0</v>
      </c>
      <c r="F1017" s="611">
        <f t="shared" si="107"/>
        <v>0</v>
      </c>
      <c r="G1017" s="610"/>
      <c r="H1017" s="610"/>
      <c r="I1017" s="611">
        <v>0</v>
      </c>
      <c r="J1017" s="610">
        <v>0</v>
      </c>
      <c r="K1017" s="611">
        <f t="shared" si="104"/>
        <v>0</v>
      </c>
      <c r="L1017" s="612">
        <f>VLOOKUP(A1017,'PL Gr'!A:A,1,0)</f>
        <v>601019</v>
      </c>
      <c r="M1017" s="612">
        <f t="shared" si="110"/>
        <v>1</v>
      </c>
      <c r="N1017" s="613">
        <f t="shared" si="108"/>
        <v>0</v>
      </c>
      <c r="O1017" s="613">
        <f>VLOOKUP(A1017,'PL Gr'!A:A,1,FALSE)</f>
        <v>601019</v>
      </c>
      <c r="P1017" s="613">
        <v>0</v>
      </c>
      <c r="Q1017" s="613">
        <f t="shared" si="105"/>
        <v>0</v>
      </c>
      <c r="R1017" s="1514"/>
      <c r="S1017" s="1617" t="e">
        <f>SUMIF('[105]TB for financial'!$A:$A,A1017,'[105]TB for financial'!$E:$E)</f>
        <v>#VALUE!</v>
      </c>
      <c r="T1017" s="613"/>
    </row>
    <row r="1018" spans="1:20">
      <c r="A1018" s="608">
        <v>601020</v>
      </c>
      <c r="B1018" s="615" t="s">
        <v>736</v>
      </c>
      <c r="C1018" s="610">
        <f t="shared" si="106"/>
        <v>0</v>
      </c>
      <c r="D1018" s="611">
        <v>0</v>
      </c>
      <c r="E1018" s="610">
        <f>SUMIF('Entries 24-25'!$B:$B,A:A,'Entries 24-25'!$D:$D)-SUMIF('Entries 24-25'!$B:$B,A:A,'Entries 24-25'!$E:$E)+SUMIF('IND AS entries 24-25'!$B:$B,A:A,'IND AS entries 24-25'!$D:$D)-SUMIF('IND AS entries 24-25'!$B:$B,A:A,'IND AS entries 24-25'!$E:$E)</f>
        <v>0</v>
      </c>
      <c r="F1018" s="611">
        <f t="shared" si="107"/>
        <v>0</v>
      </c>
      <c r="G1018" s="610"/>
      <c r="H1018" s="610"/>
      <c r="I1018" s="611">
        <v>0</v>
      </c>
      <c r="J1018" s="610">
        <v>0</v>
      </c>
      <c r="K1018" s="611">
        <f t="shared" si="104"/>
        <v>0</v>
      </c>
      <c r="L1018" s="612">
        <f>VLOOKUP(A1018,'PL Gr'!A:A,1,0)</f>
        <v>601020</v>
      </c>
      <c r="M1018" s="612">
        <f t="shared" si="110"/>
        <v>1</v>
      </c>
      <c r="N1018" s="613">
        <f t="shared" si="108"/>
        <v>0</v>
      </c>
      <c r="O1018" s="613">
        <f>VLOOKUP(A1018,'PL Gr'!A:A,1,FALSE)</f>
        <v>601020</v>
      </c>
      <c r="P1018" s="613">
        <v>0</v>
      </c>
      <c r="Q1018" s="613">
        <f t="shared" si="105"/>
        <v>0</v>
      </c>
      <c r="R1018" s="1514"/>
      <c r="S1018" s="1617" t="e">
        <f>SUMIF('[105]TB for financial'!$A:$A,A1018,'[105]TB for financial'!$E:$E)</f>
        <v>#VALUE!</v>
      </c>
      <c r="T1018" s="613"/>
    </row>
    <row r="1019" spans="1:20">
      <c r="A1019" s="608">
        <v>601090</v>
      </c>
      <c r="B1019" s="609" t="s">
        <v>1790</v>
      </c>
      <c r="C1019" s="610">
        <f t="shared" si="106"/>
        <v>0</v>
      </c>
      <c r="D1019" s="611">
        <v>0</v>
      </c>
      <c r="E1019" s="610">
        <f>SUMIF('Entries 24-25'!$B:$B,A:A,'Entries 24-25'!$D:$D)-SUMIF('Entries 24-25'!$B:$B,A:A,'Entries 24-25'!$E:$E)+SUMIF('IND AS entries 24-25'!$B:$B,A:A,'IND AS entries 24-25'!$D:$D)-SUMIF('IND AS entries 24-25'!$B:$B,A:A,'IND AS entries 24-25'!$E:$E)</f>
        <v>0</v>
      </c>
      <c r="F1019" s="611">
        <f t="shared" si="107"/>
        <v>0</v>
      </c>
      <c r="G1019" s="610"/>
      <c r="H1019" s="610"/>
      <c r="I1019" s="611">
        <v>0</v>
      </c>
      <c r="J1019" s="610">
        <v>0</v>
      </c>
      <c r="K1019" s="611">
        <f>SUM(H1019:J1019)</f>
        <v>0</v>
      </c>
      <c r="L1019" s="612">
        <f>VLOOKUP(A1019,'PL Gr'!A:A,1,0)</f>
        <v>601090</v>
      </c>
      <c r="M1019" s="612">
        <f t="shared" si="110"/>
        <v>1</v>
      </c>
      <c r="N1019" s="613">
        <f t="shared" si="108"/>
        <v>0</v>
      </c>
      <c r="O1019" s="613">
        <f>VLOOKUP(A1019,'PL Gr'!A:A,1,FALSE)</f>
        <v>601090</v>
      </c>
      <c r="P1019" s="613">
        <v>0</v>
      </c>
      <c r="Q1019" s="613">
        <f t="shared" ref="Q1019:Q1031" si="111">+K1019-P1019</f>
        <v>0</v>
      </c>
      <c r="R1019" s="1514"/>
      <c r="S1019" s="1617" t="e">
        <f>SUMIF('[105]TB for financial'!$A:$A,A1019,'[105]TB for financial'!$E:$E)</f>
        <v>#VALUE!</v>
      </c>
      <c r="T1019" s="613"/>
    </row>
    <row r="1020" spans="1:20">
      <c r="A1020" s="608">
        <v>800010</v>
      </c>
      <c r="B1020" s="609" t="s">
        <v>816</v>
      </c>
      <c r="C1020" s="610">
        <f t="shared" si="106"/>
        <v>0</v>
      </c>
      <c r="D1020" s="611">
        <v>0</v>
      </c>
      <c r="E1020" s="610">
        <f>SUMIF('Entries 24-25'!$B:$B,A:A,'Entries 24-25'!$D:$D)-SUMIF('Entries 24-25'!$B:$B,A:A,'Entries 24-25'!$E:$E)+SUMIF('IND AS entries 24-25'!$B:$B,A:A,'IND AS entries 24-25'!$D:$D)-SUMIF('IND AS entries 24-25'!$B:$B,A:A,'IND AS entries 24-25'!$E:$E)</f>
        <v>0</v>
      </c>
      <c r="F1020" s="611">
        <f t="shared" si="107"/>
        <v>0</v>
      </c>
      <c r="G1020" s="610"/>
      <c r="H1020" s="610"/>
      <c r="I1020" s="611">
        <v>0</v>
      </c>
      <c r="J1020" s="610">
        <v>0</v>
      </c>
      <c r="K1020" s="611">
        <f t="shared" ref="K1020:K1026" si="112">SUM(H1020:J1020)</f>
        <v>0</v>
      </c>
      <c r="L1020" s="612">
        <f>VLOOKUP(A1020,'PL Gr'!A:A,1,0)</f>
        <v>800010</v>
      </c>
      <c r="M1020" s="612">
        <f t="shared" si="110"/>
        <v>1</v>
      </c>
      <c r="N1020" s="613">
        <f t="shared" si="108"/>
        <v>0</v>
      </c>
      <c r="O1020" s="613">
        <f>VLOOKUP(A1020,'PL Gr'!A:A,1,FALSE)</f>
        <v>800010</v>
      </c>
      <c r="P1020" s="613">
        <v>-862969.24842233222</v>
      </c>
      <c r="Q1020" s="613">
        <f t="shared" si="111"/>
        <v>862969.24842233222</v>
      </c>
      <c r="R1020" s="1514"/>
      <c r="S1020" s="1617" t="e">
        <f>SUMIF('[105]TB for financial'!$A:$A,A1020,'[105]TB for financial'!$E:$E)</f>
        <v>#VALUE!</v>
      </c>
    </row>
    <row r="1021" spans="1:20">
      <c r="A1021" s="608">
        <v>800011</v>
      </c>
      <c r="B1021" s="609" t="s">
        <v>817</v>
      </c>
      <c r="C1021" s="610">
        <f t="shared" si="106"/>
        <v>0</v>
      </c>
      <c r="D1021" s="611">
        <v>0</v>
      </c>
      <c r="E1021" s="610">
        <f>SUMIF('Entries 24-25'!$B:$B,A:A,'Entries 24-25'!$D:$D)-SUMIF('Entries 24-25'!$B:$B,A:A,'Entries 24-25'!$E:$E)+SUMIF('IND AS entries 24-25'!$B:$B,A:A,'IND AS entries 24-25'!$D:$D)-SUMIF('IND AS entries 24-25'!$B:$B,A:A,'IND AS entries 24-25'!$E:$E)</f>
        <v>0</v>
      </c>
      <c r="F1021" s="611">
        <f t="shared" si="107"/>
        <v>0</v>
      </c>
      <c r="G1021" s="610"/>
      <c r="H1021" s="610"/>
      <c r="I1021" s="611">
        <v>0</v>
      </c>
      <c r="J1021" s="610">
        <v>0</v>
      </c>
      <c r="K1021" s="611">
        <f t="shared" si="112"/>
        <v>0</v>
      </c>
      <c r="L1021" s="612">
        <f>VLOOKUP(A1021,'PL Gr'!A:A,1,0)</f>
        <v>800011</v>
      </c>
      <c r="M1021" s="612">
        <f t="shared" si="110"/>
        <v>1</v>
      </c>
      <c r="N1021" s="613">
        <f t="shared" si="108"/>
        <v>0</v>
      </c>
      <c r="O1021" s="613">
        <f>VLOOKUP(A1021,'PL Gr'!A:A,1,FALSE)</f>
        <v>800011</v>
      </c>
      <c r="P1021" s="613">
        <v>0</v>
      </c>
      <c r="Q1021" s="613">
        <f t="shared" si="111"/>
        <v>0</v>
      </c>
      <c r="R1021" s="1514"/>
      <c r="S1021" s="1617" t="e">
        <f>SUMIF('[105]TB for financial'!$A:$A,A1021,'[105]TB for financial'!$E:$E)</f>
        <v>#VALUE!</v>
      </c>
    </row>
    <row r="1022" spans="1:20">
      <c r="A1022" s="608">
        <v>800015</v>
      </c>
      <c r="B1022" s="609" t="s">
        <v>818</v>
      </c>
      <c r="C1022" s="610">
        <f t="shared" si="106"/>
        <v>0</v>
      </c>
      <c r="D1022" s="611">
        <v>0</v>
      </c>
      <c r="E1022" s="610">
        <f>SUMIF('Entries 24-25'!$B:$B,A:A,'Entries 24-25'!$D:$D)-SUMIF('Entries 24-25'!$B:$B,A:A,'Entries 24-25'!$E:$E)+SUMIF('IND AS entries 24-25'!$B:$B,A:A,'IND AS entries 24-25'!$D:$D)-SUMIF('IND AS entries 24-25'!$B:$B,A:A,'IND AS entries 24-25'!$E:$E)</f>
        <v>0</v>
      </c>
      <c r="F1022" s="611">
        <f t="shared" si="107"/>
        <v>0</v>
      </c>
      <c r="G1022" s="610"/>
      <c r="H1022" s="610"/>
      <c r="I1022" s="611">
        <v>0</v>
      </c>
      <c r="J1022" s="610">
        <v>0</v>
      </c>
      <c r="K1022" s="611">
        <f t="shared" si="112"/>
        <v>0</v>
      </c>
      <c r="L1022" s="612">
        <f>VLOOKUP(A1022,'PL Gr'!A:A,1,0)</f>
        <v>800015</v>
      </c>
      <c r="M1022" s="612">
        <f t="shared" si="110"/>
        <v>1</v>
      </c>
      <c r="N1022" s="613">
        <f t="shared" si="108"/>
        <v>0</v>
      </c>
      <c r="O1022" s="613">
        <f>VLOOKUP(A1022,'PL Gr'!A:A,1,FALSE)</f>
        <v>800015</v>
      </c>
      <c r="P1022" s="613">
        <v>-2228210.7141514365</v>
      </c>
      <c r="Q1022" s="613">
        <f t="shared" si="111"/>
        <v>2228210.7141514365</v>
      </c>
      <c r="R1022" s="1514"/>
      <c r="S1022" s="1617" t="e">
        <f>SUMIF('[105]TB for financial'!$A:$A,A1022,'[105]TB for financial'!$E:$E)</f>
        <v>#VALUE!</v>
      </c>
    </row>
    <row r="1023" spans="1:20">
      <c r="A1023" s="608">
        <v>800016</v>
      </c>
      <c r="B1023" s="609" t="s">
        <v>819</v>
      </c>
      <c r="C1023" s="610">
        <f t="shared" si="106"/>
        <v>0</v>
      </c>
      <c r="D1023" s="611">
        <v>0</v>
      </c>
      <c r="E1023" s="610">
        <f>SUMIF('Entries 24-25'!$B:$B,A:A,'Entries 24-25'!$D:$D)-SUMIF('Entries 24-25'!$B:$B,A:A,'Entries 24-25'!$E:$E)+SUMIF('IND AS entries 24-25'!$B:$B,A:A,'IND AS entries 24-25'!$D:$D)-SUMIF('IND AS entries 24-25'!$B:$B,A:A,'IND AS entries 24-25'!$E:$E)</f>
        <v>0</v>
      </c>
      <c r="F1023" s="611">
        <f t="shared" si="107"/>
        <v>0</v>
      </c>
      <c r="G1023" s="610"/>
      <c r="H1023" s="610"/>
      <c r="I1023" s="611">
        <v>0</v>
      </c>
      <c r="J1023" s="610">
        <v>0</v>
      </c>
      <c r="K1023" s="611">
        <f t="shared" si="112"/>
        <v>0</v>
      </c>
      <c r="L1023" s="612">
        <f>VLOOKUP(A1023,'PL Gr'!A:A,1,0)</f>
        <v>800016</v>
      </c>
      <c r="M1023" s="612">
        <f t="shared" si="110"/>
        <v>1</v>
      </c>
      <c r="N1023" s="613">
        <f t="shared" si="108"/>
        <v>0</v>
      </c>
      <c r="O1023" s="613">
        <f>VLOOKUP(A1023,'PL Gr'!A:A,1,FALSE)</f>
        <v>800016</v>
      </c>
      <c r="P1023" s="613">
        <v>0</v>
      </c>
      <c r="Q1023" s="613">
        <f t="shared" si="111"/>
        <v>0</v>
      </c>
      <c r="R1023" s="1514"/>
      <c r="S1023" s="1617" t="e">
        <f>SUMIF('[105]TB for financial'!$A:$A,A1023,'[105]TB for financial'!$E:$E)</f>
        <v>#VALUE!</v>
      </c>
    </row>
    <row r="1024" spans="1:20">
      <c r="A1024" s="608">
        <v>800020</v>
      </c>
      <c r="B1024" s="609" t="s">
        <v>822</v>
      </c>
      <c r="C1024" s="610">
        <f t="shared" si="106"/>
        <v>0</v>
      </c>
      <c r="D1024" s="611">
        <v>0</v>
      </c>
      <c r="E1024" s="610">
        <f>SUMIF('Entries 24-25'!$B:$B,A:A,'Entries 24-25'!$D:$D)-SUMIF('Entries 24-25'!$B:$B,A:A,'Entries 24-25'!$E:$E)+SUMIF('IND AS entries 24-25'!$B:$B,A:A,'IND AS entries 24-25'!$D:$D)-SUMIF('IND AS entries 24-25'!$B:$B,A:A,'IND AS entries 24-25'!$E:$E)</f>
        <v>0</v>
      </c>
      <c r="F1024" s="611">
        <f t="shared" si="107"/>
        <v>0</v>
      </c>
      <c r="G1024" s="610"/>
      <c r="H1024" s="610"/>
      <c r="I1024" s="611">
        <v>0</v>
      </c>
      <c r="J1024" s="610">
        <v>0</v>
      </c>
      <c r="K1024" s="611">
        <f t="shared" si="112"/>
        <v>0</v>
      </c>
      <c r="L1024" s="612">
        <f>VLOOKUP(A1024,'PL Gr'!A:A,1,0)</f>
        <v>800020</v>
      </c>
      <c r="M1024" s="612">
        <f t="shared" si="110"/>
        <v>1</v>
      </c>
      <c r="N1024" s="613">
        <f t="shared" si="108"/>
        <v>0</v>
      </c>
      <c r="O1024" s="613">
        <f>VLOOKUP(A1024,'PL Gr'!A:A,1,FALSE)</f>
        <v>800020</v>
      </c>
      <c r="P1024" s="613">
        <v>-836273.33999999962</v>
      </c>
      <c r="Q1024" s="613">
        <f t="shared" si="111"/>
        <v>836273.33999999962</v>
      </c>
      <c r="R1024" s="1514"/>
      <c r="S1024" s="1617" t="e">
        <f>SUMIF('[105]TB for financial'!$A:$A,A1024,'[105]TB for financial'!$E:$E)</f>
        <v>#VALUE!</v>
      </c>
    </row>
    <row r="1025" spans="1:20">
      <c r="A1025" s="608">
        <v>800021</v>
      </c>
      <c r="B1025" s="609" t="s">
        <v>733</v>
      </c>
      <c r="C1025" s="610">
        <f t="shared" si="106"/>
        <v>0</v>
      </c>
      <c r="D1025" s="611">
        <v>0</v>
      </c>
      <c r="E1025" s="610">
        <f>SUMIF('Entries 24-25'!$B:$B,A:A,'Entries 24-25'!$D:$D)-SUMIF('Entries 24-25'!$B:$B,A:A,'Entries 24-25'!$E:$E)+SUMIF('IND AS entries 24-25'!$B:$B,A:A,'IND AS entries 24-25'!$D:$D)-SUMIF('IND AS entries 24-25'!$B:$B,A:A,'IND AS entries 24-25'!$E:$E)</f>
        <v>0</v>
      </c>
      <c r="F1025" s="611">
        <f t="shared" si="107"/>
        <v>0</v>
      </c>
      <c r="G1025" s="610"/>
      <c r="H1025" s="610"/>
      <c r="I1025" s="611">
        <v>0</v>
      </c>
      <c r="J1025" s="610">
        <v>0</v>
      </c>
      <c r="K1025" s="611">
        <f t="shared" si="112"/>
        <v>0</v>
      </c>
      <c r="L1025" s="612">
        <f>VLOOKUP(A1025,'PL Gr'!A:A,1,0)</f>
        <v>800021</v>
      </c>
      <c r="M1025" s="612">
        <f t="shared" si="110"/>
        <v>1</v>
      </c>
      <c r="N1025" s="613">
        <f t="shared" si="108"/>
        <v>0</v>
      </c>
      <c r="O1025" s="613">
        <f>VLOOKUP(A1025,'PL Gr'!A:A,1,FALSE)</f>
        <v>800021</v>
      </c>
      <c r="P1025" s="613">
        <v>91747329.942090482</v>
      </c>
      <c r="Q1025" s="613">
        <f t="shared" si="111"/>
        <v>-91747329.942090482</v>
      </c>
      <c r="R1025" s="1514"/>
      <c r="S1025" s="1617" t="e">
        <f>SUMIF('[105]TB for financial'!$A:$A,A1025,'[105]TB for financial'!$E:$E)</f>
        <v>#VALUE!</v>
      </c>
    </row>
    <row r="1026" spans="1:20">
      <c r="A1026" s="608">
        <v>800022</v>
      </c>
      <c r="B1026" s="609" t="s">
        <v>732</v>
      </c>
      <c r="C1026" s="610">
        <f t="shared" si="106"/>
        <v>0</v>
      </c>
      <c r="D1026" s="611">
        <v>0</v>
      </c>
      <c r="E1026" s="610">
        <f>SUMIF('Entries 24-25'!$B:$B,A:A,'Entries 24-25'!$D:$D)-SUMIF('Entries 24-25'!$B:$B,A:A,'Entries 24-25'!$E:$E)+SUMIF('IND AS entries 24-25'!$B:$B,A:A,'IND AS entries 24-25'!$D:$D)-SUMIF('IND AS entries 24-25'!$B:$B,A:A,'IND AS entries 24-25'!$E:$E)</f>
        <v>0</v>
      </c>
      <c r="F1026" s="611">
        <f t="shared" si="107"/>
        <v>0</v>
      </c>
      <c r="G1026" s="610"/>
      <c r="H1026" s="610"/>
      <c r="I1026" s="611">
        <v>0</v>
      </c>
      <c r="J1026" s="610">
        <v>0</v>
      </c>
      <c r="K1026" s="611">
        <f t="shared" si="112"/>
        <v>0</v>
      </c>
      <c r="L1026" s="612">
        <f>VLOOKUP(A1026,'PL Gr'!A:A,1,0)</f>
        <v>800022</v>
      </c>
      <c r="M1026" s="612">
        <f t="shared" si="110"/>
        <v>1</v>
      </c>
      <c r="N1026" s="613">
        <f t="shared" si="108"/>
        <v>0</v>
      </c>
      <c r="O1026" s="613">
        <f>VLOOKUP(A1026,'PL Gr'!A:A,1,FALSE)</f>
        <v>800022</v>
      </c>
      <c r="P1026" s="613">
        <v>-5782.6612410898088</v>
      </c>
      <c r="Q1026" s="613">
        <f t="shared" si="111"/>
        <v>5782.6612410898088</v>
      </c>
      <c r="R1026" s="1514"/>
      <c r="S1026" s="1617" t="e">
        <f>SUMIF('[105]TB for financial'!$A:$A,A1026,'[105]TB for financial'!$E:$E)</f>
        <v>#VALUE!</v>
      </c>
    </row>
    <row r="1027" spans="1:20">
      <c r="A1027" s="608">
        <v>800023</v>
      </c>
      <c r="B1027" s="615" t="s">
        <v>820</v>
      </c>
      <c r="C1027" s="610">
        <f t="shared" si="106"/>
        <v>0</v>
      </c>
      <c r="D1027" s="611">
        <v>0</v>
      </c>
      <c r="E1027" s="610">
        <f>SUMIF('Entries 24-25'!$B:$B,A:A,'Entries 24-25'!$D:$D)-SUMIF('Entries 24-25'!$B:$B,A:A,'Entries 24-25'!$E:$E)+SUMIF('IND AS entries 24-25'!$B:$B,A:A,'IND AS entries 24-25'!$D:$D)-SUMIF('IND AS entries 24-25'!$B:$B,A:A,'IND AS entries 24-25'!$E:$E)</f>
        <v>0</v>
      </c>
      <c r="F1027" s="611">
        <f t="shared" si="107"/>
        <v>0</v>
      </c>
      <c r="G1027" s="610"/>
      <c r="H1027" s="610"/>
      <c r="I1027" s="611">
        <v>0</v>
      </c>
      <c r="J1027" s="610">
        <v>0</v>
      </c>
      <c r="K1027" s="611">
        <f>SUM(H1027:J1027)</f>
        <v>0</v>
      </c>
      <c r="L1027" s="612">
        <f>VLOOKUP(A1027,'PL Gr'!A:A,1,0)</f>
        <v>800023</v>
      </c>
      <c r="M1027" s="612">
        <f t="shared" si="110"/>
        <v>1</v>
      </c>
      <c r="N1027" s="613">
        <f t="shared" si="108"/>
        <v>0</v>
      </c>
      <c r="O1027" s="613">
        <f>VLOOKUP(A1027,'PL Gr'!A:A,1,FALSE)</f>
        <v>800023</v>
      </c>
      <c r="P1027" s="613">
        <v>0</v>
      </c>
      <c r="Q1027" s="613">
        <f t="shared" si="111"/>
        <v>0</v>
      </c>
      <c r="R1027" s="1514"/>
      <c r="S1027" s="1617" t="e">
        <f>SUMIF('[105]TB for financial'!$A:$A,A1027,'[105]TB for financial'!$E:$E)</f>
        <v>#VALUE!</v>
      </c>
    </row>
    <row r="1028" spans="1:20">
      <c r="A1028" s="608">
        <v>800024</v>
      </c>
      <c r="B1028" s="615" t="s">
        <v>821</v>
      </c>
      <c r="C1028" s="610">
        <f t="shared" si="106"/>
        <v>0</v>
      </c>
      <c r="D1028" s="611">
        <v>0</v>
      </c>
      <c r="E1028" s="610">
        <f>SUMIF('Entries 24-25'!$B:$B,A:A,'Entries 24-25'!$D:$D)-SUMIF('Entries 24-25'!$B:$B,A:A,'Entries 24-25'!$E:$E)+SUMIF('IND AS entries 24-25'!$B:$B,A:A,'IND AS entries 24-25'!$D:$D)-SUMIF('IND AS entries 24-25'!$B:$B,A:A,'IND AS entries 24-25'!$E:$E)</f>
        <v>0</v>
      </c>
      <c r="F1028" s="611">
        <f t="shared" si="107"/>
        <v>0</v>
      </c>
      <c r="G1028" s="610"/>
      <c r="H1028" s="610"/>
      <c r="I1028" s="611">
        <v>0</v>
      </c>
      <c r="J1028" s="610">
        <v>0</v>
      </c>
      <c r="K1028" s="611">
        <f>SUM(H1028:J1028)</f>
        <v>0</v>
      </c>
      <c r="L1028" s="612">
        <f>VLOOKUP(A1028,'PL Gr'!A:A,1,0)</f>
        <v>800024</v>
      </c>
      <c r="M1028" s="612">
        <f t="shared" si="110"/>
        <v>1</v>
      </c>
      <c r="N1028" s="613">
        <f t="shared" si="108"/>
        <v>0</v>
      </c>
      <c r="O1028" s="613">
        <f>VLOOKUP(A1028,'PL Gr'!A:A,1,FALSE)</f>
        <v>800024</v>
      </c>
      <c r="P1028" s="613">
        <v>0</v>
      </c>
      <c r="Q1028" s="613">
        <f t="shared" si="111"/>
        <v>0</v>
      </c>
      <c r="R1028" s="1514"/>
      <c r="S1028" s="1617" t="e">
        <f>SUMIF('[105]TB for financial'!$A:$A,A1028,'[105]TB for financial'!$E:$E)</f>
        <v>#VALUE!</v>
      </c>
    </row>
    <row r="1029" spans="1:20">
      <c r="A1029" s="608">
        <v>800029</v>
      </c>
      <c r="B1029" s="615" t="s">
        <v>1791</v>
      </c>
      <c r="C1029" s="610">
        <f t="shared" si="106"/>
        <v>0</v>
      </c>
      <c r="D1029" s="611">
        <v>0</v>
      </c>
      <c r="E1029" s="610">
        <f>SUMIF('Entries 24-25'!$B:$B,A:A,'Entries 24-25'!$D:$D)-SUMIF('Entries 24-25'!$B:$B,A:A,'Entries 24-25'!$E:$E)+SUMIF('IND AS entries 24-25'!$B:$B,A:A,'IND AS entries 24-25'!$D:$D)-SUMIF('IND AS entries 24-25'!$B:$B,A:A,'IND AS entries 24-25'!$E:$E)</f>
        <v>0</v>
      </c>
      <c r="F1029" s="611">
        <f t="shared" si="107"/>
        <v>0</v>
      </c>
      <c r="G1029" s="610"/>
      <c r="H1029" s="610"/>
      <c r="I1029" s="611">
        <v>0</v>
      </c>
      <c r="J1029" s="610">
        <v>0</v>
      </c>
      <c r="K1029" s="611">
        <f>SUM(H1029:J1029)</f>
        <v>0</v>
      </c>
      <c r="L1029" s="612">
        <f>VLOOKUP(A1029,'PL Gr'!A:A,1,0)</f>
        <v>800029</v>
      </c>
      <c r="M1029" s="612">
        <f t="shared" si="110"/>
        <v>1</v>
      </c>
      <c r="N1029" s="613">
        <f t="shared" si="108"/>
        <v>0</v>
      </c>
      <c r="O1029" s="613">
        <f>VLOOKUP(A1029,'PL Gr'!A:A,1,FALSE)</f>
        <v>800029</v>
      </c>
      <c r="P1029" s="613">
        <v>688</v>
      </c>
      <c r="Q1029" s="613">
        <f t="shared" si="111"/>
        <v>-688</v>
      </c>
      <c r="R1029" s="1514"/>
      <c r="S1029" s="1617" t="e">
        <f>SUMIF('[105]TB for financial'!$A:$A,A1029,'[105]TB for financial'!$E:$E)</f>
        <v>#VALUE!</v>
      </c>
    </row>
    <row r="1030" spans="1:20">
      <c r="A1030" s="608">
        <v>800030</v>
      </c>
      <c r="B1030" s="609" t="s">
        <v>1792</v>
      </c>
      <c r="C1030" s="610">
        <f t="shared" si="106"/>
        <v>0</v>
      </c>
      <c r="D1030" s="611">
        <v>0</v>
      </c>
      <c r="E1030" s="610">
        <f>SUMIF('Entries 24-25'!$B:$B,A:A,'Entries 24-25'!$D:$D)-SUMIF('Entries 24-25'!$B:$B,A:A,'Entries 24-25'!$E:$E)+SUMIF('IND AS entries 24-25'!$B:$B,A:A,'IND AS entries 24-25'!$D:$D)-SUMIF('IND AS entries 24-25'!$B:$B,A:A,'IND AS entries 24-25'!$E:$E)</f>
        <v>0</v>
      </c>
      <c r="F1030" s="611">
        <f t="shared" si="107"/>
        <v>0</v>
      </c>
      <c r="G1030" s="610"/>
      <c r="H1030" s="610"/>
      <c r="I1030" s="611">
        <v>0</v>
      </c>
      <c r="J1030" s="610">
        <v>0</v>
      </c>
      <c r="K1030" s="611">
        <f>SUM(H1030:J1030)</f>
        <v>0</v>
      </c>
      <c r="L1030" s="612">
        <f>VLOOKUP(A1030,'PL Gr'!A:A,1,0)</f>
        <v>800030</v>
      </c>
      <c r="M1030" s="612">
        <f t="shared" si="110"/>
        <v>1</v>
      </c>
      <c r="N1030" s="613">
        <f t="shared" si="108"/>
        <v>0</v>
      </c>
      <c r="O1030" s="613">
        <f>VLOOKUP(A1030,'PL Gr'!A:A,1,FALSE)</f>
        <v>800030</v>
      </c>
      <c r="P1030" s="613">
        <v>0</v>
      </c>
      <c r="Q1030" s="613">
        <f t="shared" si="111"/>
        <v>0</v>
      </c>
      <c r="R1030" s="1514"/>
      <c r="S1030" s="1617" t="e">
        <f>SUMIF('[105]TB for financial'!$A:$A,A1030,'[105]TB for financial'!$E:$E)</f>
        <v>#VALUE!</v>
      </c>
    </row>
    <row r="1031" spans="1:20">
      <c r="A1031" s="608">
        <v>800033</v>
      </c>
      <c r="B1031" s="609" t="s">
        <v>1793</v>
      </c>
      <c r="C1031" s="610">
        <f t="shared" si="106"/>
        <v>0</v>
      </c>
      <c r="D1031" s="611">
        <v>0</v>
      </c>
      <c r="E1031" s="610">
        <f>SUMIF('Entries 24-25'!$B:$B,A:A,'Entries 24-25'!$D:$D)-SUMIF('Entries 24-25'!$B:$B,A:A,'Entries 24-25'!$E:$E)+SUMIF('IND AS entries 24-25'!$B:$B,A:A,'IND AS entries 24-25'!$D:$D)-SUMIF('IND AS entries 24-25'!$B:$B,A:A,'IND AS entries 24-25'!$E:$E)</f>
        <v>0</v>
      </c>
      <c r="F1031" s="611">
        <f t="shared" si="107"/>
        <v>0</v>
      </c>
      <c r="G1031" s="610"/>
      <c r="H1031" s="610"/>
      <c r="I1031" s="611">
        <v>0</v>
      </c>
      <c r="J1031" s="610">
        <v>0</v>
      </c>
      <c r="K1031" s="611">
        <f>SUM(H1031:J1031)</f>
        <v>0</v>
      </c>
      <c r="L1031" s="612" t="e">
        <f>VLOOKUP(A1031,'PL Gr'!A:A,1,0)</f>
        <v>#N/A</v>
      </c>
      <c r="M1031" s="612">
        <f t="shared" si="110"/>
        <v>1</v>
      </c>
      <c r="N1031" s="613">
        <f t="shared" si="108"/>
        <v>0</v>
      </c>
      <c r="O1031" s="613" t="e">
        <f>VLOOKUP(A1031,'PL Gr'!A:A,1,FALSE)</f>
        <v>#N/A</v>
      </c>
      <c r="P1031" s="613">
        <v>0</v>
      </c>
      <c r="Q1031" s="613">
        <f t="shared" si="111"/>
        <v>0</v>
      </c>
      <c r="R1031" s="1514"/>
      <c r="S1031" s="1617" t="e">
        <f>SUMIF('[105]TB for financial'!$A:$A,A1031,'[105]TB for financial'!$E:$E)</f>
        <v>#VALUE!</v>
      </c>
    </row>
    <row r="1032" spans="1:20">
      <c r="A1032" s="608"/>
      <c r="B1032" s="609"/>
      <c r="C1032" s="610">
        <f t="shared" si="106"/>
        <v>0</v>
      </c>
      <c r="D1032" s="611">
        <v>0</v>
      </c>
      <c r="E1032" s="610">
        <f>SUMIF('Entries 24-25'!$B:$B,A:A,'Entries 24-25'!$D:$D)-SUMIF('Entries 24-25'!$B:$B,A:A,'Entries 24-25'!$E:$E)+SUMIF('IND AS entries 24-25'!$B:$B,A:A,'IND AS entries 24-25'!$D:$D)-SUMIF('IND AS entries 24-25'!$B:$B,A:A,'IND AS entries 24-25'!$E:$E)</f>
        <v>0</v>
      </c>
      <c r="F1032" s="611">
        <f t="shared" si="107"/>
        <v>0</v>
      </c>
      <c r="G1032" s="610"/>
      <c r="H1032" s="610"/>
      <c r="I1032" s="611">
        <v>0</v>
      </c>
      <c r="J1032" s="610"/>
      <c r="K1032" s="611"/>
      <c r="L1032" s="614"/>
      <c r="M1032" s="612"/>
      <c r="N1032" s="613">
        <f t="shared" si="108"/>
        <v>0</v>
      </c>
      <c r="O1032" s="613" t="e">
        <f>VLOOKUP(A1032,'PL Gr'!A:A,1,FALSE)</f>
        <v>#N/A</v>
      </c>
      <c r="P1032" s="613"/>
      <c r="Q1032" s="613"/>
      <c r="R1032" s="1514"/>
      <c r="S1032" s="1617" t="e">
        <f>SUMIF('[105]TB for financial'!$A:$A,A1032,'[105]TB for financial'!$E:$E)</f>
        <v>#VALUE!</v>
      </c>
    </row>
    <row r="1033" spans="1:20">
      <c r="A1033" s="608">
        <v>604111</v>
      </c>
      <c r="B1033" s="609" t="s">
        <v>3024</v>
      </c>
      <c r="C1033" s="610"/>
      <c r="D1033" s="611">
        <v>295742</v>
      </c>
      <c r="E1033" s="610">
        <f>SUMIF('Entries 24-25'!$B:$B,A:A,'Entries 24-25'!$D:$D)-SUMIF('Entries 24-25'!$B:$B,A:A,'Entries 24-25'!$E:$E)+SUMIF('IND AS entries 24-25'!$B:$B,A:A,'IND AS entries 24-25'!$D:$D)-SUMIF('IND AS entries 24-25'!$B:$B,A:A,'IND AS entries 24-25'!$E:$E)</f>
        <v>-295742</v>
      </c>
      <c r="F1033" s="611">
        <f t="shared" si="107"/>
        <v>0</v>
      </c>
      <c r="G1033" s="610"/>
      <c r="H1033" s="610"/>
      <c r="I1033" s="611"/>
      <c r="J1033" s="610"/>
      <c r="K1033" s="611"/>
      <c r="L1033" s="614"/>
      <c r="M1033" s="612"/>
      <c r="N1033" s="613"/>
      <c r="O1033" s="613"/>
      <c r="P1033" s="613"/>
      <c r="Q1033" s="613"/>
      <c r="R1033" s="1514"/>
      <c r="S1033" s="1617"/>
    </row>
    <row r="1034" spans="1:20">
      <c r="A1034" s="608">
        <v>604160</v>
      </c>
      <c r="B1034" s="609" t="s">
        <v>2663</v>
      </c>
      <c r="C1034" s="610"/>
      <c r="D1034" s="611">
        <v>4436913.84</v>
      </c>
      <c r="E1034" s="610">
        <f>SUMIF('Entries 24-25'!$B:$B,A:A,'Entries 24-25'!$D:$D)-SUMIF('Entries 24-25'!$B:$B,A:A,'Entries 24-25'!$E:$E)+SUMIF('IND AS entries 24-25'!$B:$B,A:A,'IND AS entries 24-25'!$D:$D)-SUMIF('IND AS entries 24-25'!$B:$B,A:A,'IND AS entries 24-25'!$E:$E)</f>
        <v>291246</v>
      </c>
      <c r="F1034" s="611">
        <f t="shared" si="107"/>
        <v>4728159.84</v>
      </c>
      <c r="G1034" s="610"/>
      <c r="H1034" s="610"/>
      <c r="I1034" s="611">
        <v>3643027.1099999994</v>
      </c>
      <c r="J1034" s="610">
        <v>-291246</v>
      </c>
      <c r="K1034" s="611">
        <f t="shared" ref="K1034:K1103" si="113">SUM(H1034:J1034)</f>
        <v>3351781.1099999994</v>
      </c>
      <c r="L1034" s="612">
        <f>VLOOKUP(A1034,'PL Gr'!A:A,1,0)</f>
        <v>604160</v>
      </c>
      <c r="M1034" s="612">
        <f>COUNTIF(A:A,A1034)</f>
        <v>1</v>
      </c>
      <c r="N1034" s="613"/>
      <c r="O1034" s="613">
        <f>VLOOKUP(A1034,'PL Gr'!A:A,1,FALSE)</f>
        <v>604160</v>
      </c>
      <c r="P1034" s="613"/>
      <c r="Q1034" s="613"/>
      <c r="R1034" s="1514"/>
      <c r="S1034" s="1617" t="e">
        <f>SUMIF('[105]TB for financial'!$A:$A,A1034,'[105]TB for financial'!$E:$E)</f>
        <v>#VALUE!</v>
      </c>
      <c r="T1034" s="613"/>
    </row>
    <row r="1035" spans="1:20">
      <c r="A1035" s="608">
        <v>602050</v>
      </c>
      <c r="B1035" s="609" t="s">
        <v>2848</v>
      </c>
      <c r="C1035" s="610"/>
      <c r="D1035" s="611">
        <v>132630.81000000006</v>
      </c>
      <c r="E1035" s="610">
        <f>SUMIF('Entries 24-25'!$B:$B,A:A,'Entries 24-25'!$D:$D)-SUMIF('Entries 24-25'!$B:$B,A:A,'Entries 24-25'!$E:$E)+SUMIF('IND AS entries 24-25'!$B:$B,A:A,'IND AS entries 24-25'!$D:$D)-SUMIF('IND AS entries 24-25'!$B:$B,A:A,'IND AS entries 24-25'!$E:$E)</f>
        <v>0</v>
      </c>
      <c r="F1035" s="611">
        <f t="shared" si="107"/>
        <v>132630.81000000006</v>
      </c>
      <c r="G1035" s="610"/>
      <c r="H1035" s="610"/>
      <c r="I1035" s="611">
        <v>269840.42000000004</v>
      </c>
      <c r="J1035" s="610">
        <v>0</v>
      </c>
      <c r="K1035" s="611">
        <f t="shared" si="113"/>
        <v>269840.42000000004</v>
      </c>
      <c r="L1035" s="612"/>
      <c r="M1035" s="612"/>
      <c r="N1035" s="613"/>
      <c r="O1035" s="613"/>
      <c r="P1035" s="613"/>
      <c r="Q1035" s="613"/>
      <c r="R1035" s="1514"/>
      <c r="S1035" s="1617" t="e">
        <f>SUMIF('[105]TB for financial'!$A:$A,A1035,'[105]TB for financial'!$E:$E)</f>
        <v>#VALUE!</v>
      </c>
      <c r="T1035" s="613"/>
    </row>
    <row r="1036" spans="1:20">
      <c r="A1036" s="608">
        <v>604230</v>
      </c>
      <c r="B1036" s="609" t="s">
        <v>2664</v>
      </c>
      <c r="C1036" s="610"/>
      <c r="D1036" s="611">
        <v>4083.0600000000004</v>
      </c>
      <c r="E1036" s="610">
        <f>SUMIF('Entries 24-25'!$B:$B,A:A,'Entries 24-25'!$D:$D)-SUMIF('Entries 24-25'!$B:$B,A:A,'Entries 24-25'!$E:$E)+SUMIF('IND AS entries 24-25'!$B:$B,A:A,'IND AS entries 24-25'!$D:$D)-SUMIF('IND AS entries 24-25'!$B:$B,A:A,'IND AS entries 24-25'!$E:$E)</f>
        <v>0</v>
      </c>
      <c r="F1036" s="611">
        <f t="shared" si="107"/>
        <v>4083.0600000000004</v>
      </c>
      <c r="G1036" s="610"/>
      <c r="H1036" s="610"/>
      <c r="I1036" s="611">
        <v>-6558.72</v>
      </c>
      <c r="J1036" s="610">
        <v>0</v>
      </c>
      <c r="K1036" s="611">
        <f t="shared" si="113"/>
        <v>-6558.72</v>
      </c>
      <c r="L1036" s="612">
        <f>VLOOKUP(A1036,'PL Gr'!A:A,1,0)</f>
        <v>604230</v>
      </c>
      <c r="M1036" s="612">
        <f>COUNTIF(A:A,A1036)</f>
        <v>1</v>
      </c>
      <c r="N1036" s="613"/>
      <c r="O1036" s="613">
        <f>VLOOKUP(A1036,'PL Gr'!A:A,1,FALSE)</f>
        <v>604230</v>
      </c>
      <c r="P1036" s="613"/>
      <c r="Q1036" s="613"/>
      <c r="R1036" s="1514"/>
      <c r="S1036" s="1617" t="e">
        <f>SUMIF('[105]TB for financial'!$A:$A,A1036,'[105]TB for financial'!$E:$E)</f>
        <v>#VALUE!</v>
      </c>
      <c r="T1036" s="613"/>
    </row>
    <row r="1037" spans="1:20">
      <c r="A1037" s="608">
        <v>606130</v>
      </c>
      <c r="B1037" s="609" t="s">
        <v>2497</v>
      </c>
      <c r="C1037" s="610"/>
      <c r="D1037" s="611">
        <v>303534</v>
      </c>
      <c r="E1037" s="610">
        <f>SUMIF('Entries 24-25'!$B:$B,A:A,'Entries 24-25'!$D:$D)-SUMIF('Entries 24-25'!$B:$B,A:A,'Entries 24-25'!$E:$E)+SUMIF('IND AS entries 24-25'!$B:$B,A:A,'IND AS entries 24-25'!$D:$D)-SUMIF('IND AS entries 24-25'!$B:$B,A:A,'IND AS entries 24-25'!$E:$E)</f>
        <v>100776</v>
      </c>
      <c r="F1037" s="611">
        <f t="shared" si="107"/>
        <v>404310</v>
      </c>
      <c r="G1037" s="610"/>
      <c r="H1037" s="610"/>
      <c r="I1037" s="611">
        <v>477215</v>
      </c>
      <c r="J1037" s="610">
        <v>-62940</v>
      </c>
      <c r="K1037" s="611">
        <f t="shared" si="113"/>
        <v>414275</v>
      </c>
      <c r="L1037" s="612">
        <f>VLOOKUP(A1037,'PL Gr'!A:A,1,0)</f>
        <v>606130</v>
      </c>
      <c r="M1037" s="612">
        <f>COUNTIF(A:A,A1037)</f>
        <v>1</v>
      </c>
      <c r="N1037" s="613"/>
      <c r="O1037" s="613">
        <f>VLOOKUP(A1037,'PL Gr'!A:A,1,FALSE)</f>
        <v>606130</v>
      </c>
      <c r="P1037" s="613"/>
      <c r="Q1037" s="613"/>
      <c r="R1037" s="1514"/>
      <c r="S1037" s="1617" t="e">
        <f>SUMIF('[105]TB for financial'!$A:$A,A1037,'[105]TB for financial'!$E:$E)</f>
        <v>#VALUE!</v>
      </c>
      <c r="T1037" s="613"/>
    </row>
    <row r="1038" spans="1:20">
      <c r="A1038" s="608">
        <v>606300</v>
      </c>
      <c r="B1038" s="609" t="s">
        <v>2665</v>
      </c>
      <c r="C1038" s="610"/>
      <c r="D1038" s="611">
        <v>0</v>
      </c>
      <c r="E1038" s="610">
        <f>SUMIF('Entries 24-25'!$B:$B,A:A,'Entries 24-25'!$D:$D)-SUMIF('Entries 24-25'!$B:$B,A:A,'Entries 24-25'!$E:$E)+SUMIF('IND AS entries 24-25'!$B:$B,A:A,'IND AS entries 24-25'!$D:$D)-SUMIF('IND AS entries 24-25'!$B:$B,A:A,'IND AS entries 24-25'!$E:$E)</f>
        <v>0</v>
      </c>
      <c r="F1038" s="611">
        <f t="shared" si="107"/>
        <v>0</v>
      </c>
      <c r="G1038" s="610"/>
      <c r="H1038" s="610"/>
      <c r="I1038" s="611">
        <v>0</v>
      </c>
      <c r="J1038" s="610">
        <v>0</v>
      </c>
      <c r="K1038" s="611">
        <f t="shared" si="113"/>
        <v>0</v>
      </c>
      <c r="L1038" s="612">
        <f>VLOOKUP(A1038,'PL Gr'!A:A,1,0)</f>
        <v>606300</v>
      </c>
      <c r="M1038" s="612">
        <f>COUNTIF(A:A,A1038)</f>
        <v>1</v>
      </c>
      <c r="N1038" s="613"/>
      <c r="O1038" s="613">
        <f>VLOOKUP(A1038,'PL Gr'!A:A,1,FALSE)</f>
        <v>606300</v>
      </c>
      <c r="P1038" s="613"/>
      <c r="Q1038" s="613"/>
      <c r="R1038" s="1514"/>
      <c r="S1038" s="1617" t="e">
        <f>SUMIF('[105]TB for financial'!$A:$A,A1038,'[105]TB for financial'!$E:$E)</f>
        <v>#VALUE!</v>
      </c>
      <c r="T1038" s="613"/>
    </row>
    <row r="1039" spans="1:20">
      <c r="A1039" s="608">
        <v>613200</v>
      </c>
      <c r="B1039" s="609" t="s">
        <v>2498</v>
      </c>
      <c r="C1039" s="610"/>
      <c r="D1039" s="611">
        <v>3816912</v>
      </c>
      <c r="E1039" s="610">
        <f>SUMIF('Entries 24-25'!$B:$B,A:A,'Entries 24-25'!$D:$D)-SUMIF('Entries 24-25'!$B:$B,A:A,'Entries 24-25'!$E:$E)+SUMIF('IND AS entries 24-25'!$B:$B,A:A,'IND AS entries 24-25'!$D:$D)-SUMIF('IND AS entries 24-25'!$B:$B,A:A,'IND AS entries 24-25'!$E:$E)</f>
        <v>0</v>
      </c>
      <c r="F1039" s="611">
        <f t="shared" ref="F1039:F1105" si="114">SUM(C1039:E1039)</f>
        <v>3816912</v>
      </c>
      <c r="G1039" s="610"/>
      <c r="H1039" s="610"/>
      <c r="I1039" s="611">
        <v>3635112</v>
      </c>
      <c r="J1039" s="610">
        <v>26230</v>
      </c>
      <c r="K1039" s="611">
        <f t="shared" si="113"/>
        <v>3661342</v>
      </c>
      <c r="L1039" s="612">
        <f>VLOOKUP(A1039,'PL Gr'!A:A,1,0)</f>
        <v>613200</v>
      </c>
      <c r="M1039" s="612">
        <f>COUNTIF(A:A,A1039)</f>
        <v>1</v>
      </c>
      <c r="N1039" s="613"/>
      <c r="O1039" s="613">
        <f>VLOOKUP(A1039,'PL Gr'!A:A,1,FALSE)</f>
        <v>613200</v>
      </c>
      <c r="P1039" s="613"/>
      <c r="Q1039" s="613"/>
      <c r="R1039" s="1514"/>
      <c r="S1039" s="1617" t="e">
        <f>SUMIF('[105]TB for financial'!$A:$A,A1039,'[105]TB for financial'!$E:$E)</f>
        <v>#VALUE!</v>
      </c>
      <c r="T1039" s="613"/>
    </row>
    <row r="1040" spans="1:20">
      <c r="A1040" s="608">
        <v>613207</v>
      </c>
      <c r="B1040" s="609" t="s">
        <v>2554</v>
      </c>
      <c r="C1040" s="610"/>
      <c r="D1040" s="611">
        <v>0</v>
      </c>
      <c r="E1040" s="610">
        <f>SUMIF('Entries 24-25'!$B:$B,A:A,'Entries 24-25'!$D:$D)-SUMIF('Entries 24-25'!$B:$B,A:A,'Entries 24-25'!$E:$E)+SUMIF('IND AS entries 24-25'!$B:$B,A:A,'IND AS entries 24-25'!$D:$D)-SUMIF('IND AS entries 24-25'!$B:$B,A:A,'IND AS entries 24-25'!$E:$E)</f>
        <v>-3816704.9056500006</v>
      </c>
      <c r="F1040" s="611">
        <f t="shared" si="114"/>
        <v>-3816704.9056500006</v>
      </c>
      <c r="G1040" s="610"/>
      <c r="H1040" s="610"/>
      <c r="I1040" s="611">
        <v>0</v>
      </c>
      <c r="J1040" s="610">
        <v>-3634957.0529999998</v>
      </c>
      <c r="K1040" s="611">
        <f t="shared" si="113"/>
        <v>-3634957.0529999998</v>
      </c>
      <c r="L1040" s="612">
        <f>VLOOKUP(A1040,'PL Gr'!A:A,1,0)</f>
        <v>613207</v>
      </c>
      <c r="M1040" s="612">
        <f>COUNTIF(A:A,A1040)</f>
        <v>1</v>
      </c>
      <c r="N1040" s="613"/>
      <c r="O1040" s="613">
        <f>VLOOKUP(A1040,'PL Gr'!A:A,1,FALSE)</f>
        <v>613207</v>
      </c>
      <c r="P1040" s="613"/>
      <c r="Q1040" s="613"/>
      <c r="R1040" s="1514"/>
      <c r="S1040" s="1617" t="e">
        <f>SUMIF('[105]TB for financial'!$A:$A,A1040,'[105]TB for financial'!$E:$E)</f>
        <v>#VALUE!</v>
      </c>
      <c r="T1040" s="613"/>
    </row>
    <row r="1041" spans="1:20">
      <c r="A1041" s="608">
        <v>615260</v>
      </c>
      <c r="B1041" s="609" t="s">
        <v>2849</v>
      </c>
      <c r="C1041" s="610"/>
      <c r="D1041" s="611">
        <v>0</v>
      </c>
      <c r="E1041" s="610">
        <f>SUMIF('Entries 24-25'!$B:$B,A:A,'Entries 24-25'!$D:$D)-SUMIF('Entries 24-25'!$B:$B,A:A,'Entries 24-25'!$E:$E)+SUMIF('IND AS entries 24-25'!$B:$B,A:A,'IND AS entries 24-25'!$D:$D)-SUMIF('IND AS entries 24-25'!$B:$B,A:A,'IND AS entries 24-25'!$E:$E)</f>
        <v>0</v>
      </c>
      <c r="F1041" s="611">
        <f t="shared" si="114"/>
        <v>0</v>
      </c>
      <c r="G1041" s="610"/>
      <c r="H1041" s="610"/>
      <c r="I1041" s="611">
        <v>1</v>
      </c>
      <c r="J1041" s="610">
        <v>0</v>
      </c>
      <c r="K1041" s="611">
        <f t="shared" si="113"/>
        <v>1</v>
      </c>
      <c r="L1041" s="612"/>
      <c r="M1041" s="612"/>
      <c r="N1041" s="613"/>
      <c r="O1041" s="613"/>
      <c r="P1041" s="613"/>
      <c r="Q1041" s="613"/>
      <c r="R1041" s="1514"/>
      <c r="S1041" s="1617" t="e">
        <f>SUMIF('[105]TB for financial'!$A:$A,A1041,'[105]TB for financial'!$E:$E)</f>
        <v>#VALUE!</v>
      </c>
      <c r="T1041" s="613"/>
    </row>
    <row r="1042" spans="1:20">
      <c r="A1042" s="608">
        <v>615290</v>
      </c>
      <c r="B1042" s="609" t="s">
        <v>2499</v>
      </c>
      <c r="C1042" s="610"/>
      <c r="D1042" s="611">
        <v>0</v>
      </c>
      <c r="E1042" s="610">
        <f>SUMIF('Entries 24-25'!$B:$B,A:A,'Entries 24-25'!$D:$D)-SUMIF('Entries 24-25'!$B:$B,A:A,'Entries 24-25'!$E:$E)+SUMIF('IND AS entries 24-25'!$B:$B,A:A,'IND AS entries 24-25'!$D:$D)-SUMIF('IND AS entries 24-25'!$B:$B,A:A,'IND AS entries 24-25'!$E:$E)</f>
        <v>0</v>
      </c>
      <c r="F1042" s="611">
        <f t="shared" si="114"/>
        <v>0</v>
      </c>
      <c r="G1042" s="610"/>
      <c r="H1042" s="610"/>
      <c r="I1042" s="611">
        <v>0</v>
      </c>
      <c r="J1042" s="610">
        <v>5983</v>
      </c>
      <c r="K1042" s="611">
        <f t="shared" si="113"/>
        <v>5983</v>
      </c>
      <c r="L1042" s="612">
        <f>VLOOKUP(A1042,'PL Gr'!A:A,1,0)</f>
        <v>615290</v>
      </c>
      <c r="M1042" s="612">
        <f>COUNTIF(A:A,A1042)</f>
        <v>1</v>
      </c>
      <c r="N1042" s="613"/>
      <c r="O1042" s="613">
        <f>VLOOKUP(A1042,'PL Gr'!A:A,1,FALSE)</f>
        <v>615290</v>
      </c>
      <c r="P1042" s="613"/>
      <c r="Q1042" s="613"/>
      <c r="R1042" s="1514"/>
      <c r="S1042" s="1617" t="e">
        <f>SUMIF('[105]TB for financial'!$A:$A,A1042,'[105]TB for financial'!$E:$E)</f>
        <v>#VALUE!</v>
      </c>
      <c r="T1042" s="613"/>
    </row>
    <row r="1043" spans="1:20">
      <c r="A1043" s="608">
        <v>615605</v>
      </c>
      <c r="B1043" s="609" t="s">
        <v>2850</v>
      </c>
      <c r="C1043" s="610"/>
      <c r="D1043" s="611">
        <v>0</v>
      </c>
      <c r="E1043" s="610">
        <f>SUMIF('Entries 24-25'!$B:$B,A:A,'Entries 24-25'!$D:$D)-SUMIF('Entries 24-25'!$B:$B,A:A,'Entries 24-25'!$E:$E)+SUMIF('IND AS entries 24-25'!$B:$B,A:A,'IND AS entries 24-25'!$D:$D)-SUMIF('IND AS entries 24-25'!$B:$B,A:A,'IND AS entries 24-25'!$E:$E)</f>
        <v>0</v>
      </c>
      <c r="F1043" s="611">
        <f t="shared" si="114"/>
        <v>0</v>
      </c>
      <c r="G1043" s="610"/>
      <c r="H1043" s="610"/>
      <c r="I1043" s="611">
        <v>-1</v>
      </c>
      <c r="J1043" s="610">
        <v>0</v>
      </c>
      <c r="K1043" s="611">
        <f t="shared" si="113"/>
        <v>-1</v>
      </c>
      <c r="L1043" s="612"/>
      <c r="M1043" s="612"/>
      <c r="N1043" s="613"/>
      <c r="O1043" s="613"/>
      <c r="P1043" s="613"/>
      <c r="Q1043" s="613"/>
      <c r="R1043" s="1514"/>
      <c r="S1043" s="1617" t="e">
        <f>SUMIF('[105]TB for financial'!$A:$A,A1043,'[105]TB for financial'!$E:$E)</f>
        <v>#VALUE!</v>
      </c>
      <c r="T1043" s="613"/>
    </row>
    <row r="1044" spans="1:20">
      <c r="A1044" s="608">
        <v>616221</v>
      </c>
      <c r="B1044" s="609" t="s">
        <v>3025</v>
      </c>
      <c r="C1044" s="610"/>
      <c r="D1044" s="611">
        <v>4149</v>
      </c>
      <c r="E1044" s="610">
        <f>SUMIF('Entries 24-25'!$B:$B,A:A,'Entries 24-25'!$D:$D)-SUMIF('Entries 24-25'!$B:$B,A:A,'Entries 24-25'!$E:$E)+SUMIF('IND AS entries 24-25'!$B:$B,A:A,'IND AS entries 24-25'!$D:$D)-SUMIF('IND AS entries 24-25'!$B:$B,A:A,'IND AS entries 24-25'!$E:$E)</f>
        <v>0</v>
      </c>
      <c r="F1044" s="611">
        <f t="shared" si="114"/>
        <v>4149</v>
      </c>
      <c r="G1044" s="610"/>
      <c r="H1044" s="610"/>
      <c r="I1044" s="611"/>
      <c r="J1044" s="610"/>
      <c r="K1044" s="611"/>
      <c r="L1044" s="612"/>
      <c r="M1044" s="612"/>
      <c r="N1044" s="613"/>
      <c r="O1044" s="613"/>
      <c r="P1044" s="613"/>
      <c r="Q1044" s="613"/>
      <c r="R1044" s="1514"/>
      <c r="S1044" s="1617"/>
      <c r="T1044" s="613"/>
    </row>
    <row r="1045" spans="1:20">
      <c r="A1045" s="608">
        <v>616400</v>
      </c>
      <c r="B1045" s="609" t="s">
        <v>2851</v>
      </c>
      <c r="C1045" s="610"/>
      <c r="D1045" s="611">
        <v>0</v>
      </c>
      <c r="E1045" s="610">
        <f>SUMIF('Entries 24-25'!$B:$B,A:A,'Entries 24-25'!$D:$D)-SUMIF('Entries 24-25'!$B:$B,A:A,'Entries 24-25'!$E:$E)+SUMIF('IND AS entries 24-25'!$B:$B,A:A,'IND AS entries 24-25'!$D:$D)-SUMIF('IND AS entries 24-25'!$B:$B,A:A,'IND AS entries 24-25'!$E:$E)</f>
        <v>0</v>
      </c>
      <c r="F1045" s="611">
        <f t="shared" si="114"/>
        <v>0</v>
      </c>
      <c r="G1045" s="610"/>
      <c r="H1045" s="610"/>
      <c r="I1045" s="611">
        <v>211</v>
      </c>
      <c r="J1045" s="610">
        <v>0</v>
      </c>
      <c r="K1045" s="611">
        <f t="shared" si="113"/>
        <v>211</v>
      </c>
      <c r="L1045" s="612"/>
      <c r="M1045" s="612"/>
      <c r="N1045" s="613"/>
      <c r="O1045" s="613"/>
      <c r="P1045" s="613"/>
      <c r="Q1045" s="613"/>
      <c r="R1045" s="1514"/>
      <c r="S1045" s="1617" t="e">
        <f>SUMIF('[105]TB for financial'!$A:$A,A1045,'[105]TB for financial'!$E:$E)</f>
        <v>#VALUE!</v>
      </c>
      <c r="T1045" s="613"/>
    </row>
    <row r="1046" spans="1:20">
      <c r="A1046" s="608">
        <v>622500</v>
      </c>
      <c r="B1046" s="609" t="s">
        <v>2500</v>
      </c>
      <c r="C1046" s="610"/>
      <c r="D1046" s="611">
        <v>28200</v>
      </c>
      <c r="E1046" s="610">
        <f>SUMIF('Entries 24-25'!$B:$B,A:A,'Entries 24-25'!$D:$D)-SUMIF('Entries 24-25'!$B:$B,A:A,'Entries 24-25'!$E:$E)+SUMIF('IND AS entries 24-25'!$B:$B,A:A,'IND AS entries 24-25'!$D:$D)-SUMIF('IND AS entries 24-25'!$B:$B,A:A,'IND AS entries 24-25'!$E:$E)</f>
        <v>0</v>
      </c>
      <c r="F1046" s="611">
        <f t="shared" si="114"/>
        <v>28200</v>
      </c>
      <c r="G1046" s="610"/>
      <c r="H1046" s="610"/>
      <c r="I1046" s="611">
        <v>4835.1499999999996</v>
      </c>
      <c r="J1046" s="610">
        <v>0</v>
      </c>
      <c r="K1046" s="611">
        <f t="shared" si="113"/>
        <v>4835.1499999999996</v>
      </c>
      <c r="L1046" s="612">
        <f>VLOOKUP(A1046,'PL Gr'!A:A,1,0)</f>
        <v>622500</v>
      </c>
      <c r="M1046" s="612">
        <f>COUNTIF(A:A,A1046)</f>
        <v>1</v>
      </c>
      <c r="N1046" s="613"/>
      <c r="O1046" s="613">
        <f>VLOOKUP(A1046,'PL Gr'!A:A,1,FALSE)</f>
        <v>622500</v>
      </c>
      <c r="P1046" s="613"/>
      <c r="Q1046" s="613"/>
      <c r="R1046" s="1514"/>
      <c r="S1046" s="1617" t="e">
        <f>SUMIF('[105]TB for financial'!$A:$A,A1046,'[105]TB for financial'!$E:$E)</f>
        <v>#VALUE!</v>
      </c>
      <c r="T1046" s="613"/>
    </row>
    <row r="1047" spans="1:20">
      <c r="A1047" s="608">
        <v>622600</v>
      </c>
      <c r="B1047" s="609" t="s">
        <v>2501</v>
      </c>
      <c r="C1047" s="610"/>
      <c r="D1047" s="611">
        <v>307399.96000000043</v>
      </c>
      <c r="E1047" s="610">
        <f>SUMIF('Entries 24-25'!$B:$B,A:A,'Entries 24-25'!$D:$D)-SUMIF('Entries 24-25'!$B:$B,A:A,'Entries 24-25'!$E:$E)+SUMIF('IND AS entries 24-25'!$B:$B,A:A,'IND AS entries 24-25'!$D:$D)-SUMIF('IND AS entries 24-25'!$B:$B,A:A,'IND AS entries 24-25'!$E:$E)</f>
        <v>53000.039999999979</v>
      </c>
      <c r="F1047" s="611">
        <f t="shared" si="114"/>
        <v>360400.00000000041</v>
      </c>
      <c r="G1047" s="610"/>
      <c r="H1047" s="610"/>
      <c r="I1047" s="611">
        <v>222600</v>
      </c>
      <c r="J1047" s="610">
        <v>0</v>
      </c>
      <c r="K1047" s="611">
        <f t="shared" si="113"/>
        <v>222600</v>
      </c>
      <c r="L1047" s="612">
        <f>VLOOKUP(A1047,'PL Gr'!A:A,1,0)</f>
        <v>622600</v>
      </c>
      <c r="M1047" s="612">
        <f>COUNTIF(A:A,A1047)</f>
        <v>1</v>
      </c>
      <c r="N1047" s="613"/>
      <c r="O1047" s="613">
        <f>VLOOKUP(A1047,'PL Gr'!A:A,1,FALSE)</f>
        <v>622600</v>
      </c>
      <c r="P1047" s="613"/>
      <c r="Q1047" s="613"/>
      <c r="R1047" s="1514"/>
      <c r="S1047" s="1617" t="e">
        <f>SUMIF('[105]TB for financial'!$A:$A,A1047,'[105]TB for financial'!$E:$E)</f>
        <v>#VALUE!</v>
      </c>
      <c r="T1047" s="613"/>
    </row>
    <row r="1048" spans="1:20">
      <c r="A1048" s="608">
        <v>622800</v>
      </c>
      <c r="B1048" s="609" t="s">
        <v>2502</v>
      </c>
      <c r="C1048" s="610"/>
      <c r="D1048" s="611">
        <v>1310998.0600000005</v>
      </c>
      <c r="E1048" s="610">
        <f>SUMIF('Entries 24-25'!$B:$B,A:A,'Entries 24-25'!$D:$D)-SUMIF('Entries 24-25'!$B:$B,A:A,'Entries 24-25'!$E:$E)+SUMIF('IND AS entries 24-25'!$B:$B,A:A,'IND AS entries 24-25'!$D:$D)-SUMIF('IND AS entries 24-25'!$B:$B,A:A,'IND AS entries 24-25'!$E:$E)</f>
        <v>16800</v>
      </c>
      <c r="F1048" s="611">
        <f t="shared" si="114"/>
        <v>1327798.0600000005</v>
      </c>
      <c r="G1048" s="610"/>
      <c r="H1048" s="610"/>
      <c r="I1048" s="611">
        <v>1160570.58</v>
      </c>
      <c r="J1048" s="610">
        <v>-203340</v>
      </c>
      <c r="K1048" s="611">
        <f t="shared" si="113"/>
        <v>957230.58000000007</v>
      </c>
      <c r="L1048" s="612">
        <f>VLOOKUP(A1048,'PL Gr'!A:A,1,0)</f>
        <v>622800</v>
      </c>
      <c r="M1048" s="612">
        <f>COUNTIF(A:A,A1048)</f>
        <v>1</v>
      </c>
      <c r="N1048" s="613"/>
      <c r="O1048" s="613">
        <f>VLOOKUP(A1048,'PL Gr'!A:A,1,FALSE)</f>
        <v>622800</v>
      </c>
      <c r="P1048" s="613"/>
      <c r="Q1048" s="613"/>
      <c r="R1048" s="1514"/>
      <c r="S1048" s="1617" t="e">
        <f>SUMIF('[105]TB for financial'!$A:$A,A1048,'[105]TB for financial'!$E:$E)</f>
        <v>#VALUE!</v>
      </c>
      <c r="T1048" s="613"/>
    </row>
    <row r="1049" spans="1:20">
      <c r="A1049" s="608">
        <v>622803</v>
      </c>
      <c r="B1049" s="609" t="s">
        <v>3043</v>
      </c>
      <c r="C1049" s="610"/>
      <c r="D1049" s="611"/>
      <c r="E1049" s="610">
        <f>SUMIF('Entries 24-25'!$B:$B,A:A,'Entries 24-25'!$D:$D)-SUMIF('Entries 24-25'!$B:$B,A:A,'Entries 24-25'!$E:$E)+SUMIF('IND AS entries 24-25'!$B:$B,A:A,'IND AS entries 24-25'!$D:$D)-SUMIF('IND AS entries 24-25'!$B:$B,A:A,'IND AS entries 24-25'!$E:$E)</f>
        <v>15500</v>
      </c>
      <c r="F1049" s="611">
        <f>SUM(C1049:E1049)</f>
        <v>15500</v>
      </c>
      <c r="G1049" s="610"/>
      <c r="H1049" s="610"/>
      <c r="I1049" s="611"/>
      <c r="J1049" s="610"/>
      <c r="K1049" s="611"/>
      <c r="L1049" s="612"/>
      <c r="M1049" s="612"/>
      <c r="N1049" s="613"/>
      <c r="O1049" s="613"/>
      <c r="P1049" s="613"/>
      <c r="Q1049" s="613"/>
      <c r="R1049" s="1514"/>
      <c r="S1049" s="1617"/>
      <c r="T1049" s="613"/>
    </row>
    <row r="1050" spans="1:20">
      <c r="A1050" s="608">
        <v>625714</v>
      </c>
      <c r="B1050" s="609" t="s">
        <v>2503</v>
      </c>
      <c r="C1050" s="610"/>
      <c r="D1050" s="611">
        <v>0</v>
      </c>
      <c r="E1050" s="610">
        <f>SUMIF('Entries 24-25'!$B:$B,A:A,'Entries 24-25'!$D:$D)-SUMIF('Entries 24-25'!$B:$B,A:A,'Entries 24-25'!$E:$E)+SUMIF('IND AS entries 24-25'!$B:$B,A:A,'IND AS entries 24-25'!$D:$D)-SUMIF('IND AS entries 24-25'!$B:$B,A:A,'IND AS entries 24-25'!$E:$E)</f>
        <v>0</v>
      </c>
      <c r="F1050" s="611">
        <f t="shared" si="114"/>
        <v>0</v>
      </c>
      <c r="G1050" s="610"/>
      <c r="H1050" s="610"/>
      <c r="I1050" s="611">
        <v>-2200</v>
      </c>
      <c r="J1050" s="610">
        <v>0</v>
      </c>
      <c r="K1050" s="611">
        <f t="shared" si="113"/>
        <v>-2200</v>
      </c>
      <c r="L1050" s="612">
        <f>VLOOKUP(A1050,'PL Gr'!A:A,1,0)</f>
        <v>625714</v>
      </c>
      <c r="M1050" s="612">
        <f t="shared" ref="M1050:M1057" si="115">COUNTIF(A:A,A1050)</f>
        <v>1</v>
      </c>
      <c r="N1050" s="613"/>
      <c r="O1050" s="613">
        <f>VLOOKUP(A1050,'PL Gr'!A:A,1,FALSE)</f>
        <v>625714</v>
      </c>
      <c r="P1050" s="613"/>
      <c r="Q1050" s="613"/>
      <c r="R1050" s="1514"/>
      <c r="S1050" s="1617" t="e">
        <f>SUMIF('[105]TB for financial'!$A:$A,A1050,'[105]TB for financial'!$E:$E)</f>
        <v>#VALUE!</v>
      </c>
      <c r="T1050" s="613"/>
    </row>
    <row r="1051" spans="1:20">
      <c r="A1051" s="608">
        <v>626424</v>
      </c>
      <c r="B1051" s="609" t="s">
        <v>2504</v>
      </c>
      <c r="C1051" s="610"/>
      <c r="D1051" s="611">
        <v>60000</v>
      </c>
      <c r="E1051" s="610">
        <f>SUMIF('Entries 24-25'!$B:$B,A:A,'Entries 24-25'!$D:$D)-SUMIF('Entries 24-25'!$B:$B,A:A,'Entries 24-25'!$E:$E)+SUMIF('IND AS entries 24-25'!$B:$B,A:A,'IND AS entries 24-25'!$D:$D)-SUMIF('IND AS entries 24-25'!$B:$B,A:A,'IND AS entries 24-25'!$E:$E)</f>
        <v>0</v>
      </c>
      <c r="F1051" s="611">
        <f t="shared" si="114"/>
        <v>60000</v>
      </c>
      <c r="G1051" s="610"/>
      <c r="H1051" s="610"/>
      <c r="I1051" s="611">
        <v>15000</v>
      </c>
      <c r="J1051" s="610">
        <v>45000</v>
      </c>
      <c r="K1051" s="611">
        <f t="shared" si="113"/>
        <v>60000</v>
      </c>
      <c r="L1051" s="612">
        <f>VLOOKUP(A1051,'PL Gr'!A:A,1,0)</f>
        <v>626424</v>
      </c>
      <c r="M1051" s="612">
        <f t="shared" si="115"/>
        <v>1</v>
      </c>
      <c r="N1051" s="613"/>
      <c r="O1051" s="613">
        <f>VLOOKUP(A1051,'PL Gr'!A:A,1,FALSE)</f>
        <v>626424</v>
      </c>
      <c r="P1051" s="613"/>
      <c r="Q1051" s="613"/>
      <c r="R1051" s="1514"/>
      <c r="S1051" s="1617" t="e">
        <f>SUMIF('[105]TB for financial'!$A:$A,A1051,'[105]TB for financial'!$E:$E)</f>
        <v>#VALUE!</v>
      </c>
      <c r="T1051" s="613"/>
    </row>
    <row r="1052" spans="1:20">
      <c r="A1052" s="608">
        <v>627100</v>
      </c>
      <c r="B1052" s="609" t="s">
        <v>2505</v>
      </c>
      <c r="C1052" s="610"/>
      <c r="D1052" s="611">
        <v>27779.320000000007</v>
      </c>
      <c r="E1052" s="610">
        <f>SUMIF('Entries 24-25'!$B:$B,A:A,'Entries 24-25'!$D:$D)-SUMIF('Entries 24-25'!$B:$B,A:A,'Entries 24-25'!$E:$E)+SUMIF('IND AS entries 24-25'!$B:$B,A:A,'IND AS entries 24-25'!$D:$D)-SUMIF('IND AS entries 24-25'!$B:$B,A:A,'IND AS entries 24-25'!$E:$E)</f>
        <v>40316</v>
      </c>
      <c r="F1052" s="611">
        <f t="shared" si="114"/>
        <v>68095.320000000007</v>
      </c>
      <c r="G1052" s="610"/>
      <c r="H1052" s="610"/>
      <c r="I1052" s="611">
        <v>141058</v>
      </c>
      <c r="J1052" s="610">
        <v>-37910</v>
      </c>
      <c r="K1052" s="611">
        <f t="shared" si="113"/>
        <v>103148</v>
      </c>
      <c r="L1052" s="612">
        <f>VLOOKUP(A1052,'PL Gr'!A:A,1,0)</f>
        <v>627100</v>
      </c>
      <c r="M1052" s="612">
        <f t="shared" si="115"/>
        <v>1</v>
      </c>
      <c r="N1052" s="613"/>
      <c r="O1052" s="613">
        <f>VLOOKUP(A1052,'PL Gr'!A:A,1,FALSE)</f>
        <v>627100</v>
      </c>
      <c r="P1052" s="613"/>
      <c r="Q1052" s="613"/>
      <c r="R1052" s="1514"/>
      <c r="S1052" s="1617" t="e">
        <f>SUMIF('[105]TB for financial'!$A:$A,A1052,'[105]TB for financial'!$E:$E)</f>
        <v>#VALUE!</v>
      </c>
      <c r="T1052" s="613"/>
    </row>
    <row r="1053" spans="1:20">
      <c r="A1053" s="608">
        <v>627800</v>
      </c>
      <c r="B1053" s="609" t="s">
        <v>2666</v>
      </c>
      <c r="C1053" s="610"/>
      <c r="D1053" s="611">
        <v>2245.5900000000006</v>
      </c>
      <c r="E1053" s="610">
        <f>SUMIF('Entries 24-25'!$B:$B,A:A,'Entries 24-25'!$D:$D)-SUMIF('Entries 24-25'!$B:$B,A:A,'Entries 24-25'!$E:$E)+SUMIF('IND AS entries 24-25'!$B:$B,A:A,'IND AS entries 24-25'!$D:$D)-SUMIF('IND AS entries 24-25'!$B:$B,A:A,'IND AS entries 24-25'!$E:$E)</f>
        <v>0</v>
      </c>
      <c r="F1053" s="611">
        <f t="shared" si="114"/>
        <v>2245.5900000000006</v>
      </c>
      <c r="G1053" s="610"/>
      <c r="H1053" s="610"/>
      <c r="I1053" s="611">
        <v>4528.03</v>
      </c>
      <c r="J1053" s="610">
        <v>0</v>
      </c>
      <c r="K1053" s="611">
        <f t="shared" si="113"/>
        <v>4528.03</v>
      </c>
      <c r="L1053" s="612">
        <f>VLOOKUP(A1053,'PL Gr'!A:A,1,0)</f>
        <v>627800</v>
      </c>
      <c r="M1053" s="612">
        <f t="shared" si="115"/>
        <v>1</v>
      </c>
      <c r="N1053" s="613"/>
      <c r="O1053" s="613">
        <f>VLOOKUP(A1053,'PL Gr'!A:A,1,FALSE)</f>
        <v>627800</v>
      </c>
      <c r="P1053" s="613"/>
      <c r="Q1053" s="613"/>
      <c r="R1053" s="1514"/>
      <c r="S1053" s="1617" t="e">
        <f>SUMIF('[105]TB for financial'!$A:$A,A1053,'[105]TB for financial'!$E:$E)</f>
        <v>#VALUE!</v>
      </c>
      <c r="T1053" s="613"/>
    </row>
    <row r="1054" spans="1:20">
      <c r="A1054" s="608">
        <v>633300</v>
      </c>
      <c r="B1054" s="609" t="s">
        <v>2667</v>
      </c>
      <c r="C1054" s="610"/>
      <c r="D1054" s="611">
        <v>0</v>
      </c>
      <c r="E1054" s="610">
        <f>SUMIF('Entries 24-25'!$B:$B,A:A,'Entries 24-25'!$D:$D)-SUMIF('Entries 24-25'!$B:$B,A:A,'Entries 24-25'!$E:$E)+SUMIF('IND AS entries 24-25'!$B:$B,A:A,'IND AS entries 24-25'!$D:$D)-SUMIF('IND AS entries 24-25'!$B:$B,A:A,'IND AS entries 24-25'!$E:$E)</f>
        <v>0</v>
      </c>
      <c r="F1054" s="611">
        <f t="shared" si="114"/>
        <v>0</v>
      </c>
      <c r="G1054" s="610"/>
      <c r="H1054" s="610"/>
      <c r="I1054" s="611">
        <v>0</v>
      </c>
      <c r="J1054" s="610">
        <v>0</v>
      </c>
      <c r="K1054" s="611">
        <f t="shared" si="113"/>
        <v>0</v>
      </c>
      <c r="L1054" s="612">
        <f>VLOOKUP(A1054,'PL Gr'!A:A,1,0)</f>
        <v>633300</v>
      </c>
      <c r="M1054" s="612">
        <f t="shared" si="115"/>
        <v>1</v>
      </c>
      <c r="N1054" s="613"/>
      <c r="O1054" s="613">
        <f>VLOOKUP(A1054,'PL Gr'!A:A,1,FALSE)</f>
        <v>633300</v>
      </c>
      <c r="P1054" s="613"/>
      <c r="Q1054" s="613"/>
      <c r="R1054" s="1514"/>
      <c r="S1054" s="1617" t="e">
        <f>SUMIF('[105]TB for financial'!$A:$A,A1054,'[105]TB for financial'!$E:$E)</f>
        <v>#VALUE!</v>
      </c>
      <c r="T1054" s="613"/>
    </row>
    <row r="1055" spans="1:20">
      <c r="A1055" s="608">
        <v>635130</v>
      </c>
      <c r="B1055" s="609" t="s">
        <v>2607</v>
      </c>
      <c r="C1055" s="610"/>
      <c r="D1055" s="611">
        <v>14000</v>
      </c>
      <c r="E1055" s="610">
        <f>SUMIF('Entries 24-25'!$B:$B,A:A,'Entries 24-25'!$D:$D)-SUMIF('Entries 24-25'!$B:$B,A:A,'Entries 24-25'!$E:$E)+SUMIF('IND AS entries 24-25'!$B:$B,A:A,'IND AS entries 24-25'!$D:$D)-SUMIF('IND AS entries 24-25'!$B:$B,A:A,'IND AS entries 24-25'!$E:$E)</f>
        <v>31400</v>
      </c>
      <c r="F1055" s="611">
        <f t="shared" si="114"/>
        <v>45400</v>
      </c>
      <c r="G1055" s="610"/>
      <c r="H1055" s="610"/>
      <c r="I1055" s="611">
        <v>8722</v>
      </c>
      <c r="J1055" s="610">
        <v>12140</v>
      </c>
      <c r="K1055" s="611">
        <f t="shared" si="113"/>
        <v>20862</v>
      </c>
      <c r="L1055" s="612">
        <f>VLOOKUP(A1055,'PL Gr'!A:A,1,0)</f>
        <v>635130</v>
      </c>
      <c r="M1055" s="612">
        <f t="shared" si="115"/>
        <v>1</v>
      </c>
      <c r="N1055" s="613"/>
      <c r="O1055" s="613">
        <f>VLOOKUP(A1055,'PL Gr'!A:A,1,FALSE)</f>
        <v>635130</v>
      </c>
      <c r="P1055" s="613"/>
      <c r="Q1055" s="613"/>
      <c r="R1055" s="1514"/>
      <c r="S1055" s="1617" t="e">
        <f>SUMIF('[105]TB for financial'!$A:$A,A1055,'[105]TB for financial'!$E:$E)</f>
        <v>#VALUE!</v>
      </c>
      <c r="T1055" s="613"/>
    </row>
    <row r="1056" spans="1:20">
      <c r="A1056" s="608">
        <v>637803</v>
      </c>
      <c r="B1056" s="609" t="s">
        <v>2558</v>
      </c>
      <c r="C1056" s="610"/>
      <c r="D1056" s="611">
        <v>0</v>
      </c>
      <c r="E1056" s="610">
        <f>SUMIF('Entries 24-25'!$B:$B,A:A,'Entries 24-25'!$D:$D)-SUMIF('Entries 24-25'!$B:$B,A:A,'Entries 24-25'!$E:$E)+SUMIF('IND AS entries 24-25'!$B:$B,A:A,'IND AS entries 24-25'!$D:$D)-SUMIF('IND AS entries 24-25'!$B:$B,A:A,'IND AS entries 24-25'!$E:$E)</f>
        <v>0</v>
      </c>
      <c r="F1056" s="611">
        <f t="shared" si="114"/>
        <v>0</v>
      </c>
      <c r="G1056" s="610"/>
      <c r="H1056" s="610"/>
      <c r="I1056" s="611">
        <v>0</v>
      </c>
      <c r="J1056" s="610">
        <v>0</v>
      </c>
      <c r="K1056" s="611">
        <f t="shared" si="113"/>
        <v>0</v>
      </c>
      <c r="L1056" s="612">
        <f>VLOOKUP(A1056,'PL Gr'!A:A,1,0)</f>
        <v>637803</v>
      </c>
      <c r="M1056" s="612">
        <f t="shared" si="115"/>
        <v>1</v>
      </c>
      <c r="N1056" s="613"/>
      <c r="O1056" s="613">
        <f>VLOOKUP(A1056,'PL Gr'!A:A,1,FALSE)</f>
        <v>637803</v>
      </c>
      <c r="P1056" s="613"/>
      <c r="Q1056" s="613"/>
      <c r="R1056" s="1514"/>
      <c r="S1056" s="1617" t="e">
        <f>SUMIF('[105]TB for financial'!$A:$A,A1056,'[105]TB for financial'!$E:$E)</f>
        <v>#VALUE!</v>
      </c>
      <c r="T1056" s="613"/>
    </row>
    <row r="1057" spans="1:20">
      <c r="A1057" s="608">
        <v>641100</v>
      </c>
      <c r="B1057" s="609" t="s">
        <v>2506</v>
      </c>
      <c r="C1057" s="610"/>
      <c r="D1057" s="611">
        <v>2194721</v>
      </c>
      <c r="E1057" s="610">
        <f>SUMIF('Entries 24-25'!$B:$B,A:A,'Entries 24-25'!$D:$D)-SUMIF('Entries 24-25'!$B:$B,A:A,'Entries 24-25'!$E:$E)+SUMIF('IND AS entries 24-25'!$B:$B,A:A,'IND AS entries 24-25'!$D:$D)-SUMIF('IND AS entries 24-25'!$B:$B,A:A,'IND AS entries 24-25'!$E:$E)</f>
        <v>0</v>
      </c>
      <c r="F1057" s="611">
        <f t="shared" si="114"/>
        <v>2194721</v>
      </c>
      <c r="G1057" s="610"/>
      <c r="H1057" s="610"/>
      <c r="I1057" s="611">
        <v>836707</v>
      </c>
      <c r="J1057" s="610">
        <v>0</v>
      </c>
      <c r="K1057" s="611">
        <f t="shared" si="113"/>
        <v>836707</v>
      </c>
      <c r="L1057" s="612">
        <f>VLOOKUP(A1057,'PL Gr'!A:A,1,0)</f>
        <v>641100</v>
      </c>
      <c r="M1057" s="612">
        <f t="shared" si="115"/>
        <v>1</v>
      </c>
      <c r="N1057" s="613"/>
      <c r="O1057" s="613">
        <f>VLOOKUP(A1057,'PL Gr'!A:A,1,FALSE)</f>
        <v>641100</v>
      </c>
      <c r="P1057" s="613"/>
      <c r="Q1057" s="613"/>
      <c r="R1057" s="1514"/>
      <c r="S1057" s="1617" t="e">
        <f>SUMIF('[105]TB for financial'!$A:$A,A1057,'[105]TB for financial'!$E:$E)</f>
        <v>#VALUE!</v>
      </c>
      <c r="T1057" s="613"/>
    </row>
    <row r="1058" spans="1:20">
      <c r="A1058" s="608">
        <v>641111</v>
      </c>
      <c r="B1058" s="609" t="s">
        <v>2852</v>
      </c>
      <c r="C1058" s="610"/>
      <c r="D1058" s="611">
        <v>21600</v>
      </c>
      <c r="E1058" s="610">
        <f>SUMIF('Entries 24-25'!$B:$B,A:A,'Entries 24-25'!$D:$D)-SUMIF('Entries 24-25'!$B:$B,A:A,'Entries 24-25'!$E:$E)+SUMIF('IND AS entries 24-25'!$B:$B,A:A,'IND AS entries 24-25'!$D:$D)-SUMIF('IND AS entries 24-25'!$B:$B,A:A,'IND AS entries 24-25'!$E:$E)</f>
        <v>0</v>
      </c>
      <c r="F1058" s="611">
        <f t="shared" si="114"/>
        <v>21600</v>
      </c>
      <c r="G1058" s="610"/>
      <c r="H1058" s="610"/>
      <c r="I1058" s="611">
        <v>4250</v>
      </c>
      <c r="J1058" s="610">
        <v>0</v>
      </c>
      <c r="K1058" s="611">
        <f t="shared" si="113"/>
        <v>4250</v>
      </c>
      <c r="L1058" s="612"/>
      <c r="M1058" s="612"/>
      <c r="N1058" s="613"/>
      <c r="O1058" s="613"/>
      <c r="P1058" s="613"/>
      <c r="Q1058" s="613"/>
      <c r="R1058" s="1514"/>
      <c r="S1058" s="1617" t="e">
        <f>SUMIF('[105]TB for financial'!$A:$A,A1058,'[105]TB for financial'!$E:$E)</f>
        <v>#VALUE!</v>
      </c>
      <c r="T1058" s="613"/>
    </row>
    <row r="1059" spans="1:20">
      <c r="A1059" s="608">
        <v>641203</v>
      </c>
      <c r="B1059" s="609" t="s">
        <v>2507</v>
      </c>
      <c r="C1059" s="610"/>
      <c r="D1059" s="611">
        <v>27812</v>
      </c>
      <c r="E1059" s="610">
        <f>SUMIF('Entries 24-25'!$B:$B,A:A,'Entries 24-25'!$D:$D)-SUMIF('Entries 24-25'!$B:$B,A:A,'Entries 24-25'!$E:$E)+SUMIF('IND AS entries 24-25'!$B:$B,A:A,'IND AS entries 24-25'!$D:$D)-SUMIF('IND AS entries 24-25'!$B:$B,A:A,'IND AS entries 24-25'!$E:$E)</f>
        <v>26350</v>
      </c>
      <c r="F1059" s="611">
        <f t="shared" si="114"/>
        <v>54162</v>
      </c>
      <c r="G1059" s="610"/>
      <c r="H1059" s="610"/>
      <c r="I1059" s="611">
        <v>71073</v>
      </c>
      <c r="J1059" s="610">
        <v>-27930</v>
      </c>
      <c r="K1059" s="611">
        <f t="shared" si="113"/>
        <v>43143</v>
      </c>
      <c r="L1059" s="612">
        <f>VLOOKUP(A1059,'PL Gr'!A:A,1,0)</f>
        <v>641203</v>
      </c>
      <c r="M1059" s="612">
        <f>COUNTIF(A:A,A1059)</f>
        <v>1</v>
      </c>
      <c r="N1059" s="613"/>
      <c r="O1059" s="613">
        <f>VLOOKUP(A1059,'PL Gr'!A:A,1,FALSE)</f>
        <v>641203</v>
      </c>
      <c r="P1059" s="613"/>
      <c r="Q1059" s="613"/>
      <c r="R1059" s="1514"/>
      <c r="S1059" s="1617" t="e">
        <f>SUMIF('[105]TB for financial'!$A:$A,A1059,'[105]TB for financial'!$E:$E)</f>
        <v>#VALUE!</v>
      </c>
      <c r="T1059" s="613"/>
    </row>
    <row r="1060" spans="1:20">
      <c r="A1060" s="608">
        <v>641300</v>
      </c>
      <c r="B1060" s="609" t="s">
        <v>2508</v>
      </c>
      <c r="C1060" s="610"/>
      <c r="D1060" s="611">
        <f>276811+32959.29</f>
        <v>309770.28999999998</v>
      </c>
      <c r="E1060" s="610">
        <f>SUMIF('Entries 24-25'!$B:$B,A:A,'Entries 24-25'!$D:$D)-SUMIF('Entries 24-25'!$B:$B,A:A,'Entries 24-25'!$E:$E)+SUMIF('IND AS entries 24-25'!$B:$B,A:A,'IND AS entries 24-25'!$D:$D)-SUMIF('IND AS entries 24-25'!$B:$B,A:A,'IND AS entries 24-25'!$E:$E)</f>
        <v>-32959.29</v>
      </c>
      <c r="F1060" s="611">
        <f t="shared" si="114"/>
        <v>276811</v>
      </c>
      <c r="G1060" s="610"/>
      <c r="H1060" s="610"/>
      <c r="I1060" s="611">
        <v>564606</v>
      </c>
      <c r="J1060" s="610">
        <v>-32959.29</v>
      </c>
      <c r="K1060" s="611">
        <f t="shared" si="113"/>
        <v>531646.71</v>
      </c>
      <c r="L1060" s="612">
        <f>VLOOKUP(A1060,'PL Gr'!A:A,1,0)</f>
        <v>641300</v>
      </c>
      <c r="M1060" s="612">
        <f>COUNTIF(A:A,A1060)</f>
        <v>1</v>
      </c>
      <c r="N1060" s="613"/>
      <c r="O1060" s="613">
        <f>VLOOKUP(A1060,'PL Gr'!A:A,1,FALSE)</f>
        <v>641300</v>
      </c>
      <c r="P1060" s="613"/>
      <c r="Q1060" s="613"/>
      <c r="R1060" s="1514"/>
      <c r="S1060" s="1617" t="e">
        <f>SUMIF('[105]TB for financial'!$A:$A,A1060,'[105]TB for financial'!$E:$E)</f>
        <v>#VALUE!</v>
      </c>
      <c r="T1060" s="613"/>
    </row>
    <row r="1061" spans="1:20">
      <c r="A1061" s="608">
        <v>641310</v>
      </c>
      <c r="B1061" s="609" t="s">
        <v>2509</v>
      </c>
      <c r="C1061" s="610"/>
      <c r="D1061" s="611">
        <v>0</v>
      </c>
      <c r="E1061" s="610">
        <f>SUMIF('Entries 24-25'!$B:$B,A:A,'Entries 24-25'!$D:$D)-SUMIF('Entries 24-25'!$B:$B,A:A,'Entries 24-25'!$E:$E)+SUMIF('IND AS entries 24-25'!$B:$B,A:A,'IND AS entries 24-25'!$D:$D)-SUMIF('IND AS entries 24-25'!$B:$B,A:A,'IND AS entries 24-25'!$E:$E)</f>
        <v>0</v>
      </c>
      <c r="F1061" s="611">
        <f t="shared" si="114"/>
        <v>0</v>
      </c>
      <c r="G1061" s="610"/>
      <c r="H1061" s="610"/>
      <c r="I1061" s="611">
        <v>0</v>
      </c>
      <c r="J1061" s="610">
        <v>0</v>
      </c>
      <c r="K1061" s="611">
        <f t="shared" si="113"/>
        <v>0</v>
      </c>
      <c r="L1061" s="612">
        <f>VLOOKUP(A1061,'PL Gr'!A:A,1,0)</f>
        <v>641310</v>
      </c>
      <c r="M1061" s="612">
        <f>COUNTIF(A:A,A1061)</f>
        <v>1</v>
      </c>
      <c r="N1061" s="613"/>
      <c r="O1061" s="613">
        <f>VLOOKUP(A1061,'PL Gr'!A:A,1,FALSE)</f>
        <v>641310</v>
      </c>
      <c r="P1061" s="613"/>
      <c r="Q1061" s="613"/>
      <c r="R1061" s="1514"/>
      <c r="S1061" s="1617" t="e">
        <f>SUMIF('[105]TB for financial'!$A:$A,A1061,'[105]TB for financial'!$E:$E)</f>
        <v>#VALUE!</v>
      </c>
      <c r="T1061" s="613"/>
    </row>
    <row r="1062" spans="1:20">
      <c r="A1062" s="608">
        <v>641404</v>
      </c>
      <c r="B1062" s="609" t="s">
        <v>2853</v>
      </c>
      <c r="C1062" s="610"/>
      <c r="D1062" s="611">
        <v>378582</v>
      </c>
      <c r="E1062" s="610">
        <f>SUMIF('Entries 24-25'!$B:$B,A:A,'Entries 24-25'!$D:$D)-SUMIF('Entries 24-25'!$B:$B,A:A,'Entries 24-25'!$E:$E)+SUMIF('IND AS entries 24-25'!$B:$B,A:A,'IND AS entries 24-25'!$D:$D)-SUMIF('IND AS entries 24-25'!$B:$B,A:A,'IND AS entries 24-25'!$E:$E)</f>
        <v>0</v>
      </c>
      <c r="F1062" s="611">
        <f t="shared" si="114"/>
        <v>378582</v>
      </c>
      <c r="G1062" s="610"/>
      <c r="H1062" s="610"/>
      <c r="I1062" s="611">
        <v>61908</v>
      </c>
      <c r="J1062" s="610">
        <v>0</v>
      </c>
      <c r="K1062" s="611">
        <f t="shared" si="113"/>
        <v>61908</v>
      </c>
      <c r="L1062" s="612"/>
      <c r="M1062" s="612"/>
      <c r="N1062" s="613"/>
      <c r="O1062" s="613"/>
      <c r="P1062" s="613"/>
      <c r="Q1062" s="613"/>
      <c r="R1062" s="1514"/>
      <c r="S1062" s="1617" t="e">
        <f>SUMIF('[105]TB for financial'!$A:$A,A1062,'[105]TB for financial'!$E:$E)</f>
        <v>#VALUE!</v>
      </c>
      <c r="T1062" s="613"/>
    </row>
    <row r="1063" spans="1:20">
      <c r="A1063" s="608">
        <v>641702</v>
      </c>
      <c r="B1063" s="609" t="s">
        <v>2510</v>
      </c>
      <c r="C1063" s="610"/>
      <c r="D1063" s="611">
        <v>3461072</v>
      </c>
      <c r="E1063" s="610">
        <f>SUMIF('Entries 24-25'!$B:$B,A:A,'Entries 24-25'!$D:$D)-SUMIF('Entries 24-25'!$B:$B,A:A,'Entries 24-25'!$E:$E)+SUMIF('IND AS entries 24-25'!$B:$B,A:A,'IND AS entries 24-25'!$D:$D)-SUMIF('IND AS entries 24-25'!$B:$B,A:A,'IND AS entries 24-25'!$E:$E)</f>
        <v>0</v>
      </c>
      <c r="F1063" s="611">
        <f t="shared" si="114"/>
        <v>3461072</v>
      </c>
      <c r="G1063" s="610"/>
      <c r="H1063" s="610"/>
      <c r="I1063" s="611">
        <v>6534241</v>
      </c>
      <c r="J1063" s="610">
        <v>-32160</v>
      </c>
      <c r="K1063" s="611">
        <f t="shared" si="113"/>
        <v>6502081</v>
      </c>
      <c r="L1063" s="612">
        <f>VLOOKUP(A1063,'PL Gr'!A:A,1,0)</f>
        <v>641702</v>
      </c>
      <c r="M1063" s="612">
        <f t="shared" ref="M1063:M1075" si="116">COUNTIF(A:A,A1063)</f>
        <v>1</v>
      </c>
      <c r="N1063" s="613"/>
      <c r="O1063" s="613">
        <f>VLOOKUP(A1063,'PL Gr'!A:A,1,FALSE)</f>
        <v>641702</v>
      </c>
      <c r="P1063" s="613"/>
      <c r="Q1063" s="613"/>
      <c r="R1063" s="1514"/>
      <c r="S1063" s="1617" t="e">
        <f>SUMIF('[105]TB for financial'!$A:$A,A1063,'[105]TB for financial'!$E:$E)</f>
        <v>#VALUE!</v>
      </c>
      <c r="T1063" s="613"/>
    </row>
    <row r="1064" spans="1:20">
      <c r="A1064" s="608">
        <v>641704</v>
      </c>
      <c r="B1064" s="609" t="s">
        <v>2668</v>
      </c>
      <c r="C1064" s="610"/>
      <c r="D1064" s="611">
        <v>6250</v>
      </c>
      <c r="E1064" s="610">
        <f>SUMIF('Entries 24-25'!$B:$B,A:A,'Entries 24-25'!$D:$D)-SUMIF('Entries 24-25'!$B:$B,A:A,'Entries 24-25'!$E:$E)+SUMIF('IND AS entries 24-25'!$B:$B,A:A,'IND AS entries 24-25'!$D:$D)-SUMIF('IND AS entries 24-25'!$B:$B,A:A,'IND AS entries 24-25'!$E:$E)</f>
        <v>0</v>
      </c>
      <c r="F1064" s="611">
        <f t="shared" si="114"/>
        <v>6250</v>
      </c>
      <c r="G1064" s="610"/>
      <c r="H1064" s="610"/>
      <c r="I1064" s="611">
        <v>18750</v>
      </c>
      <c r="J1064" s="610">
        <v>0</v>
      </c>
      <c r="K1064" s="611">
        <f t="shared" si="113"/>
        <v>18750</v>
      </c>
      <c r="L1064" s="612">
        <f>VLOOKUP(A1064,'PL Gr'!A:A,1,0)</f>
        <v>641704</v>
      </c>
      <c r="M1064" s="612">
        <f t="shared" si="116"/>
        <v>1</v>
      </c>
      <c r="N1064" s="613"/>
      <c r="O1064" s="613">
        <f>VLOOKUP(A1064,'PL Gr'!A:A,1,FALSE)</f>
        <v>641704</v>
      </c>
      <c r="P1064" s="613"/>
      <c r="Q1064" s="613"/>
      <c r="R1064" s="1514"/>
      <c r="S1064" s="1617" t="e">
        <f>SUMIF('[105]TB for financial'!$A:$A,A1064,'[105]TB for financial'!$E:$E)</f>
        <v>#VALUE!</v>
      </c>
      <c r="T1064" s="613"/>
    </row>
    <row r="1065" spans="1:20">
      <c r="A1065" s="608">
        <v>641711</v>
      </c>
      <c r="B1065" s="609" t="s">
        <v>156</v>
      </c>
      <c r="C1065" s="610"/>
      <c r="D1065" s="611">
        <v>45374</v>
      </c>
      <c r="E1065" s="610">
        <f>SUMIF('Entries 24-25'!$B:$B,A:A,'Entries 24-25'!$D:$D)-SUMIF('Entries 24-25'!$B:$B,A:A,'Entries 24-25'!$E:$E)+SUMIF('IND AS entries 24-25'!$B:$B,A:A,'IND AS entries 24-25'!$D:$D)-SUMIF('IND AS entries 24-25'!$B:$B,A:A,'IND AS entries 24-25'!$E:$E)</f>
        <v>202921</v>
      </c>
      <c r="F1065" s="611">
        <f t="shared" si="114"/>
        <v>248295</v>
      </c>
      <c r="G1065" s="610"/>
      <c r="H1065" s="610"/>
      <c r="I1065" s="611">
        <v>213589</v>
      </c>
      <c r="J1065" s="610">
        <v>80359</v>
      </c>
      <c r="K1065" s="611">
        <f t="shared" si="113"/>
        <v>293948</v>
      </c>
      <c r="L1065" s="612">
        <f>VLOOKUP(A1065,'PL Gr'!A:A,1,0)</f>
        <v>641711</v>
      </c>
      <c r="M1065" s="612">
        <f t="shared" si="116"/>
        <v>1</v>
      </c>
      <c r="N1065" s="613"/>
      <c r="O1065" s="613">
        <f>VLOOKUP(A1065,'PL Gr'!A:A,1,FALSE)</f>
        <v>641711</v>
      </c>
      <c r="P1065" s="613"/>
      <c r="Q1065" s="613"/>
      <c r="R1065" s="1514"/>
      <c r="S1065" s="1617" t="e">
        <f>SUMIF('[105]TB for financial'!$A:$A,A1065,'[105]TB for financial'!$E:$E)</f>
        <v>#VALUE!</v>
      </c>
      <c r="T1065" s="613"/>
    </row>
    <row r="1066" spans="1:20">
      <c r="A1066" s="608">
        <v>641713</v>
      </c>
      <c r="B1066" s="609" t="s">
        <v>2511</v>
      </c>
      <c r="C1066" s="610"/>
      <c r="D1066" s="611">
        <v>102600</v>
      </c>
      <c r="E1066" s="610">
        <f>SUMIF('Entries 24-25'!$B:$B,A:A,'Entries 24-25'!$D:$D)-SUMIF('Entries 24-25'!$B:$B,A:A,'Entries 24-25'!$E:$E)+SUMIF('IND AS entries 24-25'!$B:$B,A:A,'IND AS entries 24-25'!$D:$D)-SUMIF('IND AS entries 24-25'!$B:$B,A:A,'IND AS entries 24-25'!$E:$E)</f>
        <v>1808</v>
      </c>
      <c r="F1066" s="611">
        <f t="shared" si="114"/>
        <v>104408</v>
      </c>
      <c r="G1066" s="610"/>
      <c r="H1066" s="610"/>
      <c r="I1066" s="611">
        <v>132173</v>
      </c>
      <c r="J1066" s="610">
        <v>0</v>
      </c>
      <c r="K1066" s="611">
        <f t="shared" si="113"/>
        <v>132173</v>
      </c>
      <c r="L1066" s="612">
        <f>VLOOKUP(A1066,'PL Gr'!A:A,1,0)</f>
        <v>641713</v>
      </c>
      <c r="M1066" s="612">
        <f t="shared" si="116"/>
        <v>1</v>
      </c>
      <c r="N1066" s="613"/>
      <c r="O1066" s="613">
        <f>VLOOKUP(A1066,'PL Gr'!A:A,1,FALSE)</f>
        <v>641713</v>
      </c>
      <c r="P1066" s="613"/>
      <c r="Q1066" s="613"/>
      <c r="R1066" s="1514"/>
      <c r="S1066" s="1617" t="e">
        <f>SUMIF('[105]TB for financial'!$A:$A,A1066,'[105]TB for financial'!$E:$E)</f>
        <v>#VALUE!</v>
      </c>
      <c r="T1066" s="613"/>
    </row>
    <row r="1067" spans="1:20">
      <c r="A1067" s="608">
        <v>641716</v>
      </c>
      <c r="B1067" s="609" t="s">
        <v>2512</v>
      </c>
      <c r="C1067" s="610"/>
      <c r="D1067" s="611">
        <v>4725</v>
      </c>
      <c r="E1067" s="610">
        <f>SUMIF('Entries 24-25'!$B:$B,A:A,'Entries 24-25'!$D:$D)-SUMIF('Entries 24-25'!$B:$B,A:A,'Entries 24-25'!$E:$E)+SUMIF('IND AS entries 24-25'!$B:$B,A:A,'IND AS entries 24-25'!$D:$D)-SUMIF('IND AS entries 24-25'!$B:$B,A:A,'IND AS entries 24-25'!$E:$E)</f>
        <v>450</v>
      </c>
      <c r="F1067" s="611">
        <f t="shared" si="114"/>
        <v>5175</v>
      </c>
      <c r="G1067" s="610"/>
      <c r="H1067" s="610"/>
      <c r="I1067" s="611">
        <v>5576.21</v>
      </c>
      <c r="J1067" s="610">
        <v>0</v>
      </c>
      <c r="K1067" s="611">
        <f t="shared" si="113"/>
        <v>5576.21</v>
      </c>
      <c r="L1067" s="612">
        <f>VLOOKUP(A1067,'PL Gr'!A:A,1,0)</f>
        <v>641716</v>
      </c>
      <c r="M1067" s="612">
        <f t="shared" si="116"/>
        <v>1</v>
      </c>
      <c r="N1067" s="613"/>
      <c r="O1067" s="613">
        <f>VLOOKUP(A1067,'PL Gr'!A:A,1,FALSE)</f>
        <v>641716</v>
      </c>
      <c r="P1067" s="613"/>
      <c r="Q1067" s="613"/>
      <c r="R1067" s="1514"/>
      <c r="S1067" s="1617" t="e">
        <f>SUMIF('[105]TB for financial'!$A:$A,A1067,'[105]TB for financial'!$E:$E)</f>
        <v>#VALUE!</v>
      </c>
      <c r="T1067" s="613"/>
    </row>
    <row r="1068" spans="1:20">
      <c r="A1068" s="608">
        <v>641721</v>
      </c>
      <c r="B1068" s="609" t="s">
        <v>2513</v>
      </c>
      <c r="C1068" s="610"/>
      <c r="D1068" s="611">
        <v>21600</v>
      </c>
      <c r="E1068" s="610">
        <f>SUMIF('Entries 24-25'!$B:$B,A:A,'Entries 24-25'!$D:$D)-SUMIF('Entries 24-25'!$B:$B,A:A,'Entries 24-25'!$E:$E)+SUMIF('IND AS entries 24-25'!$B:$B,A:A,'IND AS entries 24-25'!$D:$D)-SUMIF('IND AS entries 24-25'!$B:$B,A:A,'IND AS entries 24-25'!$E:$E)</f>
        <v>0</v>
      </c>
      <c r="F1068" s="611">
        <f t="shared" si="114"/>
        <v>21600</v>
      </c>
      <c r="G1068" s="610"/>
      <c r="H1068" s="610"/>
      <c r="I1068" s="611">
        <v>5400</v>
      </c>
      <c r="J1068" s="610">
        <v>32400</v>
      </c>
      <c r="K1068" s="611">
        <f t="shared" si="113"/>
        <v>37800</v>
      </c>
      <c r="L1068" s="612">
        <f>VLOOKUP(A1068,'PL Gr'!A:A,1,0)</f>
        <v>641721</v>
      </c>
      <c r="M1068" s="612">
        <f t="shared" si="116"/>
        <v>1</v>
      </c>
      <c r="N1068" s="613"/>
      <c r="O1068" s="613">
        <f>VLOOKUP(A1068,'PL Gr'!A:A,1,FALSE)</f>
        <v>641721</v>
      </c>
      <c r="P1068" s="613"/>
      <c r="Q1068" s="613"/>
      <c r="R1068" s="1514"/>
      <c r="S1068" s="1617" t="e">
        <f>SUMIF('[105]TB for financial'!$A:$A,A1068,'[105]TB for financial'!$E:$E)</f>
        <v>#VALUE!</v>
      </c>
      <c r="T1068" s="613"/>
    </row>
    <row r="1069" spans="1:20">
      <c r="A1069" s="608">
        <v>641722</v>
      </c>
      <c r="B1069" s="609" t="s">
        <v>2514</v>
      </c>
      <c r="C1069" s="610"/>
      <c r="D1069" s="611">
        <v>10800</v>
      </c>
      <c r="E1069" s="610">
        <f>SUMIF('Entries 24-25'!$B:$B,A:A,'Entries 24-25'!$D:$D)-SUMIF('Entries 24-25'!$B:$B,A:A,'Entries 24-25'!$E:$E)+SUMIF('IND AS entries 24-25'!$B:$B,A:A,'IND AS entries 24-25'!$D:$D)-SUMIF('IND AS entries 24-25'!$B:$B,A:A,'IND AS entries 24-25'!$E:$E)</f>
        <v>0</v>
      </c>
      <c r="F1069" s="611">
        <f t="shared" si="114"/>
        <v>10800</v>
      </c>
      <c r="G1069" s="610"/>
      <c r="H1069" s="610"/>
      <c r="I1069" s="611">
        <v>2700</v>
      </c>
      <c r="J1069" s="610">
        <v>16200</v>
      </c>
      <c r="K1069" s="611">
        <f t="shared" si="113"/>
        <v>18900</v>
      </c>
      <c r="L1069" s="612">
        <f>VLOOKUP(A1069,'PL Gr'!A:A,1,0)</f>
        <v>641722</v>
      </c>
      <c r="M1069" s="612">
        <f t="shared" si="116"/>
        <v>1</v>
      </c>
      <c r="N1069" s="613"/>
      <c r="O1069" s="613">
        <f>VLOOKUP(A1069,'PL Gr'!A:A,1,FALSE)</f>
        <v>641722</v>
      </c>
      <c r="P1069" s="613"/>
      <c r="Q1069" s="613"/>
      <c r="R1069" s="1514"/>
      <c r="S1069" s="1617" t="e">
        <f>SUMIF('[105]TB for financial'!$A:$A,A1069,'[105]TB for financial'!$E:$E)</f>
        <v>#VALUE!</v>
      </c>
      <c r="T1069" s="613"/>
    </row>
    <row r="1070" spans="1:20">
      <c r="A1070" s="608">
        <v>645004</v>
      </c>
      <c r="B1070" s="609" t="s">
        <v>2515</v>
      </c>
      <c r="C1070" s="610"/>
      <c r="D1070" s="611">
        <v>238810.19999999995</v>
      </c>
      <c r="E1070" s="610">
        <f>SUMIF('Entries 24-25'!$B:$B,A:A,'Entries 24-25'!$D:$D)-SUMIF('Entries 24-25'!$B:$B,A:A,'Entries 24-25'!$E:$E)+SUMIF('IND AS entries 24-25'!$B:$B,A:A,'IND AS entries 24-25'!$D:$D)-SUMIF('IND AS entries 24-25'!$B:$B,A:A,'IND AS entries 24-25'!$E:$E)</f>
        <v>28499</v>
      </c>
      <c r="F1070" s="611">
        <f t="shared" si="114"/>
        <v>267309.19999999995</v>
      </c>
      <c r="G1070" s="610"/>
      <c r="H1070" s="610"/>
      <c r="I1070" s="611">
        <v>55108</v>
      </c>
      <c r="J1070" s="610">
        <v>166824</v>
      </c>
      <c r="K1070" s="611">
        <f t="shared" si="113"/>
        <v>221932</v>
      </c>
      <c r="L1070" s="612">
        <f>VLOOKUP(A1070,'PL Gr'!A:A,1,0)</f>
        <v>645004</v>
      </c>
      <c r="M1070" s="612">
        <f t="shared" si="116"/>
        <v>1</v>
      </c>
      <c r="N1070" s="613"/>
      <c r="O1070" s="613">
        <f>VLOOKUP(A1070,'PL Gr'!A:A,1,FALSE)</f>
        <v>645004</v>
      </c>
      <c r="P1070" s="613"/>
      <c r="Q1070" s="613"/>
      <c r="R1070" s="1514"/>
      <c r="S1070" s="1617" t="e">
        <f>SUMIF('[105]TB for financial'!$A:$A,A1070,'[105]TB for financial'!$E:$E)</f>
        <v>#VALUE!</v>
      </c>
      <c r="T1070" s="613"/>
    </row>
    <row r="1071" spans="1:20">
      <c r="A1071" s="608">
        <v>645643</v>
      </c>
      <c r="B1071" s="609" t="s">
        <v>2516</v>
      </c>
      <c r="C1071" s="610"/>
      <c r="D1071" s="611">
        <v>4275</v>
      </c>
      <c r="E1071" s="610">
        <f>SUMIF('Entries 24-25'!$B:$B,A:A,'Entries 24-25'!$D:$D)-SUMIF('Entries 24-25'!$B:$B,A:A,'Entries 24-25'!$E:$E)+SUMIF('IND AS entries 24-25'!$B:$B,A:A,'IND AS entries 24-25'!$D:$D)-SUMIF('IND AS entries 24-25'!$B:$B,A:A,'IND AS entries 24-25'!$E:$E)</f>
        <v>1525</v>
      </c>
      <c r="F1071" s="611">
        <f t="shared" si="114"/>
        <v>5800</v>
      </c>
      <c r="G1071" s="610"/>
      <c r="H1071" s="610"/>
      <c r="I1071" s="611">
        <v>5507.21</v>
      </c>
      <c r="J1071" s="610">
        <v>0</v>
      </c>
      <c r="K1071" s="611">
        <f t="shared" si="113"/>
        <v>5507.21</v>
      </c>
      <c r="L1071" s="612">
        <f>VLOOKUP(A1071,'PL Gr'!A:A,1,0)</f>
        <v>645643</v>
      </c>
      <c r="M1071" s="612">
        <f t="shared" si="116"/>
        <v>1</v>
      </c>
      <c r="N1071" s="613"/>
      <c r="O1071" s="613">
        <f>VLOOKUP(A1071,'PL Gr'!A:A,1,FALSE)</f>
        <v>645643</v>
      </c>
      <c r="P1071" s="613"/>
      <c r="Q1071" s="613"/>
      <c r="R1071" s="1514"/>
      <c r="S1071" s="1617" t="e">
        <f>SUMIF('[105]TB for financial'!$A:$A,A1071,'[105]TB for financial'!$E:$E)</f>
        <v>#VALUE!</v>
      </c>
      <c r="T1071" s="613"/>
    </row>
    <row r="1072" spans="1:20">
      <c r="A1072" s="608">
        <v>645700</v>
      </c>
      <c r="B1072" s="609" t="s">
        <v>2669</v>
      </c>
      <c r="C1072" s="610"/>
      <c r="D1072" s="611">
        <v>195323</v>
      </c>
      <c r="E1072" s="610">
        <f>SUMIF('Entries 24-25'!$B:$B,A:A,'Entries 24-25'!$D:$D)-SUMIF('Entries 24-25'!$B:$B,A:A,'Entries 24-25'!$E:$E)+SUMIF('IND AS entries 24-25'!$B:$B,A:A,'IND AS entries 24-25'!$D:$D)-SUMIF('IND AS entries 24-25'!$B:$B,A:A,'IND AS entries 24-25'!$E:$E)</f>
        <v>-195323</v>
      </c>
      <c r="F1072" s="611">
        <f t="shared" si="114"/>
        <v>0</v>
      </c>
      <c r="G1072" s="610"/>
      <c r="H1072" s="610"/>
      <c r="I1072" s="611">
        <v>0</v>
      </c>
      <c r="J1072" s="610">
        <v>0</v>
      </c>
      <c r="K1072" s="611">
        <f t="shared" si="113"/>
        <v>0</v>
      </c>
      <c r="L1072" s="612">
        <f>VLOOKUP(A1072,'PL Gr'!A:A,1,0)</f>
        <v>645700</v>
      </c>
      <c r="M1072" s="612">
        <f t="shared" si="116"/>
        <v>1</v>
      </c>
      <c r="N1072" s="613"/>
      <c r="O1072" s="613">
        <f>VLOOKUP(A1072,'PL Gr'!A:A,1,FALSE)</f>
        <v>645700</v>
      </c>
      <c r="P1072" s="613"/>
      <c r="Q1072" s="613"/>
      <c r="R1072" s="1514"/>
      <c r="S1072" s="1617" t="e">
        <f>SUMIF('[105]TB for financial'!$A:$A,A1072,'[105]TB for financial'!$E:$E)</f>
        <v>#VALUE!</v>
      </c>
      <c r="T1072" s="613"/>
    </row>
    <row r="1073" spans="1:20">
      <c r="A1073" s="608">
        <v>647500</v>
      </c>
      <c r="B1073" s="609" t="s">
        <v>2670</v>
      </c>
      <c r="C1073" s="610"/>
      <c r="D1073" s="611">
        <v>0</v>
      </c>
      <c r="E1073" s="610">
        <f>SUMIF('Entries 24-25'!$B:$B,A:A,'Entries 24-25'!$D:$D)-SUMIF('Entries 24-25'!$B:$B,A:A,'Entries 24-25'!$E:$E)+SUMIF('IND AS entries 24-25'!$B:$B,A:A,'IND AS entries 24-25'!$D:$D)-SUMIF('IND AS entries 24-25'!$B:$B,A:A,'IND AS entries 24-25'!$E:$E)</f>
        <v>0</v>
      </c>
      <c r="F1073" s="611">
        <f t="shared" si="114"/>
        <v>0</v>
      </c>
      <c r="G1073" s="610"/>
      <c r="H1073" s="610"/>
      <c r="I1073" s="611">
        <v>0</v>
      </c>
      <c r="J1073" s="610">
        <v>0</v>
      </c>
      <c r="K1073" s="611">
        <f t="shared" si="113"/>
        <v>0</v>
      </c>
      <c r="L1073" s="612">
        <f>VLOOKUP(A1073,'PL Gr'!A:A,1,0)</f>
        <v>647500</v>
      </c>
      <c r="M1073" s="612">
        <f t="shared" si="116"/>
        <v>1</v>
      </c>
      <c r="N1073" s="613"/>
      <c r="O1073" s="613">
        <f>VLOOKUP(A1073,'PL Gr'!A:A,1,FALSE)</f>
        <v>647500</v>
      </c>
      <c r="P1073" s="613"/>
      <c r="Q1073" s="613"/>
      <c r="R1073" s="1514"/>
      <c r="S1073" s="1617" t="e">
        <f>SUMIF('[105]TB for financial'!$A:$A,A1073,'[105]TB for financial'!$E:$E)</f>
        <v>#VALUE!</v>
      </c>
      <c r="T1073" s="613"/>
    </row>
    <row r="1074" spans="1:20">
      <c r="A1074" s="608">
        <v>647600</v>
      </c>
      <c r="B1074" s="609" t="s">
        <v>2671</v>
      </c>
      <c r="C1074" s="610"/>
      <c r="D1074" s="611">
        <v>26400</v>
      </c>
      <c r="E1074" s="610">
        <f>SUMIF('Entries 24-25'!$B:$B,A:A,'Entries 24-25'!$D:$D)-SUMIF('Entries 24-25'!$B:$B,A:A,'Entries 24-25'!$E:$E)+SUMIF('IND AS entries 24-25'!$B:$B,A:A,'IND AS entries 24-25'!$D:$D)-SUMIF('IND AS entries 24-25'!$B:$B,A:A,'IND AS entries 24-25'!$E:$E)</f>
        <v>0</v>
      </c>
      <c r="F1074" s="611">
        <f t="shared" si="114"/>
        <v>26400</v>
      </c>
      <c r="G1074" s="610"/>
      <c r="H1074" s="610"/>
      <c r="I1074" s="611">
        <v>28600.000000000004</v>
      </c>
      <c r="J1074" s="610">
        <v>0</v>
      </c>
      <c r="K1074" s="611">
        <f t="shared" si="113"/>
        <v>28600.000000000004</v>
      </c>
      <c r="L1074" s="612">
        <f>VLOOKUP(A1074,'PL Gr'!A:A,1,0)</f>
        <v>647600</v>
      </c>
      <c r="M1074" s="612">
        <f t="shared" si="116"/>
        <v>1</v>
      </c>
      <c r="N1074" s="613"/>
      <c r="O1074" s="613">
        <f>VLOOKUP(A1074,'PL Gr'!A:A,1,FALSE)</f>
        <v>647600</v>
      </c>
      <c r="P1074" s="613"/>
      <c r="Q1074" s="613"/>
      <c r="R1074" s="1514"/>
      <c r="S1074" s="1617" t="e">
        <f>SUMIF('[105]TB for financial'!$A:$A,A1074,'[105]TB for financial'!$E:$E)</f>
        <v>#VALUE!</v>
      </c>
      <c r="T1074" s="613"/>
    </row>
    <row r="1075" spans="1:20">
      <c r="A1075" s="608">
        <v>656000</v>
      </c>
      <c r="B1075" s="609" t="s">
        <v>2672</v>
      </c>
      <c r="C1075" s="610"/>
      <c r="D1075" s="611">
        <v>200596.69000000006</v>
      </c>
      <c r="E1075" s="610">
        <f>SUMIF('Entries 24-25'!$B:$B,A:A,'Entries 24-25'!$D:$D)-SUMIF('Entries 24-25'!$B:$B,A:A,'Entries 24-25'!$E:$E)+SUMIF('IND AS entries 24-25'!$B:$B,A:A,'IND AS entries 24-25'!$D:$D)-SUMIF('IND AS entries 24-25'!$B:$B,A:A,'IND AS entries 24-25'!$E:$E)</f>
        <v>0</v>
      </c>
      <c r="F1075" s="611">
        <f t="shared" si="114"/>
        <v>200596.69000000006</v>
      </c>
      <c r="G1075" s="610"/>
      <c r="H1075" s="610"/>
      <c r="I1075" s="611">
        <v>31852.639999999956</v>
      </c>
      <c r="J1075" s="610">
        <v>0</v>
      </c>
      <c r="K1075" s="611">
        <f t="shared" si="113"/>
        <v>31852.639999999956</v>
      </c>
      <c r="L1075" s="612">
        <f>VLOOKUP(A1075,'PL Gr'!A:A,1,0)</f>
        <v>656000</v>
      </c>
      <c r="M1075" s="612">
        <f t="shared" si="116"/>
        <v>1</v>
      </c>
      <c r="N1075" s="613"/>
      <c r="O1075" s="613">
        <f>VLOOKUP(A1075,'PL Gr'!A:A,1,FALSE)</f>
        <v>656000</v>
      </c>
      <c r="P1075" s="613"/>
      <c r="Q1075" s="613"/>
      <c r="R1075" s="1514"/>
      <c r="S1075" s="1617" t="e">
        <f>SUMIF('[105]TB for financial'!$A:$A,A1075,'[105]TB for financial'!$E:$E)</f>
        <v>#VALUE!</v>
      </c>
      <c r="T1075" s="613"/>
    </row>
    <row r="1076" spans="1:20">
      <c r="A1076" s="608">
        <v>656100</v>
      </c>
      <c r="B1076" s="609" t="s">
        <v>2854</v>
      </c>
      <c r="C1076" s="610"/>
      <c r="D1076" s="611">
        <v>0</v>
      </c>
      <c r="E1076" s="610">
        <f>SUMIF('Entries 24-25'!$B:$B,A:A,'Entries 24-25'!$D:$D)-SUMIF('Entries 24-25'!$B:$B,A:A,'Entries 24-25'!$E:$E)+SUMIF('IND AS entries 24-25'!$B:$B,A:A,'IND AS entries 24-25'!$D:$D)-SUMIF('IND AS entries 24-25'!$B:$B,A:A,'IND AS entries 24-25'!$E:$E)</f>
        <v>0</v>
      </c>
      <c r="F1076" s="611">
        <f t="shared" si="114"/>
        <v>0</v>
      </c>
      <c r="G1076" s="610"/>
      <c r="H1076" s="610"/>
      <c r="I1076" s="611">
        <v>6525.8300000000008</v>
      </c>
      <c r="J1076" s="610">
        <v>0</v>
      </c>
      <c r="K1076" s="611">
        <f t="shared" si="113"/>
        <v>6525.8300000000008</v>
      </c>
      <c r="L1076" s="612"/>
      <c r="M1076" s="612"/>
      <c r="N1076" s="613"/>
      <c r="O1076" s="613"/>
      <c r="P1076" s="613"/>
      <c r="Q1076" s="613"/>
      <c r="R1076" s="1514"/>
      <c r="S1076" s="1617" t="e">
        <f>SUMIF('[105]TB for financial'!$A:$A,A1076,'[105]TB for financial'!$E:$E)</f>
        <v>#VALUE!</v>
      </c>
      <c r="T1076" s="613"/>
    </row>
    <row r="1077" spans="1:20">
      <c r="A1077" s="608">
        <v>656103</v>
      </c>
      <c r="B1077" s="609" t="s">
        <v>2855</v>
      </c>
      <c r="C1077" s="610"/>
      <c r="D1077" s="611">
        <v>16007.510000000009</v>
      </c>
      <c r="E1077" s="610">
        <f>SUMIF('Entries 24-25'!$B:$B,A:A,'Entries 24-25'!$D:$D)-SUMIF('Entries 24-25'!$B:$B,A:A,'Entries 24-25'!$E:$E)+SUMIF('IND AS entries 24-25'!$B:$B,A:A,'IND AS entries 24-25'!$D:$D)-SUMIF('IND AS entries 24-25'!$B:$B,A:A,'IND AS entries 24-25'!$E:$E)</f>
        <v>0</v>
      </c>
      <c r="F1077" s="611">
        <f t="shared" si="114"/>
        <v>16007.510000000009</v>
      </c>
      <c r="G1077" s="610"/>
      <c r="H1077" s="610"/>
      <c r="I1077" s="611">
        <v>19358.95</v>
      </c>
      <c r="J1077" s="610">
        <v>0</v>
      </c>
      <c r="K1077" s="611">
        <f t="shared" si="113"/>
        <v>19358.95</v>
      </c>
      <c r="L1077" s="612"/>
      <c r="M1077" s="612"/>
      <c r="N1077" s="613"/>
      <c r="O1077" s="613"/>
      <c r="P1077" s="613"/>
      <c r="Q1077" s="613"/>
      <c r="R1077" s="1514"/>
      <c r="S1077" s="1617" t="e">
        <f>SUMIF('[105]TB for financial'!$A:$A,A1077,'[105]TB for financial'!$E:$E)</f>
        <v>#VALUE!</v>
      </c>
      <c r="T1077" s="613"/>
    </row>
    <row r="1078" spans="1:20">
      <c r="A1078" s="608">
        <v>656104</v>
      </c>
      <c r="B1078" s="609" t="s">
        <v>3026</v>
      </c>
      <c r="C1078" s="610"/>
      <c r="D1078" s="611">
        <v>2424.6399999999994</v>
      </c>
      <c r="E1078" s="610">
        <f>SUMIF('Entries 24-25'!$B:$B,A:A,'Entries 24-25'!$D:$D)-SUMIF('Entries 24-25'!$B:$B,A:A,'Entries 24-25'!$E:$E)+SUMIF('IND AS entries 24-25'!$B:$B,A:A,'IND AS entries 24-25'!$D:$D)-SUMIF('IND AS entries 24-25'!$B:$B,A:A,'IND AS entries 24-25'!$E:$E)</f>
        <v>0</v>
      </c>
      <c r="F1078" s="611">
        <f t="shared" si="114"/>
        <v>2424.6399999999994</v>
      </c>
      <c r="G1078" s="610"/>
      <c r="H1078" s="610"/>
      <c r="I1078" s="611"/>
      <c r="J1078" s="610"/>
      <c r="K1078" s="611"/>
      <c r="L1078" s="612"/>
      <c r="M1078" s="612"/>
      <c r="N1078" s="613"/>
      <c r="O1078" s="613"/>
      <c r="P1078" s="613"/>
      <c r="Q1078" s="613"/>
      <c r="R1078" s="1514"/>
      <c r="S1078" s="1617"/>
      <c r="T1078" s="613"/>
    </row>
    <row r="1079" spans="1:20">
      <c r="A1079" s="608">
        <v>658000</v>
      </c>
      <c r="B1079" s="609" t="s">
        <v>2673</v>
      </c>
      <c r="C1079" s="610"/>
      <c r="D1079" s="611">
        <v>0</v>
      </c>
      <c r="E1079" s="610">
        <f>SUMIF('Entries 24-25'!$B:$B,A:A,'Entries 24-25'!$D:$D)-SUMIF('Entries 24-25'!$B:$B,A:A,'Entries 24-25'!$E:$E)+SUMIF('IND AS entries 24-25'!$B:$B,A:A,'IND AS entries 24-25'!$D:$D)-SUMIF('IND AS entries 24-25'!$B:$B,A:A,'IND AS entries 24-25'!$E:$E)</f>
        <v>55024</v>
      </c>
      <c r="F1079" s="611">
        <f t="shared" si="114"/>
        <v>55024</v>
      </c>
      <c r="G1079" s="610"/>
      <c r="H1079" s="610"/>
      <c r="I1079" s="611">
        <v>-119355.63</v>
      </c>
      <c r="J1079" s="610">
        <v>0</v>
      </c>
      <c r="K1079" s="611">
        <f t="shared" si="113"/>
        <v>-119355.63</v>
      </c>
      <c r="L1079" s="612">
        <f>VLOOKUP(A1079,'PL Gr'!A:A,1,0)</f>
        <v>658000</v>
      </c>
      <c r="M1079" s="612">
        <f t="shared" ref="M1079:M1086" si="117">COUNTIF(A:A,A1079)</f>
        <v>1</v>
      </c>
      <c r="N1079" s="613"/>
      <c r="O1079" s="613">
        <f>VLOOKUP(A1079,'PL Gr'!A:A,1,FALSE)</f>
        <v>658000</v>
      </c>
      <c r="P1079" s="613"/>
      <c r="Q1079" s="613"/>
      <c r="R1079" s="1514"/>
      <c r="S1079" s="1617" t="e">
        <f>SUMIF('[105]TB for financial'!$A:$A,A1079,'[105]TB for financial'!$E:$E)</f>
        <v>#VALUE!</v>
      </c>
      <c r="T1079" s="613"/>
    </row>
    <row r="1080" spans="1:20">
      <c r="A1080" s="608">
        <v>658003</v>
      </c>
      <c r="B1080" s="609" t="s">
        <v>2674</v>
      </c>
      <c r="C1080" s="610"/>
      <c r="D1080" s="611">
        <v>147496.89999999991</v>
      </c>
      <c r="E1080" s="610">
        <f>SUMIF('Entries 24-25'!$B:$B,A:A,'Entries 24-25'!$D:$D)-SUMIF('Entries 24-25'!$B:$B,A:A,'Entries 24-25'!$E:$E)+SUMIF('IND AS entries 24-25'!$B:$B,A:A,'IND AS entries 24-25'!$D:$D)-SUMIF('IND AS entries 24-25'!$B:$B,A:A,'IND AS entries 24-25'!$E:$E)</f>
        <v>78801</v>
      </c>
      <c r="F1080" s="611">
        <f t="shared" si="114"/>
        <v>226297.89999999991</v>
      </c>
      <c r="G1080" s="610"/>
      <c r="H1080" s="610"/>
      <c r="I1080" s="611">
        <v>240037</v>
      </c>
      <c r="J1080" s="610">
        <v>-78801</v>
      </c>
      <c r="K1080" s="611">
        <f t="shared" si="113"/>
        <v>161236</v>
      </c>
      <c r="L1080" s="612">
        <f>VLOOKUP(A1080,'PL Gr'!A:A,1,0)</f>
        <v>658003</v>
      </c>
      <c r="M1080" s="612">
        <f t="shared" si="117"/>
        <v>1</v>
      </c>
      <c r="N1080" s="613"/>
      <c r="O1080" s="613">
        <f>VLOOKUP(A1080,'PL Gr'!A:A,1,FALSE)</f>
        <v>658003</v>
      </c>
      <c r="P1080" s="613"/>
      <c r="Q1080" s="613"/>
      <c r="R1080" s="1514"/>
      <c r="S1080" s="1617" t="e">
        <f>SUMIF('[105]TB for financial'!$A:$A,A1080,'[105]TB for financial'!$E:$E)</f>
        <v>#VALUE!</v>
      </c>
      <c r="T1080" s="613"/>
    </row>
    <row r="1081" spans="1:20">
      <c r="A1081" s="608">
        <v>658013</v>
      </c>
      <c r="B1081" s="609" t="s">
        <v>2517</v>
      </c>
      <c r="C1081" s="610"/>
      <c r="D1081" s="611">
        <v>17829</v>
      </c>
      <c r="E1081" s="610">
        <f>SUMIF('Entries 24-25'!$B:$B,A:A,'Entries 24-25'!$D:$D)-SUMIF('Entries 24-25'!$B:$B,A:A,'Entries 24-25'!$E:$E)+SUMIF('IND AS entries 24-25'!$B:$B,A:A,'IND AS entries 24-25'!$D:$D)-SUMIF('IND AS entries 24-25'!$B:$B,A:A,'IND AS entries 24-25'!$E:$E)</f>
        <v>0</v>
      </c>
      <c r="F1081" s="611">
        <f t="shared" si="114"/>
        <v>17829</v>
      </c>
      <c r="G1081" s="610"/>
      <c r="H1081" s="610"/>
      <c r="I1081" s="611">
        <v>23000</v>
      </c>
      <c r="J1081" s="610">
        <v>0</v>
      </c>
      <c r="K1081" s="611">
        <f t="shared" si="113"/>
        <v>23000</v>
      </c>
      <c r="L1081" s="612">
        <f>VLOOKUP(A1081,'PL Gr'!A:A,1,0)</f>
        <v>658013</v>
      </c>
      <c r="M1081" s="612">
        <f t="shared" si="117"/>
        <v>1</v>
      </c>
      <c r="N1081" s="613"/>
      <c r="O1081" s="613">
        <f>VLOOKUP(A1081,'PL Gr'!A:A,1,FALSE)</f>
        <v>658013</v>
      </c>
      <c r="P1081" s="613"/>
      <c r="Q1081" s="613"/>
      <c r="R1081" s="1514"/>
      <c r="S1081" s="1617" t="e">
        <f>SUMIF('[105]TB for financial'!$A:$A,A1081,'[105]TB for financial'!$E:$E)</f>
        <v>#VALUE!</v>
      </c>
      <c r="T1081" s="613"/>
    </row>
    <row r="1082" spans="1:20">
      <c r="A1082" s="608">
        <v>661510</v>
      </c>
      <c r="B1082" s="609" t="s">
        <v>2608</v>
      </c>
      <c r="C1082" s="610"/>
      <c r="D1082" s="611">
        <v>0</v>
      </c>
      <c r="E1082" s="610">
        <f>SUMIF('Entries 24-25'!$B:$B,A:A,'Entries 24-25'!$D:$D)-SUMIF('Entries 24-25'!$B:$B,A:A,'Entries 24-25'!$E:$E)+SUMIF('IND AS entries 24-25'!$B:$B,A:A,'IND AS entries 24-25'!$D:$D)-SUMIF('IND AS entries 24-25'!$B:$B,A:A,'IND AS entries 24-25'!$E:$E)</f>
        <v>0</v>
      </c>
      <c r="F1082" s="611">
        <f t="shared" si="114"/>
        <v>0</v>
      </c>
      <c r="G1082" s="610"/>
      <c r="H1082" s="610"/>
      <c r="I1082" s="611">
        <v>0</v>
      </c>
      <c r="J1082" s="610">
        <v>0</v>
      </c>
      <c r="K1082" s="611">
        <f t="shared" si="113"/>
        <v>0</v>
      </c>
      <c r="L1082" s="612">
        <f>VLOOKUP(A1082,'PL Gr'!A:A,1,0)</f>
        <v>661510</v>
      </c>
      <c r="M1082" s="612">
        <f t="shared" si="117"/>
        <v>1</v>
      </c>
      <c r="N1082" s="613"/>
      <c r="O1082" s="613">
        <f>VLOOKUP(A1082,'PL Gr'!A:A,1,FALSE)</f>
        <v>661510</v>
      </c>
      <c r="P1082" s="613"/>
      <c r="Q1082" s="613"/>
      <c r="R1082" s="1514"/>
      <c r="S1082" s="1617" t="e">
        <f>SUMIF('[105]TB for financial'!$A:$A,A1082,'[105]TB for financial'!$E:$E)</f>
        <v>#VALUE!</v>
      </c>
      <c r="T1082" s="613"/>
    </row>
    <row r="1083" spans="1:20">
      <c r="A1083" s="608">
        <v>664011</v>
      </c>
      <c r="B1083" s="609" t="s">
        <v>2555</v>
      </c>
      <c r="C1083" s="610"/>
      <c r="D1083" s="611">
        <v>0</v>
      </c>
      <c r="E1083" s="610">
        <f>SUMIF('Entries 24-25'!$B:$B,A:A,'Entries 24-25'!$D:$D)-SUMIF('Entries 24-25'!$B:$B,A:A,'Entries 24-25'!$E:$E)+SUMIF('IND AS entries 24-25'!$B:$B,A:A,'IND AS entries 24-25'!$D:$D)-SUMIF('IND AS entries 24-25'!$B:$B,A:A,'IND AS entries 24-25'!$E:$E)</f>
        <v>401655.69133099925</v>
      </c>
      <c r="F1083" s="611">
        <f t="shared" si="114"/>
        <v>401655.69133099925</v>
      </c>
      <c r="G1083" s="610"/>
      <c r="H1083" s="610"/>
      <c r="I1083" s="611">
        <v>0</v>
      </c>
      <c r="J1083" s="610">
        <v>638521.57658624952</v>
      </c>
      <c r="K1083" s="611">
        <f t="shared" si="113"/>
        <v>638521.57658624952</v>
      </c>
      <c r="L1083" s="612">
        <f>VLOOKUP(A1083,'PL Gr'!A:A,1,0)</f>
        <v>664011</v>
      </c>
      <c r="M1083" s="612">
        <f t="shared" si="117"/>
        <v>1</v>
      </c>
      <c r="N1083" s="613"/>
      <c r="O1083" s="613">
        <f>VLOOKUP(A1083,'PL Gr'!A:A,1,FALSE)</f>
        <v>664011</v>
      </c>
      <c r="P1083" s="613"/>
      <c r="Q1083" s="613"/>
      <c r="R1083" s="1514"/>
      <c r="S1083" s="1617" t="e">
        <f>SUMIF('[105]TB for financial'!$A:$A,A1083,'[105]TB for financial'!$E:$E)</f>
        <v>#VALUE!</v>
      </c>
      <c r="T1083" s="613"/>
    </row>
    <row r="1084" spans="1:20">
      <c r="A1084" s="608">
        <v>666000</v>
      </c>
      <c r="B1084" s="609" t="s">
        <v>2675</v>
      </c>
      <c r="C1084" s="610"/>
      <c r="D1084" s="611">
        <v>929863.81</v>
      </c>
      <c r="E1084" s="610">
        <f>SUMIF('Entries 24-25'!$B:$B,A:A,'Entries 24-25'!$D:$D)-SUMIF('Entries 24-25'!$B:$B,A:A,'Entries 24-25'!$E:$E)+SUMIF('IND AS entries 24-25'!$B:$B,A:A,'IND AS entries 24-25'!$D:$D)-SUMIF('IND AS entries 24-25'!$B:$B,A:A,'IND AS entries 24-25'!$E:$E)</f>
        <v>-56878</v>
      </c>
      <c r="F1084" s="611">
        <f t="shared" si="114"/>
        <v>872985.81</v>
      </c>
      <c r="G1084" s="610"/>
      <c r="H1084" s="610"/>
      <c r="I1084" s="611">
        <v>752503.62625008519</v>
      </c>
      <c r="J1084" s="610">
        <v>0</v>
      </c>
      <c r="K1084" s="611">
        <f t="shared" si="113"/>
        <v>752503.62625008519</v>
      </c>
      <c r="L1084" s="612">
        <f>VLOOKUP(A1084,'PL Gr'!A:A,1,0)</f>
        <v>666000</v>
      </c>
      <c r="M1084" s="612">
        <f t="shared" si="117"/>
        <v>1</v>
      </c>
      <c r="N1084" s="613"/>
      <c r="O1084" s="613">
        <f>VLOOKUP(A1084,'PL Gr'!A:A,1,FALSE)</f>
        <v>666000</v>
      </c>
      <c r="P1084" s="613"/>
      <c r="Q1084" s="613"/>
      <c r="R1084" s="1514"/>
      <c r="S1084" s="1617" t="e">
        <f>SUMIF('[105]TB for financial'!$A:$A,A1084,'[105]TB for financial'!$E:$E)</f>
        <v>#VALUE!</v>
      </c>
      <c r="T1084" s="613"/>
    </row>
    <row r="1085" spans="1:20">
      <c r="A1085" s="608">
        <v>666400</v>
      </c>
      <c r="B1085" s="609" t="s">
        <v>2518</v>
      </c>
      <c r="C1085" s="610"/>
      <c r="D1085" s="611">
        <v>82210.100000000006</v>
      </c>
      <c r="E1085" s="610">
        <f>SUMIF('Entries 24-25'!$B:$B,A:A,'Entries 24-25'!$D:$D)-SUMIF('Entries 24-25'!$B:$B,A:A,'Entries 24-25'!$E:$E)+SUMIF('IND AS entries 24-25'!$B:$B,A:A,'IND AS entries 24-25'!$D:$D)-SUMIF('IND AS entries 24-25'!$B:$B,A:A,'IND AS entries 24-25'!$E:$E)</f>
        <v>0</v>
      </c>
      <c r="F1085" s="611">
        <f t="shared" si="114"/>
        <v>82210.100000000006</v>
      </c>
      <c r="G1085" s="610"/>
      <c r="H1085" s="610"/>
      <c r="I1085" s="611">
        <v>22322.07000000004</v>
      </c>
      <c r="J1085" s="610">
        <v>0</v>
      </c>
      <c r="K1085" s="611">
        <f t="shared" si="113"/>
        <v>22322.07000000004</v>
      </c>
      <c r="L1085" s="612">
        <f>VLOOKUP(A1085,'PL Gr'!A:A,1,0)</f>
        <v>666400</v>
      </c>
      <c r="M1085" s="612">
        <f t="shared" si="117"/>
        <v>1</v>
      </c>
      <c r="N1085" s="613"/>
      <c r="O1085" s="613">
        <f>VLOOKUP(A1085,'PL Gr'!A:A,1,FALSE)</f>
        <v>666400</v>
      </c>
      <c r="P1085" s="613"/>
      <c r="Q1085" s="613"/>
      <c r="R1085" s="1514"/>
      <c r="S1085" s="1617" t="e">
        <f>SUMIF('[105]TB for financial'!$A:$A,A1085,'[105]TB for financial'!$E:$E)</f>
        <v>#VALUE!</v>
      </c>
      <c r="T1085" s="613"/>
    </row>
    <row r="1086" spans="1:20">
      <c r="A1086" s="608">
        <v>681210</v>
      </c>
      <c r="B1086" s="609" t="s">
        <v>2556</v>
      </c>
      <c r="C1086" s="610"/>
      <c r="D1086" s="611">
        <v>0</v>
      </c>
      <c r="E1086" s="610">
        <f>SUMIF('Entries 24-25'!$B:$B,A:A,'Entries 24-25'!$D:$D)-SUMIF('Entries 24-25'!$B:$B,A:A,'Entries 24-25'!$E:$E)+SUMIF('IND AS entries 24-25'!$B:$B,A:A,'IND AS entries 24-25'!$D:$D)-SUMIF('IND AS entries 24-25'!$B:$B,A:A,'IND AS entries 24-25'!$E:$E)</f>
        <v>3206673.7313862974</v>
      </c>
      <c r="F1086" s="611">
        <f t="shared" si="114"/>
        <v>3206673.7313862974</v>
      </c>
      <c r="G1086" s="610"/>
      <c r="H1086" s="610"/>
      <c r="I1086" s="611">
        <v>0</v>
      </c>
      <c r="J1086" s="610">
        <v>3180953.0113862976</v>
      </c>
      <c r="K1086" s="611">
        <f t="shared" si="113"/>
        <v>3180953.0113862976</v>
      </c>
      <c r="L1086" s="612">
        <f>VLOOKUP(A1086,'PL Gr'!A:A,1,0)</f>
        <v>681210</v>
      </c>
      <c r="M1086" s="612">
        <f t="shared" si="117"/>
        <v>1</v>
      </c>
      <c r="N1086" s="613"/>
      <c r="O1086" s="613">
        <f>VLOOKUP(A1086,'PL Gr'!A:A,1,FALSE)</f>
        <v>681210</v>
      </c>
      <c r="P1086" s="613"/>
      <c r="Q1086" s="613"/>
      <c r="R1086" s="1514"/>
      <c r="S1086" s="1617" t="e">
        <f>SUMIF('[105]TB for financial'!$A:$A,A1086,'[105]TB for financial'!$E:$E)</f>
        <v>#VALUE!</v>
      </c>
      <c r="T1086" s="613"/>
    </row>
    <row r="1087" spans="1:20">
      <c r="A1087" s="608">
        <v>681502</v>
      </c>
      <c r="B1087" s="609" t="s">
        <v>3027</v>
      </c>
      <c r="C1087" s="610"/>
      <c r="D1087" s="611">
        <v>365930</v>
      </c>
      <c r="E1087" s="610">
        <f>SUMIF('Entries 24-25'!$B:$B,A:A,'Entries 24-25'!$D:$D)-SUMIF('Entries 24-25'!$B:$B,A:A,'Entries 24-25'!$E:$E)+SUMIF('IND AS entries 24-25'!$B:$B,A:A,'IND AS entries 24-25'!$D:$D)-SUMIF('IND AS entries 24-25'!$B:$B,A:A,'IND AS entries 24-25'!$E:$E)</f>
        <v>-365930</v>
      </c>
      <c r="F1087" s="611">
        <f t="shared" si="114"/>
        <v>0</v>
      </c>
      <c r="G1087" s="610"/>
      <c r="H1087" s="610"/>
      <c r="I1087" s="611"/>
      <c r="J1087" s="610"/>
      <c r="K1087" s="611"/>
      <c r="L1087" s="612"/>
      <c r="M1087" s="612"/>
      <c r="N1087" s="613"/>
      <c r="O1087" s="613"/>
      <c r="P1087" s="613"/>
      <c r="Q1087" s="613"/>
      <c r="R1087" s="1514"/>
      <c r="S1087" s="1617"/>
      <c r="T1087" s="613"/>
    </row>
    <row r="1088" spans="1:20">
      <c r="A1088" s="608">
        <v>687660</v>
      </c>
      <c r="B1088" s="609" t="s">
        <v>3028</v>
      </c>
      <c r="C1088" s="610"/>
      <c r="D1088" s="611">
        <v>98431</v>
      </c>
      <c r="E1088" s="610">
        <f>SUMIF('Entries 24-25'!$B:$B,A:A,'Entries 24-25'!$D:$D)-SUMIF('Entries 24-25'!$B:$B,A:A,'Entries 24-25'!$E:$E)+SUMIF('IND AS entries 24-25'!$B:$B,A:A,'IND AS entries 24-25'!$D:$D)-SUMIF('IND AS entries 24-25'!$B:$B,A:A,'IND AS entries 24-25'!$E:$E)</f>
        <v>0</v>
      </c>
      <c r="F1088" s="611">
        <f t="shared" si="114"/>
        <v>98431</v>
      </c>
      <c r="G1088" s="610"/>
      <c r="H1088" s="610"/>
      <c r="I1088" s="611"/>
      <c r="J1088" s="610"/>
      <c r="K1088" s="611"/>
      <c r="L1088" s="612"/>
      <c r="M1088" s="612"/>
      <c r="N1088" s="613"/>
      <c r="O1088" s="613"/>
      <c r="P1088" s="613"/>
      <c r="Q1088" s="613"/>
      <c r="R1088" s="1514"/>
      <c r="S1088" s="1617"/>
      <c r="T1088" s="613"/>
    </row>
    <row r="1089" spans="1:20">
      <c r="A1089" s="608">
        <v>695000</v>
      </c>
      <c r="B1089" s="609" t="s">
        <v>2560</v>
      </c>
      <c r="C1089" s="610"/>
      <c r="D1089" s="611">
        <v>0</v>
      </c>
      <c r="E1089" s="610">
        <f>SUMIF('Entries 24-25'!$B:$B,A:A,'Entries 24-25'!$D:$D)-SUMIF('Entries 24-25'!$B:$B,A:A,'Entries 24-25'!$E:$E)+SUMIF('IND AS entries 24-25'!$B:$B,A:A,'IND AS entries 24-25'!$D:$D)-SUMIF('IND AS entries 24-25'!$B:$B,A:A,'IND AS entries 24-25'!$E:$E)</f>
        <v>42613708.547614634</v>
      </c>
      <c r="F1089" s="611">
        <f t="shared" si="114"/>
        <v>42613708.547614634</v>
      </c>
      <c r="G1089" s="610"/>
      <c r="H1089" s="610"/>
      <c r="I1089" s="611">
        <v>1064831.9473236464</v>
      </c>
      <c r="J1089" s="610">
        <v>2970469.4680425413</v>
      </c>
      <c r="K1089" s="611">
        <f t="shared" si="113"/>
        <v>4035301.4153661877</v>
      </c>
      <c r="L1089" s="612">
        <f>VLOOKUP(A1089,'PL Gr'!A:A,1,0)</f>
        <v>695000</v>
      </c>
      <c r="M1089" s="612">
        <f t="shared" ref="M1089:M1096" si="118">COUNTIF(A:A,A1089)</f>
        <v>1</v>
      </c>
      <c r="N1089" s="613"/>
      <c r="O1089" s="613">
        <f>VLOOKUP(A1089,'PL Gr'!A:A,1,FALSE)</f>
        <v>695000</v>
      </c>
      <c r="P1089" s="613"/>
      <c r="Q1089" s="613"/>
      <c r="R1089" s="1514"/>
      <c r="S1089" s="1617" t="e">
        <f>SUMIF('[105]TB for financial'!$A:$A,A1089,'[105]TB for financial'!$E:$E)</f>
        <v>#VALUE!</v>
      </c>
      <c r="T1089" s="613"/>
    </row>
    <row r="1090" spans="1:20">
      <c r="A1090" s="608">
        <v>695900</v>
      </c>
      <c r="B1090" s="609" t="s">
        <v>2557</v>
      </c>
      <c r="C1090" s="610"/>
      <c r="D1090" s="611">
        <v>2676094</v>
      </c>
      <c r="E1090" s="610">
        <f>SUMIF('Entries 24-25'!$B:$B,A:A,'Entries 24-25'!$D:$D)-SUMIF('Entries 24-25'!$B:$B,A:A,'Entries 24-25'!$E:$E)+SUMIF('IND AS entries 24-25'!$B:$B,A:A,'IND AS entries 24-25'!$D:$D)-SUMIF('IND AS entries 24-25'!$B:$B,A:A,'IND AS entries 24-25'!$E:$E)</f>
        <v>775927.41536618769</v>
      </c>
      <c r="F1090" s="611">
        <f t="shared" si="114"/>
        <v>3452021.4153661877</v>
      </c>
      <c r="G1090" s="610"/>
      <c r="H1090" s="610"/>
      <c r="I1090" s="611">
        <v>-5510777.1806400008</v>
      </c>
      <c r="J1090" s="610">
        <v>-20520062.687131546</v>
      </c>
      <c r="K1090" s="611">
        <f t="shared" si="113"/>
        <v>-26030839.867771547</v>
      </c>
      <c r="L1090" s="612">
        <f>VLOOKUP(A1090,'PL Gr'!A:A,1,0)</f>
        <v>695900</v>
      </c>
      <c r="M1090" s="612">
        <f t="shared" si="118"/>
        <v>1</v>
      </c>
      <c r="N1090" s="613"/>
      <c r="O1090" s="613">
        <f>VLOOKUP(A1090,'PL Gr'!A:A,1,FALSE)</f>
        <v>695900</v>
      </c>
      <c r="P1090" s="613"/>
      <c r="Q1090" s="613"/>
      <c r="R1090" s="1514"/>
      <c r="S1090" s="1617" t="e">
        <f>SUMIF('[105]TB for financial'!$A:$A,A1090,'[105]TB for financial'!$E:$E)</f>
        <v>#VALUE!</v>
      </c>
      <c r="T1090" s="613"/>
    </row>
    <row r="1091" spans="1:20">
      <c r="A1091" s="608">
        <v>702310</v>
      </c>
      <c r="B1091" s="609" t="s">
        <v>2519</v>
      </c>
      <c r="C1091" s="610"/>
      <c r="D1091" s="611">
        <v>11359209</v>
      </c>
      <c r="E1091" s="610">
        <f>SUMIF('Entries 24-25'!$B:$B,A:A,'Entries 24-25'!$D:$D)-SUMIF('Entries 24-25'!$B:$B,A:A,'Entries 24-25'!$E:$E)+SUMIF('IND AS entries 24-25'!$B:$B,A:A,'IND AS entries 24-25'!$D:$D)-SUMIF('IND AS entries 24-25'!$B:$B,A:A,'IND AS entries 24-25'!$E:$E)</f>
        <v>0</v>
      </c>
      <c r="F1091" s="611">
        <f t="shared" si="114"/>
        <v>11359209</v>
      </c>
      <c r="G1091" s="610"/>
      <c r="H1091" s="610"/>
      <c r="I1091" s="611">
        <v>-7000604</v>
      </c>
      <c r="J1091" s="610">
        <v>20393931</v>
      </c>
      <c r="K1091" s="611">
        <f t="shared" si="113"/>
        <v>13393327</v>
      </c>
      <c r="L1091" s="612">
        <f>VLOOKUP(A1091,'PL Gr'!A:A,1,0)</f>
        <v>702310</v>
      </c>
      <c r="M1091" s="612">
        <f t="shared" si="118"/>
        <v>1</v>
      </c>
      <c r="N1091" s="613"/>
      <c r="O1091" s="613">
        <f>VLOOKUP(A1091,'PL Gr'!A:A,1,FALSE)</f>
        <v>702310</v>
      </c>
      <c r="P1091" s="613"/>
      <c r="Q1091" s="613"/>
      <c r="R1091" s="1514"/>
      <c r="S1091" s="1617" t="e">
        <f>SUMIF('[105]TB for financial'!$A:$A,A1091,'[105]TB for financial'!$E:$E)</f>
        <v>#VALUE!</v>
      </c>
      <c r="T1091" s="613"/>
    </row>
    <row r="1092" spans="1:20">
      <c r="A1092" s="608">
        <v>704040</v>
      </c>
      <c r="B1092" s="609" t="s">
        <v>2520</v>
      </c>
      <c r="C1092" s="610"/>
      <c r="D1092" s="611">
        <v>4094148.4700000007</v>
      </c>
      <c r="E1092" s="610">
        <f>SUMIF('Entries 24-25'!$B:$B,A:A,'Entries 24-25'!$D:$D)-SUMIF('Entries 24-25'!$B:$B,A:A,'Entries 24-25'!$E:$E)+SUMIF('IND AS entries 24-25'!$B:$B,A:A,'IND AS entries 24-25'!$D:$D)-SUMIF('IND AS entries 24-25'!$B:$B,A:A,'IND AS entries 24-25'!$E:$E)</f>
        <v>0</v>
      </c>
      <c r="F1092" s="611">
        <f t="shared" si="114"/>
        <v>4094148.4700000007</v>
      </c>
      <c r="G1092" s="610"/>
      <c r="H1092" s="610"/>
      <c r="I1092" s="611">
        <v>-15878069.190000001</v>
      </c>
      <c r="J1092" s="610">
        <v>0</v>
      </c>
      <c r="K1092" s="611">
        <f t="shared" si="113"/>
        <v>-15878069.190000001</v>
      </c>
      <c r="L1092" s="612">
        <f>VLOOKUP(A1092,'PL Gr'!A:A,1,0)</f>
        <v>704040</v>
      </c>
      <c r="M1092" s="612">
        <f t="shared" si="118"/>
        <v>1</v>
      </c>
      <c r="N1092" s="613"/>
      <c r="O1092" s="613">
        <f>VLOOKUP(A1092,'PL Gr'!A:A,1,FALSE)</f>
        <v>704040</v>
      </c>
      <c r="P1092" s="613"/>
      <c r="Q1092" s="613"/>
      <c r="R1092" s="1514"/>
      <c r="S1092" s="1617" t="e">
        <f>SUMIF('[105]TB for financial'!$A:$A,A1092,'[105]TB for financial'!$E:$E)</f>
        <v>#VALUE!</v>
      </c>
      <c r="T1092" s="613"/>
    </row>
    <row r="1093" spans="1:20">
      <c r="A1093" s="608">
        <v>704670</v>
      </c>
      <c r="B1093" s="609" t="s">
        <v>2798</v>
      </c>
      <c r="C1093" s="610"/>
      <c r="D1093" s="611">
        <v>0</v>
      </c>
      <c r="E1093" s="610">
        <f>SUMIF('Entries 24-25'!$B:$B,A:A,'Entries 24-25'!$D:$D)-SUMIF('Entries 24-25'!$B:$B,A:A,'Entries 24-25'!$E:$E)+SUMIF('IND AS entries 24-25'!$B:$B,A:A,'IND AS entries 24-25'!$D:$D)-SUMIF('IND AS entries 24-25'!$B:$B,A:A,'IND AS entries 24-25'!$E:$E)</f>
        <v>0</v>
      </c>
      <c r="F1093" s="611">
        <f t="shared" si="114"/>
        <v>0</v>
      </c>
      <c r="G1093" s="610"/>
      <c r="H1093" s="610"/>
      <c r="I1093" s="611">
        <v>100000</v>
      </c>
      <c r="J1093" s="610">
        <v>-20493931</v>
      </c>
      <c r="K1093" s="611">
        <f t="shared" si="113"/>
        <v>-20393931</v>
      </c>
      <c r="L1093" s="612">
        <f>VLOOKUP(A1093,'PL Gr'!A:A,1,0)</f>
        <v>704670</v>
      </c>
      <c r="M1093" s="612">
        <f t="shared" si="118"/>
        <v>1</v>
      </c>
      <c r="N1093" s="613"/>
      <c r="O1093" s="613"/>
      <c r="P1093" s="613"/>
      <c r="Q1093" s="613"/>
      <c r="R1093" s="1514"/>
      <c r="S1093" s="1617" t="e">
        <f>SUMIF('[105]TB for financial'!$A:$A,A1093,'[105]TB for financial'!$E:$E)</f>
        <v>#VALUE!</v>
      </c>
      <c r="T1093" s="613"/>
    </row>
    <row r="1094" spans="1:20">
      <c r="A1094" s="608">
        <v>706361</v>
      </c>
      <c r="B1094" s="609" t="s">
        <v>2521</v>
      </c>
      <c r="C1094" s="610"/>
      <c r="D1094" s="611">
        <v>-10587550.82</v>
      </c>
      <c r="E1094" s="610">
        <f>SUMIF('Entries 24-25'!$B:$B,A:A,'Entries 24-25'!$D:$D)-SUMIF('Entries 24-25'!$B:$B,A:A,'Entries 24-25'!$E:$E)+SUMIF('IND AS entries 24-25'!$B:$B,A:A,'IND AS entries 24-25'!$D:$D)-SUMIF('IND AS entries 24-25'!$B:$B,A:A,'IND AS entries 24-25'!$E:$E)</f>
        <v>0</v>
      </c>
      <c r="F1094" s="611">
        <f t="shared" si="114"/>
        <v>-10587550.82</v>
      </c>
      <c r="G1094" s="610"/>
      <c r="H1094" s="610"/>
      <c r="I1094" s="611">
        <v>-13298075.340000002</v>
      </c>
      <c r="J1094" s="610">
        <v>0</v>
      </c>
      <c r="K1094" s="611">
        <f t="shared" si="113"/>
        <v>-13298075.340000002</v>
      </c>
      <c r="L1094" s="612">
        <f>VLOOKUP(A1094,'PL Gr'!A:A,1,0)</f>
        <v>706361</v>
      </c>
      <c r="M1094" s="612">
        <f t="shared" si="118"/>
        <v>1</v>
      </c>
      <c r="N1094" s="613"/>
      <c r="O1094" s="613">
        <f>VLOOKUP(A1094,'PL Gr'!A:A,1,FALSE)</f>
        <v>706361</v>
      </c>
      <c r="P1094" s="613"/>
      <c r="Q1094" s="613"/>
      <c r="R1094" s="1514"/>
      <c r="S1094" s="1617" t="e">
        <f>SUMIF('[105]TB for financial'!$A:$A,A1094,'[105]TB for financial'!$E:$E)</f>
        <v>#VALUE!</v>
      </c>
      <c r="T1094" s="613"/>
    </row>
    <row r="1095" spans="1:20">
      <c r="A1095" s="608">
        <v>758000</v>
      </c>
      <c r="B1095" s="609" t="s">
        <v>2676</v>
      </c>
      <c r="C1095" s="610"/>
      <c r="D1095" s="611">
        <v>0</v>
      </c>
      <c r="E1095" s="610">
        <f>SUMIF('Entries 24-25'!$B:$B,A:A,'Entries 24-25'!$D:$D)-SUMIF('Entries 24-25'!$B:$B,A:A,'Entries 24-25'!$E:$E)+SUMIF('IND AS entries 24-25'!$B:$B,A:A,'IND AS entries 24-25'!$D:$D)-SUMIF('IND AS entries 24-25'!$B:$B,A:A,'IND AS entries 24-25'!$E:$E)</f>
        <v>0</v>
      </c>
      <c r="F1095" s="611">
        <f t="shared" si="114"/>
        <v>0</v>
      </c>
      <c r="G1095" s="610"/>
      <c r="H1095" s="610"/>
      <c r="I1095" s="611">
        <v>0</v>
      </c>
      <c r="J1095" s="610">
        <v>0</v>
      </c>
      <c r="K1095" s="611">
        <f t="shared" si="113"/>
        <v>0</v>
      </c>
      <c r="L1095" s="612" t="e">
        <f>VLOOKUP(A1095,'PL Gr'!A:A,1,0)</f>
        <v>#N/A</v>
      </c>
      <c r="M1095" s="612">
        <f t="shared" si="118"/>
        <v>1</v>
      </c>
      <c r="N1095" s="613"/>
      <c r="O1095" s="613" t="e">
        <f>VLOOKUP(A1095,'PL Gr'!A:A,1,FALSE)</f>
        <v>#N/A</v>
      </c>
      <c r="P1095" s="613"/>
      <c r="Q1095" s="613"/>
      <c r="R1095" s="1514"/>
      <c r="S1095" s="1617" t="e">
        <f>SUMIF('[105]TB for financial'!$A:$A,A1095,'[105]TB for financial'!$E:$E)</f>
        <v>#VALUE!</v>
      </c>
      <c r="T1095" s="613"/>
    </row>
    <row r="1096" spans="1:20">
      <c r="A1096" s="608">
        <v>762510</v>
      </c>
      <c r="B1096" s="609" t="s">
        <v>2522</v>
      </c>
      <c r="C1096" s="610"/>
      <c r="D1096" s="611">
        <v>-6928</v>
      </c>
      <c r="E1096" s="610">
        <f>SUMIF('Entries 24-25'!$B:$B,A:A,'Entries 24-25'!$D:$D)-SUMIF('Entries 24-25'!$B:$B,A:A,'Entries 24-25'!$E:$E)+SUMIF('IND AS entries 24-25'!$B:$B,A:A,'IND AS entries 24-25'!$D:$D)-SUMIF('IND AS entries 24-25'!$B:$B,A:A,'IND AS entries 24-25'!$E:$E)</f>
        <v>0</v>
      </c>
      <c r="F1096" s="611">
        <f t="shared" si="114"/>
        <v>-6928</v>
      </c>
      <c r="G1096" s="610"/>
      <c r="H1096" s="610"/>
      <c r="I1096" s="611">
        <v>-5679</v>
      </c>
      <c r="J1096" s="610">
        <v>0</v>
      </c>
      <c r="K1096" s="611">
        <f t="shared" si="113"/>
        <v>-5679</v>
      </c>
      <c r="L1096" s="612">
        <f>VLOOKUP(A1096,'PL Gr'!A:A,1,0)</f>
        <v>762510</v>
      </c>
      <c r="M1096" s="612">
        <f t="shared" si="118"/>
        <v>1</v>
      </c>
      <c r="N1096" s="613"/>
      <c r="O1096" s="613">
        <f>VLOOKUP(A1096,'PL Gr'!A:A,1,FALSE)</f>
        <v>762510</v>
      </c>
      <c r="P1096" s="613"/>
      <c r="Q1096" s="613"/>
      <c r="R1096" s="1514"/>
      <c r="S1096" s="1617" t="e">
        <f>SUMIF('[105]TB for financial'!$A:$A,A1096,'[105]TB for financial'!$E:$E)</f>
        <v>#VALUE!</v>
      </c>
      <c r="T1096" s="613"/>
    </row>
    <row r="1097" spans="1:20">
      <c r="A1097" s="608">
        <v>764501</v>
      </c>
      <c r="B1097" s="609" t="s">
        <v>3029</v>
      </c>
      <c r="C1097" s="610"/>
      <c r="D1097" s="611">
        <v>-19659984.379999999</v>
      </c>
      <c r="E1097" s="610">
        <f>SUMIF('Entries 24-25'!$B:$B,A:A,'Entries 24-25'!$D:$D)-SUMIF('Entries 24-25'!$B:$B,A:A,'Entries 24-25'!$E:$E)+SUMIF('IND AS entries 24-25'!$B:$B,A:A,'IND AS entries 24-25'!$D:$D)-SUMIF('IND AS entries 24-25'!$B:$B,A:A,'IND AS entries 24-25'!$E:$E)</f>
        <v>-30004.092602852732</v>
      </c>
      <c r="F1097" s="611">
        <f t="shared" si="114"/>
        <v>-19689988.472602852</v>
      </c>
      <c r="G1097" s="610"/>
      <c r="H1097" s="610"/>
      <c r="I1097" s="611"/>
      <c r="J1097" s="610"/>
      <c r="K1097" s="611"/>
      <c r="L1097" s="612"/>
      <c r="M1097" s="612"/>
      <c r="N1097" s="613"/>
      <c r="O1097" s="613"/>
      <c r="P1097" s="613"/>
      <c r="Q1097" s="613"/>
      <c r="R1097" s="1514"/>
      <c r="S1097" s="1617"/>
      <c r="T1097" s="613"/>
    </row>
    <row r="1098" spans="1:20">
      <c r="A1098" s="608">
        <v>766000</v>
      </c>
      <c r="B1098" s="609" t="s">
        <v>2677</v>
      </c>
      <c r="C1098" s="610"/>
      <c r="D1098" s="611">
        <v>-876174.12000000011</v>
      </c>
      <c r="E1098" s="610">
        <f>SUMIF('Entries 24-25'!$B:$B,A:A,'Entries 24-25'!$D:$D)-SUMIF('Entries 24-25'!$B:$B,A:A,'Entries 24-25'!$E:$E)+SUMIF('IND AS entries 24-25'!$B:$B,A:A,'IND AS entries 24-25'!$D:$D)-SUMIF('IND AS entries 24-25'!$B:$B,A:A,'IND AS entries 24-25'!$E:$E)</f>
        <v>0</v>
      </c>
      <c r="F1098" s="611">
        <f t="shared" si="114"/>
        <v>-876174.12000000011</v>
      </c>
      <c r="G1098" s="610"/>
      <c r="H1098" s="610"/>
      <c r="I1098" s="611">
        <v>-1235937.6674282791</v>
      </c>
      <c r="J1098" s="610">
        <v>0</v>
      </c>
      <c r="K1098" s="611">
        <f t="shared" si="113"/>
        <v>-1235937.6674282791</v>
      </c>
      <c r="L1098" s="612">
        <f>VLOOKUP(A1098,'PL Gr'!A:A,1,0)</f>
        <v>766000</v>
      </c>
      <c r="M1098" s="612">
        <f t="shared" ref="M1098:M1103" si="119">COUNTIF(A:A,A1098)</f>
        <v>1</v>
      </c>
      <c r="N1098" s="613"/>
      <c r="O1098" s="613">
        <f>VLOOKUP(A1098,'PL Gr'!A:A,1,FALSE)</f>
        <v>766000</v>
      </c>
      <c r="P1098" s="613"/>
      <c r="Q1098" s="613"/>
      <c r="R1098" s="1514"/>
      <c r="S1098" s="1617" t="e">
        <f>SUMIF('[105]TB for financial'!$A:$A,A1098,'[105]TB for financial'!$E:$E)</f>
        <v>#VALUE!</v>
      </c>
      <c r="T1098" s="613"/>
    </row>
    <row r="1099" spans="1:20">
      <c r="A1099" s="608">
        <v>766200</v>
      </c>
      <c r="B1099" s="609" t="s">
        <v>2523</v>
      </c>
      <c r="C1099" s="610"/>
      <c r="D1099" s="611">
        <v>0</v>
      </c>
      <c r="E1099" s="610">
        <f>SUMIF('Entries 24-25'!$B:$B,A:A,'Entries 24-25'!$D:$D)-SUMIF('Entries 24-25'!$B:$B,A:A,'Entries 24-25'!$E:$E)+SUMIF('IND AS entries 24-25'!$B:$B,A:A,'IND AS entries 24-25'!$D:$D)-SUMIF('IND AS entries 24-25'!$B:$B,A:A,'IND AS entries 24-25'!$E:$E)</f>
        <v>0</v>
      </c>
      <c r="F1099" s="611">
        <f t="shared" si="114"/>
        <v>0</v>
      </c>
      <c r="G1099" s="610"/>
      <c r="H1099" s="610"/>
      <c r="I1099" s="611">
        <v>238025.14999999967</v>
      </c>
      <c r="J1099" s="610">
        <v>0</v>
      </c>
      <c r="K1099" s="611">
        <f t="shared" si="113"/>
        <v>238025.14999999967</v>
      </c>
      <c r="L1099" s="612">
        <f>VLOOKUP(A1099,'PL Gr'!A:A,1,0)</f>
        <v>766200</v>
      </c>
      <c r="M1099" s="612">
        <f t="shared" si="119"/>
        <v>1</v>
      </c>
      <c r="N1099" s="613"/>
      <c r="O1099" s="613">
        <f>VLOOKUP(A1099,'PL Gr'!A:A,1,FALSE)</f>
        <v>766200</v>
      </c>
      <c r="P1099" s="613"/>
      <c r="Q1099" s="613"/>
      <c r="R1099" s="1514"/>
      <c r="S1099" s="1617" t="e">
        <f>SUMIF('[105]TB for financial'!$A:$A,A1099,'[105]TB for financial'!$E:$E)</f>
        <v>#VALUE!</v>
      </c>
      <c r="T1099" s="613"/>
    </row>
    <row r="1100" spans="1:20">
      <c r="A1100" s="608">
        <v>766300</v>
      </c>
      <c r="B1100" s="609" t="s">
        <v>2692</v>
      </c>
      <c r="C1100" s="610"/>
      <c r="D1100" s="611">
        <v>4515.51</v>
      </c>
      <c r="E1100" s="610">
        <f>SUMIF('Entries 24-25'!$B:$B,A:A,'Entries 24-25'!$D:$D)-SUMIF('Entries 24-25'!$B:$B,A:A,'Entries 24-25'!$E:$E)+SUMIF('IND AS entries 24-25'!$B:$B,A:A,'IND AS entries 24-25'!$D:$D)-SUMIF('IND AS entries 24-25'!$B:$B,A:A,'IND AS entries 24-25'!$E:$E)</f>
        <v>0</v>
      </c>
      <c r="F1100" s="611">
        <f t="shared" si="114"/>
        <v>4515.51</v>
      </c>
      <c r="G1100" s="610"/>
      <c r="H1100" s="610"/>
      <c r="I1100" s="611">
        <v>13702.719999999992</v>
      </c>
      <c r="J1100" s="610">
        <v>0</v>
      </c>
      <c r="K1100" s="611">
        <f t="shared" si="113"/>
        <v>13702.719999999992</v>
      </c>
      <c r="L1100" s="612">
        <f>VLOOKUP(A1100,'PL Gr'!A:A,1,0)</f>
        <v>766300</v>
      </c>
      <c r="M1100" s="612">
        <f t="shared" si="119"/>
        <v>1</v>
      </c>
      <c r="N1100" s="613"/>
      <c r="O1100" s="613">
        <f>VLOOKUP(A1100,'PL Gr'!A:A,1,FALSE)</f>
        <v>766300</v>
      </c>
      <c r="P1100" s="613"/>
      <c r="Q1100" s="613"/>
      <c r="R1100" s="1514"/>
      <c r="S1100" s="1617" t="e">
        <f>SUMIF('[105]TB for financial'!$A:$A,A1100,'[105]TB for financial'!$E:$E)</f>
        <v>#VALUE!</v>
      </c>
      <c r="T1100" s="613"/>
    </row>
    <row r="1101" spans="1:20">
      <c r="A1101" s="608">
        <v>766400</v>
      </c>
      <c r="B1101" s="609" t="s">
        <v>2524</v>
      </c>
      <c r="C1101" s="610"/>
      <c r="D1101" s="611">
        <v>-170652.82</v>
      </c>
      <c r="E1101" s="610">
        <f>SUMIF('Entries 24-25'!$B:$B,A:A,'Entries 24-25'!$D:$D)-SUMIF('Entries 24-25'!$B:$B,A:A,'Entries 24-25'!$E:$E)+SUMIF('IND AS entries 24-25'!$B:$B,A:A,'IND AS entries 24-25'!$D:$D)-SUMIF('IND AS entries 24-25'!$B:$B,A:A,'IND AS entries 24-25'!$E:$E)</f>
        <v>0</v>
      </c>
      <c r="F1101" s="611">
        <f t="shared" si="114"/>
        <v>-170652.82</v>
      </c>
      <c r="G1101" s="610"/>
      <c r="H1101" s="610"/>
      <c r="I1101" s="611">
        <v>448399.38</v>
      </c>
      <c r="J1101" s="610">
        <v>0</v>
      </c>
      <c r="K1101" s="611">
        <f t="shared" si="113"/>
        <v>448399.38</v>
      </c>
      <c r="L1101" s="612">
        <f>VLOOKUP(A1101,'PL Gr'!A:A,1,0)</f>
        <v>766400</v>
      </c>
      <c r="M1101" s="612">
        <f t="shared" si="119"/>
        <v>1</v>
      </c>
      <c r="N1101" s="613"/>
      <c r="O1101" s="613">
        <f>VLOOKUP(A1101,'PL Gr'!A:A,1,FALSE)</f>
        <v>766400</v>
      </c>
      <c r="P1101" s="613"/>
      <c r="Q1101" s="613"/>
      <c r="R1101" s="1514"/>
      <c r="S1101" s="1617" t="e">
        <f>SUMIF('[105]TB for financial'!$A:$A,A1101,'[105]TB for financial'!$E:$E)</f>
        <v>#VALUE!</v>
      </c>
      <c r="T1101" s="613"/>
    </row>
    <row r="1102" spans="1:20">
      <c r="A1102" s="608">
        <v>762511</v>
      </c>
      <c r="B1102" s="609" t="s">
        <v>2553</v>
      </c>
      <c r="C1102" s="610"/>
      <c r="D1102" s="611">
        <v>0</v>
      </c>
      <c r="E1102" s="610">
        <f>SUMIF('Entries 24-25'!$B:$B,A:A,'Entries 24-25'!$D:$D)-SUMIF('Entries 24-25'!$B:$B,A:A,'Entries 24-25'!$E:$E)+SUMIF('IND AS entries 24-25'!$B:$B,A:A,'IND AS entries 24-25'!$D:$D)-SUMIF('IND AS entries 24-25'!$B:$B,A:A,'IND AS entries 24-25'!$E:$E)</f>
        <v>-217626.97443718018</v>
      </c>
      <c r="F1102" s="611">
        <f t="shared" si="114"/>
        <v>-217626.97443718018</v>
      </c>
      <c r="G1102" s="610"/>
      <c r="H1102" s="610"/>
      <c r="I1102" s="611">
        <v>0</v>
      </c>
      <c r="J1102" s="610">
        <v>-188322.99486725422</v>
      </c>
      <c r="K1102" s="611">
        <f t="shared" si="113"/>
        <v>-188322.99486725422</v>
      </c>
      <c r="L1102" s="612">
        <f>VLOOKUP(A1102,'PL Gr'!A:A,1,0)</f>
        <v>762511</v>
      </c>
      <c r="M1102" s="612">
        <f t="shared" si="119"/>
        <v>1</v>
      </c>
      <c r="N1102" s="613"/>
      <c r="O1102" s="613">
        <f>VLOOKUP(A1102,'PL Gr'!A:A,1,FALSE)</f>
        <v>762511</v>
      </c>
      <c r="P1102" s="613"/>
      <c r="Q1102" s="613"/>
      <c r="R1102" s="1514"/>
      <c r="S1102" s="1617" t="e">
        <f>SUMIF('[105]TB for financial'!$A:$A,A1102,'[105]TB for financial'!$E:$E)</f>
        <v>#VALUE!</v>
      </c>
      <c r="T1102" s="613"/>
    </row>
    <row r="1103" spans="1:20">
      <c r="A1103" s="608">
        <v>779000</v>
      </c>
      <c r="B1103" s="609" t="s">
        <v>2609</v>
      </c>
      <c r="C1103" s="610"/>
      <c r="D1103" s="611">
        <f>-242272.87+60007</f>
        <v>-182265.87</v>
      </c>
      <c r="E1103" s="610">
        <f>SUMIF('Entries 24-25'!$B:$B,A:A,'Entries 24-25'!$D:$D)-SUMIF('Entries 24-25'!$B:$B,A:A,'Entries 24-25'!$E:$E)+SUMIF('IND AS entries 24-25'!$B:$B,A:A,'IND AS entries 24-25'!$D:$D)-SUMIF('IND AS entries 24-25'!$B:$B,A:A,'IND AS entries 24-25'!$E:$E)</f>
        <v>-214702</v>
      </c>
      <c r="F1103" s="611">
        <f t="shared" si="114"/>
        <v>-396967.87</v>
      </c>
      <c r="G1103" s="610"/>
      <c r="H1103" s="610"/>
      <c r="I1103" s="611">
        <v>-1221293.348730159</v>
      </c>
      <c r="J1103" s="610">
        <v>39162</v>
      </c>
      <c r="K1103" s="611">
        <f t="shared" si="113"/>
        <v>-1182131.348730159</v>
      </c>
      <c r="L1103" s="612">
        <f>VLOOKUP(A1103,'PL Gr'!A:A,1,0)</f>
        <v>779000</v>
      </c>
      <c r="M1103" s="612">
        <f t="shared" si="119"/>
        <v>1</v>
      </c>
      <c r="N1103" s="613"/>
      <c r="O1103" s="613">
        <f>VLOOKUP(A1103,'PL Gr'!A:A,1,FALSE)</f>
        <v>779000</v>
      </c>
      <c r="P1103" s="613"/>
      <c r="Q1103" s="613"/>
      <c r="R1103" s="1514"/>
      <c r="S1103" s="1617" t="e">
        <f>SUMIF('[105]TB for financial'!$A:$A,A1103,'[105]TB for financial'!$E:$E)</f>
        <v>#VALUE!</v>
      </c>
      <c r="T1103" s="613"/>
    </row>
    <row r="1104" spans="1:20">
      <c r="A1104" s="608"/>
      <c r="B1104" s="609"/>
      <c r="C1104" s="610">
        <f>K1104</f>
        <v>0</v>
      </c>
      <c r="D1104" s="611">
        <v>0</v>
      </c>
      <c r="E1104" s="610">
        <f>SUMIF('Entries 24-25'!$B:$B,A:A,'Entries 24-25'!$D:$D)-SUMIF('Entries 24-25'!$B:$B,A:A,'Entries 24-25'!$E:$E)+SUMIF('IND AS entries 24-25'!$B:$B,A:A,'IND AS entries 24-25'!$D:$D)-SUMIF('IND AS entries 24-25'!$B:$B,A:A,'IND AS entries 24-25'!$E:$E)</f>
        <v>0</v>
      </c>
      <c r="F1104" s="611">
        <f t="shared" si="114"/>
        <v>0</v>
      </c>
      <c r="G1104" s="610"/>
      <c r="H1104" s="610"/>
      <c r="I1104" s="611"/>
      <c r="J1104" s="610"/>
      <c r="K1104" s="611"/>
      <c r="L1104" s="614"/>
      <c r="M1104" s="612"/>
      <c r="O1104" s="613"/>
      <c r="P1104" s="613"/>
      <c r="Q1104" s="613"/>
      <c r="R1104" s="1514"/>
      <c r="S1104" s="1617" t="e">
        <f>SUMIF('[105]TB for financial'!$A:$A,A1104,'[105]TB for financial'!$E:$E)</f>
        <v>#VALUE!</v>
      </c>
      <c r="T1104" s="613"/>
    </row>
    <row r="1105" spans="1:20">
      <c r="A1105" s="608"/>
      <c r="B1105" s="609"/>
      <c r="C1105" s="610"/>
      <c r="D1105" s="611"/>
      <c r="E1105" s="610"/>
      <c r="F1105" s="611">
        <f t="shared" si="114"/>
        <v>0</v>
      </c>
      <c r="G1105" s="610"/>
      <c r="H1105" s="610"/>
      <c r="I1105" s="611"/>
      <c r="J1105" s="610"/>
      <c r="K1105" s="611"/>
      <c r="L1105" s="614"/>
      <c r="M1105" s="612"/>
      <c r="O1105" s="613"/>
      <c r="P1105" s="613"/>
      <c r="Q1105" s="613"/>
      <c r="R1105" s="1514"/>
      <c r="S1105" s="1617" t="e">
        <f>SUMIF('[105]TB for financial'!$A:$A,A1105,'[105]TB for financial'!$E:$E)</f>
        <v>#VALUE!</v>
      </c>
    </row>
    <row r="1106" spans="1:20" ht="6" customHeight="1">
      <c r="A1106" s="612"/>
      <c r="C1106" s="610"/>
      <c r="D1106" s="611"/>
      <c r="E1106" s="610"/>
      <c r="F1106" s="611"/>
      <c r="G1106" s="618"/>
      <c r="H1106" s="610"/>
      <c r="I1106" s="611"/>
      <c r="J1106" s="618"/>
      <c r="K1106" s="611"/>
      <c r="L1106" s="612"/>
      <c r="M1106" s="612"/>
      <c r="R1106" s="1514"/>
    </row>
    <row r="1107" spans="1:20" s="595" customFormat="1" ht="12.6" thickBot="1">
      <c r="A1107" s="619"/>
      <c r="B1107" s="620" t="s">
        <v>173</v>
      </c>
      <c r="C1107" s="621">
        <f>SUM(C5:C1106)</f>
        <v>0.71036226465366781</v>
      </c>
      <c r="D1107" s="622">
        <f>SUM(D5:D1106)</f>
        <v>6.0244929045438766E-8</v>
      </c>
      <c r="E1107" s="623">
        <f>SUM(E5:E1106)</f>
        <v>7.2759576141834259E-10</v>
      </c>
      <c r="F1107" s="622">
        <f>SUM(F5:F1106)</f>
        <v>0.71036217489745468</v>
      </c>
      <c r="G1107" s="623"/>
      <c r="H1107" s="621">
        <f>SUM(H5:H1106)</f>
        <v>0.68588552071014419</v>
      </c>
      <c r="I1107" s="622">
        <f>SUM(I5:I1106)</f>
        <v>-4.2387479916214943E-3</v>
      </c>
      <c r="J1107" s="623">
        <f>SUM(J5:J1106)</f>
        <v>6.5069867414422333E-3</v>
      </c>
      <c r="K1107" s="622">
        <f>SUM(K5:K1106)</f>
        <v>0.68815377983264625</v>
      </c>
      <c r="L1107" s="619"/>
      <c r="M1107" s="619"/>
      <c r="N1107" s="622">
        <f>SUM(N5:N1106)</f>
        <v>-41191470</v>
      </c>
      <c r="R1107" s="1515"/>
      <c r="S1107" s="623" t="e">
        <f>SUM(S5:S1106)</f>
        <v>#VALUE!</v>
      </c>
      <c r="T1107" s="1575"/>
    </row>
    <row r="1108" spans="1:20" ht="12.6" thickTop="1">
      <c r="B1108" s="600" t="s">
        <v>1794</v>
      </c>
      <c r="C1108" s="624">
        <f>SUM(C752:C1106)</f>
        <v>0</v>
      </c>
      <c r="D1108" s="624">
        <f>SUM(D752:D1106)</f>
        <v>6305502.75</v>
      </c>
      <c r="E1108" s="624">
        <f>SUM(E752:E1106)</f>
        <v>42716511.163008094</v>
      </c>
      <c r="F1108" s="617">
        <f>SUM(F752:F1106)</f>
        <v>49022013.913008101</v>
      </c>
      <c r="H1108" s="624">
        <f>SUM(H752:H1106)</f>
        <v>0</v>
      </c>
      <c r="K1108" s="617">
        <f>SUM(K752:K1106)</f>
        <v>-41191470.02220843</v>
      </c>
      <c r="T1108" s="613"/>
    </row>
    <row r="1109" spans="1:20">
      <c r="F1109" s="617">
        <f>+PL!F37</f>
        <v>-49022014</v>
      </c>
      <c r="K1109" s="1617">
        <f>+PL!H37</f>
        <v>41395539</v>
      </c>
    </row>
    <row r="1110" spans="1:20">
      <c r="F1110" s="624">
        <f>+F1108+F1109</f>
        <v>-8.6991898715496063E-2</v>
      </c>
      <c r="K1110" s="624">
        <f>+K1108+K1109</f>
        <v>204068.97779157013</v>
      </c>
    </row>
    <row r="1111" spans="1:20">
      <c r="D1111" s="597">
        <f>-'TB Download'!C258</f>
        <v>0</v>
      </c>
      <c r="F1111" s="624"/>
      <c r="H1111" s="624"/>
      <c r="K1111" s="613">
        <f>F1110-K1110</f>
        <v>-204069.06478346884</v>
      </c>
    </row>
    <row r="1113" spans="1:20">
      <c r="F1113" s="598">
        <v>60000</v>
      </c>
    </row>
    <row r="1114" spans="1:20">
      <c r="F1114" s="624">
        <f>F659-F1113</f>
        <v>153964.00264928583</v>
      </c>
    </row>
    <row r="1115" spans="1:20">
      <c r="C1115" s="600"/>
      <c r="D1115" s="600"/>
      <c r="E1115" s="600"/>
      <c r="F1115" s="600"/>
      <c r="G1115" s="600"/>
      <c r="H1115" s="600"/>
      <c r="I1115" s="600"/>
      <c r="J1115" s="600"/>
    </row>
    <row r="1118" spans="1:20">
      <c r="A1118" s="1371">
        <v>167211</v>
      </c>
      <c r="B1118" s="609" t="s">
        <v>2551</v>
      </c>
      <c r="C1118" s="610">
        <f>K1118</f>
        <v>0</v>
      </c>
      <c r="D1118" s="611">
        <f>SUMIF('TB Download'!A:A,'TB for financial'!A1118,'TB Download'!C:C)</f>
        <v>0</v>
      </c>
      <c r="E1118" s="610">
        <f>SUMIF('Entries'' 22-23'!B:B,'TB for financial'!A1118,'Entries'' 22-23'!D:D)-SUMIF('Entries'' 22-23'!B:B,'TB for financial'!A1118,'Entries'' 22-23'!E:E)</f>
        <v>0</v>
      </c>
      <c r="F1118" s="611">
        <f>SUM(C1118:E1118)</f>
        <v>0</v>
      </c>
    </row>
    <row r="1119" spans="1:20">
      <c r="A1119" s="1371">
        <v>167211</v>
      </c>
      <c r="B1119" s="609" t="s">
        <v>2551</v>
      </c>
      <c r="C1119" s="610">
        <f>K1119</f>
        <v>0</v>
      </c>
      <c r="D1119" s="611">
        <f>SUMIF('TB Download'!A:A,'TB for financial'!A1119,'TB Download'!C:C)</f>
        <v>0</v>
      </c>
      <c r="E1119" s="610">
        <f>+SUMIF('IND AS entries 22-23'!B:B,'TB for financial'!A1118,'IND AS entries 22-23'!D:D)-SUMIF('IND AS entries 22-23'!B:B,'TB for financial'!A1118,'IND AS entries 22-23'!E:E)</f>
        <v>2616121.3396331789</v>
      </c>
      <c r="F1119" s="611">
        <f>SUM(C1119:E1119)</f>
        <v>2616121.3396331789</v>
      </c>
    </row>
  </sheetData>
  <autoFilter ref="A4:N1105" xr:uid="{00000000-0001-0000-1B00-000000000000}"/>
  <conditionalFormatting sqref="I1034:I1103">
    <cfRule type="duplicateValues" dxfId="62" priority="2"/>
  </conditionalFormatting>
  <conditionalFormatting sqref="J1034:J1103">
    <cfRule type="duplicateValues" dxfId="61" priority="1"/>
  </conditionalFormatting>
  <conditionalFormatting sqref="L5:L1105">
    <cfRule type="containsText" dxfId="60" priority="3" operator="containsText" text="N">
      <formula>NOT(ISERROR(SEARCH("N",L5)))</formula>
    </cfRule>
    <cfRule type="cellIs" dxfId="59" priority="4" stopIfTrue="1" operator="equal">
      <formula>"CHECK"</formula>
    </cfRule>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Q135"/>
  <sheetViews>
    <sheetView showGridLines="0" view="pageBreakPreview" topLeftCell="A81" zoomScaleSheetLayoutView="100" workbookViewId="0">
      <selection activeCell="B12" sqref="B12"/>
    </sheetView>
  </sheetViews>
  <sheetFormatPr defaultColWidth="9.21875" defaultRowHeight="13.2"/>
  <cols>
    <col min="1" max="1" width="4.21875" style="727" customWidth="1"/>
    <col min="2" max="2" width="64.21875" style="727" customWidth="1"/>
    <col min="3" max="3" width="1.5546875" style="727" customWidth="1"/>
    <col min="4" max="4" width="2.21875" style="727" customWidth="1"/>
    <col min="5" max="5" width="12" style="727" customWidth="1"/>
    <col min="6" max="6" width="15.21875" style="727" customWidth="1"/>
    <col min="7" max="7" width="1.77734375" style="727" customWidth="1"/>
    <col min="8" max="8" width="14.77734375" style="727" customWidth="1"/>
    <col min="9" max="9" width="11.21875" style="727" hidden="1" customWidth="1"/>
    <col min="10" max="10" width="10.77734375" style="727" hidden="1" customWidth="1"/>
    <col min="11" max="11" width="9.44140625" style="727" hidden="1" customWidth="1"/>
    <col min="12" max="12" width="10.21875" style="727" hidden="1" customWidth="1"/>
    <col min="13" max="13" width="9.44140625" style="727" hidden="1" customWidth="1"/>
    <col min="14" max="14" width="10" style="727" hidden="1" customWidth="1"/>
    <col min="15" max="15" width="10.77734375" style="727" hidden="1" customWidth="1"/>
    <col min="16" max="16" width="9.21875" style="727" hidden="1" customWidth="1"/>
    <col min="17" max="17" width="17.77734375" style="727" hidden="1" customWidth="1"/>
    <col min="18" max="18" width="17.77734375" style="727" customWidth="1"/>
    <col min="19" max="20" width="11.21875" style="727" customWidth="1"/>
    <col min="21" max="21" width="9.21875" style="727" customWidth="1"/>
    <col min="22" max="22" width="11.21875" style="727" customWidth="1"/>
    <col min="23" max="23" width="11" style="727" customWidth="1"/>
    <col min="24" max="24" width="9.21875" style="727" customWidth="1"/>
    <col min="25" max="25" width="9.21875" style="727"/>
    <col min="26" max="26" width="9.21875" style="727" bestFit="1" customWidth="1"/>
    <col min="27" max="27" width="9.21875" style="727"/>
    <col min="28" max="28" width="9.21875" style="727" bestFit="1" customWidth="1"/>
    <col min="29" max="29" width="9.21875" style="727"/>
    <col min="30" max="30" width="10.21875" style="727" bestFit="1" customWidth="1"/>
    <col min="31" max="31" width="9.21875" style="727"/>
    <col min="32" max="32" width="10.21875" style="727" bestFit="1" customWidth="1"/>
    <col min="33" max="16384" width="9.21875" style="727"/>
  </cols>
  <sheetData>
    <row r="1" spans="1:17">
      <c r="A1" s="825" t="str">
        <f>+Master!B2</f>
        <v>Syntel Solutions (India) Private Limited</v>
      </c>
      <c r="C1" s="825"/>
      <c r="D1" s="824"/>
      <c r="E1" s="824"/>
      <c r="F1" s="824"/>
      <c r="G1" s="824"/>
      <c r="H1" s="824"/>
    </row>
    <row r="2" spans="1:17">
      <c r="A2" s="826"/>
      <c r="C2" s="827"/>
      <c r="D2" s="824"/>
      <c r="E2" s="824"/>
      <c r="F2" s="824"/>
      <c r="G2" s="824"/>
      <c r="H2" s="824"/>
    </row>
    <row r="3" spans="1:17">
      <c r="A3" s="827" t="s">
        <v>3000</v>
      </c>
      <c r="C3" s="827"/>
      <c r="D3" s="824"/>
      <c r="E3" s="824"/>
      <c r="F3" s="824"/>
      <c r="G3" s="824"/>
      <c r="H3" s="824"/>
    </row>
    <row r="4" spans="1:17">
      <c r="B4" s="784"/>
      <c r="C4" s="827"/>
      <c r="D4" s="824"/>
      <c r="E4" s="824"/>
      <c r="F4" s="824"/>
      <c r="G4" s="824"/>
      <c r="H4" s="824"/>
    </row>
    <row r="5" spans="1:17">
      <c r="B5" s="827"/>
      <c r="C5" s="827"/>
      <c r="D5" s="824"/>
      <c r="E5" s="824"/>
      <c r="F5" s="853" t="s">
        <v>1859</v>
      </c>
      <c r="G5" s="851"/>
      <c r="H5" s="853" t="s">
        <v>1859</v>
      </c>
    </row>
    <row r="6" spans="1:17">
      <c r="B6" s="854" t="s">
        <v>835</v>
      </c>
      <c r="C6" s="854"/>
      <c r="D6" s="855"/>
      <c r="E6" s="855"/>
      <c r="F6" s="856">
        <f>BS!$G$7</f>
        <v>45747</v>
      </c>
      <c r="G6" s="857"/>
      <c r="H6" s="856">
        <f>BS!$I$7</f>
        <v>45382</v>
      </c>
    </row>
    <row r="7" spans="1:17" ht="5.0999999999999996" customHeight="1">
      <c r="B7" s="828"/>
      <c r="C7" s="829"/>
      <c r="D7" s="830"/>
      <c r="E7" s="830"/>
      <c r="F7" s="831"/>
      <c r="G7" s="831"/>
      <c r="H7" s="832"/>
    </row>
    <row r="8" spans="1:17" ht="15" customHeight="1">
      <c r="A8" s="681" t="s">
        <v>1877</v>
      </c>
      <c r="B8" s="833" t="s">
        <v>102</v>
      </c>
      <c r="C8" s="824"/>
      <c r="D8" s="824"/>
      <c r="E8" s="824"/>
      <c r="F8" s="834"/>
      <c r="G8" s="835"/>
      <c r="H8" s="835"/>
    </row>
    <row r="9" spans="1:17" ht="15" hidden="1" customHeight="1">
      <c r="B9" s="833"/>
      <c r="C9" s="824"/>
      <c r="D9" s="824"/>
      <c r="E9" s="824"/>
      <c r="F9" s="834"/>
      <c r="G9" s="835"/>
      <c r="H9" s="835"/>
    </row>
    <row r="10" spans="1:17" ht="10.050000000000001" customHeight="1">
      <c r="B10" s="833"/>
      <c r="C10" s="824"/>
      <c r="D10" s="824"/>
      <c r="E10" s="824"/>
      <c r="F10" s="834"/>
      <c r="G10" s="835"/>
      <c r="H10" s="835"/>
    </row>
    <row r="11" spans="1:17">
      <c r="B11" s="836" t="s">
        <v>2189</v>
      </c>
      <c r="C11" s="837"/>
      <c r="D11" s="829"/>
      <c r="E11" s="829"/>
      <c r="F11" s="839">
        <f>+PL!F26</f>
        <v>-2956284</v>
      </c>
      <c r="G11" s="839"/>
      <c r="H11" s="839">
        <f>+PL!H26</f>
        <v>19400000</v>
      </c>
      <c r="I11" s="1120">
        <v>-89</v>
      </c>
      <c r="J11" s="1120">
        <f t="shared" ref="J11:J77" si="0">+F11-I11</f>
        <v>-2956195</v>
      </c>
      <c r="L11" s="727">
        <v>-21</v>
      </c>
      <c r="M11" s="742">
        <f>+F11-L11</f>
        <v>-2956263</v>
      </c>
      <c r="O11" s="1120">
        <v>-5695155</v>
      </c>
      <c r="P11" s="1120">
        <f>+O11/100000</f>
        <v>-56.951549999999997</v>
      </c>
      <c r="Q11" s="742">
        <f>+F11-P11</f>
        <v>-2956227.0484500001</v>
      </c>
    </row>
    <row r="12" spans="1:17">
      <c r="B12" s="1504" t="s">
        <v>103</v>
      </c>
      <c r="C12" s="837"/>
      <c r="D12" s="829"/>
      <c r="E12" s="829"/>
      <c r="F12" s="839"/>
      <c r="G12" s="839"/>
      <c r="H12" s="839"/>
      <c r="I12" s="1120"/>
      <c r="J12" s="1120">
        <f t="shared" si="0"/>
        <v>0</v>
      </c>
      <c r="Q12" s="742">
        <f t="shared" ref="Q12:Q76" si="1">+F12-P12</f>
        <v>0</v>
      </c>
    </row>
    <row r="13" spans="1:17">
      <c r="B13" s="836" t="s">
        <v>2119</v>
      </c>
      <c r="C13" s="837"/>
      <c r="D13" s="829"/>
      <c r="E13" s="829"/>
      <c r="F13" s="839">
        <f>+PL!F16+PL!F17</f>
        <v>3206674</v>
      </c>
      <c r="G13" s="839"/>
      <c r="H13" s="839">
        <f>+PL!H16+PL!H17</f>
        <v>3180953</v>
      </c>
      <c r="I13" s="1120">
        <v>32</v>
      </c>
      <c r="J13" s="1120">
        <f t="shared" si="0"/>
        <v>3206642</v>
      </c>
      <c r="L13" s="727">
        <v>0</v>
      </c>
      <c r="M13" s="742">
        <f>+F13-L13</f>
        <v>3206674</v>
      </c>
      <c r="O13" s="727">
        <v>3173732</v>
      </c>
      <c r="P13" s="1120">
        <f t="shared" ref="P13:P77" si="2">+O13/100000</f>
        <v>31.73732</v>
      </c>
      <c r="Q13" s="742">
        <f t="shared" si="1"/>
        <v>3206642.2626800002</v>
      </c>
    </row>
    <row r="14" spans="1:17" ht="15" hidden="1" customHeight="1">
      <c r="B14" s="836" t="s">
        <v>104</v>
      </c>
      <c r="C14" s="837"/>
      <c r="D14" s="829"/>
      <c r="E14" s="829"/>
      <c r="F14" s="839">
        <f>+'Sch - PL'!E97-'Sch - PL'!E36</f>
        <v>0</v>
      </c>
      <c r="G14" s="839"/>
      <c r="H14" s="839">
        <f>+'Sch - PL'!G97-'Sch - PL'!G36</f>
        <v>0</v>
      </c>
      <c r="I14" s="1120">
        <v>0</v>
      </c>
      <c r="J14" s="1120">
        <f t="shared" si="0"/>
        <v>0</v>
      </c>
      <c r="L14" s="727">
        <v>0</v>
      </c>
      <c r="O14" s="727">
        <v>0</v>
      </c>
      <c r="P14" s="1120">
        <f t="shared" si="2"/>
        <v>0</v>
      </c>
      <c r="Q14" s="742">
        <f t="shared" si="1"/>
        <v>0</v>
      </c>
    </row>
    <row r="15" spans="1:17">
      <c r="B15" s="836" t="s">
        <v>2935</v>
      </c>
      <c r="C15" s="837"/>
      <c r="D15" s="829"/>
      <c r="E15" s="829"/>
      <c r="F15" s="839">
        <f>-'Sch - PL'!E24-'Sch - PL'!E26</f>
        <v>-15602768</v>
      </c>
      <c r="G15" s="839"/>
      <c r="H15" s="839">
        <f>-'Sch - PL'!G24-'Sch - PL'!G26-1</f>
        <v>-15883749</v>
      </c>
      <c r="I15" s="1120">
        <v>-71</v>
      </c>
      <c r="J15" s="1120">
        <f t="shared" si="0"/>
        <v>-15602697</v>
      </c>
      <c r="L15" s="727">
        <v>-104</v>
      </c>
      <c r="M15" s="742">
        <f>+F15-L15</f>
        <v>-15602664</v>
      </c>
      <c r="O15" s="727">
        <v>-11684341</v>
      </c>
      <c r="P15" s="1120">
        <f t="shared" si="2"/>
        <v>-116.84341000000001</v>
      </c>
      <c r="Q15" s="742">
        <f t="shared" si="1"/>
        <v>-15602651.15659</v>
      </c>
    </row>
    <row r="16" spans="1:17">
      <c r="B16" s="836" t="s">
        <v>2931</v>
      </c>
      <c r="C16" s="837"/>
      <c r="D16" s="829"/>
      <c r="E16" s="829"/>
      <c r="F16" s="839">
        <f>-'18-26'!I29</f>
        <v>0</v>
      </c>
      <c r="G16" s="839"/>
      <c r="H16" s="839">
        <f>-'18-26'!I29</f>
        <v>0</v>
      </c>
      <c r="I16" s="1120"/>
      <c r="J16" s="1120"/>
      <c r="M16" s="742"/>
      <c r="P16" s="1120"/>
      <c r="Q16" s="742"/>
    </row>
    <row r="17" spans="2:17">
      <c r="B17" s="836" t="s">
        <v>105</v>
      </c>
      <c r="C17" s="837"/>
      <c r="D17" s="829"/>
      <c r="E17" s="829"/>
      <c r="F17" s="839">
        <f>-'Sch - PL'!E25</f>
        <v>-217627</v>
      </c>
      <c r="G17" s="839"/>
      <c r="H17" s="839">
        <f>-'Sch - PL'!G25</f>
        <v>-188323</v>
      </c>
      <c r="I17" s="1120">
        <v>0</v>
      </c>
      <c r="J17" s="1120">
        <f t="shared" si="0"/>
        <v>-217627</v>
      </c>
      <c r="L17" s="727">
        <v>0</v>
      </c>
      <c r="O17" s="727">
        <v>-158934</v>
      </c>
      <c r="P17" s="1120">
        <f t="shared" si="2"/>
        <v>-1.58934</v>
      </c>
      <c r="Q17" s="742">
        <f t="shared" si="1"/>
        <v>-217625.41065999999</v>
      </c>
    </row>
    <row r="18" spans="2:17" ht="15" hidden="1" customHeight="1">
      <c r="B18" s="836" t="s">
        <v>106</v>
      </c>
      <c r="C18" s="837"/>
      <c r="D18" s="829"/>
      <c r="E18" s="829"/>
      <c r="F18" s="839">
        <f>-'Sch - PL'!E32-'Sch - PL'!E33*0</f>
        <v>0</v>
      </c>
      <c r="G18" s="839"/>
      <c r="H18" s="839">
        <f>-'Sch - PL'!G32-'Sch - PL'!G33*0</f>
        <v>0</v>
      </c>
      <c r="I18" s="1120">
        <v>0</v>
      </c>
      <c r="J18" s="1120">
        <f t="shared" si="0"/>
        <v>0</v>
      </c>
      <c r="L18" s="727">
        <v>-84</v>
      </c>
      <c r="M18" s="742">
        <f>+F18-L18</f>
        <v>84</v>
      </c>
      <c r="O18" s="727">
        <v>0</v>
      </c>
      <c r="P18" s="1120">
        <f t="shared" si="2"/>
        <v>0</v>
      </c>
      <c r="Q18" s="742">
        <f t="shared" si="1"/>
        <v>0</v>
      </c>
    </row>
    <row r="19" spans="2:17" ht="15" hidden="1" customHeight="1">
      <c r="B19" s="836" t="s">
        <v>2007</v>
      </c>
      <c r="C19" s="837"/>
      <c r="D19" s="829"/>
      <c r="E19" s="829"/>
      <c r="F19" s="839">
        <f>-'Sch - PL'!E33</f>
        <v>0</v>
      </c>
      <c r="G19" s="839"/>
      <c r="H19" s="839">
        <f>-'Sch - PL'!G33</f>
        <v>0</v>
      </c>
      <c r="I19" s="1120">
        <v>0</v>
      </c>
      <c r="J19" s="1120">
        <f t="shared" si="0"/>
        <v>0</v>
      </c>
      <c r="L19" s="727">
        <v>74</v>
      </c>
      <c r="M19" s="742">
        <f>+F19-L19</f>
        <v>-74</v>
      </c>
      <c r="O19" s="727">
        <v>0</v>
      </c>
      <c r="P19" s="1120">
        <f t="shared" si="2"/>
        <v>0</v>
      </c>
      <c r="Q19" s="742">
        <f t="shared" si="1"/>
        <v>0</v>
      </c>
    </row>
    <row r="20" spans="2:17">
      <c r="B20" s="836" t="s">
        <v>2326</v>
      </c>
      <c r="C20" s="837"/>
      <c r="D20" s="829"/>
      <c r="E20" s="829"/>
      <c r="F20" s="839">
        <f>'18-26'!I73</f>
        <v>401657</v>
      </c>
      <c r="G20" s="839"/>
      <c r="H20" s="839">
        <f>'18-26'!J73</f>
        <v>638522</v>
      </c>
      <c r="I20" s="1120">
        <v>10</v>
      </c>
      <c r="J20" s="1120"/>
      <c r="M20" s="742"/>
      <c r="O20" s="727">
        <v>845903</v>
      </c>
      <c r="P20" s="1120">
        <f t="shared" si="2"/>
        <v>8.4590300000000003</v>
      </c>
      <c r="Q20" s="742">
        <f t="shared" si="1"/>
        <v>401648.54096999997</v>
      </c>
    </row>
    <row r="21" spans="2:17" ht="15" hidden="1" customHeight="1">
      <c r="B21" s="836" t="s">
        <v>107</v>
      </c>
      <c r="C21" s="837"/>
      <c r="D21" s="829"/>
      <c r="E21" s="829"/>
      <c r="F21" s="839">
        <f>-'Sch - PL'!E34-'Sch - PL'!E25*0</f>
        <v>0</v>
      </c>
      <c r="G21" s="839"/>
      <c r="H21" s="839">
        <f>-'Sch - PL'!G34-'Sch - PL'!G25*0</f>
        <v>0</v>
      </c>
      <c r="I21" s="1120">
        <v>0</v>
      </c>
      <c r="J21" s="1120">
        <f t="shared" si="0"/>
        <v>0</v>
      </c>
      <c r="L21" s="727">
        <v>0</v>
      </c>
      <c r="O21" s="727">
        <v>0</v>
      </c>
      <c r="P21" s="1120">
        <f t="shared" si="2"/>
        <v>0</v>
      </c>
      <c r="Q21" s="742">
        <f t="shared" si="1"/>
        <v>0</v>
      </c>
    </row>
    <row r="22" spans="2:17" ht="15" hidden="1" customHeight="1">
      <c r="B22" s="836" t="s">
        <v>108</v>
      </c>
      <c r="C22" s="837"/>
      <c r="D22" s="829"/>
      <c r="E22" s="829"/>
      <c r="F22" s="839">
        <f>-'Sch - PL'!E29</f>
        <v>0</v>
      </c>
      <c r="G22" s="839"/>
      <c r="H22" s="839">
        <f>-'Sch - PL'!G29</f>
        <v>0</v>
      </c>
      <c r="I22" s="1120">
        <v>0</v>
      </c>
      <c r="J22" s="1120">
        <f t="shared" si="0"/>
        <v>0</v>
      </c>
      <c r="L22" s="727">
        <v>0</v>
      </c>
      <c r="O22" s="727">
        <v>0</v>
      </c>
      <c r="P22" s="1120">
        <f t="shared" si="2"/>
        <v>0</v>
      </c>
      <c r="Q22" s="742">
        <f t="shared" si="1"/>
        <v>0</v>
      </c>
    </row>
    <row r="23" spans="2:17" ht="15" hidden="1" customHeight="1">
      <c r="B23" s="836" t="s">
        <v>109</v>
      </c>
      <c r="C23" s="837"/>
      <c r="D23" s="829"/>
      <c r="E23" s="829"/>
      <c r="F23" s="839">
        <f>+'Sch - PL'!E99</f>
        <v>0</v>
      </c>
      <c r="G23" s="839"/>
      <c r="H23" s="839">
        <f>+'Sch - PL'!G99</f>
        <v>0</v>
      </c>
      <c r="I23" s="1120">
        <v>0</v>
      </c>
      <c r="J23" s="1120">
        <f t="shared" si="0"/>
        <v>0</v>
      </c>
      <c r="L23" s="727">
        <v>0</v>
      </c>
      <c r="O23" s="727">
        <v>0</v>
      </c>
      <c r="P23" s="1120">
        <f t="shared" si="2"/>
        <v>0</v>
      </c>
      <c r="Q23" s="742">
        <f t="shared" si="1"/>
        <v>0</v>
      </c>
    </row>
    <row r="24" spans="2:17" ht="15" hidden="1" customHeight="1">
      <c r="B24" s="836" t="s">
        <v>110</v>
      </c>
      <c r="C24" s="837"/>
      <c r="D24" s="829"/>
      <c r="E24" s="829"/>
      <c r="F24" s="839">
        <f>+'Sch - PL'!E100</f>
        <v>98431</v>
      </c>
      <c r="G24" s="839"/>
      <c r="H24" s="839">
        <f>+'Sch - PL'!G100</f>
        <v>0</v>
      </c>
      <c r="I24" s="1120">
        <v>0</v>
      </c>
      <c r="J24" s="1120">
        <f t="shared" si="0"/>
        <v>98431</v>
      </c>
      <c r="L24" s="727">
        <v>0</v>
      </c>
      <c r="O24" s="727">
        <v>0</v>
      </c>
      <c r="P24" s="1120">
        <f t="shared" si="2"/>
        <v>0</v>
      </c>
      <c r="Q24" s="742">
        <f t="shared" si="1"/>
        <v>98431</v>
      </c>
    </row>
    <row r="25" spans="2:17" ht="15" hidden="1" customHeight="1">
      <c r="B25" s="836" t="s">
        <v>111</v>
      </c>
      <c r="C25" s="837"/>
      <c r="D25" s="829"/>
      <c r="E25" s="829"/>
      <c r="F25" s="839">
        <f>+'Sch - PL'!E101</f>
        <v>0</v>
      </c>
      <c r="G25" s="839"/>
      <c r="H25" s="1251">
        <f>+'Sch - PL'!G101</f>
        <v>0</v>
      </c>
      <c r="I25" s="1120">
        <v>0</v>
      </c>
      <c r="J25" s="1120">
        <f t="shared" si="0"/>
        <v>0</v>
      </c>
      <c r="L25" s="727">
        <v>0</v>
      </c>
      <c r="O25" s="727">
        <v>0</v>
      </c>
      <c r="P25" s="1120">
        <f t="shared" si="2"/>
        <v>0</v>
      </c>
      <c r="Q25" s="742">
        <f t="shared" si="1"/>
        <v>0</v>
      </c>
    </row>
    <row r="26" spans="2:17" ht="15" hidden="1" customHeight="1">
      <c r="B26" s="836" t="s">
        <v>112</v>
      </c>
      <c r="C26" s="837"/>
      <c r="D26" s="829"/>
      <c r="E26" s="829"/>
      <c r="F26" s="839">
        <f>-F67*0</f>
        <v>0</v>
      </c>
      <c r="G26" s="839"/>
      <c r="H26" s="839">
        <f>-H67*0</f>
        <v>0</v>
      </c>
      <c r="I26" s="1120">
        <v>0</v>
      </c>
      <c r="J26" s="1120">
        <f t="shared" si="0"/>
        <v>0</v>
      </c>
      <c r="L26" s="727">
        <v>0</v>
      </c>
      <c r="O26" s="727">
        <v>0</v>
      </c>
      <c r="P26" s="1120">
        <f t="shared" si="2"/>
        <v>0</v>
      </c>
      <c r="Q26" s="742">
        <f t="shared" si="1"/>
        <v>0</v>
      </c>
    </row>
    <row r="27" spans="2:17">
      <c r="B27" s="836" t="s">
        <v>113</v>
      </c>
      <c r="C27" s="837"/>
      <c r="D27" s="829"/>
      <c r="E27" s="829"/>
      <c r="F27" s="839">
        <f>PL!F19-F28-F29-F20</f>
        <v>11355848</v>
      </c>
      <c r="G27" s="839"/>
      <c r="H27" s="839">
        <f>PL!H19-H28-H29-H20</f>
        <v>13389967</v>
      </c>
      <c r="I27" s="1120">
        <v>141</v>
      </c>
      <c r="J27" s="1120">
        <f t="shared" si="0"/>
        <v>11355707</v>
      </c>
      <c r="L27" s="727">
        <v>125</v>
      </c>
      <c r="M27" s="742">
        <f>+F27-L27</f>
        <v>11355723</v>
      </c>
      <c r="O27" s="727">
        <v>15047232</v>
      </c>
      <c r="P27" s="1120">
        <f t="shared" si="2"/>
        <v>150.47232</v>
      </c>
      <c r="Q27" s="742">
        <f t="shared" si="1"/>
        <v>11355697.52768</v>
      </c>
    </row>
    <row r="28" spans="2:17">
      <c r="B28" s="836" t="s">
        <v>2749</v>
      </c>
      <c r="C28" s="837"/>
      <c r="D28" s="829"/>
      <c r="E28" s="829"/>
      <c r="F28" s="1150">
        <f>ROUND(3360/Master!$B$23,0)</f>
        <v>3360</v>
      </c>
      <c r="G28" s="839"/>
      <c r="H28" s="1150">
        <f>ROUND(3360/Master!$B$23,0)</f>
        <v>3360</v>
      </c>
      <c r="I28" s="1120">
        <v>0</v>
      </c>
      <c r="J28" s="1120">
        <f t="shared" si="0"/>
        <v>3360</v>
      </c>
      <c r="L28" s="727">
        <v>0</v>
      </c>
      <c r="O28" s="727">
        <v>3360</v>
      </c>
      <c r="P28" s="1120">
        <f t="shared" si="2"/>
        <v>3.3599999999999998E-2</v>
      </c>
      <c r="Q28" s="742">
        <f t="shared" si="1"/>
        <v>3359.9663999999998</v>
      </c>
    </row>
    <row r="29" spans="2:17" ht="15" hidden="1" customHeight="1">
      <c r="B29" s="836" t="s">
        <v>2021</v>
      </c>
      <c r="C29" s="837"/>
      <c r="D29" s="829"/>
      <c r="E29" s="829"/>
      <c r="F29" s="1150">
        <f>ROUND(0/Master!$B$23,0)</f>
        <v>0</v>
      </c>
      <c r="G29" s="839"/>
      <c r="H29" s="1150">
        <f>ROUND(0/Master!$B$23,0)</f>
        <v>0</v>
      </c>
      <c r="I29" s="1120">
        <v>0</v>
      </c>
      <c r="J29" s="1120">
        <f t="shared" si="0"/>
        <v>0</v>
      </c>
      <c r="L29" s="727">
        <v>0</v>
      </c>
      <c r="O29" s="727">
        <v>0</v>
      </c>
      <c r="P29" s="1120">
        <f t="shared" si="2"/>
        <v>0</v>
      </c>
      <c r="Q29" s="742">
        <f t="shared" si="1"/>
        <v>0</v>
      </c>
    </row>
    <row r="30" spans="2:17" ht="15" hidden="1" customHeight="1">
      <c r="B30" s="836" t="s">
        <v>2003</v>
      </c>
      <c r="C30" s="837"/>
      <c r="D30" s="829"/>
      <c r="E30" s="829"/>
      <c r="F30" s="1347">
        <v>0</v>
      </c>
      <c r="G30" s="839"/>
      <c r="H30" s="839">
        <f>-'CF Working'!F28*0</f>
        <v>0</v>
      </c>
      <c r="I30" s="1120">
        <v>0</v>
      </c>
      <c r="J30" s="1120">
        <f t="shared" si="0"/>
        <v>0</v>
      </c>
      <c r="L30" s="727">
        <v>2</v>
      </c>
      <c r="M30" s="742">
        <f>+F30-L30</f>
        <v>-2</v>
      </c>
      <c r="O30" s="727">
        <v>0</v>
      </c>
      <c r="P30" s="1120">
        <f t="shared" si="2"/>
        <v>0</v>
      </c>
      <c r="Q30" s="742">
        <f t="shared" si="1"/>
        <v>0</v>
      </c>
    </row>
    <row r="31" spans="2:17">
      <c r="B31" s="836" t="s">
        <v>2936</v>
      </c>
      <c r="C31" s="837"/>
      <c r="D31" s="829"/>
      <c r="E31" s="829"/>
      <c r="F31" s="839">
        <v>0</v>
      </c>
      <c r="G31" s="839"/>
      <c r="H31" s="839">
        <v>0</v>
      </c>
      <c r="I31" s="1120">
        <v>0</v>
      </c>
      <c r="J31" s="1120">
        <f t="shared" si="0"/>
        <v>0</v>
      </c>
      <c r="L31" s="727">
        <v>-1</v>
      </c>
      <c r="M31" s="742">
        <f>+F31-L31</f>
        <v>1</v>
      </c>
      <c r="O31" s="727">
        <v>-81650</v>
      </c>
      <c r="P31" s="1120">
        <f t="shared" si="2"/>
        <v>-0.8165</v>
      </c>
      <c r="Q31" s="742">
        <f t="shared" si="1"/>
        <v>0.8165</v>
      </c>
    </row>
    <row r="32" spans="2:17" ht="29.25" hidden="1" customHeight="1">
      <c r="B32" s="841" t="s">
        <v>114</v>
      </c>
      <c r="C32" s="841"/>
      <c r="D32" s="841"/>
      <c r="E32" s="841"/>
      <c r="F32" s="839">
        <f>-F76*0</f>
        <v>0</v>
      </c>
      <c r="G32" s="839"/>
      <c r="H32" s="839">
        <f>-H76*0</f>
        <v>0</v>
      </c>
      <c r="I32" s="1120">
        <v>0</v>
      </c>
      <c r="J32" s="1120">
        <f t="shared" si="0"/>
        <v>0</v>
      </c>
      <c r="L32" s="727">
        <v>0</v>
      </c>
      <c r="O32" s="727">
        <v>0</v>
      </c>
      <c r="P32" s="1120">
        <f t="shared" si="2"/>
        <v>0</v>
      </c>
      <c r="Q32" s="742">
        <f t="shared" si="1"/>
        <v>0</v>
      </c>
    </row>
    <row r="33" spans="2:17" ht="10.050000000000001" customHeight="1">
      <c r="B33" s="842"/>
      <c r="C33" s="843"/>
      <c r="D33" s="829"/>
      <c r="E33" s="829"/>
      <c r="F33" s="839"/>
      <c r="G33" s="839"/>
      <c r="H33" s="839"/>
      <c r="I33" s="1120"/>
      <c r="J33" s="1120">
        <f t="shared" si="0"/>
        <v>0</v>
      </c>
      <c r="P33" s="1120">
        <f t="shared" si="2"/>
        <v>0</v>
      </c>
      <c r="Q33" s="742">
        <f t="shared" si="1"/>
        <v>0</v>
      </c>
    </row>
    <row r="34" spans="2:17">
      <c r="B34" s="833" t="s">
        <v>2934</v>
      </c>
      <c r="C34" s="824"/>
      <c r="D34" s="829"/>
      <c r="E34" s="829"/>
      <c r="F34" s="844">
        <f>SUM(F11:F33)</f>
        <v>-3710709</v>
      </c>
      <c r="G34" s="838"/>
      <c r="H34" s="844">
        <f>SUM(H11:H33)</f>
        <v>20540730</v>
      </c>
      <c r="I34" s="1120">
        <v>23</v>
      </c>
      <c r="J34" s="1120">
        <f t="shared" si="0"/>
        <v>-3710732</v>
      </c>
      <c r="L34" s="727">
        <v>-9</v>
      </c>
      <c r="M34" s="742">
        <f t="shared" ref="M34:M47" si="3">+F34-L34</f>
        <v>-3710700</v>
      </c>
      <c r="O34" s="727">
        <v>1450147</v>
      </c>
      <c r="P34" s="1120">
        <f t="shared" si="2"/>
        <v>14.501469999999999</v>
      </c>
      <c r="Q34" s="742">
        <f t="shared" si="1"/>
        <v>-3710723.50147</v>
      </c>
    </row>
    <row r="35" spans="2:17" ht="15" customHeight="1">
      <c r="B35" s="840" t="s">
        <v>115</v>
      </c>
      <c r="C35" s="837"/>
      <c r="D35" s="829"/>
      <c r="E35" s="829"/>
      <c r="F35" s="838"/>
      <c r="G35" s="839"/>
      <c r="H35" s="839"/>
      <c r="I35" s="1120"/>
      <c r="J35" s="1120">
        <f t="shared" si="0"/>
        <v>0</v>
      </c>
      <c r="P35" s="1120">
        <f t="shared" si="2"/>
        <v>0</v>
      </c>
      <c r="Q35" s="742">
        <f t="shared" si="1"/>
        <v>0</v>
      </c>
    </row>
    <row r="36" spans="2:17" ht="15" customHeight="1">
      <c r="B36" s="836" t="s">
        <v>2937</v>
      </c>
      <c r="C36" s="837"/>
      <c r="D36" s="829"/>
      <c r="E36" s="829"/>
      <c r="F36" s="839">
        <f>-'CF Working'!D13</f>
        <v>-6693443.1199999992</v>
      </c>
      <c r="G36" s="839"/>
      <c r="H36" s="839">
        <f>-'CF Working'!F13</f>
        <v>5720092</v>
      </c>
      <c r="I36" s="1120">
        <v>-54</v>
      </c>
      <c r="J36" s="1120">
        <f t="shared" si="0"/>
        <v>-6693389.1199999992</v>
      </c>
      <c r="L36" s="727">
        <v>98</v>
      </c>
      <c r="M36" s="742">
        <f t="shared" si="3"/>
        <v>-6693541.1199999992</v>
      </c>
      <c r="O36" s="727">
        <v>490623</v>
      </c>
      <c r="P36" s="1120">
        <f t="shared" si="2"/>
        <v>4.9062299999999999</v>
      </c>
      <c r="Q36" s="742">
        <f t="shared" si="1"/>
        <v>-6693448.026229999</v>
      </c>
    </row>
    <row r="37" spans="2:17" ht="15" customHeight="1">
      <c r="B37" s="836" t="s">
        <v>2938</v>
      </c>
      <c r="C37" s="837"/>
      <c r="D37" s="829"/>
      <c r="E37" s="829"/>
      <c r="F37" s="839">
        <f>-'CF Working'!D28-'CF Working'!D53</f>
        <v>182600</v>
      </c>
      <c r="G37" s="839"/>
      <c r="H37" s="839">
        <f>-'CF Working'!F28-'CF Working'!F53</f>
        <v>-346618</v>
      </c>
      <c r="I37" s="1120">
        <v>1</v>
      </c>
      <c r="J37" s="1120">
        <f t="shared" si="0"/>
        <v>182599</v>
      </c>
      <c r="L37" s="727">
        <v>-5</v>
      </c>
      <c r="M37" s="742">
        <f t="shared" si="3"/>
        <v>182605</v>
      </c>
      <c r="O37" s="727">
        <v>327504</v>
      </c>
      <c r="P37" s="1120">
        <f t="shared" si="2"/>
        <v>3.2750400000000002</v>
      </c>
      <c r="Q37" s="742">
        <f t="shared" si="1"/>
        <v>182596.72495999999</v>
      </c>
    </row>
    <row r="38" spans="2:17" ht="15" customHeight="1">
      <c r="B38" s="836" t="s">
        <v>2939</v>
      </c>
      <c r="C38" s="837"/>
      <c r="D38" s="829"/>
      <c r="E38" s="829"/>
      <c r="F38" s="839">
        <f>-'CF Working'!D38-'CF Working'!D58</f>
        <v>-161497</v>
      </c>
      <c r="G38" s="839"/>
      <c r="H38" s="839">
        <f>-'CF Working'!F38-'CF Working'!F58+1</f>
        <v>-234165</v>
      </c>
      <c r="I38" s="1120">
        <v>0</v>
      </c>
      <c r="J38" s="1120">
        <f t="shared" si="0"/>
        <v>-161497</v>
      </c>
      <c r="L38" s="727">
        <v>2</v>
      </c>
      <c r="M38" s="742">
        <f t="shared" si="3"/>
        <v>-161499</v>
      </c>
      <c r="O38" s="727">
        <v>-14590</v>
      </c>
      <c r="P38" s="1120">
        <f t="shared" si="2"/>
        <v>-0.1459</v>
      </c>
      <c r="Q38" s="742">
        <f t="shared" si="1"/>
        <v>-161496.8541</v>
      </c>
    </row>
    <row r="39" spans="2:17" ht="15" customHeight="1">
      <c r="B39" s="836" t="s">
        <v>2801</v>
      </c>
      <c r="C39" s="837"/>
      <c r="D39" s="829"/>
      <c r="E39" s="829"/>
      <c r="F39" s="839">
        <f>+'CF Working'!D66</f>
        <v>865724</v>
      </c>
      <c r="G39" s="839"/>
      <c r="H39" s="839">
        <f>+'CF Working'!F66</f>
        <v>318706</v>
      </c>
      <c r="I39" s="1120">
        <v>3</v>
      </c>
      <c r="J39" s="1120">
        <f t="shared" si="0"/>
        <v>865721</v>
      </c>
      <c r="L39" s="727">
        <v>-1</v>
      </c>
      <c r="M39" s="742">
        <f t="shared" si="3"/>
        <v>865725</v>
      </c>
      <c r="O39" s="727">
        <v>165517</v>
      </c>
      <c r="P39" s="1120">
        <f t="shared" si="2"/>
        <v>1.65517</v>
      </c>
      <c r="Q39" s="742">
        <f t="shared" si="1"/>
        <v>865722.34482999996</v>
      </c>
    </row>
    <row r="40" spans="2:17" ht="15" customHeight="1">
      <c r="B40" s="836" t="s">
        <v>2802</v>
      </c>
      <c r="C40" s="837"/>
      <c r="D40" s="829"/>
      <c r="E40" s="829"/>
      <c r="F40" s="839">
        <f>+'CF Working'!D76+'CF Working'!D90</f>
        <v>-255239.39768004417</v>
      </c>
      <c r="G40" s="839"/>
      <c r="H40" s="839">
        <f>+'CF Working'!F76+'CF Working'!F90-3</f>
        <v>170714</v>
      </c>
      <c r="I40" s="1120">
        <v>19</v>
      </c>
      <c r="J40" s="1120">
        <f t="shared" si="0"/>
        <v>-255258.39768004417</v>
      </c>
      <c r="L40" s="727">
        <v>6</v>
      </c>
      <c r="M40" s="742">
        <f t="shared" si="3"/>
        <v>-255245.39768004417</v>
      </c>
      <c r="O40" s="727">
        <v>-3149864</v>
      </c>
      <c r="P40" s="1120">
        <f t="shared" si="2"/>
        <v>-31.498640000000002</v>
      </c>
      <c r="Q40" s="742">
        <f t="shared" si="1"/>
        <v>-255207.89904004417</v>
      </c>
    </row>
    <row r="41" spans="2:17" ht="15" customHeight="1">
      <c r="B41" s="836" t="s">
        <v>2940</v>
      </c>
      <c r="C41" s="837"/>
      <c r="D41" s="829"/>
      <c r="E41" s="829"/>
      <c r="F41" s="839">
        <f>+'CF Working'!D82+'CF Working'!D95+'CF Working'!D101*0</f>
        <v>-35731</v>
      </c>
      <c r="G41" s="839"/>
      <c r="H41" s="839">
        <f>+'CF Working'!F82+'CF Working'!F95+'CF Working'!F101*0</f>
        <v>-128837</v>
      </c>
      <c r="I41" s="1120">
        <v>4</v>
      </c>
      <c r="J41" s="1120">
        <f t="shared" si="0"/>
        <v>-35735</v>
      </c>
      <c r="L41" s="727">
        <v>-2</v>
      </c>
      <c r="M41" s="742">
        <f t="shared" si="3"/>
        <v>-35729</v>
      </c>
      <c r="O41" s="727">
        <v>-61197</v>
      </c>
      <c r="P41" s="1120">
        <f t="shared" si="2"/>
        <v>-0.61197000000000001</v>
      </c>
      <c r="Q41" s="742">
        <f t="shared" si="1"/>
        <v>-35730.388030000002</v>
      </c>
    </row>
    <row r="42" spans="2:17" ht="15" customHeight="1">
      <c r="B42" s="836" t="s">
        <v>2941</v>
      </c>
      <c r="C42" s="837"/>
      <c r="D42" s="829"/>
      <c r="E42" s="829"/>
      <c r="F42" s="839">
        <f>+'CF Working'!D101</f>
        <v>-770367</v>
      </c>
      <c r="G42" s="839"/>
      <c r="H42" s="839">
        <f>+'CF Working'!F101</f>
        <v>-94048</v>
      </c>
      <c r="I42" s="1120">
        <v>-10</v>
      </c>
      <c r="J42" s="1120">
        <f t="shared" si="0"/>
        <v>-770357</v>
      </c>
      <c r="L42" s="727">
        <v>-2</v>
      </c>
      <c r="M42" s="742">
        <f t="shared" si="3"/>
        <v>-770365</v>
      </c>
      <c r="O42" s="727">
        <v>139805</v>
      </c>
      <c r="P42" s="1120">
        <f t="shared" si="2"/>
        <v>1.39805</v>
      </c>
      <c r="Q42" s="742">
        <f t="shared" si="1"/>
        <v>-770368.39804999996</v>
      </c>
    </row>
    <row r="43" spans="2:17" ht="10.050000000000001" customHeight="1">
      <c r="B43" s="840"/>
      <c r="C43" s="837"/>
      <c r="D43" s="829"/>
      <c r="E43" s="829"/>
      <c r="F43" s="838"/>
      <c r="G43" s="839"/>
      <c r="H43" s="839"/>
      <c r="I43" s="1120"/>
      <c r="J43" s="1120">
        <f t="shared" si="0"/>
        <v>0</v>
      </c>
      <c r="P43" s="1120">
        <f t="shared" si="2"/>
        <v>0</v>
      </c>
      <c r="Q43" s="742">
        <f t="shared" si="1"/>
        <v>0</v>
      </c>
    </row>
    <row r="44" spans="2:17" ht="15" customHeight="1">
      <c r="B44" s="840" t="s">
        <v>2368</v>
      </c>
      <c r="C44" s="837"/>
      <c r="D44" s="829"/>
      <c r="E44" s="829"/>
      <c r="F44" s="844">
        <f>SUM(F34:F43)</f>
        <v>-10578662.517680043</v>
      </c>
      <c r="G44" s="839"/>
      <c r="H44" s="844">
        <f>SUM(H34:H43)</f>
        <v>25946574</v>
      </c>
      <c r="I44" s="1120">
        <v>-14</v>
      </c>
      <c r="J44" s="1120">
        <f t="shared" si="0"/>
        <v>-10578648.517680043</v>
      </c>
      <c r="L44" s="727">
        <v>87</v>
      </c>
      <c r="M44" s="742">
        <f t="shared" si="3"/>
        <v>-10578749.517680043</v>
      </c>
      <c r="O44" s="727">
        <v>-652055</v>
      </c>
      <c r="P44" s="1120">
        <f t="shared" si="2"/>
        <v>-6.5205500000000001</v>
      </c>
      <c r="Q44" s="742">
        <f t="shared" si="1"/>
        <v>-10578655.997130044</v>
      </c>
    </row>
    <row r="45" spans="2:17" ht="15" customHeight="1">
      <c r="B45" s="836" t="s">
        <v>2750</v>
      </c>
      <c r="C45" s="837"/>
      <c r="D45" s="829"/>
      <c r="E45" s="829"/>
      <c r="F45" s="839">
        <f>-'CF Working'!D131+'CF Working'!D122</f>
        <v>-1105803</v>
      </c>
      <c r="G45" s="838"/>
      <c r="H45" s="839">
        <f>-'CF Working'!F131+'CF Working'!F122</f>
        <v>-2683800</v>
      </c>
      <c r="I45" s="1120">
        <v>6.4372299999999996</v>
      </c>
      <c r="J45" s="1120">
        <f t="shared" si="0"/>
        <v>-1105809.43723</v>
      </c>
      <c r="L45" s="727">
        <v>-13</v>
      </c>
      <c r="M45" s="742">
        <f t="shared" si="3"/>
        <v>-1105790</v>
      </c>
      <c r="O45" s="727">
        <v>209464</v>
      </c>
      <c r="P45" s="1120">
        <f t="shared" si="2"/>
        <v>2.0946400000000001</v>
      </c>
      <c r="Q45" s="742">
        <f t="shared" si="1"/>
        <v>-1105805.09464</v>
      </c>
    </row>
    <row r="46" spans="2:17" ht="7.5" customHeight="1">
      <c r="B46" s="840"/>
      <c r="C46" s="837"/>
      <c r="D46" s="829"/>
      <c r="E46" s="829"/>
      <c r="F46" s="838"/>
      <c r="G46" s="838"/>
      <c r="H46" s="839"/>
      <c r="I46" s="1120"/>
      <c r="J46" s="1120">
        <f t="shared" si="0"/>
        <v>0</v>
      </c>
      <c r="P46" s="1120">
        <f t="shared" si="2"/>
        <v>0</v>
      </c>
      <c r="Q46" s="742">
        <f t="shared" si="1"/>
        <v>0</v>
      </c>
    </row>
    <row r="47" spans="2:17" ht="15" customHeight="1">
      <c r="B47" s="840" t="s">
        <v>2219</v>
      </c>
      <c r="C47" s="837"/>
      <c r="D47" s="829"/>
      <c r="E47" s="829"/>
      <c r="F47" s="844">
        <f>SUM(F44:F46)</f>
        <v>-11684465.517680043</v>
      </c>
      <c r="G47" s="839"/>
      <c r="H47" s="844">
        <f>SUM(H44:H46)</f>
        <v>23262774</v>
      </c>
      <c r="I47" s="1120">
        <v>-7.5627700000000004</v>
      </c>
      <c r="J47" s="1120">
        <f t="shared" si="0"/>
        <v>-11684457.954910044</v>
      </c>
      <c r="L47" s="727">
        <v>74</v>
      </c>
      <c r="M47" s="742">
        <f t="shared" si="3"/>
        <v>-11684539.517680043</v>
      </c>
      <c r="O47" s="727">
        <v>-442591</v>
      </c>
      <c r="P47" s="1120">
        <f t="shared" si="2"/>
        <v>-4.42591</v>
      </c>
      <c r="Q47" s="742">
        <f t="shared" si="1"/>
        <v>-11684461.091770044</v>
      </c>
    </row>
    <row r="48" spans="2:17" ht="10.050000000000001" customHeight="1">
      <c r="B48" s="840"/>
      <c r="C48" s="837"/>
      <c r="D48" s="829"/>
      <c r="E48" s="829"/>
      <c r="F48" s="838"/>
      <c r="G48" s="839"/>
      <c r="H48" s="839"/>
      <c r="I48" s="1120"/>
      <c r="J48" s="1120">
        <f t="shared" si="0"/>
        <v>0</v>
      </c>
      <c r="P48" s="1120">
        <f t="shared" si="2"/>
        <v>0</v>
      </c>
      <c r="Q48" s="742">
        <f t="shared" si="1"/>
        <v>0</v>
      </c>
    </row>
    <row r="49" spans="1:17" ht="15" customHeight="1">
      <c r="A49" s="681" t="s">
        <v>1887</v>
      </c>
      <c r="B49" s="840" t="s">
        <v>116</v>
      </c>
      <c r="C49" s="846"/>
      <c r="D49" s="829"/>
      <c r="E49" s="829"/>
      <c r="F49" s="838"/>
      <c r="G49" s="839"/>
      <c r="H49" s="839"/>
      <c r="I49" s="1120"/>
      <c r="J49" s="1120">
        <f t="shared" si="0"/>
        <v>0</v>
      </c>
      <c r="P49" s="1120">
        <f t="shared" si="2"/>
        <v>0</v>
      </c>
      <c r="Q49" s="742">
        <f t="shared" si="1"/>
        <v>0</v>
      </c>
    </row>
    <row r="50" spans="1:17" ht="10.050000000000001" customHeight="1">
      <c r="B50" s="840"/>
      <c r="C50" s="846"/>
      <c r="D50" s="829"/>
      <c r="E50" s="829"/>
      <c r="F50" s="838"/>
      <c r="G50" s="839"/>
      <c r="H50" s="839"/>
      <c r="I50" s="1120"/>
      <c r="J50" s="1120">
        <f t="shared" si="0"/>
        <v>0</v>
      </c>
      <c r="P50" s="1120">
        <f t="shared" si="2"/>
        <v>0</v>
      </c>
      <c r="Q50" s="742">
        <f t="shared" si="1"/>
        <v>0</v>
      </c>
    </row>
    <row r="51" spans="1:17" ht="15" hidden="1" customHeight="1">
      <c r="B51" s="836" t="s">
        <v>117</v>
      </c>
      <c r="C51" s="846"/>
      <c r="D51" s="829"/>
      <c r="E51" s="829"/>
      <c r="F51" s="838">
        <f>-'CF Working'!D145</f>
        <v>0</v>
      </c>
      <c r="G51" s="839"/>
      <c r="H51" s="839">
        <f>-'CF Working'!F145</f>
        <v>0</v>
      </c>
      <c r="I51" s="1120">
        <v>0</v>
      </c>
      <c r="J51" s="1120">
        <f t="shared" si="0"/>
        <v>0</v>
      </c>
      <c r="L51" s="727">
        <v>0</v>
      </c>
      <c r="O51" s="727">
        <v>0</v>
      </c>
      <c r="P51" s="1120">
        <f t="shared" si="2"/>
        <v>0</v>
      </c>
      <c r="Q51" s="742">
        <f t="shared" si="1"/>
        <v>0</v>
      </c>
    </row>
    <row r="52" spans="1:17" ht="15" hidden="1" customHeight="1">
      <c r="B52" s="836" t="s">
        <v>118</v>
      </c>
      <c r="C52" s="846"/>
      <c r="D52" s="829"/>
      <c r="E52" s="829"/>
      <c r="F52" s="838">
        <f>+'CF Working'!D156</f>
        <v>0</v>
      </c>
      <c r="G52" s="839"/>
      <c r="H52" s="839">
        <f>+'CF Working'!F156</f>
        <v>0</v>
      </c>
      <c r="I52" s="1120">
        <v>0</v>
      </c>
      <c r="J52" s="1120">
        <f t="shared" si="0"/>
        <v>0</v>
      </c>
      <c r="L52" s="727">
        <v>0</v>
      </c>
      <c r="O52" s="727">
        <v>0</v>
      </c>
      <c r="P52" s="1120">
        <f t="shared" si="2"/>
        <v>0</v>
      </c>
      <c r="Q52" s="742">
        <f t="shared" si="1"/>
        <v>0</v>
      </c>
    </row>
    <row r="53" spans="1:17" ht="15" hidden="1" customHeight="1">
      <c r="B53" s="836" t="s">
        <v>119</v>
      </c>
      <c r="C53" s="846"/>
      <c r="D53" s="829"/>
      <c r="E53" s="829"/>
      <c r="F53" s="838">
        <f>-'CF Working'!D164</f>
        <v>0</v>
      </c>
      <c r="G53" s="839"/>
      <c r="H53" s="839">
        <f>-'CF Working'!F164</f>
        <v>0</v>
      </c>
      <c r="I53" s="1120">
        <v>0</v>
      </c>
      <c r="J53" s="1120">
        <f t="shared" si="0"/>
        <v>0</v>
      </c>
      <c r="L53" s="727">
        <v>0</v>
      </c>
      <c r="O53" s="727">
        <v>0</v>
      </c>
      <c r="P53" s="1120">
        <f t="shared" si="2"/>
        <v>0</v>
      </c>
      <c r="Q53" s="742">
        <f t="shared" si="1"/>
        <v>0</v>
      </c>
    </row>
    <row r="54" spans="1:17" ht="15" hidden="1" customHeight="1">
      <c r="B54" s="836" t="s">
        <v>120</v>
      </c>
      <c r="C54" s="846"/>
      <c r="D54" s="829"/>
      <c r="E54" s="829"/>
      <c r="F54" s="838">
        <f>+'CF Working'!D168</f>
        <v>0</v>
      </c>
      <c r="G54" s="839"/>
      <c r="H54" s="839">
        <f>+'CF Working'!F168</f>
        <v>0</v>
      </c>
      <c r="I54" s="1120">
        <v>0</v>
      </c>
      <c r="J54" s="1120">
        <f t="shared" si="0"/>
        <v>0</v>
      </c>
      <c r="L54" s="727">
        <v>0</v>
      </c>
      <c r="O54" s="727">
        <v>0</v>
      </c>
      <c r="P54" s="1120">
        <f t="shared" si="2"/>
        <v>0</v>
      </c>
      <c r="Q54" s="742">
        <f t="shared" si="1"/>
        <v>0</v>
      </c>
    </row>
    <row r="55" spans="1:17" ht="15" hidden="1" customHeight="1">
      <c r="B55" s="836" t="s">
        <v>121</v>
      </c>
      <c r="C55" s="846"/>
      <c r="D55" s="829"/>
      <c r="E55" s="829"/>
      <c r="F55" s="839">
        <f>-'CF Working'!D178</f>
        <v>0</v>
      </c>
      <c r="G55" s="839"/>
      <c r="H55" s="839">
        <f>-'CF Working'!F178</f>
        <v>10</v>
      </c>
      <c r="I55" s="1120">
        <v>0</v>
      </c>
      <c r="J55" s="1120">
        <f t="shared" si="0"/>
        <v>0</v>
      </c>
      <c r="L55" s="727">
        <v>-413</v>
      </c>
      <c r="M55" s="742">
        <f>+F55-L55</f>
        <v>413</v>
      </c>
      <c r="O55" s="727">
        <v>0</v>
      </c>
      <c r="P55" s="1120">
        <f t="shared" si="2"/>
        <v>0</v>
      </c>
      <c r="Q55" s="742">
        <f t="shared" si="1"/>
        <v>0</v>
      </c>
    </row>
    <row r="56" spans="1:17" ht="15" hidden="1" customHeight="1">
      <c r="B56" s="836" t="s">
        <v>122</v>
      </c>
      <c r="C56" s="846"/>
      <c r="D56" s="829"/>
      <c r="E56" s="829"/>
      <c r="F56" s="839">
        <f>+'CF Working'!D182</f>
        <v>0</v>
      </c>
      <c r="G56" s="839"/>
      <c r="H56" s="839">
        <f>+'CF Working'!F182</f>
        <v>0</v>
      </c>
      <c r="I56" s="1120">
        <v>0</v>
      </c>
      <c r="J56" s="1120">
        <f t="shared" si="0"/>
        <v>0</v>
      </c>
      <c r="L56" s="727">
        <v>1005</v>
      </c>
      <c r="M56" s="742">
        <f>+F56-L56</f>
        <v>-1005</v>
      </c>
      <c r="O56" s="727">
        <v>0</v>
      </c>
      <c r="P56" s="1120">
        <f t="shared" si="2"/>
        <v>0</v>
      </c>
      <c r="Q56" s="742">
        <f t="shared" si="1"/>
        <v>0</v>
      </c>
    </row>
    <row r="57" spans="1:17" ht="15" hidden="1" customHeight="1">
      <c r="B57" s="836" t="s">
        <v>123</v>
      </c>
      <c r="C57" s="846"/>
      <c r="D57" s="829"/>
      <c r="E57" s="829"/>
      <c r="F57" s="839">
        <f>+'CF Working'!D186</f>
        <v>0</v>
      </c>
      <c r="G57" s="839"/>
      <c r="H57" s="839">
        <f>+'CF Working'!F186</f>
        <v>0</v>
      </c>
      <c r="I57" s="1120">
        <v>0</v>
      </c>
      <c r="J57" s="1120">
        <f t="shared" si="0"/>
        <v>0</v>
      </c>
      <c r="L57" s="727">
        <v>0</v>
      </c>
      <c r="O57" s="727">
        <v>0</v>
      </c>
      <c r="P57" s="1120">
        <f t="shared" si="2"/>
        <v>0</v>
      </c>
      <c r="Q57" s="742">
        <f t="shared" si="1"/>
        <v>0</v>
      </c>
    </row>
    <row r="58" spans="1:17" ht="15" hidden="1" customHeight="1">
      <c r="B58" s="836" t="s">
        <v>124</v>
      </c>
      <c r="C58" s="846"/>
      <c r="D58" s="829"/>
      <c r="E58" s="829"/>
      <c r="F58" s="839">
        <f>+'CF Working'!D187</f>
        <v>0</v>
      </c>
      <c r="G58" s="839"/>
      <c r="H58" s="839">
        <f>+'CF Working'!F187</f>
        <v>0</v>
      </c>
      <c r="I58" s="1120">
        <v>0</v>
      </c>
      <c r="J58" s="1120">
        <f t="shared" si="0"/>
        <v>0</v>
      </c>
      <c r="L58" s="727">
        <v>0</v>
      </c>
      <c r="O58" s="727">
        <v>0</v>
      </c>
      <c r="P58" s="1120">
        <f t="shared" si="2"/>
        <v>0</v>
      </c>
      <c r="Q58" s="742">
        <f t="shared" si="1"/>
        <v>0</v>
      </c>
    </row>
    <row r="59" spans="1:17" ht="15" hidden="1" customHeight="1">
      <c r="B59" s="836" t="s">
        <v>108</v>
      </c>
      <c r="C59" s="846"/>
      <c r="D59" s="829"/>
      <c r="E59" s="829"/>
      <c r="F59" s="839">
        <f>+'Sch - PL'!E29</f>
        <v>0</v>
      </c>
      <c r="G59" s="839"/>
      <c r="H59" s="839">
        <f>-ROUND(4048/Master!$B$23,0)*0</f>
        <v>0</v>
      </c>
      <c r="I59" s="1120">
        <v>0</v>
      </c>
      <c r="J59" s="1120">
        <f t="shared" si="0"/>
        <v>0</v>
      </c>
      <c r="L59" s="727">
        <v>0</v>
      </c>
      <c r="O59" s="727">
        <v>0</v>
      </c>
      <c r="P59" s="1120">
        <f t="shared" si="2"/>
        <v>0</v>
      </c>
      <c r="Q59" s="742">
        <f t="shared" si="1"/>
        <v>0</v>
      </c>
    </row>
    <row r="60" spans="1:17" ht="15" customHeight="1">
      <c r="B60" s="836" t="s">
        <v>125</v>
      </c>
      <c r="C60" s="846"/>
      <c r="D60" s="829"/>
      <c r="E60" s="829"/>
      <c r="F60" s="839">
        <f>+'CF Working'!D201</f>
        <v>15244361</v>
      </c>
      <c r="G60" s="839"/>
      <c r="H60" s="839">
        <f>+'CF Working'!F201</f>
        <v>15614708</v>
      </c>
      <c r="I60" s="1120">
        <v>68</v>
      </c>
      <c r="J60" s="1120">
        <f t="shared" si="0"/>
        <v>15244293</v>
      </c>
      <c r="L60" s="727">
        <v>104</v>
      </c>
      <c r="M60" s="742">
        <f>+F60-L60</f>
        <v>15244257</v>
      </c>
      <c r="O60" s="727">
        <v>11122280</v>
      </c>
      <c r="P60" s="1120">
        <f t="shared" si="2"/>
        <v>111.22280000000001</v>
      </c>
      <c r="Q60" s="742">
        <f t="shared" si="1"/>
        <v>15244249.7772</v>
      </c>
    </row>
    <row r="61" spans="1:17" ht="10.050000000000001" customHeight="1">
      <c r="B61" s="836"/>
      <c r="C61" s="846"/>
      <c r="D61" s="829"/>
      <c r="E61" s="829"/>
      <c r="F61" s="838"/>
      <c r="G61" s="839"/>
      <c r="H61" s="839"/>
      <c r="I61" s="1120"/>
      <c r="J61" s="1120">
        <f t="shared" si="0"/>
        <v>0</v>
      </c>
      <c r="P61" s="1120">
        <f t="shared" si="2"/>
        <v>0</v>
      </c>
      <c r="Q61" s="742">
        <f t="shared" si="1"/>
        <v>0</v>
      </c>
    </row>
    <row r="62" spans="1:17" ht="15" customHeight="1">
      <c r="B62" s="840" t="s">
        <v>2220</v>
      </c>
      <c r="C62" s="846"/>
      <c r="D62" s="829"/>
      <c r="E62" s="829"/>
      <c r="F62" s="844">
        <f>SUM(F49:F61)</f>
        <v>15244361</v>
      </c>
      <c r="G62" s="839"/>
      <c r="H62" s="844">
        <f>SUM(H49:H61)</f>
        <v>15614718</v>
      </c>
      <c r="I62" s="1120">
        <v>68</v>
      </c>
      <c r="J62" s="1120">
        <f t="shared" si="0"/>
        <v>15244293</v>
      </c>
      <c r="L62" s="727">
        <v>696</v>
      </c>
      <c r="M62" s="742">
        <f>+F62-L62</f>
        <v>15243665</v>
      </c>
      <c r="O62" s="727">
        <v>11122280</v>
      </c>
      <c r="P62" s="1120">
        <f t="shared" si="2"/>
        <v>111.22280000000001</v>
      </c>
      <c r="Q62" s="742">
        <f t="shared" si="1"/>
        <v>15244249.7772</v>
      </c>
    </row>
    <row r="63" spans="1:17" ht="10.050000000000001" customHeight="1">
      <c r="B63" s="840"/>
      <c r="C63" s="846"/>
      <c r="D63" s="829"/>
      <c r="E63" s="829"/>
      <c r="F63" s="838"/>
      <c r="G63" s="839"/>
      <c r="H63" s="839"/>
      <c r="I63" s="1120"/>
      <c r="J63" s="1120">
        <f t="shared" si="0"/>
        <v>0</v>
      </c>
      <c r="P63" s="1120">
        <f t="shared" si="2"/>
        <v>0</v>
      </c>
      <c r="Q63" s="742">
        <f t="shared" si="1"/>
        <v>0</v>
      </c>
    </row>
    <row r="64" spans="1:17" ht="15" customHeight="1">
      <c r="A64" s="681" t="s">
        <v>1890</v>
      </c>
      <c r="B64" s="840" t="s">
        <v>126</v>
      </c>
      <c r="C64" s="846"/>
      <c r="D64" s="829"/>
      <c r="E64" s="829"/>
      <c r="F64" s="838"/>
      <c r="G64" s="839"/>
      <c r="H64" s="839"/>
      <c r="I64" s="1120"/>
      <c r="J64" s="1120">
        <f t="shared" si="0"/>
        <v>0</v>
      </c>
      <c r="P64" s="1120">
        <f t="shared" si="2"/>
        <v>0</v>
      </c>
      <c r="Q64" s="742">
        <f t="shared" si="1"/>
        <v>0</v>
      </c>
    </row>
    <row r="65" spans="1:17" ht="10.050000000000001" customHeight="1">
      <c r="B65" s="840"/>
      <c r="C65" s="846"/>
      <c r="D65" s="829"/>
      <c r="E65" s="829"/>
      <c r="F65" s="838"/>
      <c r="G65" s="839"/>
      <c r="H65" s="839"/>
      <c r="I65" s="1120"/>
      <c r="J65" s="1120">
        <f t="shared" si="0"/>
        <v>0</v>
      </c>
      <c r="P65" s="1120">
        <f t="shared" si="2"/>
        <v>0</v>
      </c>
      <c r="Q65" s="742">
        <f t="shared" si="1"/>
        <v>0</v>
      </c>
    </row>
    <row r="66" spans="1:17" ht="15" customHeight="1">
      <c r="B66" s="836" t="s">
        <v>2313</v>
      </c>
      <c r="C66" s="846"/>
      <c r="D66" s="829"/>
      <c r="E66" s="829"/>
      <c r="F66" s="839">
        <f>'10-17'!K166</f>
        <v>-3233301</v>
      </c>
      <c r="G66" s="839"/>
      <c r="H66" s="839">
        <f>'10-17'!K161</f>
        <v>-2996434</v>
      </c>
      <c r="I66" s="1120">
        <v>-23</v>
      </c>
      <c r="J66" s="1120">
        <f t="shared" si="0"/>
        <v>-3233278</v>
      </c>
      <c r="L66" s="727">
        <v>0</v>
      </c>
      <c r="O66" s="727">
        <v>-2615961</v>
      </c>
      <c r="P66" s="1120">
        <f t="shared" si="2"/>
        <v>-26.159610000000001</v>
      </c>
      <c r="Q66" s="742">
        <f t="shared" si="1"/>
        <v>-3233274.84039</v>
      </c>
    </row>
    <row r="67" spans="1:17" ht="15" customHeight="1">
      <c r="B67" s="836" t="s">
        <v>2327</v>
      </c>
      <c r="C67" s="846"/>
      <c r="D67" s="829"/>
      <c r="E67" s="829"/>
      <c r="F67" s="839">
        <f>-F20</f>
        <v>-401657</v>
      </c>
      <c r="G67" s="839"/>
      <c r="H67" s="839">
        <f>-H20</f>
        <v>-638522</v>
      </c>
      <c r="I67" s="1120">
        <v>-10</v>
      </c>
      <c r="J67" s="1120">
        <f t="shared" si="0"/>
        <v>-401647</v>
      </c>
      <c r="L67" s="727">
        <v>0</v>
      </c>
      <c r="O67" s="727">
        <v>-845903</v>
      </c>
      <c r="P67" s="1120">
        <f t="shared" si="2"/>
        <v>-8.4590300000000003</v>
      </c>
      <c r="Q67" s="742">
        <f t="shared" si="1"/>
        <v>-401648.54096999997</v>
      </c>
    </row>
    <row r="68" spans="1:17" ht="15" hidden="1" customHeight="1">
      <c r="B68" s="836" t="s">
        <v>127</v>
      </c>
      <c r="C68" s="846"/>
      <c r="D68" s="829"/>
      <c r="E68" s="829"/>
      <c r="F68" s="838">
        <f>-ROUND(0/Master!$B$23,0)</f>
        <v>0</v>
      </c>
      <c r="G68" s="839"/>
      <c r="H68" s="839">
        <f>-ROUND(0/Master!$B$23,0)</f>
        <v>0</v>
      </c>
      <c r="I68" s="1120">
        <v>0</v>
      </c>
      <c r="J68" s="1120">
        <f t="shared" si="0"/>
        <v>0</v>
      </c>
      <c r="L68" s="727">
        <v>0</v>
      </c>
      <c r="O68" s="727">
        <v>0</v>
      </c>
      <c r="P68" s="1120">
        <f t="shared" si="2"/>
        <v>0</v>
      </c>
      <c r="Q68" s="742">
        <f t="shared" si="1"/>
        <v>0</v>
      </c>
    </row>
    <row r="69" spans="1:17" ht="15" customHeight="1">
      <c r="B69" s="836" t="s">
        <v>2328</v>
      </c>
      <c r="C69" s="846"/>
      <c r="D69" s="829"/>
      <c r="E69" s="829"/>
      <c r="F69" s="1340">
        <f>-ROUND(3360/Master!$B$23,0)</f>
        <v>-3360</v>
      </c>
      <c r="G69" s="839"/>
      <c r="H69" s="1340">
        <f>-ROUND(3360/Master!$B$23,0)</f>
        <v>-3360</v>
      </c>
      <c r="I69" s="1120">
        <v>0</v>
      </c>
      <c r="J69" s="1120">
        <f t="shared" si="0"/>
        <v>-3360</v>
      </c>
      <c r="L69" s="727">
        <v>0</v>
      </c>
      <c r="O69" s="727">
        <v>-3360</v>
      </c>
      <c r="P69" s="1120">
        <f t="shared" si="2"/>
        <v>-3.3599999999999998E-2</v>
      </c>
      <c r="Q69" s="742">
        <f t="shared" si="1"/>
        <v>-3359.9663999999998</v>
      </c>
    </row>
    <row r="70" spans="1:17" ht="15" customHeight="1">
      <c r="B70" s="836"/>
      <c r="C70" s="846"/>
      <c r="D70" s="829"/>
      <c r="E70" s="829"/>
      <c r="F70" s="838"/>
      <c r="G70" s="839"/>
      <c r="H70" s="839"/>
      <c r="I70" s="1120"/>
      <c r="J70" s="1120">
        <f t="shared" si="0"/>
        <v>0</v>
      </c>
      <c r="P70" s="1120">
        <f t="shared" si="2"/>
        <v>0</v>
      </c>
      <c r="Q70" s="742">
        <f t="shared" si="1"/>
        <v>0</v>
      </c>
    </row>
    <row r="71" spans="1:17" ht="10.050000000000001" customHeight="1">
      <c r="B71" s="836"/>
      <c r="C71" s="846"/>
      <c r="D71" s="829"/>
      <c r="E71" s="829"/>
      <c r="F71" s="838"/>
      <c r="G71" s="839"/>
      <c r="H71" s="839"/>
      <c r="I71" s="1120"/>
      <c r="J71" s="1120">
        <f t="shared" si="0"/>
        <v>0</v>
      </c>
      <c r="P71" s="1120">
        <f t="shared" si="2"/>
        <v>0</v>
      </c>
      <c r="Q71" s="742">
        <f t="shared" si="1"/>
        <v>0</v>
      </c>
    </row>
    <row r="72" spans="1:17" ht="15" customHeight="1">
      <c r="B72" s="840" t="s">
        <v>2369</v>
      </c>
      <c r="C72" s="846"/>
      <c r="D72" s="829"/>
      <c r="E72" s="829"/>
      <c r="F72" s="844">
        <f>SUM(F66:F71)</f>
        <v>-3638318</v>
      </c>
      <c r="G72" s="839"/>
      <c r="H72" s="845">
        <f>SUM(H66:H71)</f>
        <v>-3638316</v>
      </c>
      <c r="I72" s="1120">
        <v>-33</v>
      </c>
      <c r="J72" s="1120">
        <f t="shared" si="0"/>
        <v>-3638285</v>
      </c>
      <c r="L72" s="727">
        <v>0</v>
      </c>
      <c r="O72" s="727">
        <v>-3465224</v>
      </c>
      <c r="P72" s="1120">
        <f t="shared" si="2"/>
        <v>-34.652239999999999</v>
      </c>
      <c r="Q72" s="742">
        <f t="shared" si="1"/>
        <v>-3638283.3477599998</v>
      </c>
    </row>
    <row r="73" spans="1:17" ht="15" customHeight="1">
      <c r="B73" s="836" t="s">
        <v>2329</v>
      </c>
      <c r="C73" s="846"/>
      <c r="D73" s="829"/>
      <c r="E73" s="829"/>
      <c r="F73" s="844">
        <f>+F47+F62+F72</f>
        <v>-78422.517680043355</v>
      </c>
      <c r="G73" s="839"/>
      <c r="H73" s="844">
        <f>+H47+H62+H72</f>
        <v>35239176</v>
      </c>
      <c r="I73" s="1120">
        <v>27.43723</v>
      </c>
      <c r="J73" s="1120">
        <f t="shared" si="0"/>
        <v>-78449.954910043351</v>
      </c>
      <c r="L73" s="727">
        <v>770</v>
      </c>
      <c r="M73" s="742">
        <f>+F73-L73</f>
        <v>-79192.517680043355</v>
      </c>
      <c r="O73" s="727">
        <v>7214465</v>
      </c>
      <c r="P73" s="1120">
        <f t="shared" si="2"/>
        <v>72.144649999999999</v>
      </c>
      <c r="Q73" s="742">
        <f t="shared" si="1"/>
        <v>-78494.662330043357</v>
      </c>
    </row>
    <row r="74" spans="1:17" ht="15" customHeight="1">
      <c r="B74" s="836" t="s">
        <v>2361</v>
      </c>
      <c r="C74" s="846"/>
      <c r="D74" s="829"/>
      <c r="E74" s="829"/>
      <c r="F74" s="838">
        <v>0</v>
      </c>
      <c r="G74" s="839"/>
      <c r="H74" s="838">
        <f>-'CF Working'!F228</f>
        <v>0</v>
      </c>
      <c r="I74" s="1120">
        <v>-1</v>
      </c>
      <c r="J74" s="1120"/>
      <c r="M74" s="742"/>
      <c r="O74" s="727">
        <v>0</v>
      </c>
      <c r="P74" s="1120">
        <f t="shared" si="2"/>
        <v>0</v>
      </c>
      <c r="Q74" s="742">
        <f t="shared" si="1"/>
        <v>0</v>
      </c>
    </row>
    <row r="75" spans="1:17" ht="15" customHeight="1">
      <c r="B75" s="836" t="s">
        <v>128</v>
      </c>
      <c r="C75" s="846"/>
      <c r="D75" s="829"/>
      <c r="E75" s="829"/>
      <c r="F75" s="838">
        <f>H78</f>
        <v>256992223.56277001</v>
      </c>
      <c r="G75" s="839"/>
      <c r="H75" s="838">
        <f>ROUND((221753048)/Master!$B$23,0)</f>
        <v>221753048</v>
      </c>
      <c r="I75" s="1120">
        <v>2192</v>
      </c>
      <c r="J75" s="1120">
        <f t="shared" si="0"/>
        <v>256990031.56277001</v>
      </c>
      <c r="L75" s="727">
        <v>1332</v>
      </c>
      <c r="M75" s="742">
        <f>+F75-L75</f>
        <v>256990891.56277001</v>
      </c>
      <c r="O75" s="727">
        <v>221906176</v>
      </c>
      <c r="P75" s="1120">
        <f t="shared" si="2"/>
        <v>2219.06176</v>
      </c>
      <c r="Q75" s="742">
        <f t="shared" si="1"/>
        <v>256990004.50101</v>
      </c>
    </row>
    <row r="76" spans="1:17" ht="29.25" hidden="1" customHeight="1">
      <c r="B76" s="836" t="s">
        <v>129</v>
      </c>
      <c r="C76" s="846"/>
      <c r="D76" s="829"/>
      <c r="E76" s="829"/>
      <c r="F76" s="838">
        <f>-'CF Working'!D215</f>
        <v>0</v>
      </c>
      <c r="G76" s="839"/>
      <c r="H76" s="839">
        <f>-'CF Working'!F215</f>
        <v>0</v>
      </c>
      <c r="I76" s="1120">
        <v>0</v>
      </c>
      <c r="J76" s="1120">
        <f t="shared" si="0"/>
        <v>0</v>
      </c>
      <c r="L76" s="727">
        <v>0</v>
      </c>
      <c r="O76" s="727">
        <v>0</v>
      </c>
      <c r="P76" s="1120">
        <f t="shared" si="2"/>
        <v>0</v>
      </c>
      <c r="Q76" s="742">
        <f t="shared" si="1"/>
        <v>0</v>
      </c>
    </row>
    <row r="77" spans="1:17" ht="10.050000000000001" hidden="1" customHeight="1">
      <c r="B77" s="840"/>
      <c r="C77" s="837"/>
      <c r="D77" s="829"/>
      <c r="E77" s="829"/>
      <c r="F77" s="838"/>
      <c r="G77" s="839"/>
      <c r="H77" s="839"/>
      <c r="I77" s="1120"/>
      <c r="J77" s="1120">
        <f t="shared" si="0"/>
        <v>0</v>
      </c>
      <c r="P77" s="1120">
        <f t="shared" si="2"/>
        <v>0</v>
      </c>
      <c r="Q77" s="742">
        <f>+F77-P77</f>
        <v>0</v>
      </c>
    </row>
    <row r="78" spans="1:17" ht="17.25" customHeight="1" thickBot="1">
      <c r="B78" s="840" t="str">
        <f>"Cash and cash equivalents at the end of the year (Refer Note "&amp;BS!C28&amp;")"</f>
        <v>Cash and cash equivalents at the end of the year (Refer Note 7)</v>
      </c>
      <c r="C78" s="837"/>
      <c r="D78" s="829"/>
      <c r="E78" s="829"/>
      <c r="F78" s="847">
        <f>SUM(F73:F77)</f>
        <v>256913801.04508996</v>
      </c>
      <c r="G78" s="848"/>
      <c r="H78" s="847">
        <f>SUM(H73:H77)-0.43723</f>
        <v>256992223.56277001</v>
      </c>
      <c r="I78" s="1120">
        <v>2218.43723</v>
      </c>
      <c r="J78" s="1120">
        <f>+F78-I78</f>
        <v>256911582.60785997</v>
      </c>
      <c r="L78" s="727">
        <v>2102</v>
      </c>
      <c r="M78" s="742">
        <f>+F78-L78</f>
        <v>256911699.04508996</v>
      </c>
      <c r="O78" s="727">
        <v>229120641</v>
      </c>
      <c r="P78" s="1120">
        <f>+O78/100000</f>
        <v>2291.2064099999998</v>
      </c>
      <c r="Q78" s="742">
        <f>+F78-P78</f>
        <v>256911509.83867997</v>
      </c>
    </row>
    <row r="79" spans="1:17" ht="15" customHeight="1" thickTop="1">
      <c r="B79" s="1134"/>
      <c r="C79" s="836"/>
      <c r="D79" s="836"/>
      <c r="E79" s="836"/>
      <c r="F79" s="1596"/>
      <c r="G79" s="1391"/>
      <c r="H79" s="1391"/>
      <c r="O79" s="727">
        <v>177289</v>
      </c>
      <c r="P79" s="1120">
        <f>+O79/100000</f>
        <v>1.7728900000000001</v>
      </c>
      <c r="Q79" s="742">
        <f>+F79-P79</f>
        <v>-1.7728900000000001</v>
      </c>
    </row>
    <row r="80" spans="1:17" ht="15" customHeight="1">
      <c r="A80" s="1505"/>
      <c r="B80" s="1508" t="s">
        <v>1920</v>
      </c>
      <c r="C80" s="1506"/>
      <c r="D80" s="1507"/>
      <c r="E80" s="1507"/>
      <c r="F80" s="1507"/>
      <c r="G80" s="1507"/>
      <c r="H80" s="1507"/>
      <c r="I80" s="727">
        <f>BS!G28</f>
        <v>243659518</v>
      </c>
    </row>
    <row r="81" spans="2:10" ht="15" customHeight="1">
      <c r="B81" s="846"/>
      <c r="C81" s="846"/>
      <c r="D81" s="824"/>
      <c r="E81" s="824"/>
      <c r="F81" s="1501"/>
      <c r="G81" s="1501"/>
      <c r="H81" s="1501"/>
      <c r="J81" s="742">
        <f>+F72-F20</f>
        <v>-4039975</v>
      </c>
    </row>
    <row r="82" spans="2:10" ht="15" customHeight="1">
      <c r="B82" s="1013" t="s">
        <v>1814</v>
      </c>
      <c r="C82" s="837"/>
      <c r="D82" s="825"/>
      <c r="E82" s="825"/>
      <c r="F82" s="825"/>
      <c r="G82" s="825"/>
      <c r="H82" s="1602" t="s">
        <v>53</v>
      </c>
    </row>
    <row r="83" spans="2:10" ht="15" customHeight="1">
      <c r="B83" s="1013" t="s">
        <v>54</v>
      </c>
      <c r="C83" s="837"/>
      <c r="D83" s="824"/>
      <c r="E83" s="824"/>
      <c r="F83" s="849"/>
      <c r="G83" s="849"/>
      <c r="H83" s="850">
        <f>PL!H62</f>
        <v>0</v>
      </c>
    </row>
    <row r="84" spans="2:10" ht="15" customHeight="1">
      <c r="B84" s="1013" t="s">
        <v>1815</v>
      </c>
      <c r="C84" s="837"/>
      <c r="D84" s="824"/>
      <c r="E84" s="824"/>
      <c r="F84" s="824"/>
      <c r="G84" s="824"/>
      <c r="H84" s="851" t="str">
        <f>PL!H63</f>
        <v>CIN: U72900PN2010FTC137168</v>
      </c>
    </row>
    <row r="85" spans="2:10" ht="15" customHeight="1">
      <c r="B85" s="846"/>
      <c r="C85" s="837"/>
      <c r="D85" s="824"/>
      <c r="E85" s="824"/>
      <c r="F85" s="824"/>
      <c r="G85" s="824"/>
      <c r="H85" s="824"/>
    </row>
    <row r="86" spans="2:10" ht="15" customHeight="1">
      <c r="B86" s="846"/>
      <c r="C86" s="837"/>
      <c r="D86" s="824"/>
      <c r="E86" s="824"/>
      <c r="F86" s="824"/>
      <c r="G86" s="824"/>
      <c r="H86" s="824"/>
    </row>
    <row r="87" spans="2:10" ht="15" customHeight="1">
      <c r="B87" s="846"/>
      <c r="C87" s="837"/>
      <c r="D87" s="824"/>
      <c r="E87" s="824"/>
      <c r="F87" s="824"/>
      <c r="G87" s="824"/>
      <c r="H87" s="824"/>
    </row>
    <row r="88" spans="2:10" ht="15" customHeight="1">
      <c r="B88" s="846"/>
      <c r="C88" s="837"/>
      <c r="D88" s="824"/>
      <c r="E88" s="824"/>
      <c r="F88" s="824"/>
      <c r="G88" s="824"/>
      <c r="H88" s="824"/>
    </row>
    <row r="89" spans="2:10" ht="15" customHeight="1">
      <c r="B89" s="840"/>
      <c r="C89" s="837"/>
      <c r="D89" s="824"/>
      <c r="E89" s="824"/>
      <c r="F89" s="824"/>
      <c r="G89" s="824"/>
      <c r="H89" s="824"/>
    </row>
    <row r="90" spans="2:10" ht="15" customHeight="1">
      <c r="B90" s="837" t="e">
        <f>BS!#REF!</f>
        <v>#REF!</v>
      </c>
      <c r="C90" s="689" t="e">
        <f>PL!#REF!</f>
        <v>#REF!</v>
      </c>
      <c r="E90" s="689"/>
      <c r="G90" s="1456"/>
      <c r="H90" s="1458" t="s">
        <v>3101</v>
      </c>
    </row>
    <row r="91" spans="2:10" ht="15" customHeight="1">
      <c r="B91" s="754" t="s">
        <v>2259</v>
      </c>
      <c r="C91" s="754" t="e">
        <f>PL!#REF!</f>
        <v>#REF!</v>
      </c>
      <c r="E91" s="754"/>
      <c r="G91" s="1455"/>
      <c r="H91" s="1459" t="s">
        <v>2649</v>
      </c>
    </row>
    <row r="92" spans="2:10" ht="15" customHeight="1">
      <c r="B92" s="846" t="e">
        <f>BS!#REF!</f>
        <v>#REF!</v>
      </c>
      <c r="C92" s="739" t="e">
        <f>PL!#REF!</f>
        <v>#REF!</v>
      </c>
      <c r="E92" s="724"/>
      <c r="G92" s="829"/>
      <c r="H92" s="851" t="s">
        <v>3102</v>
      </c>
    </row>
    <row r="93" spans="2:10" ht="15" customHeight="1">
      <c r="B93" s="846"/>
      <c r="C93" s="739" t="e">
        <f>+PL!#REF!</f>
        <v>#REF!</v>
      </c>
      <c r="E93" s="724"/>
      <c r="G93" s="824"/>
      <c r="H93" s="726" t="e">
        <f>+PL!#REF!</f>
        <v>#REF!</v>
      </c>
    </row>
    <row r="94" spans="2:10" ht="15" customHeight="1">
      <c r="B94" s="846"/>
      <c r="C94" s="739"/>
      <c r="E94" s="724"/>
      <c r="G94" s="824"/>
      <c r="H94" s="726"/>
    </row>
    <row r="95" spans="2:10" ht="15" customHeight="1">
      <c r="B95" s="846"/>
      <c r="C95" s="739"/>
      <c r="E95" s="724"/>
      <c r="G95" s="824"/>
      <c r="H95" s="726"/>
    </row>
    <row r="96" spans="2:10" ht="15" customHeight="1">
      <c r="B96" s="852"/>
      <c r="C96" s="824"/>
      <c r="E96" s="824"/>
      <c r="G96" s="824"/>
      <c r="H96" s="1467" t="e">
        <f>BS!#REF!</f>
        <v>#REF!</v>
      </c>
    </row>
    <row r="97" spans="2:8" ht="15" customHeight="1">
      <c r="B97" s="1452"/>
      <c r="C97" s="1452"/>
      <c r="E97" s="824"/>
      <c r="G97" s="824"/>
      <c r="H97" s="732" t="s">
        <v>2645</v>
      </c>
    </row>
    <row r="98" spans="2:8">
      <c r="B98" s="841" t="e">
        <f>+PL!#REF!</f>
        <v>#REF!</v>
      </c>
      <c r="C98" s="755"/>
      <c r="E98" s="724"/>
      <c r="F98" s="1456"/>
      <c r="G98" s="1456"/>
      <c r="H98" s="1463" t="e">
        <f>+B98</f>
        <v>#REF!</v>
      </c>
    </row>
    <row r="99" spans="2:8" ht="15" customHeight="1">
      <c r="B99" s="1452" t="e">
        <f>+PL!#REF!</f>
        <v>#REF!</v>
      </c>
      <c r="C99" s="1774" t="e">
        <f>+B99</f>
        <v>#REF!</v>
      </c>
      <c r="D99" s="1774"/>
      <c r="E99" s="1774"/>
      <c r="F99" s="1774"/>
      <c r="G99" s="1774"/>
      <c r="H99" s="1774"/>
    </row>
    <row r="129" ht="25.5" customHeight="1"/>
    <row r="135" ht="15.75" customHeight="1"/>
  </sheetData>
  <mergeCells count="1">
    <mergeCell ref="C99:H99"/>
  </mergeCells>
  <pageMargins left="0.74803149606299213" right="0.23622047244094491" top="0.74803149606299213" bottom="0.23622047244094491" header="0.31496062992125984" footer="0.31496062992125984"/>
  <pageSetup paperSize="9" scale="73" firstPageNumber="13" orientation="portrait" useFirstPageNumber="1" r:id="rId1"/>
  <headerFooter>
    <oddFooter>&amp;C&amp;P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265"/>
  <sheetViews>
    <sheetView showGridLines="0" view="pageBreakPreview" zoomScale="90" zoomScaleNormal="100" zoomScaleSheetLayoutView="90" workbookViewId="0">
      <selection activeCell="C85" sqref="C85"/>
    </sheetView>
  </sheetViews>
  <sheetFormatPr defaultColWidth="9.21875" defaultRowHeight="13.2"/>
  <cols>
    <col min="1" max="1" width="5.21875" style="683" customWidth="1"/>
    <col min="2" max="2" width="3.44140625" style="699" customWidth="1"/>
    <col min="3" max="3" width="17.77734375" style="699" customWidth="1"/>
    <col min="4" max="4" width="7.21875" style="699" customWidth="1"/>
    <col min="5" max="5" width="8.5546875" style="699" customWidth="1"/>
    <col min="6" max="6" width="11.77734375" style="699" customWidth="1"/>
    <col min="7" max="7" width="9.44140625" style="699" customWidth="1"/>
    <col min="8" max="8" width="12.44140625" style="699" customWidth="1"/>
    <col min="9" max="9" width="11.77734375" style="699" customWidth="1"/>
    <col min="10" max="10" width="14.5546875" style="699" bestFit="1" customWidth="1"/>
    <col min="11" max="11" width="13.5546875" style="699" customWidth="1"/>
    <col min="12" max="12" width="1.77734375" style="700" customWidth="1"/>
    <col min="13" max="13" width="2.77734375" style="699" customWidth="1"/>
    <col min="14" max="14" width="12.5546875" style="699" customWidth="1"/>
    <col min="15" max="15" width="10.21875" style="700" customWidth="1"/>
    <col min="16" max="16" width="1.5546875" style="699" customWidth="1"/>
    <col min="17" max="17" width="4.44140625" style="699" customWidth="1"/>
    <col min="18" max="18" width="6.21875" style="699" customWidth="1"/>
    <col min="19" max="20" width="8" style="699" customWidth="1"/>
    <col min="21" max="16384" width="9.21875" style="699"/>
  </cols>
  <sheetData>
    <row r="1" spans="1:12">
      <c r="A1" s="689" t="s">
        <v>1</v>
      </c>
      <c r="B1" s="681"/>
    </row>
    <row r="2" spans="1:12">
      <c r="A2" s="701"/>
      <c r="E2" s="702"/>
    </row>
    <row r="3" spans="1:12" ht="14.25" customHeight="1">
      <c r="A3" s="1800" t="s">
        <v>1819</v>
      </c>
      <c r="B3" s="1800"/>
      <c r="C3" s="1800"/>
      <c r="D3" s="1800"/>
      <c r="E3" s="1800"/>
      <c r="F3" s="1800"/>
      <c r="G3" s="1800"/>
      <c r="H3" s="1800"/>
      <c r="I3" s="1800"/>
      <c r="J3" s="1800"/>
      <c r="K3" s="1800"/>
    </row>
    <row r="4" spans="1:12">
      <c r="A4" s="701"/>
    </row>
    <row r="5" spans="1:12">
      <c r="A5" s="701"/>
    </row>
    <row r="6" spans="1:12">
      <c r="A6" s="683">
        <v>1</v>
      </c>
      <c r="B6" s="681" t="s">
        <v>130</v>
      </c>
    </row>
    <row r="7" spans="1:12" ht="5.0999999999999996" customHeight="1"/>
    <row r="8" spans="1:12" ht="69.75" customHeight="1">
      <c r="B8" s="1781" t="s">
        <v>1874</v>
      </c>
      <c r="C8" s="1782"/>
      <c r="D8" s="1782"/>
      <c r="E8" s="1782"/>
      <c r="F8" s="1782"/>
      <c r="G8" s="1782"/>
      <c r="H8" s="1782"/>
      <c r="I8" s="1782"/>
      <c r="J8" s="1782"/>
      <c r="K8" s="1782"/>
    </row>
    <row r="9" spans="1:12" ht="1.5" customHeight="1">
      <c r="B9" s="979"/>
      <c r="C9" s="703"/>
      <c r="D9" s="703"/>
      <c r="E9" s="703"/>
      <c r="F9" s="703"/>
      <c r="G9" s="703"/>
      <c r="H9" s="703"/>
      <c r="I9" s="703"/>
      <c r="J9" s="703"/>
      <c r="K9" s="703"/>
    </row>
    <row r="10" spans="1:12" ht="76.5" customHeight="1">
      <c r="B10" s="1804" t="s">
        <v>2083</v>
      </c>
      <c r="C10" s="1805"/>
      <c r="D10" s="1805"/>
      <c r="E10" s="1805"/>
      <c r="F10" s="1805"/>
      <c r="G10" s="1805"/>
      <c r="H10" s="1805"/>
      <c r="I10" s="1805"/>
      <c r="J10" s="1805"/>
      <c r="K10" s="1805"/>
    </row>
    <row r="11" spans="1:12" ht="3" customHeight="1"/>
    <row r="12" spans="1:12" ht="41.25" customHeight="1">
      <c r="B12" s="1804" t="s">
        <v>2084</v>
      </c>
      <c r="C12" s="1805"/>
      <c r="D12" s="1805"/>
      <c r="E12" s="1805"/>
      <c r="F12" s="1805"/>
      <c r="G12" s="1805"/>
      <c r="H12" s="1805"/>
      <c r="I12" s="1805"/>
      <c r="J12" s="1805"/>
      <c r="K12" s="1805"/>
    </row>
    <row r="13" spans="1:12" ht="2.25" customHeight="1"/>
    <row r="14" spans="1:12" ht="27" customHeight="1">
      <c r="B14" s="1802" t="s">
        <v>2022</v>
      </c>
      <c r="C14" s="1803"/>
      <c r="D14" s="1803"/>
      <c r="E14" s="1803"/>
      <c r="F14" s="1803"/>
      <c r="G14" s="1803"/>
      <c r="H14" s="1803"/>
      <c r="I14" s="1803"/>
      <c r="J14" s="1803"/>
      <c r="K14" s="1803"/>
      <c r="L14" s="703"/>
    </row>
    <row r="15" spans="1:12">
      <c r="B15" s="703"/>
      <c r="C15" s="703"/>
      <c r="D15" s="703"/>
      <c r="E15" s="703"/>
      <c r="F15" s="703"/>
      <c r="G15" s="703"/>
      <c r="H15" s="703"/>
      <c r="I15" s="703"/>
      <c r="J15" s="703"/>
      <c r="K15" s="703"/>
    </row>
    <row r="16" spans="1:12" ht="18.75" hidden="1" customHeight="1">
      <c r="A16" s="683">
        <f>+A6+1</f>
        <v>2</v>
      </c>
      <c r="B16" s="681" t="s">
        <v>51</v>
      </c>
    </row>
    <row r="17" spans="1:20">
      <c r="A17" s="683">
        <v>2</v>
      </c>
      <c r="B17" s="1779" t="s">
        <v>1980</v>
      </c>
      <c r="C17" s="1779"/>
      <c r="D17" s="1779"/>
      <c r="E17" s="1779"/>
      <c r="F17" s="1779"/>
    </row>
    <row r="18" spans="1:20" ht="12" customHeight="1"/>
    <row r="19" spans="1:20" s="700" customFormat="1">
      <c r="A19" s="681">
        <v>2.1</v>
      </c>
      <c r="B19" s="681" t="s">
        <v>132</v>
      </c>
      <c r="C19" s="699"/>
      <c r="D19" s="681"/>
      <c r="E19" s="681"/>
      <c r="F19" s="681"/>
      <c r="G19" s="681"/>
      <c r="H19" s="699"/>
      <c r="I19" s="699"/>
      <c r="J19" s="699"/>
      <c r="K19" s="699"/>
      <c r="M19" s="699"/>
      <c r="N19" s="699"/>
      <c r="P19" s="699"/>
      <c r="Q19" s="699"/>
      <c r="R19" s="699"/>
      <c r="S19" s="699"/>
      <c r="T19" s="699"/>
    </row>
    <row r="20" spans="1:20" s="700" customFormat="1" ht="5.0999999999999996" customHeight="1">
      <c r="A20" s="681"/>
      <c r="B20" s="681"/>
      <c r="C20" s="699"/>
      <c r="D20" s="681"/>
      <c r="E20" s="681"/>
      <c r="F20" s="681"/>
      <c r="G20" s="681"/>
      <c r="H20" s="699"/>
      <c r="I20" s="699"/>
      <c r="J20" s="699"/>
      <c r="K20" s="699"/>
      <c r="M20" s="699"/>
      <c r="N20" s="699"/>
      <c r="P20" s="699"/>
      <c r="Q20" s="699"/>
      <c r="R20" s="699"/>
      <c r="S20" s="699"/>
      <c r="T20" s="699"/>
    </row>
    <row r="21" spans="1:20" s="700" customFormat="1" ht="65.25" customHeight="1">
      <c r="A21" s="681"/>
      <c r="B21" s="1729" t="s">
        <v>2073</v>
      </c>
      <c r="C21" s="1782"/>
      <c r="D21" s="1782"/>
      <c r="E21" s="1782"/>
      <c r="F21" s="1782"/>
      <c r="G21" s="1782"/>
      <c r="H21" s="1782"/>
      <c r="I21" s="1782"/>
      <c r="J21" s="1782"/>
      <c r="K21" s="1782"/>
      <c r="M21" s="699"/>
      <c r="N21" s="699"/>
      <c r="P21" s="699"/>
      <c r="Q21" s="699"/>
      <c r="R21" s="699"/>
      <c r="S21" s="699"/>
      <c r="T21" s="699"/>
    </row>
    <row r="22" spans="1:20" s="700" customFormat="1">
      <c r="A22" s="681"/>
      <c r="B22" s="704"/>
      <c r="C22" s="703"/>
      <c r="D22" s="703"/>
      <c r="E22" s="703"/>
      <c r="F22" s="703"/>
      <c r="G22" s="703"/>
      <c r="H22" s="703"/>
      <c r="I22" s="703"/>
      <c r="J22" s="703"/>
      <c r="K22" s="703"/>
      <c r="M22" s="699"/>
      <c r="N22" s="699"/>
      <c r="P22" s="699"/>
      <c r="Q22" s="699"/>
      <c r="R22" s="699"/>
      <c r="S22" s="699"/>
      <c r="T22" s="699"/>
    </row>
    <row r="23" spans="1:20" s="700" customFormat="1" ht="18.75" customHeight="1">
      <c r="A23" s="681">
        <v>2.2000000000000002</v>
      </c>
      <c r="B23" s="1787" t="s">
        <v>1820</v>
      </c>
      <c r="C23" s="1787"/>
      <c r="D23" s="1787"/>
      <c r="E23" s="1787"/>
      <c r="F23" s="1787"/>
      <c r="G23" s="1787"/>
      <c r="H23" s="1787"/>
      <c r="I23" s="1787"/>
      <c r="J23" s="1787"/>
      <c r="K23" s="1787"/>
      <c r="M23" s="699"/>
      <c r="N23" s="699"/>
      <c r="P23" s="699"/>
      <c r="Q23" s="699"/>
      <c r="R23" s="699"/>
      <c r="S23" s="699"/>
      <c r="T23" s="699"/>
    </row>
    <row r="24" spans="1:20" s="700" customFormat="1" ht="146.25" customHeight="1">
      <c r="A24" s="681"/>
      <c r="B24" s="1801" t="s">
        <v>1821</v>
      </c>
      <c r="C24" s="1782"/>
      <c r="D24" s="1782"/>
      <c r="E24" s="1782"/>
      <c r="F24" s="1782"/>
      <c r="G24" s="1782"/>
      <c r="H24" s="1782"/>
      <c r="I24" s="1782"/>
      <c r="J24" s="1782"/>
      <c r="K24" s="1782"/>
      <c r="M24" s="699"/>
      <c r="N24" s="699"/>
      <c r="P24" s="699"/>
      <c r="Q24" s="699"/>
      <c r="R24" s="699"/>
      <c r="S24" s="699"/>
      <c r="T24" s="699"/>
    </row>
    <row r="25" spans="1:20" s="700" customFormat="1" ht="12" customHeight="1">
      <c r="A25" s="683"/>
      <c r="B25" s="699"/>
      <c r="C25" s="699"/>
      <c r="D25" s="699"/>
      <c r="E25" s="699"/>
      <c r="F25" s="699"/>
      <c r="G25" s="699"/>
      <c r="H25" s="699"/>
      <c r="I25" s="699"/>
      <c r="J25" s="699"/>
      <c r="K25" s="699"/>
      <c r="M25" s="699"/>
      <c r="N25" s="699"/>
      <c r="P25" s="699"/>
      <c r="Q25" s="699"/>
      <c r="R25" s="699"/>
      <c r="S25" s="699"/>
      <c r="T25" s="699"/>
    </row>
    <row r="26" spans="1:20" s="700" customFormat="1" ht="15.75" customHeight="1">
      <c r="A26" s="681">
        <v>2.2999999999999998</v>
      </c>
      <c r="B26" s="681" t="s">
        <v>2074</v>
      </c>
      <c r="C26" s="699"/>
      <c r="D26" s="681"/>
      <c r="E26" s="681"/>
      <c r="F26" s="681"/>
      <c r="G26" s="699"/>
      <c r="H26" s="699"/>
      <c r="I26" s="699"/>
      <c r="J26" s="699"/>
      <c r="K26" s="699"/>
      <c r="M26" s="699"/>
      <c r="N26" s="699"/>
      <c r="P26" s="699"/>
      <c r="Q26" s="699"/>
      <c r="R26" s="699"/>
      <c r="S26" s="699"/>
      <c r="T26" s="699"/>
    </row>
    <row r="27" spans="1:20" s="700" customFormat="1" ht="119.25" customHeight="1">
      <c r="A27" s="683"/>
      <c r="B27" s="1782" t="s">
        <v>135</v>
      </c>
      <c r="C27" s="1782"/>
      <c r="D27" s="1782"/>
      <c r="E27" s="1782"/>
      <c r="F27" s="1782"/>
      <c r="G27" s="1782"/>
      <c r="H27" s="1782"/>
      <c r="I27" s="1782"/>
      <c r="J27" s="1782"/>
      <c r="K27" s="1782"/>
      <c r="M27" s="699"/>
      <c r="N27" s="699"/>
      <c r="P27" s="699"/>
      <c r="Q27" s="699"/>
      <c r="R27" s="699"/>
      <c r="S27" s="699"/>
      <c r="T27" s="699"/>
    </row>
    <row r="28" spans="1:20" s="700" customFormat="1">
      <c r="A28" s="683"/>
      <c r="B28" s="703"/>
      <c r="C28" s="703"/>
      <c r="D28" s="703"/>
      <c r="E28" s="703"/>
      <c r="F28" s="703"/>
      <c r="G28" s="703"/>
      <c r="H28" s="703"/>
      <c r="I28" s="703"/>
      <c r="J28" s="703"/>
      <c r="K28" s="703"/>
      <c r="M28" s="699"/>
      <c r="N28" s="699"/>
      <c r="P28" s="699"/>
      <c r="Q28" s="699"/>
      <c r="R28" s="699"/>
      <c r="S28" s="699"/>
      <c r="T28" s="699"/>
    </row>
    <row r="29" spans="1:20" s="700" customFormat="1">
      <c r="A29" s="683"/>
      <c r="B29" s="1784" t="s">
        <v>1816</v>
      </c>
      <c r="C29" s="1784"/>
      <c r="D29" s="1784"/>
      <c r="E29" s="1784"/>
      <c r="F29" s="1784"/>
      <c r="G29" s="1784"/>
      <c r="H29" s="1784"/>
      <c r="I29" s="1784"/>
      <c r="J29" s="1784"/>
      <c r="K29" s="1784"/>
      <c r="M29" s="699"/>
      <c r="N29" s="699"/>
      <c r="P29" s="699"/>
      <c r="Q29" s="699"/>
      <c r="R29" s="699"/>
      <c r="S29" s="699"/>
      <c r="T29" s="699"/>
    </row>
    <row r="30" spans="1:20" s="700" customFormat="1" ht="30" customHeight="1">
      <c r="A30" s="683"/>
      <c r="B30" s="1785" t="s">
        <v>2075</v>
      </c>
      <c r="C30" s="1782"/>
      <c r="D30" s="1782"/>
      <c r="E30" s="1782"/>
      <c r="F30" s="1782"/>
      <c r="G30" s="1782"/>
      <c r="H30" s="1782"/>
      <c r="I30" s="1782"/>
      <c r="J30" s="1782"/>
      <c r="K30" s="1782"/>
      <c r="M30" s="699"/>
      <c r="N30" s="699"/>
      <c r="P30" s="699"/>
      <c r="Q30" s="699"/>
      <c r="R30" s="699"/>
      <c r="S30" s="699"/>
      <c r="T30" s="699"/>
    </row>
    <row r="31" spans="1:20" s="700" customFormat="1" ht="7.5" customHeight="1">
      <c r="A31" s="683"/>
      <c r="B31" s="703"/>
      <c r="C31" s="703"/>
      <c r="D31" s="703"/>
      <c r="E31" s="703"/>
      <c r="F31" s="703"/>
      <c r="G31" s="703"/>
      <c r="H31" s="703"/>
      <c r="I31" s="703"/>
      <c r="J31" s="703"/>
      <c r="K31" s="703"/>
      <c r="M31" s="699"/>
      <c r="N31" s="699"/>
      <c r="P31" s="699"/>
      <c r="Q31" s="699"/>
      <c r="R31" s="699"/>
      <c r="S31" s="699"/>
      <c r="T31" s="699"/>
    </row>
    <row r="32" spans="1:20" s="700" customFormat="1">
      <c r="A32" s="683"/>
      <c r="B32" s="1786" t="s">
        <v>1817</v>
      </c>
      <c r="C32" s="1787"/>
      <c r="D32" s="1787"/>
      <c r="E32" s="1787"/>
      <c r="F32" s="1787"/>
      <c r="G32" s="1787"/>
      <c r="H32" s="1787"/>
      <c r="I32" s="1787"/>
      <c r="J32" s="1787"/>
      <c r="K32" s="1787"/>
      <c r="M32" s="699"/>
      <c r="N32" s="699"/>
      <c r="P32" s="699"/>
      <c r="Q32" s="699"/>
      <c r="R32" s="699"/>
      <c r="S32" s="699"/>
      <c r="T32" s="699"/>
    </row>
    <row r="33" spans="1:20" s="700" customFormat="1" ht="30" customHeight="1">
      <c r="A33" s="683"/>
      <c r="B33" s="1783" t="s">
        <v>1818</v>
      </c>
      <c r="C33" s="1782"/>
      <c r="D33" s="1782"/>
      <c r="E33" s="1782"/>
      <c r="F33" s="1782"/>
      <c r="G33" s="1782"/>
      <c r="H33" s="1782"/>
      <c r="I33" s="1782"/>
      <c r="J33" s="1782"/>
      <c r="K33" s="1782"/>
      <c r="M33" s="699"/>
      <c r="N33" s="699"/>
      <c r="P33" s="699"/>
      <c r="Q33" s="699"/>
      <c r="R33" s="699"/>
      <c r="S33" s="699"/>
      <c r="T33" s="699"/>
    </row>
    <row r="34" spans="1:20" s="700" customFormat="1" ht="5.25" customHeight="1">
      <c r="A34" s="683"/>
      <c r="B34" s="1783"/>
      <c r="C34" s="1783"/>
      <c r="D34" s="1783"/>
      <c r="E34" s="1783"/>
      <c r="F34" s="1783"/>
      <c r="G34" s="1783"/>
      <c r="H34" s="1783"/>
      <c r="I34" s="1783"/>
      <c r="J34" s="1783"/>
      <c r="K34" s="1783"/>
      <c r="M34" s="699"/>
      <c r="N34" s="699"/>
      <c r="P34" s="699"/>
      <c r="Q34" s="699"/>
      <c r="R34" s="699"/>
      <c r="S34" s="699"/>
      <c r="T34" s="699"/>
    </row>
    <row r="35" spans="1:20" s="700" customFormat="1">
      <c r="A35" s="683"/>
      <c r="B35" s="1786" t="s">
        <v>1822</v>
      </c>
      <c r="C35" s="1786"/>
      <c r="D35" s="1786"/>
      <c r="E35" s="1786"/>
      <c r="F35" s="1786"/>
      <c r="G35" s="1786"/>
      <c r="H35" s="1786"/>
      <c r="I35" s="1786"/>
      <c r="J35" s="1786"/>
      <c r="K35" s="1786"/>
      <c r="M35" s="699"/>
      <c r="N35" s="699"/>
      <c r="P35" s="699"/>
      <c r="Q35" s="699"/>
      <c r="R35" s="699"/>
      <c r="S35" s="699"/>
      <c r="T35" s="699"/>
    </row>
    <row r="36" spans="1:20" s="700" customFormat="1" ht="43.5" customHeight="1">
      <c r="A36" s="683"/>
      <c r="B36" s="1783" t="s">
        <v>1823</v>
      </c>
      <c r="C36" s="1783"/>
      <c r="D36" s="1783"/>
      <c r="E36" s="1783"/>
      <c r="F36" s="1783"/>
      <c r="G36" s="1783"/>
      <c r="H36" s="1783"/>
      <c r="I36" s="1783"/>
      <c r="J36" s="1783"/>
      <c r="K36" s="1783"/>
      <c r="M36" s="699"/>
      <c r="N36" s="699"/>
      <c r="P36" s="699"/>
      <c r="Q36" s="699"/>
      <c r="R36" s="699"/>
      <c r="S36" s="699"/>
      <c r="T36" s="699"/>
    </row>
    <row r="37" spans="1:20" s="700" customFormat="1" ht="5.25" customHeight="1">
      <c r="A37" s="683"/>
      <c r="B37" s="1783"/>
      <c r="C37" s="1783"/>
      <c r="D37" s="1783"/>
      <c r="E37" s="1783"/>
      <c r="F37" s="1783"/>
      <c r="G37" s="1783"/>
      <c r="H37" s="1783"/>
      <c r="I37" s="1783"/>
      <c r="J37" s="1783"/>
      <c r="K37" s="1783"/>
      <c r="M37" s="699"/>
      <c r="N37" s="699"/>
      <c r="P37" s="699"/>
      <c r="Q37" s="699"/>
      <c r="R37" s="699"/>
      <c r="S37" s="699"/>
      <c r="T37" s="699"/>
    </row>
    <row r="38" spans="1:20" s="700" customFormat="1">
      <c r="A38" s="683"/>
      <c r="B38" s="1786" t="s">
        <v>2076</v>
      </c>
      <c r="C38" s="1786"/>
      <c r="D38" s="1786"/>
      <c r="E38" s="1786"/>
      <c r="F38" s="1786"/>
      <c r="G38" s="1786"/>
      <c r="H38" s="1786"/>
      <c r="I38" s="1786"/>
      <c r="J38" s="1786"/>
      <c r="K38" s="1786"/>
      <c r="M38" s="699"/>
      <c r="N38" s="699"/>
      <c r="P38" s="699"/>
      <c r="Q38" s="699"/>
      <c r="R38" s="699"/>
      <c r="S38" s="699"/>
      <c r="T38" s="699"/>
    </row>
    <row r="39" spans="1:20" s="700" customFormat="1" ht="42" customHeight="1">
      <c r="A39" s="683"/>
      <c r="B39" s="1783" t="s">
        <v>1824</v>
      </c>
      <c r="C39" s="1783"/>
      <c r="D39" s="1783"/>
      <c r="E39" s="1783"/>
      <c r="F39" s="1783"/>
      <c r="G39" s="1783"/>
      <c r="H39" s="1783"/>
      <c r="I39" s="1783"/>
      <c r="J39" s="1783"/>
      <c r="K39" s="1783"/>
      <c r="M39" s="699"/>
      <c r="N39" s="699"/>
      <c r="P39" s="699"/>
      <c r="Q39" s="699"/>
      <c r="R39" s="699"/>
      <c r="S39" s="699"/>
      <c r="T39" s="699"/>
    </row>
    <row r="40" spans="1:20" s="700" customFormat="1" ht="5.25" customHeight="1">
      <c r="A40" s="683"/>
      <c r="B40" s="1783"/>
      <c r="C40" s="1783"/>
      <c r="D40" s="1783"/>
      <c r="E40" s="1783"/>
      <c r="F40" s="1783"/>
      <c r="G40" s="1783"/>
      <c r="H40" s="1783"/>
      <c r="I40" s="1783"/>
      <c r="J40" s="1783"/>
      <c r="K40" s="1783"/>
      <c r="M40" s="699"/>
      <c r="N40" s="699"/>
      <c r="P40" s="699"/>
      <c r="Q40" s="699"/>
      <c r="R40" s="699"/>
      <c r="S40" s="699"/>
      <c r="T40" s="699"/>
    </row>
    <row r="41" spans="1:20" s="700" customFormat="1">
      <c r="A41" s="683"/>
      <c r="B41" s="1786" t="s">
        <v>1825</v>
      </c>
      <c r="C41" s="1786"/>
      <c r="D41" s="1786"/>
      <c r="E41" s="1786"/>
      <c r="F41" s="1786"/>
      <c r="G41" s="1786"/>
      <c r="H41" s="1786"/>
      <c r="I41" s="1786"/>
      <c r="J41" s="1786"/>
      <c r="K41" s="1786"/>
      <c r="M41" s="699"/>
      <c r="N41" s="699"/>
      <c r="P41" s="699"/>
      <c r="Q41" s="699"/>
      <c r="R41" s="699"/>
      <c r="S41" s="699"/>
      <c r="T41" s="699"/>
    </row>
    <row r="42" spans="1:20" s="700" customFormat="1" ht="53.25" customHeight="1">
      <c r="A42" s="681"/>
      <c r="B42" s="1783" t="s">
        <v>1826</v>
      </c>
      <c r="C42" s="1783"/>
      <c r="D42" s="1783"/>
      <c r="E42" s="1783"/>
      <c r="F42" s="1783"/>
      <c r="G42" s="1783"/>
      <c r="H42" s="1783"/>
      <c r="I42" s="1783"/>
      <c r="J42" s="1783"/>
      <c r="K42" s="1783"/>
      <c r="M42" s="699"/>
      <c r="N42" s="699"/>
      <c r="P42" s="699"/>
      <c r="Q42" s="699"/>
      <c r="R42" s="699"/>
      <c r="S42" s="699"/>
      <c r="T42" s="699"/>
    </row>
    <row r="43" spans="1:20" s="700" customFormat="1" ht="5.25" customHeight="1">
      <c r="A43" s="683"/>
      <c r="B43" s="1783"/>
      <c r="C43" s="1783"/>
      <c r="D43" s="1783"/>
      <c r="E43" s="1783"/>
      <c r="F43" s="1783"/>
      <c r="G43" s="1783"/>
      <c r="H43" s="1783"/>
      <c r="I43" s="1783"/>
      <c r="J43" s="1783"/>
      <c r="K43" s="1783"/>
      <c r="M43" s="699"/>
      <c r="N43" s="699"/>
      <c r="P43" s="699"/>
      <c r="Q43" s="699"/>
      <c r="R43" s="699"/>
      <c r="S43" s="699"/>
      <c r="T43" s="699"/>
    </row>
    <row r="44" spans="1:20" s="700" customFormat="1">
      <c r="A44" s="683"/>
      <c r="B44" s="1786" t="s">
        <v>1827</v>
      </c>
      <c r="C44" s="1786"/>
      <c r="D44" s="1786"/>
      <c r="E44" s="1786"/>
      <c r="F44" s="1786"/>
      <c r="G44" s="1786"/>
      <c r="H44" s="1786"/>
      <c r="I44" s="1786"/>
      <c r="J44" s="1786"/>
      <c r="K44" s="1786"/>
      <c r="M44" s="699"/>
      <c r="N44" s="699"/>
      <c r="P44" s="699"/>
      <c r="Q44" s="699"/>
      <c r="R44" s="699"/>
      <c r="S44" s="699"/>
      <c r="T44" s="699"/>
    </row>
    <row r="45" spans="1:20" s="700" customFormat="1" ht="52.5" customHeight="1">
      <c r="A45" s="683"/>
      <c r="B45" s="1783" t="s">
        <v>1828</v>
      </c>
      <c r="C45" s="1783"/>
      <c r="D45" s="1783"/>
      <c r="E45" s="1783"/>
      <c r="F45" s="1783"/>
      <c r="G45" s="1783"/>
      <c r="H45" s="1783"/>
      <c r="I45" s="1783"/>
      <c r="J45" s="1783"/>
      <c r="K45" s="1783"/>
      <c r="M45" s="699"/>
      <c r="N45" s="699"/>
      <c r="P45" s="699"/>
      <c r="Q45" s="699"/>
      <c r="R45" s="699"/>
      <c r="S45" s="699"/>
      <c r="T45" s="699"/>
    </row>
    <row r="46" spans="1:20" s="700" customFormat="1" ht="5.25" customHeight="1">
      <c r="A46" s="683"/>
      <c r="B46" s="705"/>
      <c r="C46" s="705"/>
      <c r="D46" s="705"/>
      <c r="E46" s="705"/>
      <c r="F46" s="705"/>
      <c r="G46" s="705"/>
      <c r="H46" s="705"/>
      <c r="I46" s="705"/>
      <c r="J46" s="705"/>
      <c r="K46" s="705"/>
      <c r="M46" s="699"/>
      <c r="N46" s="699"/>
      <c r="P46" s="699"/>
      <c r="Q46" s="699"/>
      <c r="R46" s="699"/>
      <c r="S46" s="699"/>
      <c r="T46" s="699"/>
    </row>
    <row r="47" spans="1:20" s="700" customFormat="1">
      <c r="A47" s="683"/>
      <c r="B47" s="1787" t="s">
        <v>1829</v>
      </c>
      <c r="C47" s="1787"/>
      <c r="D47" s="1787"/>
      <c r="E47" s="1787"/>
      <c r="F47" s="1787"/>
      <c r="G47" s="1787"/>
      <c r="H47" s="1787"/>
      <c r="I47" s="1787"/>
      <c r="J47" s="1787"/>
      <c r="K47" s="1787"/>
      <c r="M47" s="699"/>
      <c r="N47" s="699"/>
      <c r="P47" s="699"/>
      <c r="Q47" s="699"/>
      <c r="R47" s="699"/>
      <c r="S47" s="699"/>
      <c r="T47" s="699"/>
    </row>
    <row r="48" spans="1:20" s="700" customFormat="1" ht="42.75" customHeight="1">
      <c r="A48" s="683"/>
      <c r="B48" s="1783" t="s">
        <v>1830</v>
      </c>
      <c r="C48" s="1782"/>
      <c r="D48" s="1782"/>
      <c r="E48" s="1782"/>
      <c r="F48" s="1782"/>
      <c r="G48" s="1782"/>
      <c r="H48" s="1782"/>
      <c r="I48" s="1782"/>
      <c r="J48" s="1782"/>
      <c r="K48" s="1782"/>
      <c r="M48" s="699"/>
      <c r="N48" s="699"/>
      <c r="P48" s="699"/>
      <c r="Q48" s="699"/>
      <c r="R48" s="699"/>
      <c r="S48" s="699"/>
      <c r="T48" s="699"/>
    </row>
    <row r="49" spans="1:20" s="700" customFormat="1">
      <c r="A49" s="683"/>
      <c r="B49" s="703"/>
      <c r="C49" s="703"/>
      <c r="D49" s="703"/>
      <c r="E49" s="703"/>
      <c r="F49" s="703"/>
      <c r="G49" s="703"/>
      <c r="H49" s="703"/>
      <c r="I49" s="703"/>
      <c r="J49" s="703"/>
      <c r="K49" s="703"/>
      <c r="M49" s="699"/>
      <c r="N49" s="699"/>
      <c r="P49" s="699"/>
      <c r="Q49" s="699"/>
      <c r="R49" s="699"/>
      <c r="S49" s="699"/>
      <c r="T49" s="699"/>
    </row>
    <row r="50" spans="1:20" s="700" customFormat="1">
      <c r="A50" s="681">
        <v>2.4</v>
      </c>
      <c r="B50" s="681" t="s">
        <v>137</v>
      </c>
      <c r="C50" s="703"/>
      <c r="D50" s="703"/>
      <c r="E50" s="703"/>
      <c r="F50" s="703"/>
      <c r="G50" s="703"/>
      <c r="H50" s="703"/>
      <c r="I50" s="703"/>
      <c r="J50" s="703"/>
      <c r="K50" s="703"/>
      <c r="M50" s="699"/>
      <c r="N50" s="699"/>
      <c r="P50" s="699"/>
      <c r="Q50" s="699"/>
      <c r="R50" s="699"/>
      <c r="S50" s="699"/>
      <c r="T50" s="699"/>
    </row>
    <row r="51" spans="1:20" s="700" customFormat="1" ht="6" customHeight="1">
      <c r="A51" s="683"/>
      <c r="B51" s="681"/>
      <c r="D51" s="703"/>
      <c r="E51" s="703"/>
      <c r="F51" s="703"/>
      <c r="G51" s="703"/>
      <c r="H51" s="703"/>
      <c r="I51" s="703"/>
      <c r="J51" s="703"/>
      <c r="K51" s="703"/>
      <c r="M51" s="699"/>
      <c r="N51" s="699"/>
      <c r="P51" s="699"/>
      <c r="Q51" s="699"/>
      <c r="R51" s="699"/>
      <c r="S51" s="699"/>
      <c r="T51" s="699"/>
    </row>
    <row r="52" spans="1:20" s="700" customFormat="1" ht="42" customHeight="1">
      <c r="A52" s="683"/>
      <c r="B52" s="1789" t="s">
        <v>2077</v>
      </c>
      <c r="C52" s="1790"/>
      <c r="D52" s="1790"/>
      <c r="E52" s="1790"/>
      <c r="F52" s="1790"/>
      <c r="G52" s="1790"/>
      <c r="H52" s="1790"/>
      <c r="I52" s="1790"/>
      <c r="J52" s="1790"/>
      <c r="K52" s="1790"/>
      <c r="M52" s="699"/>
      <c r="N52" s="699"/>
      <c r="P52" s="699"/>
      <c r="Q52" s="699"/>
      <c r="R52" s="699"/>
      <c r="S52" s="699"/>
      <c r="T52" s="699"/>
    </row>
    <row r="53" spans="1:20" s="700" customFormat="1">
      <c r="A53" s="683"/>
      <c r="B53" s="713"/>
      <c r="C53" s="713"/>
      <c r="D53" s="713"/>
      <c r="E53" s="713"/>
      <c r="F53" s="713"/>
      <c r="G53" s="713"/>
      <c r="H53" s="713"/>
      <c r="I53" s="713"/>
      <c r="J53" s="713"/>
      <c r="K53" s="713"/>
      <c r="M53" s="699"/>
      <c r="N53" s="699"/>
      <c r="P53" s="699"/>
      <c r="Q53" s="699"/>
      <c r="R53" s="699"/>
      <c r="S53" s="699"/>
      <c r="T53" s="699"/>
    </row>
    <row r="54" spans="1:20" s="700" customFormat="1">
      <c r="A54" s="683"/>
      <c r="B54" s="1788" t="s">
        <v>1910</v>
      </c>
      <c r="C54" s="1788"/>
      <c r="D54" s="1788"/>
      <c r="E54" s="1788"/>
      <c r="F54" s="1788"/>
      <c r="G54" s="1788"/>
      <c r="H54" s="1788"/>
      <c r="I54" s="1788"/>
      <c r="J54" s="1788"/>
      <c r="K54" s="1788"/>
      <c r="M54" s="699"/>
      <c r="N54" s="699"/>
      <c r="P54" s="699"/>
      <c r="Q54" s="699"/>
      <c r="R54" s="699"/>
      <c r="S54" s="699"/>
      <c r="T54" s="699"/>
    </row>
    <row r="55" spans="1:20" s="700" customFormat="1" ht="66" customHeight="1">
      <c r="A55" s="683"/>
      <c r="B55" s="1781" t="s">
        <v>1911</v>
      </c>
      <c r="C55" s="1734"/>
      <c r="D55" s="1734"/>
      <c r="E55" s="1734"/>
      <c r="F55" s="1734"/>
      <c r="G55" s="1734"/>
      <c r="H55" s="1734"/>
      <c r="I55" s="1734"/>
      <c r="J55" s="1734"/>
      <c r="K55" s="1734"/>
      <c r="M55" s="699"/>
      <c r="N55" s="699"/>
      <c r="P55" s="699"/>
      <c r="Q55" s="699"/>
      <c r="R55" s="699"/>
      <c r="S55" s="699"/>
      <c r="T55" s="699"/>
    </row>
    <row r="56" spans="1:20" s="700" customFormat="1" ht="39" customHeight="1">
      <c r="A56" s="683"/>
      <c r="B56" s="1781" t="s">
        <v>1912</v>
      </c>
      <c r="C56" s="1734"/>
      <c r="D56" s="1734"/>
      <c r="E56" s="1734"/>
      <c r="F56" s="1734"/>
      <c r="G56" s="1734"/>
      <c r="H56" s="1734"/>
      <c r="I56" s="1734"/>
      <c r="J56" s="1734"/>
      <c r="K56" s="1734"/>
      <c r="M56" s="699"/>
      <c r="N56" s="699"/>
      <c r="P56" s="699"/>
      <c r="Q56" s="699"/>
      <c r="R56" s="699"/>
      <c r="S56" s="699"/>
      <c r="T56" s="699"/>
    </row>
    <row r="57" spans="1:20" s="700" customFormat="1">
      <c r="A57" s="683"/>
      <c r="B57" s="979"/>
      <c r="C57" s="704"/>
      <c r="D57" s="704"/>
      <c r="E57" s="704"/>
      <c r="F57" s="704"/>
      <c r="G57" s="704"/>
      <c r="H57" s="704"/>
      <c r="I57" s="704"/>
      <c r="J57" s="704"/>
      <c r="K57" s="704"/>
      <c r="M57" s="699"/>
      <c r="N57" s="699"/>
      <c r="P57" s="699"/>
      <c r="Q57" s="699"/>
      <c r="R57" s="699"/>
      <c r="S57" s="699"/>
      <c r="T57" s="699"/>
    </row>
    <row r="58" spans="1:20" s="700" customFormat="1">
      <c r="A58" s="683"/>
      <c r="B58" s="1777" t="s">
        <v>58</v>
      </c>
      <c r="C58" s="1781"/>
      <c r="D58" s="1781"/>
      <c r="E58" s="1781"/>
      <c r="F58" s="1781"/>
      <c r="G58" s="1781"/>
      <c r="H58" s="1781"/>
      <c r="I58" s="1781"/>
      <c r="J58" s="1781"/>
      <c r="K58" s="1781"/>
      <c r="M58" s="699"/>
      <c r="N58" s="699"/>
      <c r="P58" s="699"/>
      <c r="Q58" s="699"/>
      <c r="R58" s="699"/>
      <c r="S58" s="699"/>
      <c r="T58" s="699"/>
    </row>
    <row r="59" spans="1:20" s="700" customFormat="1" ht="38.25" customHeight="1">
      <c r="A59" s="683"/>
      <c r="B59" s="1781" t="s">
        <v>1913</v>
      </c>
      <c r="C59" s="1734"/>
      <c r="D59" s="1734"/>
      <c r="E59" s="1734"/>
      <c r="F59" s="1734"/>
      <c r="G59" s="1734"/>
      <c r="H59" s="1734"/>
      <c r="I59" s="1734"/>
      <c r="J59" s="1734"/>
      <c r="K59" s="1734"/>
      <c r="M59" s="699"/>
      <c r="N59" s="699"/>
      <c r="P59" s="699"/>
      <c r="Q59" s="699"/>
      <c r="R59" s="699"/>
      <c r="S59" s="699"/>
      <c r="T59" s="699"/>
    </row>
    <row r="60" spans="1:20" s="700" customFormat="1">
      <c r="A60" s="683"/>
      <c r="B60" s="704"/>
      <c r="C60" s="704"/>
      <c r="D60" s="704"/>
      <c r="E60" s="704"/>
      <c r="F60" s="704"/>
      <c r="G60" s="704"/>
      <c r="H60" s="704"/>
      <c r="I60" s="704"/>
      <c r="J60" s="704"/>
      <c r="K60" s="704"/>
      <c r="M60" s="699"/>
      <c r="N60" s="699"/>
      <c r="P60" s="699"/>
      <c r="Q60" s="699"/>
      <c r="R60" s="699"/>
      <c r="S60" s="699"/>
      <c r="T60" s="699"/>
    </row>
    <row r="61" spans="1:20" s="700" customFormat="1">
      <c r="A61" s="683">
        <v>2.5</v>
      </c>
      <c r="B61" s="1779" t="s">
        <v>159</v>
      </c>
      <c r="C61" s="1791"/>
      <c r="D61" s="1791"/>
      <c r="E61" s="704"/>
      <c r="F61" s="704"/>
      <c r="G61" s="704"/>
      <c r="H61" s="704"/>
      <c r="I61" s="704"/>
      <c r="J61" s="704"/>
      <c r="K61" s="704"/>
      <c r="M61" s="699"/>
      <c r="N61" s="699"/>
      <c r="P61" s="699"/>
      <c r="Q61" s="699"/>
      <c r="R61" s="699"/>
      <c r="S61" s="699"/>
      <c r="T61" s="699"/>
    </row>
    <row r="62" spans="1:20" s="700" customFormat="1" ht="57" customHeight="1">
      <c r="A62" s="683"/>
      <c r="B62" s="1781" t="s">
        <v>1875</v>
      </c>
      <c r="C62" s="1734"/>
      <c r="D62" s="1734"/>
      <c r="E62" s="1734"/>
      <c r="F62" s="1734"/>
      <c r="G62" s="1734"/>
      <c r="H62" s="1734"/>
      <c r="I62" s="1734"/>
      <c r="J62" s="1734"/>
      <c r="K62" s="1734"/>
      <c r="M62" s="699"/>
      <c r="N62" s="699"/>
      <c r="P62" s="699"/>
      <c r="Q62" s="699"/>
      <c r="R62" s="699"/>
      <c r="S62" s="699"/>
      <c r="T62" s="699"/>
    </row>
    <row r="63" spans="1:20" s="700" customFormat="1" hidden="1">
      <c r="A63" s="683"/>
      <c r="B63" s="704"/>
      <c r="C63" s="704"/>
      <c r="D63" s="704"/>
      <c r="E63" s="704"/>
      <c r="F63" s="704"/>
      <c r="G63" s="704"/>
      <c r="H63" s="704"/>
      <c r="I63" s="704"/>
      <c r="J63" s="704"/>
      <c r="K63" s="704"/>
      <c r="M63" s="699"/>
      <c r="N63" s="699"/>
      <c r="P63" s="699"/>
      <c r="Q63" s="699"/>
      <c r="R63" s="699"/>
      <c r="S63" s="699"/>
      <c r="T63" s="699"/>
    </row>
    <row r="64" spans="1:20" s="700" customFormat="1" ht="9.75" hidden="1" customHeight="1">
      <c r="A64" s="683"/>
      <c r="B64" s="681"/>
      <c r="C64" s="681"/>
      <c r="D64" s="703"/>
      <c r="E64" s="703"/>
      <c r="F64" s="703"/>
      <c r="G64" s="703"/>
      <c r="H64" s="703"/>
      <c r="I64" s="703"/>
      <c r="J64" s="703"/>
      <c r="K64" s="703"/>
      <c r="M64" s="699"/>
      <c r="N64" s="699"/>
      <c r="P64" s="699"/>
      <c r="Q64" s="699"/>
      <c r="R64" s="699"/>
      <c r="S64" s="699"/>
      <c r="T64" s="699"/>
    </row>
    <row r="65" spans="1:20" s="700" customFormat="1">
      <c r="A65" s="683"/>
      <c r="B65" s="703"/>
      <c r="C65" s="703"/>
      <c r="D65" s="703"/>
      <c r="E65" s="703"/>
      <c r="F65" s="703"/>
      <c r="G65" s="703"/>
      <c r="H65" s="703"/>
      <c r="I65" s="703"/>
      <c r="J65" s="703"/>
      <c r="K65" s="703"/>
      <c r="M65" s="699"/>
      <c r="N65" s="699"/>
      <c r="P65" s="699"/>
      <c r="Q65" s="699"/>
      <c r="R65" s="699"/>
      <c r="S65" s="699"/>
      <c r="T65" s="699"/>
    </row>
    <row r="66" spans="1:20" s="700" customFormat="1">
      <c r="A66" s="683">
        <v>2.6</v>
      </c>
      <c r="B66" s="681" t="s">
        <v>1831</v>
      </c>
      <c r="C66" s="699"/>
      <c r="D66" s="681"/>
      <c r="E66" s="681"/>
      <c r="F66" s="681"/>
      <c r="G66" s="699"/>
      <c r="H66" s="699"/>
      <c r="I66" s="699"/>
      <c r="J66" s="699"/>
      <c r="K66" s="699"/>
      <c r="M66" s="699"/>
      <c r="N66" s="699"/>
      <c r="P66" s="699"/>
      <c r="Q66" s="699"/>
      <c r="R66" s="699"/>
      <c r="S66" s="699"/>
      <c r="T66" s="699"/>
    </row>
    <row r="67" spans="1:20" s="700" customFormat="1" ht="15" customHeight="1">
      <c r="A67" s="683"/>
      <c r="B67" s="681"/>
      <c r="C67" s="699"/>
      <c r="D67" s="681"/>
      <c r="E67" s="681"/>
      <c r="F67" s="681"/>
      <c r="G67" s="699"/>
      <c r="H67" s="699"/>
      <c r="I67" s="699"/>
      <c r="J67" s="699"/>
      <c r="K67" s="699"/>
      <c r="M67" s="699"/>
      <c r="N67" s="699"/>
      <c r="P67" s="699"/>
      <c r="Q67" s="699"/>
      <c r="R67" s="699"/>
      <c r="S67" s="699"/>
      <c r="T67" s="699"/>
    </row>
    <row r="68" spans="1:20" s="700" customFormat="1" ht="68.25" customHeight="1">
      <c r="A68" s="683"/>
      <c r="B68" s="1795" t="s">
        <v>1832</v>
      </c>
      <c r="C68" s="1795"/>
      <c r="D68" s="1795"/>
      <c r="E68" s="1795"/>
      <c r="F68" s="1795"/>
      <c r="G68" s="1795"/>
      <c r="H68" s="1795"/>
      <c r="I68" s="1795"/>
      <c r="J68" s="1795"/>
      <c r="K68" s="1795"/>
      <c r="M68" s="699"/>
      <c r="N68" s="699"/>
      <c r="P68" s="699"/>
      <c r="Q68" s="699"/>
      <c r="R68" s="699"/>
      <c r="S68" s="699"/>
      <c r="T68" s="699"/>
    </row>
    <row r="69" spans="1:20" s="700" customFormat="1" ht="9.75" customHeight="1">
      <c r="A69" s="683"/>
      <c r="M69" s="699"/>
      <c r="N69" s="699"/>
      <c r="P69" s="699"/>
      <c r="Q69" s="699"/>
      <c r="R69" s="699"/>
      <c r="S69" s="699"/>
      <c r="T69" s="699"/>
    </row>
    <row r="70" spans="1:20" s="700" customFormat="1" ht="51" customHeight="1">
      <c r="A70" s="683"/>
      <c r="B70" s="1796" t="s">
        <v>1833</v>
      </c>
      <c r="C70" s="1796"/>
      <c r="D70" s="1796"/>
      <c r="E70" s="1796"/>
      <c r="F70" s="1796"/>
      <c r="G70" s="1796"/>
      <c r="H70" s="1796"/>
      <c r="I70" s="1796"/>
      <c r="J70" s="1796"/>
      <c r="K70" s="1796"/>
      <c r="M70" s="699"/>
      <c r="N70" s="699"/>
      <c r="P70" s="699"/>
      <c r="Q70" s="699"/>
      <c r="R70" s="699"/>
      <c r="S70" s="699"/>
      <c r="T70" s="699"/>
    </row>
    <row r="71" spans="1:20" s="700" customFormat="1" ht="7.5" customHeight="1">
      <c r="A71" s="683"/>
      <c r="B71" s="1799"/>
      <c r="C71" s="1799"/>
      <c r="D71" s="1799"/>
      <c r="E71" s="1799"/>
      <c r="F71" s="1799"/>
      <c r="G71" s="1799"/>
      <c r="H71" s="1799"/>
      <c r="I71" s="1799"/>
      <c r="J71" s="1799"/>
      <c r="K71" s="1799"/>
      <c r="M71" s="699"/>
      <c r="N71" s="699"/>
      <c r="P71" s="699"/>
      <c r="Q71" s="699"/>
      <c r="R71" s="699"/>
      <c r="S71" s="699"/>
      <c r="T71" s="699"/>
    </row>
    <row r="72" spans="1:20" s="700" customFormat="1" ht="24.75" customHeight="1">
      <c r="A72" s="683"/>
      <c r="B72" s="1799" t="s">
        <v>1834</v>
      </c>
      <c r="C72" s="1799"/>
      <c r="D72" s="1799"/>
      <c r="E72" s="1799"/>
      <c r="F72" s="1799"/>
      <c r="G72" s="1799"/>
      <c r="H72" s="1799"/>
      <c r="I72" s="1799"/>
      <c r="J72" s="1799"/>
      <c r="K72" s="1799"/>
      <c r="M72" s="699"/>
      <c r="N72" s="699"/>
      <c r="P72" s="699"/>
      <c r="Q72" s="699"/>
      <c r="R72" s="699"/>
      <c r="S72" s="699"/>
      <c r="T72" s="699"/>
    </row>
    <row r="73" spans="1:20" s="700" customFormat="1" ht="7.5" customHeight="1">
      <c r="A73" s="683"/>
      <c r="B73" s="690"/>
      <c r="C73" s="693"/>
      <c r="D73" s="693"/>
      <c r="E73" s="691"/>
      <c r="F73" s="681"/>
      <c r="G73" s="699"/>
      <c r="H73" s="699"/>
      <c r="I73" s="699"/>
      <c r="J73" s="699"/>
      <c r="K73" s="699"/>
      <c r="M73" s="699"/>
      <c r="N73" s="699"/>
      <c r="P73" s="699"/>
      <c r="Q73" s="699"/>
      <c r="R73" s="699"/>
      <c r="S73" s="699"/>
      <c r="T73" s="699"/>
    </row>
    <row r="74" spans="1:20" s="700" customFormat="1" ht="15" customHeight="1">
      <c r="A74" s="683"/>
      <c r="B74" s="692" t="s">
        <v>1835</v>
      </c>
      <c r="C74" s="706"/>
      <c r="D74" s="706"/>
      <c r="E74" s="706"/>
      <c r="F74" s="681"/>
      <c r="G74" s="699"/>
      <c r="H74" s="699"/>
      <c r="I74" s="699"/>
      <c r="J74" s="699"/>
      <c r="K74" s="699"/>
      <c r="M74" s="699"/>
      <c r="N74" s="699"/>
      <c r="P74" s="699"/>
      <c r="Q74" s="699"/>
      <c r="R74" s="699"/>
      <c r="S74" s="699"/>
      <c r="T74" s="699"/>
    </row>
    <row r="75" spans="1:20" s="700" customFormat="1" ht="39.75" customHeight="1">
      <c r="A75" s="683"/>
      <c r="B75" s="1799" t="s">
        <v>1836</v>
      </c>
      <c r="C75" s="1799"/>
      <c r="D75" s="1799"/>
      <c r="E75" s="1799"/>
      <c r="F75" s="1799"/>
      <c r="G75" s="1799"/>
      <c r="H75" s="1799"/>
      <c r="I75" s="1799"/>
      <c r="J75" s="1799"/>
      <c r="K75" s="1799"/>
      <c r="M75" s="699"/>
      <c r="N75" s="699"/>
      <c r="P75" s="699"/>
      <c r="Q75" s="699"/>
      <c r="R75" s="699"/>
      <c r="S75" s="699"/>
      <c r="T75" s="699"/>
    </row>
    <row r="76" spans="1:20" s="700" customFormat="1" ht="9" customHeight="1">
      <c r="A76" s="683"/>
      <c r="B76" s="690"/>
      <c r="C76" s="693"/>
      <c r="D76" s="693"/>
      <c r="E76" s="691"/>
      <c r="F76" s="681"/>
      <c r="G76" s="699"/>
      <c r="H76" s="699"/>
      <c r="I76" s="699"/>
      <c r="J76" s="699"/>
      <c r="K76" s="699"/>
      <c r="M76" s="699"/>
      <c r="N76" s="699"/>
      <c r="P76" s="699"/>
      <c r="Q76" s="699"/>
      <c r="R76" s="699"/>
      <c r="S76" s="699"/>
      <c r="T76" s="699"/>
    </row>
    <row r="77" spans="1:20" s="700" customFormat="1" ht="48" customHeight="1">
      <c r="A77" s="683"/>
      <c r="B77" s="1799" t="s">
        <v>1837</v>
      </c>
      <c r="C77" s="1799"/>
      <c r="D77" s="1799"/>
      <c r="E77" s="1799"/>
      <c r="F77" s="1799"/>
      <c r="G77" s="1799"/>
      <c r="H77" s="1799"/>
      <c r="I77" s="1799"/>
      <c r="J77" s="1799"/>
      <c r="K77" s="1799"/>
      <c r="M77" s="699"/>
      <c r="N77" s="699"/>
      <c r="P77" s="699"/>
      <c r="Q77" s="699"/>
      <c r="R77" s="699"/>
      <c r="S77" s="699"/>
      <c r="T77" s="699"/>
    </row>
    <row r="78" spans="1:20" s="700" customFormat="1" ht="7.5" customHeight="1">
      <c r="A78" s="683"/>
      <c r="B78" s="690"/>
      <c r="C78" s="693"/>
      <c r="D78" s="693"/>
      <c r="E78" s="691"/>
      <c r="F78" s="699"/>
      <c r="G78" s="699"/>
      <c r="H78" s="699"/>
      <c r="I78" s="699"/>
      <c r="J78" s="699"/>
      <c r="K78" s="699"/>
      <c r="M78" s="699"/>
      <c r="N78" s="699"/>
      <c r="P78" s="699"/>
      <c r="Q78" s="699"/>
      <c r="R78" s="699"/>
      <c r="S78" s="699"/>
      <c r="T78" s="699"/>
    </row>
    <row r="79" spans="1:20" s="700" customFormat="1" ht="28.5" customHeight="1">
      <c r="A79" s="683"/>
      <c r="B79" s="1799" t="s">
        <v>1838</v>
      </c>
      <c r="C79" s="1799"/>
      <c r="D79" s="1799"/>
      <c r="E79" s="1799"/>
      <c r="F79" s="1799"/>
      <c r="G79" s="1799"/>
      <c r="H79" s="1799"/>
      <c r="I79" s="1799"/>
      <c r="J79" s="1799"/>
      <c r="K79" s="1799"/>
      <c r="M79" s="699"/>
      <c r="N79" s="699"/>
      <c r="P79" s="699"/>
      <c r="Q79" s="699"/>
      <c r="R79" s="699"/>
      <c r="S79" s="699"/>
      <c r="T79" s="699"/>
    </row>
    <row r="80" spans="1:20" s="700" customFormat="1">
      <c r="A80" s="683"/>
      <c r="B80" s="681"/>
      <c r="C80" s="693"/>
      <c r="D80" s="693"/>
      <c r="E80" s="691"/>
      <c r="F80" s="699"/>
      <c r="G80" s="699"/>
      <c r="H80" s="699"/>
      <c r="I80" s="699"/>
      <c r="J80" s="699"/>
      <c r="K80" s="699"/>
      <c r="M80" s="699"/>
      <c r="N80" s="699"/>
      <c r="P80" s="699"/>
      <c r="Q80" s="699"/>
      <c r="R80" s="699"/>
      <c r="S80" s="699"/>
      <c r="T80" s="699"/>
    </row>
    <row r="81" spans="1:20" s="700" customFormat="1">
      <c r="A81" s="683">
        <v>2.6</v>
      </c>
      <c r="B81" s="681" t="s">
        <v>2085</v>
      </c>
      <c r="C81" s="693"/>
      <c r="D81" s="693"/>
      <c r="E81" s="691"/>
      <c r="F81" s="699"/>
      <c r="G81" s="699"/>
      <c r="H81" s="699"/>
      <c r="I81" s="699"/>
      <c r="J81" s="699"/>
      <c r="K81" s="699"/>
      <c r="M81" s="699"/>
      <c r="N81" s="699"/>
      <c r="P81" s="699"/>
      <c r="Q81" s="699"/>
      <c r="R81" s="699"/>
      <c r="S81" s="699"/>
      <c r="T81" s="699"/>
    </row>
    <row r="82" spans="1:20" s="700" customFormat="1">
      <c r="A82" s="683"/>
      <c r="B82" s="681"/>
      <c r="C82" s="693"/>
      <c r="D82" s="693"/>
      <c r="E82" s="691"/>
      <c r="F82" s="699"/>
      <c r="G82" s="699"/>
      <c r="H82" s="699"/>
      <c r="I82" s="699"/>
      <c r="J82" s="699"/>
      <c r="K82" s="699"/>
      <c r="M82" s="699"/>
      <c r="N82" s="699"/>
      <c r="P82" s="699"/>
      <c r="Q82" s="699"/>
      <c r="R82" s="699"/>
      <c r="S82" s="699"/>
      <c r="T82" s="699"/>
    </row>
    <row r="83" spans="1:20" s="700" customFormat="1" ht="27" customHeight="1">
      <c r="A83" s="683"/>
      <c r="B83" s="1799" t="s">
        <v>1839</v>
      </c>
      <c r="C83" s="1799"/>
      <c r="D83" s="1799"/>
      <c r="E83" s="1799"/>
      <c r="F83" s="1799"/>
      <c r="G83" s="1799"/>
      <c r="H83" s="1799"/>
      <c r="I83" s="1799"/>
      <c r="J83" s="1799"/>
      <c r="K83" s="1799"/>
      <c r="M83" s="699"/>
      <c r="N83" s="699"/>
      <c r="P83" s="699"/>
      <c r="Q83" s="699"/>
      <c r="R83" s="699"/>
      <c r="S83" s="699"/>
      <c r="T83" s="699"/>
    </row>
    <row r="84" spans="1:20" s="700" customFormat="1">
      <c r="A84" s="681"/>
      <c r="B84" s="1782"/>
      <c r="C84" s="1782"/>
      <c r="D84" s="1782"/>
      <c r="E84" s="1782"/>
      <c r="F84" s="1782"/>
      <c r="G84" s="1782"/>
      <c r="H84" s="1782"/>
      <c r="I84" s="1782"/>
      <c r="J84" s="1782"/>
      <c r="K84" s="1782"/>
      <c r="M84" s="699"/>
      <c r="N84" s="699"/>
      <c r="P84" s="699"/>
      <c r="Q84" s="699"/>
      <c r="R84" s="699"/>
      <c r="S84" s="699"/>
      <c r="T84" s="699"/>
    </row>
    <row r="85" spans="1:20" s="700" customFormat="1">
      <c r="A85" s="683"/>
      <c r="B85" s="887" t="s">
        <v>145</v>
      </c>
      <c r="C85" s="711"/>
      <c r="D85" s="887"/>
      <c r="E85" s="887"/>
      <c r="F85" s="887"/>
      <c r="G85" s="887"/>
      <c r="H85" s="887"/>
      <c r="I85" s="712"/>
      <c r="J85" s="711"/>
      <c r="K85" s="1119" t="s">
        <v>146</v>
      </c>
      <c r="M85" s="699"/>
      <c r="N85" s="699"/>
      <c r="P85" s="699"/>
      <c r="Q85" s="699"/>
      <c r="R85" s="699"/>
      <c r="S85" s="699"/>
      <c r="T85" s="699"/>
    </row>
    <row r="86" spans="1:20" s="700" customFormat="1">
      <c r="A86" s="683"/>
      <c r="B86" s="701" t="s">
        <v>147</v>
      </c>
      <c r="C86" s="699"/>
      <c r="D86" s="701"/>
      <c r="E86" s="701"/>
      <c r="F86" s="701"/>
      <c r="G86" s="699"/>
      <c r="H86" s="699"/>
      <c r="I86" s="710"/>
      <c r="J86" s="699"/>
      <c r="K86" s="710">
        <v>3</v>
      </c>
      <c r="M86" s="699"/>
      <c r="N86" s="699"/>
      <c r="P86" s="699"/>
      <c r="Q86" s="699"/>
      <c r="R86" s="699"/>
      <c r="S86" s="699"/>
      <c r="T86" s="699"/>
    </row>
    <row r="87" spans="1:20" s="700" customFormat="1">
      <c r="A87" s="683"/>
      <c r="B87" s="701" t="s">
        <v>148</v>
      </c>
      <c r="C87" s="699"/>
      <c r="D87" s="701"/>
      <c r="E87" s="701"/>
      <c r="F87" s="701"/>
      <c r="G87" s="699"/>
      <c r="H87" s="699"/>
      <c r="I87" s="710"/>
      <c r="J87" s="699"/>
      <c r="K87" s="710">
        <v>3</v>
      </c>
      <c r="M87" s="699"/>
      <c r="N87" s="699"/>
      <c r="P87" s="699"/>
      <c r="Q87" s="699"/>
      <c r="R87" s="699"/>
      <c r="S87" s="699"/>
      <c r="T87" s="699"/>
    </row>
    <row r="88" spans="1:20" s="700" customFormat="1" ht="12.75" customHeight="1">
      <c r="A88" s="683"/>
      <c r="B88" s="701" t="s">
        <v>149</v>
      </c>
      <c r="C88" s="699"/>
      <c r="D88" s="701"/>
      <c r="E88" s="701"/>
      <c r="F88" s="701"/>
      <c r="G88" s="699"/>
      <c r="H88" s="699"/>
      <c r="I88" s="710"/>
      <c r="J88" s="699"/>
      <c r="K88" s="710">
        <v>7</v>
      </c>
      <c r="M88" s="699"/>
      <c r="N88" s="699"/>
      <c r="P88" s="699"/>
      <c r="Q88" s="699"/>
      <c r="R88" s="699"/>
      <c r="S88" s="699"/>
      <c r="T88" s="699"/>
    </row>
    <row r="89" spans="1:20" s="700" customFormat="1">
      <c r="A89" s="683"/>
      <c r="B89" s="699"/>
      <c r="C89" s="699"/>
      <c r="D89" s="699"/>
      <c r="E89" s="699"/>
      <c r="F89" s="699"/>
      <c r="G89" s="699"/>
      <c r="H89" s="699"/>
      <c r="I89" s="699"/>
      <c r="J89" s="699"/>
      <c r="K89" s="699"/>
      <c r="M89" s="699"/>
      <c r="N89" s="699"/>
      <c r="P89" s="699"/>
      <c r="Q89" s="699"/>
      <c r="R89" s="699"/>
      <c r="S89" s="699"/>
      <c r="T89" s="699"/>
    </row>
    <row r="90" spans="1:20" s="700" customFormat="1" ht="41.25" customHeight="1">
      <c r="A90" s="683"/>
      <c r="B90" s="1775" t="s">
        <v>150</v>
      </c>
      <c r="C90" s="1782"/>
      <c r="D90" s="1782"/>
      <c r="E90" s="1782"/>
      <c r="F90" s="1782"/>
      <c r="G90" s="1782"/>
      <c r="H90" s="1782"/>
      <c r="I90" s="1782"/>
      <c r="J90" s="1782"/>
      <c r="K90" s="1782"/>
      <c r="M90" s="699"/>
      <c r="N90" s="699"/>
      <c r="P90" s="699"/>
      <c r="Q90" s="699"/>
      <c r="R90" s="699"/>
      <c r="S90" s="699"/>
      <c r="T90" s="699"/>
    </row>
    <row r="91" spans="1:20" s="700" customFormat="1" hidden="1">
      <c r="A91" s="683"/>
      <c r="B91" s="681" t="s">
        <v>1845</v>
      </c>
      <c r="C91" s="704"/>
      <c r="D91" s="704"/>
      <c r="E91" s="704"/>
      <c r="F91" s="704"/>
      <c r="G91" s="704"/>
      <c r="H91" s="704"/>
      <c r="I91" s="704"/>
      <c r="J91" s="704"/>
      <c r="K91" s="704"/>
      <c r="M91" s="699"/>
      <c r="N91" s="699"/>
      <c r="P91" s="699"/>
      <c r="Q91" s="699"/>
      <c r="R91" s="699"/>
      <c r="S91" s="699"/>
      <c r="T91" s="699"/>
    </row>
    <row r="92" spans="1:20" s="700" customFormat="1" hidden="1">
      <c r="A92" s="683"/>
      <c r="B92" s="681"/>
      <c r="C92" s="704"/>
      <c r="D92" s="704"/>
      <c r="E92" s="704"/>
      <c r="F92" s="704"/>
      <c r="G92" s="704"/>
      <c r="H92" s="704"/>
      <c r="I92" s="704"/>
      <c r="J92" s="704"/>
      <c r="K92" s="704"/>
      <c r="M92" s="699"/>
      <c r="N92" s="699"/>
      <c r="P92" s="699"/>
      <c r="Q92" s="699"/>
      <c r="R92" s="699"/>
      <c r="S92" s="699"/>
      <c r="T92" s="699"/>
    </row>
    <row r="93" spans="1:20" s="700" customFormat="1" hidden="1">
      <c r="A93" s="683"/>
      <c r="B93" s="681"/>
      <c r="C93" s="704"/>
      <c r="D93" s="704"/>
      <c r="E93" s="704"/>
      <c r="F93" s="704"/>
      <c r="G93" s="704"/>
      <c r="H93" s="704"/>
      <c r="I93" s="704"/>
      <c r="J93" s="704"/>
      <c r="K93" s="704"/>
      <c r="M93" s="699"/>
      <c r="N93" s="699"/>
      <c r="P93" s="699"/>
      <c r="Q93" s="699"/>
      <c r="R93" s="699"/>
      <c r="S93" s="699"/>
      <c r="T93" s="699"/>
    </row>
    <row r="94" spans="1:20" s="700" customFormat="1">
      <c r="A94" s="683"/>
      <c r="B94" s="681"/>
      <c r="C94" s="704"/>
      <c r="D94" s="704"/>
      <c r="E94" s="704"/>
      <c r="F94" s="704"/>
      <c r="G94" s="704"/>
      <c r="H94" s="704"/>
      <c r="I94" s="704"/>
      <c r="J94" s="704"/>
      <c r="K94" s="704"/>
      <c r="M94" s="699"/>
      <c r="N94" s="699"/>
      <c r="P94" s="699"/>
      <c r="Q94" s="699"/>
      <c r="R94" s="699"/>
      <c r="S94" s="699"/>
      <c r="T94" s="699"/>
    </row>
    <row r="95" spans="1:20" s="700" customFormat="1">
      <c r="A95" s="683">
        <v>2.7</v>
      </c>
      <c r="B95" s="681" t="s">
        <v>139</v>
      </c>
      <c r="C95" s="699"/>
      <c r="D95" s="681"/>
      <c r="E95" s="681"/>
      <c r="F95" s="681"/>
      <c r="G95" s="699"/>
      <c r="H95" s="699"/>
      <c r="I95" s="699"/>
      <c r="J95" s="699"/>
      <c r="K95" s="699"/>
      <c r="M95" s="699"/>
      <c r="N95" s="699"/>
      <c r="P95" s="699"/>
      <c r="Q95" s="699"/>
      <c r="R95" s="699"/>
      <c r="S95" s="699"/>
      <c r="T95" s="699"/>
    </row>
    <row r="96" spans="1:20" s="700" customFormat="1">
      <c r="A96" s="683"/>
      <c r="B96" s="699"/>
      <c r="C96" s="699"/>
      <c r="D96" s="699"/>
      <c r="E96" s="699"/>
      <c r="F96" s="699"/>
      <c r="G96" s="699"/>
      <c r="H96" s="699"/>
      <c r="I96" s="699"/>
      <c r="J96" s="699"/>
      <c r="K96" s="699"/>
      <c r="M96" s="699"/>
      <c r="N96" s="699"/>
      <c r="P96" s="699"/>
      <c r="Q96" s="699"/>
      <c r="R96" s="699"/>
      <c r="S96" s="699"/>
      <c r="T96" s="699"/>
    </row>
    <row r="97" spans="1:20" s="700" customFormat="1">
      <c r="A97" s="681"/>
      <c r="B97" s="681" t="s">
        <v>136</v>
      </c>
      <c r="C97" s="681" t="s">
        <v>16</v>
      </c>
      <c r="D97" s="713"/>
      <c r="E97" s="713"/>
      <c r="F97" s="713"/>
      <c r="G97" s="713"/>
      <c r="H97" s="713"/>
      <c r="I97" s="713"/>
      <c r="J97" s="713"/>
      <c r="K97" s="713"/>
      <c r="M97" s="699"/>
      <c r="N97" s="699"/>
      <c r="P97" s="699"/>
      <c r="Q97" s="699"/>
      <c r="R97" s="699"/>
      <c r="S97" s="699"/>
      <c r="T97" s="699"/>
    </row>
    <row r="98" spans="1:20" s="700" customFormat="1">
      <c r="A98" s="683"/>
      <c r="B98" s="703"/>
      <c r="C98" s="703"/>
      <c r="D98" s="703"/>
      <c r="E98" s="703"/>
      <c r="F98" s="703"/>
      <c r="G98" s="703"/>
      <c r="H98" s="703"/>
      <c r="I98" s="703"/>
      <c r="J98" s="703"/>
      <c r="K98" s="703"/>
      <c r="M98" s="699"/>
      <c r="N98" s="699"/>
      <c r="P98" s="699"/>
      <c r="Q98" s="699"/>
      <c r="R98" s="699"/>
      <c r="S98" s="699"/>
      <c r="T98" s="699"/>
    </row>
    <row r="99" spans="1:20" s="700" customFormat="1" ht="78" customHeight="1">
      <c r="A99" s="683"/>
      <c r="B99" s="713"/>
      <c r="C99" s="1734" t="s">
        <v>140</v>
      </c>
      <c r="D99" s="1734"/>
      <c r="E99" s="1734"/>
      <c r="F99" s="1734"/>
      <c r="G99" s="1734"/>
      <c r="H99" s="1734"/>
      <c r="I99" s="1734"/>
      <c r="J99" s="1734"/>
      <c r="K99" s="1734"/>
      <c r="M99" s="699"/>
      <c r="N99" s="699"/>
      <c r="P99" s="699"/>
      <c r="Q99" s="699"/>
      <c r="R99" s="699"/>
      <c r="S99" s="699"/>
      <c r="T99" s="699"/>
    </row>
    <row r="100" spans="1:20" s="700" customFormat="1">
      <c r="A100" s="683"/>
      <c r="B100" s="703"/>
      <c r="C100" s="703"/>
      <c r="D100" s="703"/>
      <c r="E100" s="703"/>
      <c r="F100" s="703"/>
      <c r="G100" s="703"/>
      <c r="H100" s="703"/>
      <c r="I100" s="703"/>
      <c r="J100" s="703"/>
      <c r="K100" s="703"/>
      <c r="M100" s="699"/>
      <c r="N100" s="699"/>
      <c r="P100" s="699"/>
      <c r="Q100" s="699"/>
      <c r="R100" s="699"/>
      <c r="S100" s="699"/>
      <c r="T100" s="699"/>
    </row>
    <row r="101" spans="1:20" s="700" customFormat="1">
      <c r="A101" s="683"/>
      <c r="B101" s="681" t="s">
        <v>141</v>
      </c>
      <c r="C101" s="681" t="s">
        <v>142</v>
      </c>
      <c r="D101" s="699"/>
      <c r="E101" s="699"/>
      <c r="F101" s="699"/>
      <c r="G101" s="699"/>
      <c r="H101" s="699"/>
      <c r="I101" s="699"/>
      <c r="J101" s="699"/>
      <c r="K101" s="699"/>
      <c r="M101" s="699"/>
      <c r="N101" s="699"/>
      <c r="P101" s="699"/>
      <c r="Q101" s="699"/>
      <c r="R101" s="699"/>
      <c r="S101" s="699"/>
      <c r="T101" s="699"/>
    </row>
    <row r="102" spans="1:20" s="700" customFormat="1">
      <c r="A102" s="683"/>
      <c r="B102" s="703"/>
      <c r="C102" s="703"/>
      <c r="D102" s="703"/>
      <c r="E102" s="703"/>
      <c r="F102" s="703"/>
      <c r="G102" s="703"/>
      <c r="H102" s="703"/>
      <c r="I102" s="703"/>
      <c r="J102" s="703"/>
      <c r="K102" s="703"/>
      <c r="M102" s="699"/>
      <c r="N102" s="699"/>
      <c r="P102" s="699"/>
      <c r="Q102" s="699"/>
      <c r="R102" s="699"/>
      <c r="S102" s="699"/>
      <c r="T102" s="699"/>
    </row>
    <row r="103" spans="1:20" s="700" customFormat="1" ht="27" customHeight="1">
      <c r="A103" s="683"/>
      <c r="B103" s="713"/>
      <c r="C103" s="1734" t="s">
        <v>143</v>
      </c>
      <c r="D103" s="1734"/>
      <c r="E103" s="1734"/>
      <c r="F103" s="1734"/>
      <c r="G103" s="1734"/>
      <c r="H103" s="1734"/>
      <c r="I103" s="1734"/>
      <c r="J103" s="1734"/>
      <c r="K103" s="1734"/>
      <c r="M103" s="699"/>
      <c r="N103" s="699"/>
      <c r="P103" s="699"/>
      <c r="Q103" s="699"/>
      <c r="R103" s="699"/>
      <c r="S103" s="699"/>
      <c r="T103" s="699"/>
    </row>
    <row r="104" spans="1:20" s="700" customFormat="1" ht="4.5" customHeight="1">
      <c r="A104" s="683"/>
      <c r="B104" s="703"/>
      <c r="C104" s="703"/>
      <c r="D104" s="703"/>
      <c r="E104" s="703"/>
      <c r="F104" s="703"/>
      <c r="G104" s="703"/>
      <c r="H104" s="703"/>
      <c r="I104" s="703"/>
      <c r="J104" s="703"/>
      <c r="K104" s="703"/>
      <c r="M104" s="699"/>
      <c r="N104" s="699"/>
      <c r="P104" s="699"/>
      <c r="Q104" s="699"/>
      <c r="R104" s="699"/>
      <c r="S104" s="699"/>
      <c r="T104" s="699"/>
    </row>
    <row r="105" spans="1:20" s="700" customFormat="1" ht="78" customHeight="1">
      <c r="A105" s="683"/>
      <c r="B105" s="713"/>
      <c r="C105" s="1734" t="s">
        <v>144</v>
      </c>
      <c r="D105" s="1734"/>
      <c r="E105" s="1734"/>
      <c r="F105" s="1734"/>
      <c r="G105" s="1734"/>
      <c r="H105" s="1734"/>
      <c r="I105" s="1734"/>
      <c r="J105" s="1734"/>
      <c r="K105" s="1734"/>
      <c r="M105" s="699"/>
      <c r="N105" s="699"/>
      <c r="P105" s="699"/>
      <c r="Q105" s="699"/>
      <c r="R105" s="699"/>
      <c r="S105" s="699"/>
      <c r="T105" s="699"/>
    </row>
    <row r="106" spans="1:20" s="700" customFormat="1">
      <c r="A106" s="685"/>
      <c r="B106" s="1734"/>
      <c r="C106" s="1782"/>
      <c r="D106" s="1782"/>
      <c r="E106" s="1782"/>
      <c r="F106" s="1782"/>
      <c r="G106" s="1782"/>
      <c r="H106" s="1782"/>
      <c r="I106" s="1782"/>
      <c r="J106" s="1782"/>
      <c r="K106" s="1782"/>
      <c r="M106" s="699"/>
      <c r="N106" s="699"/>
      <c r="P106" s="699"/>
      <c r="Q106" s="699"/>
      <c r="R106" s="699"/>
      <c r="S106" s="699"/>
      <c r="T106" s="699"/>
    </row>
    <row r="107" spans="1:20">
      <c r="A107" s="683">
        <v>2.8</v>
      </c>
      <c r="B107" s="1779" t="s">
        <v>1840</v>
      </c>
      <c r="C107" s="1779"/>
      <c r="D107" s="1779"/>
      <c r="E107" s="1779"/>
      <c r="F107" s="1779"/>
      <c r="G107" s="1779"/>
      <c r="H107" s="1779"/>
      <c r="I107" s="1779"/>
      <c r="J107" s="1779"/>
      <c r="K107" s="1779"/>
    </row>
    <row r="109" spans="1:20" ht="16.5" customHeight="1">
      <c r="A109" s="681"/>
      <c r="B109" s="1798" t="s">
        <v>1841</v>
      </c>
      <c r="C109" s="1798"/>
      <c r="D109" s="1798"/>
      <c r="E109" s="1798"/>
      <c r="F109" s="1798"/>
      <c r="G109" s="1798"/>
      <c r="H109" s="1798"/>
    </row>
    <row r="110" spans="1:20" ht="40.5" customHeight="1">
      <c r="B110" s="1797" t="s">
        <v>1842</v>
      </c>
      <c r="C110" s="1797"/>
      <c r="D110" s="1797"/>
      <c r="E110" s="1797"/>
      <c r="F110" s="1797"/>
      <c r="G110" s="1797"/>
      <c r="H110" s="1797"/>
      <c r="I110" s="1797"/>
      <c r="J110" s="1797"/>
      <c r="K110" s="1797"/>
    </row>
    <row r="112" spans="1:20" ht="15.75" customHeight="1">
      <c r="B112" s="985" t="s">
        <v>1898</v>
      </c>
    </row>
    <row r="113" spans="1:20" ht="77.25" customHeight="1">
      <c r="A113" s="681"/>
      <c r="B113" s="1782" t="s">
        <v>151</v>
      </c>
      <c r="C113" s="1782"/>
      <c r="D113" s="1782"/>
      <c r="E113" s="1782"/>
      <c r="F113" s="1782"/>
      <c r="G113" s="1782"/>
      <c r="H113" s="1782"/>
      <c r="I113" s="1782"/>
      <c r="J113" s="1782"/>
      <c r="K113" s="1782"/>
    </row>
    <row r="114" spans="1:20">
      <c r="B114" s="703"/>
      <c r="C114" s="703"/>
      <c r="D114" s="703"/>
      <c r="E114" s="703"/>
      <c r="F114" s="703"/>
      <c r="G114" s="703"/>
      <c r="H114" s="703"/>
      <c r="I114" s="703"/>
      <c r="J114" s="703"/>
      <c r="K114" s="703"/>
    </row>
    <row r="115" spans="1:20" hidden="1">
      <c r="B115" s="681" t="s">
        <v>1845</v>
      </c>
      <c r="C115" s="703"/>
      <c r="D115" s="703"/>
      <c r="E115" s="703"/>
      <c r="F115" s="703"/>
      <c r="G115" s="703"/>
      <c r="H115" s="703"/>
      <c r="I115" s="703"/>
      <c r="J115" s="703"/>
      <c r="K115" s="703"/>
    </row>
    <row r="116" spans="1:20" s="700" customFormat="1" hidden="1">
      <c r="A116" s="683"/>
      <c r="B116" s="699"/>
      <c r="C116" s="699"/>
      <c r="D116" s="699"/>
      <c r="E116" s="699"/>
      <c r="F116" s="699"/>
      <c r="G116" s="699"/>
      <c r="H116" s="699"/>
      <c r="I116" s="699"/>
      <c r="J116" s="699"/>
      <c r="K116" s="699"/>
      <c r="M116" s="699"/>
      <c r="N116" s="699"/>
      <c r="P116" s="699"/>
      <c r="Q116" s="699"/>
      <c r="R116" s="699"/>
      <c r="S116" s="699"/>
      <c r="T116" s="699"/>
    </row>
    <row r="117" spans="1:20" hidden="1">
      <c r="A117" s="696" t="s">
        <v>1843</v>
      </c>
      <c r="B117" s="681" t="s">
        <v>17</v>
      </c>
      <c r="D117" s="681"/>
      <c r="E117" s="681"/>
      <c r="F117" s="681"/>
    </row>
    <row r="118" spans="1:20" hidden="1"/>
    <row r="119" spans="1:20" hidden="1">
      <c r="B119" s="1782" t="s">
        <v>152</v>
      </c>
      <c r="C119" s="1782"/>
      <c r="D119" s="1782"/>
      <c r="E119" s="1782"/>
      <c r="F119" s="1782"/>
      <c r="G119" s="1782"/>
      <c r="H119" s="1782"/>
      <c r="I119" s="1782"/>
      <c r="J119" s="1782"/>
      <c r="K119" s="1782"/>
    </row>
    <row r="120" spans="1:20" hidden="1"/>
    <row r="121" spans="1:20" s="700" customFormat="1" hidden="1">
      <c r="A121" s="683"/>
      <c r="B121" s="1742" t="s">
        <v>153</v>
      </c>
      <c r="C121" s="1742"/>
      <c r="D121" s="1742"/>
      <c r="E121" s="1742"/>
      <c r="F121" s="1742"/>
      <c r="G121" s="1742"/>
      <c r="H121" s="1742"/>
      <c r="I121" s="1742"/>
      <c r="J121" s="1742"/>
      <c r="K121" s="1742"/>
      <c r="M121" s="699"/>
      <c r="N121" s="699"/>
      <c r="P121" s="699"/>
      <c r="Q121" s="699"/>
      <c r="R121" s="699"/>
      <c r="S121" s="699"/>
      <c r="T121" s="699"/>
    </row>
    <row r="122" spans="1:20" s="700" customFormat="1" hidden="1">
      <c r="A122" s="683"/>
      <c r="B122" s="699"/>
      <c r="C122" s="699"/>
      <c r="D122" s="699"/>
      <c r="E122" s="699"/>
      <c r="F122" s="699"/>
      <c r="G122" s="699"/>
      <c r="H122" s="699"/>
      <c r="I122" s="699"/>
      <c r="J122" s="699"/>
      <c r="K122" s="699"/>
      <c r="M122" s="699"/>
      <c r="N122" s="699"/>
      <c r="P122" s="699"/>
      <c r="Q122" s="699"/>
      <c r="R122" s="699"/>
      <c r="S122" s="699"/>
      <c r="T122" s="699"/>
    </row>
    <row r="123" spans="1:20" s="700" customFormat="1" hidden="1">
      <c r="A123" s="683"/>
      <c r="B123" s="699"/>
      <c r="C123" s="699"/>
      <c r="D123" s="699"/>
      <c r="E123" s="699"/>
      <c r="F123" s="699"/>
      <c r="G123" s="699"/>
      <c r="H123" s="699"/>
      <c r="I123" s="699"/>
      <c r="J123" s="699"/>
      <c r="K123" s="699"/>
      <c r="M123" s="699"/>
      <c r="N123" s="699"/>
      <c r="P123" s="699"/>
      <c r="Q123" s="699"/>
      <c r="R123" s="699"/>
      <c r="S123" s="699"/>
      <c r="T123" s="699"/>
    </row>
    <row r="124" spans="1:20" s="700" customFormat="1" hidden="1">
      <c r="A124" s="683"/>
      <c r="B124" s="699"/>
      <c r="C124" s="699"/>
      <c r="D124" s="699"/>
      <c r="E124" s="699"/>
      <c r="F124" s="699"/>
      <c r="G124" s="699"/>
      <c r="H124" s="699"/>
      <c r="I124" s="699"/>
      <c r="J124" s="699"/>
      <c r="K124" s="699"/>
      <c r="M124" s="699"/>
      <c r="N124" s="699"/>
      <c r="P124" s="699"/>
      <c r="Q124" s="699"/>
      <c r="R124" s="699"/>
      <c r="S124" s="699"/>
      <c r="T124" s="699"/>
    </row>
    <row r="125" spans="1:20" s="700" customFormat="1" hidden="1">
      <c r="A125" s="683"/>
      <c r="B125" s="699"/>
      <c r="C125" s="699"/>
      <c r="D125" s="699"/>
      <c r="E125" s="699"/>
      <c r="F125" s="699"/>
      <c r="G125" s="699"/>
      <c r="H125" s="699"/>
      <c r="I125" s="699"/>
      <c r="J125" s="699"/>
      <c r="K125" s="699"/>
      <c r="M125" s="699"/>
      <c r="N125" s="699"/>
      <c r="P125" s="699"/>
      <c r="Q125" s="699"/>
      <c r="R125" s="699"/>
      <c r="S125" s="699"/>
      <c r="T125" s="699"/>
    </row>
    <row r="126" spans="1:20" s="700" customFormat="1" ht="12.75" customHeight="1">
      <c r="A126" s="986">
        <v>2.9</v>
      </c>
      <c r="B126" s="681" t="s">
        <v>154</v>
      </c>
      <c r="C126" s="699"/>
      <c r="D126" s="681"/>
      <c r="E126" s="681"/>
      <c r="F126" s="681"/>
      <c r="G126" s="681"/>
      <c r="H126" s="699"/>
      <c r="I126" s="699"/>
      <c r="J126" s="699"/>
      <c r="K126" s="699"/>
      <c r="M126" s="699"/>
      <c r="N126" s="699"/>
      <c r="P126" s="699"/>
      <c r="Q126" s="699"/>
      <c r="R126" s="699"/>
      <c r="S126" s="699"/>
      <c r="T126" s="699"/>
    </row>
    <row r="127" spans="1:20" s="700" customFormat="1">
      <c r="A127" s="683"/>
      <c r="B127" s="1792" t="s">
        <v>1844</v>
      </c>
      <c r="C127" s="1792"/>
      <c r="D127" s="1792"/>
      <c r="E127" s="1792"/>
      <c r="F127" s="1792"/>
      <c r="G127" s="1792"/>
      <c r="H127" s="1792"/>
      <c r="I127" s="1792"/>
      <c r="J127" s="1792"/>
      <c r="K127" s="1792"/>
      <c r="M127" s="699"/>
      <c r="N127" s="699"/>
      <c r="P127" s="699"/>
      <c r="Q127" s="699"/>
      <c r="R127" s="699"/>
      <c r="S127" s="699"/>
      <c r="T127" s="699"/>
    </row>
    <row r="128" spans="1:20" s="700" customFormat="1">
      <c r="A128" s="683"/>
      <c r="C128" s="699"/>
      <c r="D128" s="699"/>
      <c r="E128" s="699"/>
      <c r="F128" s="699"/>
      <c r="G128" s="699"/>
      <c r="H128" s="699"/>
      <c r="I128" s="699"/>
      <c r="J128" s="699"/>
      <c r="K128" s="699"/>
      <c r="M128" s="699"/>
      <c r="N128" s="699"/>
      <c r="P128" s="699"/>
      <c r="Q128" s="699"/>
      <c r="R128" s="699"/>
      <c r="S128" s="699"/>
      <c r="T128" s="699"/>
    </row>
    <row r="129" spans="1:20" s="700" customFormat="1">
      <c r="A129" s="683"/>
      <c r="B129" s="681" t="s">
        <v>1900</v>
      </c>
      <c r="C129" s="697"/>
      <c r="D129" s="697"/>
      <c r="E129" s="697"/>
      <c r="F129" s="697"/>
      <c r="G129" s="697"/>
      <c r="H129" s="697"/>
      <c r="I129" s="697"/>
      <c r="J129" s="697"/>
      <c r="K129" s="697"/>
      <c r="M129" s="699"/>
      <c r="N129" s="699"/>
      <c r="P129" s="699"/>
      <c r="Q129" s="699"/>
      <c r="R129" s="699"/>
      <c r="S129" s="699"/>
      <c r="T129" s="699"/>
    </row>
    <row r="130" spans="1:20" s="700" customFormat="1" ht="52.5" customHeight="1">
      <c r="A130" s="683"/>
      <c r="B130" s="1794" t="s">
        <v>1901</v>
      </c>
      <c r="C130" s="1782"/>
      <c r="D130" s="1782"/>
      <c r="E130" s="1782"/>
      <c r="F130" s="1782"/>
      <c r="G130" s="1782"/>
      <c r="H130" s="1782"/>
      <c r="I130" s="1782"/>
      <c r="J130" s="1782"/>
      <c r="K130" s="1782"/>
      <c r="M130" s="699"/>
      <c r="N130" s="699"/>
      <c r="P130" s="699"/>
      <c r="Q130" s="699"/>
      <c r="R130" s="699"/>
      <c r="S130" s="699"/>
      <c r="T130" s="699"/>
    </row>
    <row r="131" spans="1:20" s="700" customFormat="1">
      <c r="A131" s="683"/>
      <c r="B131" s="681"/>
      <c r="C131" s="699"/>
      <c r="D131" s="681"/>
      <c r="E131" s="681"/>
      <c r="F131" s="681"/>
      <c r="G131" s="681"/>
      <c r="H131" s="699"/>
      <c r="I131" s="699"/>
      <c r="J131" s="699"/>
      <c r="K131" s="699"/>
      <c r="M131" s="699"/>
      <c r="N131" s="699"/>
      <c r="P131" s="699"/>
      <c r="Q131" s="699"/>
      <c r="R131" s="699"/>
      <c r="S131" s="699"/>
      <c r="T131" s="699"/>
    </row>
    <row r="132" spans="1:20" s="700" customFormat="1">
      <c r="A132" s="683"/>
      <c r="B132" s="681" t="s">
        <v>155</v>
      </c>
      <c r="C132" s="699"/>
      <c r="D132" s="699"/>
      <c r="E132" s="699"/>
      <c r="F132" s="699"/>
      <c r="G132" s="699"/>
      <c r="H132" s="699"/>
      <c r="I132" s="699"/>
      <c r="J132" s="699"/>
      <c r="K132" s="699"/>
      <c r="M132" s="699"/>
      <c r="N132" s="699"/>
      <c r="P132" s="699"/>
      <c r="Q132" s="699"/>
      <c r="R132" s="699"/>
      <c r="S132" s="699"/>
      <c r="T132" s="699"/>
    </row>
    <row r="133" spans="1:20" s="700" customFormat="1">
      <c r="A133" s="683"/>
      <c r="B133" s="681" t="s">
        <v>156</v>
      </c>
      <c r="C133" s="699"/>
      <c r="D133" s="699"/>
      <c r="E133" s="699"/>
      <c r="F133" s="699"/>
      <c r="G133" s="699"/>
      <c r="H133" s="699"/>
      <c r="I133" s="699"/>
      <c r="J133" s="699"/>
      <c r="K133" s="699"/>
      <c r="M133" s="699"/>
      <c r="N133" s="699"/>
      <c r="P133" s="699"/>
      <c r="Q133" s="699"/>
      <c r="R133" s="699"/>
      <c r="S133" s="699"/>
      <c r="T133" s="699"/>
    </row>
    <row r="134" spans="1:20" s="700" customFormat="1" ht="75" customHeight="1">
      <c r="A134" s="683"/>
      <c r="B134" s="1777" t="s">
        <v>1902</v>
      </c>
      <c r="C134" s="1782"/>
      <c r="D134" s="1782"/>
      <c r="E134" s="1782"/>
      <c r="F134" s="1782"/>
      <c r="G134" s="1782"/>
      <c r="H134" s="1782"/>
      <c r="I134" s="1782"/>
      <c r="J134" s="1782"/>
      <c r="K134" s="1782"/>
      <c r="M134" s="699"/>
      <c r="N134" s="699"/>
      <c r="P134" s="699"/>
      <c r="Q134" s="699"/>
      <c r="R134" s="699"/>
      <c r="S134" s="699"/>
      <c r="T134" s="699"/>
    </row>
    <row r="135" spans="1:20" s="700" customFormat="1">
      <c r="A135" s="683"/>
      <c r="B135" s="980"/>
      <c r="C135" s="703"/>
      <c r="D135" s="703"/>
      <c r="E135" s="703"/>
      <c r="F135" s="703"/>
      <c r="G135" s="703"/>
      <c r="H135" s="703"/>
      <c r="I135" s="703"/>
      <c r="J135" s="703"/>
      <c r="K135" s="703"/>
      <c r="M135" s="699"/>
      <c r="N135" s="699"/>
      <c r="P135" s="699"/>
      <c r="Q135" s="699"/>
      <c r="R135" s="699"/>
      <c r="S135" s="699"/>
      <c r="T135" s="699"/>
    </row>
    <row r="136" spans="1:20" s="700" customFormat="1">
      <c r="A136" s="986">
        <v>2.9</v>
      </c>
      <c r="B136" s="681" t="s">
        <v>2086</v>
      </c>
      <c r="C136" s="703"/>
      <c r="D136" s="703"/>
      <c r="E136" s="703"/>
      <c r="F136" s="703"/>
      <c r="G136" s="703"/>
      <c r="H136" s="703"/>
      <c r="I136" s="703"/>
      <c r="J136" s="703"/>
      <c r="K136" s="703"/>
      <c r="M136" s="699"/>
      <c r="N136" s="699"/>
      <c r="P136" s="699"/>
      <c r="Q136" s="699"/>
      <c r="R136" s="699"/>
      <c r="S136" s="699"/>
      <c r="T136" s="699"/>
    </row>
    <row r="137" spans="1:20" s="700" customFormat="1">
      <c r="A137" s="683"/>
      <c r="B137" s="980"/>
      <c r="C137" s="703"/>
      <c r="D137" s="703"/>
      <c r="E137" s="703"/>
      <c r="F137" s="703"/>
      <c r="G137" s="703"/>
      <c r="H137" s="703"/>
      <c r="I137" s="703"/>
      <c r="J137" s="703"/>
      <c r="K137" s="703"/>
      <c r="M137" s="699"/>
      <c r="N137" s="699"/>
      <c r="P137" s="699"/>
      <c r="Q137" s="699"/>
      <c r="R137" s="699"/>
      <c r="S137" s="699"/>
      <c r="T137" s="699"/>
    </row>
    <row r="138" spans="1:20" s="700" customFormat="1" ht="3.75" customHeight="1">
      <c r="A138" s="683"/>
      <c r="B138" s="699"/>
      <c r="C138" s="699"/>
      <c r="D138" s="699"/>
      <c r="E138" s="699"/>
      <c r="F138" s="699"/>
      <c r="G138" s="699"/>
      <c r="H138" s="699"/>
      <c r="I138" s="699"/>
      <c r="J138" s="699"/>
      <c r="K138" s="699"/>
      <c r="M138" s="699"/>
      <c r="N138" s="699"/>
      <c r="P138" s="699"/>
      <c r="Q138" s="699"/>
      <c r="R138" s="699"/>
      <c r="S138" s="699"/>
      <c r="T138" s="699"/>
    </row>
    <row r="139" spans="1:20" s="700" customFormat="1" ht="90.75" customHeight="1">
      <c r="A139" s="681"/>
      <c r="B139" s="1777" t="s">
        <v>1903</v>
      </c>
      <c r="C139" s="1782"/>
      <c r="D139" s="1782"/>
      <c r="E139" s="1782"/>
      <c r="F139" s="1782"/>
      <c r="G139" s="1782"/>
      <c r="H139" s="1782"/>
      <c r="I139" s="1782"/>
      <c r="J139" s="1782"/>
      <c r="K139" s="1782"/>
      <c r="M139" s="699"/>
      <c r="N139" s="699"/>
      <c r="P139" s="699"/>
      <c r="Q139" s="699"/>
      <c r="R139" s="699"/>
      <c r="S139" s="699"/>
      <c r="T139" s="699"/>
    </row>
    <row r="140" spans="1:20" s="700" customFormat="1">
      <c r="A140" s="683"/>
      <c r="B140" s="699"/>
      <c r="C140" s="699"/>
      <c r="D140" s="699"/>
      <c r="E140" s="699"/>
      <c r="F140" s="699"/>
      <c r="G140" s="699"/>
      <c r="H140" s="699"/>
      <c r="I140" s="699"/>
      <c r="J140" s="699"/>
      <c r="K140" s="699"/>
      <c r="M140" s="699"/>
      <c r="N140" s="699"/>
      <c r="P140" s="699"/>
      <c r="Q140" s="699"/>
      <c r="R140" s="699"/>
      <c r="S140" s="699"/>
      <c r="T140" s="699"/>
    </row>
    <row r="141" spans="1:20" s="700" customFormat="1">
      <c r="A141" s="683"/>
      <c r="B141" s="681" t="s">
        <v>157</v>
      </c>
      <c r="C141" s="699"/>
      <c r="D141" s="699"/>
      <c r="E141" s="699"/>
      <c r="F141" s="699"/>
      <c r="G141" s="699"/>
      <c r="H141" s="699"/>
      <c r="I141" s="699"/>
      <c r="J141" s="699"/>
      <c r="K141" s="699"/>
      <c r="M141" s="699"/>
      <c r="N141" s="699"/>
      <c r="P141" s="699"/>
      <c r="Q141" s="699"/>
      <c r="R141" s="699"/>
      <c r="S141" s="699"/>
      <c r="T141" s="699"/>
    </row>
    <row r="142" spans="1:20" s="700" customFormat="1" ht="37.5" customHeight="1">
      <c r="A142" s="683"/>
      <c r="B142" s="1792" t="s">
        <v>1984</v>
      </c>
      <c r="C142" s="1792"/>
      <c r="D142" s="1792"/>
      <c r="E142" s="1792"/>
      <c r="F142" s="1792"/>
      <c r="G142" s="1792"/>
      <c r="H142" s="1792"/>
      <c r="I142" s="1792"/>
      <c r="J142" s="1792"/>
      <c r="K142" s="1792"/>
      <c r="M142" s="699"/>
      <c r="N142" s="699"/>
      <c r="P142" s="699"/>
      <c r="Q142" s="699"/>
      <c r="R142" s="699"/>
      <c r="S142" s="699"/>
      <c r="T142" s="699"/>
    </row>
    <row r="143" spans="1:20" s="700" customFormat="1" ht="76.5" customHeight="1">
      <c r="A143" s="683"/>
      <c r="B143" s="1806" t="s">
        <v>1985</v>
      </c>
      <c r="C143" s="1782"/>
      <c r="D143" s="1782"/>
      <c r="E143" s="1782"/>
      <c r="F143" s="1782"/>
      <c r="G143" s="1782"/>
      <c r="H143" s="1782"/>
      <c r="I143" s="1782"/>
      <c r="J143" s="1782"/>
      <c r="K143" s="1782"/>
      <c r="M143" s="699"/>
      <c r="N143" s="699"/>
      <c r="P143" s="699"/>
      <c r="Q143" s="699"/>
      <c r="R143" s="699"/>
      <c r="S143" s="699"/>
      <c r="T143" s="699"/>
    </row>
    <row r="144" spans="1:20" s="700" customFormat="1" ht="67.5" customHeight="1">
      <c r="A144" s="683"/>
      <c r="B144" s="1806" t="s">
        <v>1986</v>
      </c>
      <c r="C144" s="1782"/>
      <c r="D144" s="1782"/>
      <c r="E144" s="1782"/>
      <c r="F144" s="1782"/>
      <c r="G144" s="1782"/>
      <c r="H144" s="1782"/>
      <c r="I144" s="1782"/>
      <c r="J144" s="1782"/>
      <c r="K144" s="1782"/>
      <c r="M144" s="699"/>
      <c r="N144" s="699"/>
      <c r="P144" s="699"/>
      <c r="Q144" s="699"/>
      <c r="R144" s="699"/>
      <c r="S144" s="699"/>
      <c r="T144" s="699"/>
    </row>
    <row r="145" spans="1:20" s="700" customFormat="1">
      <c r="A145" s="683"/>
      <c r="B145" s="703"/>
      <c r="C145" s="703"/>
      <c r="D145" s="703"/>
      <c r="E145" s="703"/>
      <c r="F145" s="703"/>
      <c r="G145" s="703"/>
      <c r="H145" s="703"/>
      <c r="I145" s="703"/>
      <c r="J145" s="703"/>
      <c r="K145" s="703"/>
      <c r="M145" s="699"/>
      <c r="N145" s="699"/>
      <c r="P145" s="699"/>
      <c r="Q145" s="699"/>
      <c r="R145" s="699"/>
      <c r="S145" s="699"/>
      <c r="T145" s="699"/>
    </row>
    <row r="146" spans="1:20" s="700" customFormat="1">
      <c r="A146" s="683"/>
      <c r="B146" s="1793" t="s">
        <v>1904</v>
      </c>
      <c r="C146" s="1793"/>
      <c r="D146" s="1793"/>
      <c r="E146" s="1793"/>
      <c r="F146" s="703"/>
      <c r="G146" s="703"/>
      <c r="H146" s="703"/>
      <c r="I146" s="703"/>
      <c r="J146" s="703"/>
      <c r="K146" s="703"/>
      <c r="M146" s="699"/>
      <c r="N146" s="699"/>
      <c r="P146" s="699"/>
      <c r="Q146" s="699"/>
      <c r="R146" s="699"/>
      <c r="S146" s="699"/>
      <c r="T146" s="699"/>
    </row>
    <row r="147" spans="1:20" s="700" customFormat="1" ht="26.25" customHeight="1">
      <c r="A147" s="683"/>
      <c r="B147" s="1792" t="s">
        <v>1905</v>
      </c>
      <c r="C147" s="1792"/>
      <c r="D147" s="1792"/>
      <c r="E147" s="1792"/>
      <c r="F147" s="1792"/>
      <c r="G147" s="1792"/>
      <c r="H147" s="1792"/>
      <c r="I147" s="1792"/>
      <c r="J147" s="1792"/>
      <c r="K147" s="1792"/>
      <c r="M147" s="699"/>
      <c r="N147" s="699"/>
      <c r="P147" s="699"/>
      <c r="Q147" s="699"/>
      <c r="R147" s="699"/>
      <c r="S147" s="699"/>
      <c r="T147" s="699"/>
    </row>
    <row r="148" spans="1:20" s="700" customFormat="1">
      <c r="A148" s="683"/>
      <c r="B148" s="1792"/>
      <c r="C148" s="1792"/>
      <c r="D148" s="1792"/>
      <c r="E148" s="1792"/>
      <c r="F148" s="1792"/>
      <c r="G148" s="1792"/>
      <c r="H148" s="1792"/>
      <c r="I148" s="1792"/>
      <c r="J148" s="1792"/>
      <c r="K148" s="1792"/>
      <c r="M148" s="699"/>
      <c r="N148" s="699"/>
      <c r="P148" s="699"/>
      <c r="Q148" s="699"/>
      <c r="R148" s="699"/>
      <c r="S148" s="699"/>
      <c r="T148" s="699"/>
    </row>
    <row r="149" spans="1:20" s="700" customFormat="1">
      <c r="A149" s="698">
        <v>2.1</v>
      </c>
      <c r="B149" s="681" t="s">
        <v>158</v>
      </c>
      <c r="C149" s="699"/>
      <c r="D149" s="681"/>
      <c r="E149" s="681"/>
      <c r="F149" s="681"/>
      <c r="G149" s="699"/>
      <c r="H149" s="699"/>
      <c r="I149" s="699"/>
      <c r="J149" s="699"/>
      <c r="K149" s="699"/>
      <c r="M149" s="699"/>
      <c r="N149" s="699"/>
      <c r="P149" s="699"/>
      <c r="Q149" s="699"/>
      <c r="R149" s="699"/>
      <c r="S149" s="699"/>
      <c r="T149" s="699"/>
    </row>
    <row r="150" spans="1:20" s="700" customFormat="1">
      <c r="A150" s="683"/>
      <c r="B150" s="699"/>
      <c r="C150" s="699"/>
      <c r="D150" s="699"/>
      <c r="E150" s="699"/>
      <c r="F150" s="699"/>
      <c r="G150" s="699"/>
      <c r="H150" s="699"/>
      <c r="I150" s="699"/>
      <c r="J150" s="699"/>
      <c r="K150" s="699"/>
      <c r="M150" s="699"/>
      <c r="N150" s="699"/>
      <c r="P150" s="699"/>
      <c r="Q150" s="699"/>
      <c r="R150" s="699"/>
      <c r="S150" s="699"/>
      <c r="T150" s="699"/>
    </row>
    <row r="151" spans="1:20" s="700" customFormat="1" ht="43.5" customHeight="1">
      <c r="A151" s="683"/>
      <c r="B151" s="1775" t="s">
        <v>1899</v>
      </c>
      <c r="C151" s="1782"/>
      <c r="D151" s="1782"/>
      <c r="E151" s="1782"/>
      <c r="F151" s="1782"/>
      <c r="G151" s="1782"/>
      <c r="H151" s="1782"/>
      <c r="I151" s="1782"/>
      <c r="J151" s="1782"/>
      <c r="K151" s="1782"/>
      <c r="M151" s="699"/>
      <c r="N151" s="699"/>
      <c r="P151" s="699"/>
      <c r="Q151" s="699"/>
      <c r="R151" s="699"/>
      <c r="S151" s="699"/>
      <c r="T151" s="699"/>
    </row>
    <row r="152" spans="1:20" s="700" customFormat="1">
      <c r="A152" s="681"/>
      <c r="B152" s="699"/>
      <c r="C152" s="699"/>
      <c r="D152" s="699"/>
      <c r="E152" s="699"/>
      <c r="F152" s="699"/>
      <c r="G152" s="699"/>
      <c r="H152" s="699"/>
      <c r="I152" s="699"/>
      <c r="J152" s="699"/>
      <c r="K152" s="699"/>
      <c r="M152" s="699"/>
      <c r="N152" s="699"/>
      <c r="P152" s="699"/>
      <c r="Q152" s="699"/>
      <c r="R152" s="699"/>
      <c r="S152" s="699"/>
      <c r="T152" s="699"/>
    </row>
    <row r="153" spans="1:20" s="700" customFormat="1">
      <c r="A153" s="723">
        <v>2.11</v>
      </c>
      <c r="B153" s="681" t="s">
        <v>1846</v>
      </c>
      <c r="C153" s="699"/>
      <c r="D153" s="681"/>
      <c r="E153" s="681"/>
      <c r="F153" s="681"/>
      <c r="G153" s="699"/>
      <c r="H153" s="699"/>
      <c r="I153" s="699"/>
      <c r="J153" s="699"/>
      <c r="K153" s="699"/>
      <c r="M153" s="699"/>
      <c r="N153" s="699"/>
      <c r="P153" s="699"/>
      <c r="Q153" s="699"/>
      <c r="R153" s="699"/>
      <c r="S153" s="699"/>
      <c r="T153" s="699"/>
    </row>
    <row r="154" spans="1:20" s="700" customFormat="1">
      <c r="A154" s="683"/>
      <c r="B154" s="714" t="s">
        <v>1847</v>
      </c>
      <c r="C154" s="715"/>
      <c r="D154" s="715"/>
      <c r="E154" s="715"/>
      <c r="F154" s="681"/>
      <c r="G154" s="699"/>
      <c r="H154" s="699"/>
      <c r="I154" s="699"/>
      <c r="J154" s="699"/>
      <c r="K154" s="699"/>
      <c r="M154" s="699"/>
      <c r="N154" s="699"/>
      <c r="P154" s="699"/>
      <c r="Q154" s="699"/>
      <c r="R154" s="699"/>
      <c r="S154" s="699"/>
      <c r="T154" s="699"/>
    </row>
    <row r="155" spans="1:20" s="700" customFormat="1" ht="66" customHeight="1">
      <c r="A155" s="683"/>
      <c r="B155" s="1807" t="s">
        <v>1848</v>
      </c>
      <c r="C155" s="1807"/>
      <c r="D155" s="1807"/>
      <c r="E155" s="1807"/>
      <c r="F155" s="1807"/>
      <c r="G155" s="1807"/>
      <c r="H155" s="1807"/>
      <c r="I155" s="1807"/>
      <c r="J155" s="1807"/>
      <c r="K155" s="1807"/>
      <c r="M155" s="699"/>
      <c r="N155" s="699"/>
      <c r="P155" s="699"/>
      <c r="Q155" s="699"/>
      <c r="R155" s="699"/>
      <c r="S155" s="699"/>
      <c r="T155" s="699"/>
    </row>
    <row r="156" spans="1:20" s="700" customFormat="1" ht="5.25" customHeight="1">
      <c r="A156" s="683"/>
      <c r="B156" s="717"/>
      <c r="C156" s="717"/>
      <c r="D156" s="717"/>
      <c r="E156" s="717"/>
      <c r="F156" s="717"/>
      <c r="G156" s="717"/>
      <c r="H156" s="717"/>
      <c r="I156" s="717"/>
      <c r="J156" s="717"/>
      <c r="K156" s="717"/>
      <c r="M156" s="699"/>
      <c r="N156" s="699"/>
      <c r="P156" s="699"/>
      <c r="Q156" s="699"/>
      <c r="R156" s="699"/>
      <c r="S156" s="699"/>
      <c r="T156" s="699"/>
    </row>
    <row r="157" spans="1:20" s="700" customFormat="1">
      <c r="A157" s="683"/>
      <c r="B157" s="714" t="s">
        <v>331</v>
      </c>
      <c r="C157" s="716"/>
      <c r="D157" s="716"/>
      <c r="E157" s="716"/>
      <c r="F157" s="681"/>
      <c r="G157" s="699"/>
      <c r="H157" s="699"/>
      <c r="I157" s="699"/>
      <c r="J157" s="699"/>
      <c r="K157" s="699"/>
      <c r="M157" s="699"/>
      <c r="N157" s="699"/>
      <c r="P157" s="699"/>
      <c r="Q157" s="699"/>
      <c r="R157" s="699"/>
      <c r="S157" s="699"/>
      <c r="T157" s="699"/>
    </row>
    <row r="158" spans="1:20" s="700" customFormat="1" ht="64.5" customHeight="1">
      <c r="A158" s="683"/>
      <c r="B158" s="1807" t="s">
        <v>1849</v>
      </c>
      <c r="C158" s="1807"/>
      <c r="D158" s="1807"/>
      <c r="E158" s="1807"/>
      <c r="F158" s="1807"/>
      <c r="G158" s="1807"/>
      <c r="H158" s="1807"/>
      <c r="I158" s="1807"/>
      <c r="J158" s="1807"/>
      <c r="K158" s="1807"/>
      <c r="M158" s="699"/>
      <c r="N158" s="699"/>
      <c r="P158" s="699"/>
      <c r="Q158" s="699"/>
      <c r="R158" s="699"/>
      <c r="S158" s="699"/>
      <c r="T158" s="699"/>
    </row>
    <row r="159" spans="1:20" s="700" customFormat="1" ht="6.75" customHeight="1">
      <c r="A159" s="683"/>
      <c r="B159" s="717"/>
      <c r="C159" s="717"/>
      <c r="D159" s="717"/>
      <c r="E159" s="717"/>
      <c r="F159" s="717"/>
      <c r="G159" s="717"/>
      <c r="H159" s="717"/>
      <c r="I159" s="717"/>
      <c r="J159" s="717"/>
      <c r="K159" s="717"/>
      <c r="M159" s="699"/>
      <c r="N159" s="699"/>
      <c r="P159" s="699"/>
      <c r="Q159" s="699"/>
      <c r="R159" s="699"/>
      <c r="S159" s="699"/>
      <c r="T159" s="699"/>
    </row>
    <row r="160" spans="1:20" s="700" customFormat="1">
      <c r="A160" s="683"/>
      <c r="B160" s="714" t="s">
        <v>1850</v>
      </c>
      <c r="C160" s="717"/>
      <c r="D160" s="717"/>
      <c r="E160" s="717"/>
      <c r="F160" s="681"/>
      <c r="G160" s="699"/>
      <c r="H160" s="699"/>
      <c r="I160" s="699"/>
      <c r="J160" s="699"/>
      <c r="K160" s="699"/>
      <c r="M160" s="699"/>
      <c r="N160" s="699"/>
      <c r="P160" s="699"/>
      <c r="Q160" s="699"/>
      <c r="R160" s="699"/>
      <c r="S160" s="699"/>
      <c r="T160" s="699"/>
    </row>
    <row r="161" spans="1:20" s="700" customFormat="1" ht="28.5" customHeight="1">
      <c r="A161" s="683"/>
      <c r="B161" s="1807" t="s">
        <v>1851</v>
      </c>
      <c r="C161" s="1807"/>
      <c r="D161" s="1807"/>
      <c r="E161" s="1807"/>
      <c r="F161" s="1807"/>
      <c r="G161" s="1807"/>
      <c r="H161" s="1807"/>
      <c r="I161" s="1807"/>
      <c r="J161" s="1807"/>
      <c r="K161" s="1807"/>
      <c r="M161" s="699"/>
      <c r="N161" s="699"/>
      <c r="P161" s="699"/>
      <c r="Q161" s="699"/>
      <c r="R161" s="699"/>
      <c r="S161" s="699"/>
      <c r="T161" s="699"/>
    </row>
    <row r="162" spans="1:20" hidden="1">
      <c r="B162" s="681" t="s">
        <v>1845</v>
      </c>
      <c r="C162" s="695"/>
      <c r="D162" s="695"/>
      <c r="E162" s="695"/>
      <c r="F162" s="695"/>
      <c r="G162" s="695"/>
      <c r="H162" s="695"/>
      <c r="I162" s="695"/>
      <c r="J162" s="695"/>
      <c r="K162" s="695"/>
    </row>
    <row r="163" spans="1:20" hidden="1">
      <c r="B163" s="681"/>
      <c r="C163" s="695"/>
      <c r="D163" s="695"/>
      <c r="E163" s="695"/>
      <c r="F163" s="695"/>
      <c r="G163" s="695"/>
      <c r="H163" s="695"/>
      <c r="I163" s="695"/>
      <c r="J163" s="695"/>
      <c r="K163" s="695"/>
    </row>
    <row r="164" spans="1:20" s="700" customFormat="1" hidden="1">
      <c r="A164" s="683"/>
      <c r="C164" s="699"/>
      <c r="D164" s="681"/>
      <c r="E164" s="681"/>
      <c r="F164" s="681"/>
      <c r="G164" s="699"/>
      <c r="H164" s="699"/>
      <c r="I164" s="699"/>
      <c r="J164" s="699"/>
      <c r="K164" s="699"/>
      <c r="M164" s="699"/>
      <c r="N164" s="699"/>
      <c r="P164" s="699"/>
      <c r="Q164" s="699"/>
      <c r="R164" s="699"/>
      <c r="S164" s="699"/>
      <c r="T164" s="699"/>
    </row>
    <row r="165" spans="1:20" s="700" customFormat="1">
      <c r="A165" s="683"/>
      <c r="C165" s="699"/>
      <c r="D165" s="681"/>
      <c r="E165" s="681"/>
      <c r="F165" s="681"/>
      <c r="G165" s="699"/>
      <c r="H165" s="699"/>
      <c r="I165" s="699"/>
      <c r="J165" s="699"/>
      <c r="K165" s="699"/>
      <c r="M165" s="699"/>
      <c r="N165" s="699"/>
      <c r="P165" s="699"/>
      <c r="Q165" s="699"/>
      <c r="R165" s="699"/>
      <c r="S165" s="699"/>
      <c r="T165" s="699"/>
    </row>
    <row r="166" spans="1:20" s="700" customFormat="1">
      <c r="A166" s="723">
        <v>2.12</v>
      </c>
      <c r="B166" s="681" t="s">
        <v>160</v>
      </c>
      <c r="C166" s="699"/>
      <c r="D166" s="681"/>
      <c r="E166" s="681"/>
      <c r="F166" s="681"/>
      <c r="G166" s="699"/>
      <c r="H166" s="699"/>
      <c r="I166" s="699"/>
      <c r="J166" s="699"/>
      <c r="K166" s="699"/>
      <c r="M166" s="699"/>
      <c r="N166" s="699"/>
      <c r="P166" s="699"/>
      <c r="Q166" s="699"/>
      <c r="R166" s="699"/>
      <c r="S166" s="699"/>
      <c r="T166" s="699"/>
    </row>
    <row r="167" spans="1:20" s="700" customFormat="1" ht="26.25" customHeight="1">
      <c r="A167" s="683"/>
      <c r="B167" s="1810" t="s">
        <v>1906</v>
      </c>
      <c r="C167" s="1790"/>
      <c r="D167" s="1790"/>
      <c r="E167" s="1790"/>
      <c r="F167" s="1790"/>
      <c r="G167" s="1790"/>
      <c r="H167" s="1790"/>
      <c r="I167" s="1790"/>
      <c r="J167" s="1790"/>
      <c r="K167" s="1790"/>
      <c r="M167" s="699"/>
      <c r="N167" s="699"/>
      <c r="P167" s="699"/>
      <c r="Q167" s="699"/>
      <c r="R167" s="699"/>
      <c r="S167" s="699"/>
      <c r="T167" s="699"/>
    </row>
    <row r="168" spans="1:20" s="700" customFormat="1">
      <c r="A168" s="681"/>
      <c r="B168" s="699"/>
      <c r="C168" s="699"/>
      <c r="D168" s="699"/>
      <c r="E168" s="699"/>
      <c r="F168" s="699"/>
      <c r="G168" s="699"/>
      <c r="H168" s="699"/>
      <c r="I168" s="699"/>
      <c r="J168" s="699"/>
      <c r="K168" s="699"/>
      <c r="M168" s="699"/>
      <c r="N168" s="699"/>
      <c r="P168" s="699"/>
      <c r="Q168" s="699"/>
      <c r="R168" s="699"/>
      <c r="S168" s="699"/>
      <c r="T168" s="699"/>
    </row>
    <row r="169" spans="1:20" s="700" customFormat="1" ht="15" customHeight="1">
      <c r="A169" s="683"/>
      <c r="B169" s="1809" t="s">
        <v>71</v>
      </c>
      <c r="C169" s="1809"/>
      <c r="D169" s="1809"/>
      <c r="E169" s="1809"/>
      <c r="F169" s="1809"/>
      <c r="G169" s="1809"/>
      <c r="H169" s="1809"/>
      <c r="I169" s="1809"/>
      <c r="J169" s="1809"/>
      <c r="K169" s="1809"/>
      <c r="M169" s="699"/>
      <c r="N169" s="699"/>
      <c r="P169" s="699"/>
      <c r="Q169" s="699"/>
      <c r="R169" s="699"/>
      <c r="S169" s="699"/>
      <c r="T169" s="699"/>
    </row>
    <row r="170" spans="1:20" s="700" customFormat="1" ht="50.25" customHeight="1">
      <c r="A170" s="683"/>
      <c r="B170" s="1777" t="s">
        <v>1907</v>
      </c>
      <c r="C170" s="1777"/>
      <c r="D170" s="1777"/>
      <c r="E170" s="1777"/>
      <c r="F170" s="1777"/>
      <c r="G170" s="1777"/>
      <c r="H170" s="1777"/>
      <c r="I170" s="1777"/>
      <c r="J170" s="1777"/>
      <c r="K170" s="1777"/>
      <c r="M170" s="699"/>
      <c r="N170" s="699"/>
      <c r="P170" s="699"/>
      <c r="Q170" s="699"/>
      <c r="R170" s="699"/>
      <c r="S170" s="699"/>
      <c r="T170" s="699"/>
    </row>
    <row r="171" spans="1:20" s="700" customFormat="1">
      <c r="A171" s="681"/>
      <c r="B171" s="699"/>
      <c r="C171" s="704"/>
      <c r="D171" s="704"/>
      <c r="E171" s="704"/>
      <c r="F171" s="704"/>
      <c r="G171" s="704"/>
      <c r="H171" s="704"/>
      <c r="I171" s="704"/>
      <c r="J171" s="704"/>
      <c r="K171" s="704"/>
      <c r="M171" s="699"/>
      <c r="N171" s="699"/>
      <c r="P171" s="699"/>
      <c r="Q171" s="699"/>
      <c r="R171" s="699"/>
      <c r="S171" s="699"/>
      <c r="T171" s="699"/>
    </row>
    <row r="172" spans="1:20" s="700" customFormat="1">
      <c r="A172" s="723">
        <v>2.12</v>
      </c>
      <c r="B172" s="681" t="s">
        <v>2087</v>
      </c>
      <c r="C172" s="704"/>
      <c r="D172" s="704"/>
      <c r="E172" s="704"/>
      <c r="F172" s="704"/>
      <c r="G172" s="704"/>
      <c r="H172" s="704"/>
      <c r="I172" s="704"/>
      <c r="J172" s="704"/>
      <c r="K172" s="704"/>
      <c r="M172" s="699"/>
      <c r="N172" s="699"/>
      <c r="P172" s="699"/>
      <c r="Q172" s="699"/>
      <c r="R172" s="699"/>
      <c r="S172" s="699"/>
      <c r="T172" s="699"/>
    </row>
    <row r="173" spans="1:20" s="700" customFormat="1">
      <c r="A173" s="681"/>
      <c r="B173" s="699"/>
      <c r="C173" s="704"/>
      <c r="D173" s="704"/>
      <c r="E173" s="704"/>
      <c r="F173" s="704"/>
      <c r="G173" s="704"/>
      <c r="H173" s="704"/>
      <c r="I173" s="704"/>
      <c r="J173" s="704"/>
      <c r="K173" s="704"/>
      <c r="M173" s="699"/>
      <c r="N173" s="699"/>
      <c r="P173" s="699"/>
      <c r="Q173" s="699"/>
      <c r="R173" s="699"/>
      <c r="S173" s="699"/>
      <c r="T173" s="699"/>
    </row>
    <row r="174" spans="1:20" s="700" customFormat="1" ht="15" customHeight="1">
      <c r="A174" s="683"/>
      <c r="B174" s="1778" t="s">
        <v>1852</v>
      </c>
      <c r="C174" s="1778"/>
      <c r="D174" s="699"/>
      <c r="E174" s="699"/>
      <c r="F174" s="699"/>
      <c r="G174" s="699"/>
      <c r="H174" s="699"/>
      <c r="I174" s="699"/>
      <c r="J174" s="699"/>
      <c r="K174" s="699"/>
      <c r="M174" s="699"/>
      <c r="N174" s="699"/>
      <c r="P174" s="699"/>
      <c r="Q174" s="699"/>
      <c r="R174" s="699"/>
      <c r="S174" s="699"/>
      <c r="T174" s="699"/>
    </row>
    <row r="175" spans="1:20" s="700" customFormat="1" ht="151.5" customHeight="1">
      <c r="A175" s="683"/>
      <c r="B175" s="1777" t="s">
        <v>1908</v>
      </c>
      <c r="C175" s="1777"/>
      <c r="D175" s="1777"/>
      <c r="E175" s="1777"/>
      <c r="F175" s="1777"/>
      <c r="G175" s="1777"/>
      <c r="H175" s="1777"/>
      <c r="I175" s="1777"/>
      <c r="J175" s="1777"/>
      <c r="K175" s="1777"/>
      <c r="M175" s="699"/>
      <c r="N175" s="699"/>
      <c r="P175" s="699"/>
      <c r="Q175" s="699"/>
      <c r="R175" s="699"/>
      <c r="S175" s="699"/>
      <c r="T175" s="699"/>
    </row>
    <row r="176" spans="1:20" s="700" customFormat="1" ht="6" customHeight="1">
      <c r="A176" s="683"/>
      <c r="B176" s="699"/>
      <c r="C176" s="980"/>
      <c r="D176" s="704"/>
      <c r="E176" s="704"/>
      <c r="F176" s="704"/>
      <c r="G176" s="704"/>
      <c r="H176" s="704"/>
      <c r="I176" s="704"/>
      <c r="J176" s="704"/>
      <c r="K176" s="704"/>
      <c r="M176" s="699"/>
      <c r="N176" s="699"/>
      <c r="P176" s="699"/>
      <c r="Q176" s="699"/>
      <c r="R176" s="699"/>
      <c r="S176" s="699"/>
      <c r="T176" s="699"/>
    </row>
    <row r="177" spans="1:20" s="700" customFormat="1" ht="66.75" customHeight="1">
      <c r="A177" s="683"/>
      <c r="B177" s="1794" t="s">
        <v>1909</v>
      </c>
      <c r="C177" s="1794"/>
      <c r="D177" s="1794"/>
      <c r="E177" s="1794"/>
      <c r="F177" s="1794"/>
      <c r="G177" s="1794"/>
      <c r="H177" s="1794"/>
      <c r="I177" s="1794"/>
      <c r="J177" s="1794"/>
      <c r="K177" s="1794"/>
      <c r="M177" s="699"/>
      <c r="N177" s="699"/>
      <c r="P177" s="699"/>
      <c r="Q177" s="699"/>
      <c r="R177" s="699"/>
      <c r="S177" s="699"/>
      <c r="T177" s="699"/>
    </row>
    <row r="178" spans="1:20" s="700" customFormat="1" hidden="1">
      <c r="A178" s="683"/>
      <c r="B178" s="703"/>
      <c r="C178" s="703"/>
      <c r="D178" s="703"/>
      <c r="E178" s="703"/>
      <c r="F178" s="703"/>
      <c r="G178" s="703"/>
      <c r="H178" s="703"/>
      <c r="I178" s="703"/>
      <c r="J178" s="703"/>
      <c r="K178" s="703"/>
      <c r="M178" s="699"/>
      <c r="N178" s="699"/>
      <c r="P178" s="699"/>
      <c r="Q178" s="699"/>
      <c r="R178" s="699"/>
      <c r="S178" s="699"/>
      <c r="T178" s="699"/>
    </row>
    <row r="179" spans="1:20" s="700" customFormat="1">
      <c r="A179" s="683"/>
      <c r="B179" s="703"/>
      <c r="C179" s="703"/>
      <c r="D179" s="703"/>
      <c r="E179" s="703"/>
      <c r="F179" s="703"/>
      <c r="G179" s="703"/>
      <c r="H179" s="703"/>
      <c r="I179" s="703"/>
      <c r="J179" s="703"/>
      <c r="K179" s="703"/>
      <c r="M179" s="699"/>
      <c r="N179" s="699"/>
      <c r="P179" s="699"/>
      <c r="Q179" s="699"/>
      <c r="R179" s="699"/>
      <c r="S179" s="699"/>
      <c r="T179" s="699"/>
    </row>
    <row r="180" spans="1:20" s="700" customFormat="1">
      <c r="A180" s="723">
        <v>2.13</v>
      </c>
      <c r="B180" s="681" t="s">
        <v>161</v>
      </c>
      <c r="C180" s="703"/>
      <c r="D180" s="703"/>
      <c r="E180" s="703"/>
      <c r="F180" s="703"/>
      <c r="G180" s="703"/>
      <c r="H180" s="703"/>
      <c r="I180" s="703"/>
      <c r="J180" s="703"/>
      <c r="K180" s="703"/>
      <c r="M180" s="699"/>
      <c r="N180" s="699"/>
      <c r="P180" s="699"/>
      <c r="Q180" s="699"/>
      <c r="R180" s="699"/>
      <c r="S180" s="699"/>
      <c r="T180" s="699"/>
    </row>
    <row r="181" spans="1:20" s="700" customFormat="1" ht="9" customHeight="1">
      <c r="A181" s="683"/>
      <c r="B181" s="703"/>
      <c r="C181" s="703"/>
      <c r="D181" s="703"/>
      <c r="E181" s="703"/>
      <c r="F181" s="703"/>
      <c r="G181" s="703"/>
      <c r="H181" s="703"/>
      <c r="I181" s="703"/>
      <c r="J181" s="703"/>
      <c r="K181" s="703"/>
      <c r="M181" s="699"/>
      <c r="N181" s="699"/>
      <c r="P181" s="699"/>
      <c r="Q181" s="699"/>
      <c r="R181" s="699"/>
      <c r="S181" s="699"/>
      <c r="T181" s="699"/>
    </row>
    <row r="182" spans="1:20" s="700" customFormat="1" ht="51.75" customHeight="1">
      <c r="A182" s="683"/>
      <c r="B182" s="1734" t="s">
        <v>162</v>
      </c>
      <c r="C182" s="1734"/>
      <c r="D182" s="1734"/>
      <c r="E182" s="1734"/>
      <c r="F182" s="1734"/>
      <c r="G182" s="1734"/>
      <c r="H182" s="1734"/>
      <c r="I182" s="1734"/>
      <c r="J182" s="1734"/>
      <c r="K182" s="1734"/>
      <c r="M182" s="699"/>
      <c r="N182" s="699"/>
      <c r="P182" s="699"/>
      <c r="Q182" s="699"/>
      <c r="R182" s="699"/>
      <c r="S182" s="699"/>
      <c r="T182" s="699"/>
    </row>
    <row r="183" spans="1:20" s="700" customFormat="1" hidden="1">
      <c r="A183" s="683"/>
      <c r="B183" s="704"/>
      <c r="C183" s="704"/>
      <c r="D183" s="704"/>
      <c r="E183" s="704"/>
      <c r="F183" s="704"/>
      <c r="G183" s="704"/>
      <c r="H183" s="704"/>
      <c r="I183" s="704"/>
      <c r="J183" s="704"/>
      <c r="K183" s="704"/>
      <c r="M183" s="699"/>
      <c r="N183" s="699"/>
      <c r="P183" s="699"/>
      <c r="Q183" s="699"/>
      <c r="R183" s="699"/>
      <c r="S183" s="699"/>
      <c r="T183" s="699"/>
    </row>
    <row r="184" spans="1:20" s="700" customFormat="1" hidden="1">
      <c r="A184" s="683"/>
      <c r="B184" s="681" t="s">
        <v>1845</v>
      </c>
      <c r="C184" s="703"/>
      <c r="D184" s="703"/>
      <c r="E184" s="703"/>
      <c r="F184" s="703"/>
      <c r="G184" s="703"/>
      <c r="H184" s="703"/>
      <c r="I184" s="703"/>
      <c r="J184" s="703"/>
      <c r="K184" s="703"/>
      <c r="M184" s="699"/>
      <c r="N184" s="699"/>
      <c r="P184" s="699"/>
      <c r="Q184" s="699"/>
      <c r="R184" s="699"/>
      <c r="S184" s="699"/>
      <c r="T184" s="699"/>
    </row>
    <row r="185" spans="1:20" s="700" customFormat="1" hidden="1">
      <c r="A185" s="683"/>
      <c r="B185" s="681"/>
      <c r="C185" s="703"/>
      <c r="D185" s="703"/>
      <c r="E185" s="703"/>
      <c r="F185" s="703"/>
      <c r="G185" s="703"/>
      <c r="H185" s="703"/>
      <c r="I185" s="703"/>
      <c r="J185" s="703"/>
      <c r="K185" s="703"/>
      <c r="M185" s="699"/>
      <c r="N185" s="699"/>
      <c r="P185" s="699"/>
      <c r="Q185" s="699"/>
      <c r="R185" s="699"/>
      <c r="S185" s="699"/>
      <c r="T185" s="699"/>
    </row>
    <row r="186" spans="1:20" s="700" customFormat="1" hidden="1">
      <c r="A186" s="683"/>
      <c r="B186" s="681"/>
      <c r="C186" s="703"/>
      <c r="D186" s="703"/>
      <c r="E186" s="703"/>
      <c r="F186" s="703"/>
      <c r="G186" s="703"/>
      <c r="H186" s="703"/>
      <c r="I186" s="703"/>
      <c r="J186" s="703"/>
      <c r="K186" s="703"/>
      <c r="M186" s="699"/>
      <c r="N186" s="699"/>
      <c r="P186" s="699"/>
      <c r="Q186" s="699"/>
      <c r="R186" s="699"/>
      <c r="S186" s="699"/>
      <c r="T186" s="699"/>
    </row>
    <row r="187" spans="1:20" s="700" customFormat="1">
      <c r="A187" s="683"/>
      <c r="B187" s="703"/>
      <c r="C187" s="703"/>
      <c r="D187" s="703"/>
      <c r="E187" s="703"/>
      <c r="F187" s="703"/>
      <c r="G187" s="703"/>
      <c r="H187" s="703"/>
      <c r="I187" s="703"/>
      <c r="J187" s="703"/>
      <c r="K187" s="703"/>
      <c r="M187" s="699"/>
      <c r="N187" s="699"/>
      <c r="P187" s="699"/>
      <c r="Q187" s="699"/>
      <c r="R187" s="699"/>
      <c r="S187" s="699"/>
      <c r="T187" s="699"/>
    </row>
    <row r="188" spans="1:20" s="700" customFormat="1">
      <c r="A188" s="723">
        <v>2.14</v>
      </c>
      <c r="B188" s="681" t="s">
        <v>163</v>
      </c>
      <c r="C188" s="703"/>
      <c r="D188" s="703"/>
      <c r="E188" s="703"/>
      <c r="F188" s="703"/>
      <c r="G188" s="703"/>
      <c r="H188" s="703"/>
      <c r="I188" s="703"/>
      <c r="J188" s="703"/>
      <c r="K188" s="703"/>
      <c r="M188" s="699"/>
      <c r="N188" s="699"/>
      <c r="P188" s="699"/>
      <c r="Q188" s="699"/>
      <c r="R188" s="699"/>
      <c r="S188" s="699"/>
      <c r="T188" s="699"/>
    </row>
    <row r="189" spans="1:20" s="700" customFormat="1" ht="5.25" customHeight="1">
      <c r="A189" s="723"/>
      <c r="B189" s="681"/>
      <c r="C189" s="703"/>
      <c r="D189" s="703"/>
      <c r="E189" s="703"/>
      <c r="F189" s="703"/>
      <c r="G189" s="703"/>
      <c r="H189" s="703"/>
      <c r="I189" s="703"/>
      <c r="J189" s="703"/>
      <c r="K189" s="703"/>
      <c r="M189" s="699"/>
      <c r="N189" s="699"/>
      <c r="P189" s="699"/>
      <c r="Q189" s="699"/>
      <c r="R189" s="699"/>
      <c r="S189" s="699"/>
      <c r="T189" s="699"/>
    </row>
    <row r="190" spans="1:20" s="700" customFormat="1" ht="69.75" customHeight="1">
      <c r="A190" s="683"/>
      <c r="B190" s="1794" t="s">
        <v>1876</v>
      </c>
      <c r="C190" s="1794"/>
      <c r="D190" s="1794"/>
      <c r="E190" s="1794"/>
      <c r="F190" s="1794"/>
      <c r="G190" s="1794"/>
      <c r="H190" s="1794"/>
      <c r="I190" s="1794"/>
      <c r="J190" s="1794"/>
      <c r="K190" s="1794"/>
      <c r="M190" s="699"/>
      <c r="N190" s="699"/>
      <c r="P190" s="699"/>
      <c r="Q190" s="699"/>
      <c r="R190" s="699"/>
      <c r="S190" s="699"/>
      <c r="T190" s="699"/>
    </row>
    <row r="191" spans="1:20" s="700" customFormat="1">
      <c r="A191" s="898" t="s">
        <v>1877</v>
      </c>
      <c r="B191" s="1786" t="s">
        <v>16</v>
      </c>
      <c r="C191" s="1786"/>
      <c r="D191" s="1786"/>
      <c r="E191" s="1786"/>
      <c r="F191" s="1786"/>
      <c r="G191" s="1786"/>
      <c r="H191" s="1786"/>
      <c r="I191" s="1786"/>
      <c r="J191" s="1786"/>
      <c r="K191" s="1786"/>
      <c r="M191" s="699"/>
      <c r="N191" s="699"/>
      <c r="P191" s="699"/>
      <c r="Q191" s="699"/>
      <c r="R191" s="699"/>
      <c r="S191" s="699"/>
      <c r="T191" s="699"/>
    </row>
    <row r="192" spans="1:20" s="700" customFormat="1">
      <c r="A192" s="683"/>
      <c r="B192" s="1813" t="s">
        <v>1878</v>
      </c>
      <c r="C192" s="1813"/>
      <c r="D192" s="1813"/>
      <c r="E192" s="703"/>
      <c r="F192" s="703"/>
      <c r="G192" s="703"/>
      <c r="H192" s="703"/>
      <c r="I192" s="703"/>
      <c r="J192" s="703"/>
      <c r="K192" s="703"/>
      <c r="M192" s="699"/>
      <c r="N192" s="699"/>
      <c r="P192" s="699"/>
      <c r="Q192" s="699"/>
      <c r="R192" s="699"/>
      <c r="S192" s="699"/>
      <c r="T192" s="699"/>
    </row>
    <row r="193" spans="1:20" s="700" customFormat="1" ht="27" customHeight="1">
      <c r="A193" s="683"/>
      <c r="B193" s="1777" t="s">
        <v>1879</v>
      </c>
      <c r="C193" s="1734"/>
      <c r="D193" s="1734"/>
      <c r="E193" s="1734"/>
      <c r="F193" s="1734"/>
      <c r="G193" s="1734"/>
      <c r="H193" s="1734"/>
      <c r="I193" s="1734"/>
      <c r="J193" s="1734"/>
      <c r="K193" s="1734"/>
      <c r="M193" s="699"/>
      <c r="N193" s="699"/>
      <c r="P193" s="699"/>
      <c r="Q193" s="699"/>
      <c r="R193" s="699"/>
      <c r="S193" s="699"/>
      <c r="T193" s="699"/>
    </row>
    <row r="194" spans="1:20" s="700" customFormat="1" ht="3.75" customHeight="1">
      <c r="A194" s="683"/>
      <c r="B194" s="980"/>
      <c r="C194" s="704"/>
      <c r="D194" s="704"/>
      <c r="E194" s="704"/>
      <c r="F194" s="704"/>
      <c r="G194" s="704"/>
      <c r="H194" s="704"/>
      <c r="I194" s="704"/>
      <c r="J194" s="704"/>
      <c r="K194" s="704"/>
      <c r="M194" s="699"/>
      <c r="N194" s="699"/>
      <c r="P194" s="699"/>
      <c r="Q194" s="699"/>
      <c r="R194" s="699"/>
      <c r="S194" s="699"/>
      <c r="T194" s="699"/>
    </row>
    <row r="195" spans="1:20" s="700" customFormat="1">
      <c r="A195" s="683"/>
      <c r="B195" s="878" t="s">
        <v>165</v>
      </c>
      <c r="C195" s="683"/>
      <c r="D195" s="703"/>
      <c r="E195" s="703"/>
      <c r="F195" s="703"/>
      <c r="G195" s="703"/>
      <c r="H195" s="703"/>
      <c r="I195" s="703"/>
      <c r="J195" s="703"/>
      <c r="K195" s="703"/>
      <c r="M195" s="699"/>
      <c r="N195" s="699"/>
      <c r="P195" s="699"/>
      <c r="Q195" s="699"/>
      <c r="R195" s="699"/>
      <c r="S195" s="699"/>
      <c r="T195" s="699"/>
    </row>
    <row r="196" spans="1:20" s="700" customFormat="1">
      <c r="A196" s="683"/>
      <c r="B196" s="721" t="s">
        <v>1854</v>
      </c>
      <c r="C196" s="981" t="s">
        <v>1880</v>
      </c>
      <c r="D196" s="703"/>
      <c r="E196" s="703"/>
      <c r="F196" s="703"/>
      <c r="G196" s="703"/>
      <c r="H196" s="703"/>
      <c r="I196" s="703"/>
      <c r="J196" s="703"/>
      <c r="K196" s="703"/>
      <c r="M196" s="699"/>
      <c r="N196" s="699"/>
      <c r="P196" s="699"/>
      <c r="Q196" s="699"/>
      <c r="R196" s="699"/>
      <c r="S196" s="699"/>
      <c r="T196" s="699"/>
    </row>
    <row r="197" spans="1:20" s="700" customFormat="1" ht="38.25" customHeight="1">
      <c r="A197" s="683"/>
      <c r="B197" s="687"/>
      <c r="C197" s="1776" t="s">
        <v>166</v>
      </c>
      <c r="D197" s="1776"/>
      <c r="E197" s="1776"/>
      <c r="F197" s="1776"/>
      <c r="G197" s="1776"/>
      <c r="H197" s="1776"/>
      <c r="I197" s="1776"/>
      <c r="J197" s="1776"/>
      <c r="K197" s="1776"/>
      <c r="M197" s="699"/>
      <c r="N197" s="699"/>
      <c r="P197" s="699"/>
      <c r="Q197" s="699"/>
      <c r="R197" s="699"/>
      <c r="S197" s="699"/>
      <c r="T197" s="699"/>
    </row>
    <row r="198" spans="1:20" s="700" customFormat="1">
      <c r="A198" s="683"/>
      <c r="B198" s="701"/>
      <c r="C198" s="684"/>
      <c r="D198" s="703"/>
      <c r="E198" s="703"/>
      <c r="F198" s="703"/>
      <c r="G198" s="703"/>
      <c r="H198" s="703"/>
      <c r="I198" s="703"/>
      <c r="J198" s="703"/>
      <c r="K198" s="703"/>
      <c r="M198" s="699"/>
      <c r="N198" s="699"/>
      <c r="P198" s="699"/>
      <c r="Q198" s="699"/>
      <c r="R198" s="699"/>
      <c r="S198" s="699"/>
      <c r="T198" s="699"/>
    </row>
    <row r="199" spans="1:20" s="700" customFormat="1">
      <c r="A199" s="683"/>
      <c r="B199" s="721" t="s">
        <v>1855</v>
      </c>
      <c r="C199" s="1781" t="s">
        <v>1881</v>
      </c>
      <c r="D199" s="1734"/>
      <c r="E199" s="1734"/>
      <c r="F199" s="1734"/>
      <c r="G199" s="1734"/>
      <c r="H199" s="1734"/>
      <c r="I199" s="1734"/>
      <c r="J199" s="1734"/>
      <c r="K199" s="1734"/>
      <c r="M199" s="699"/>
      <c r="N199" s="699"/>
      <c r="P199" s="699"/>
      <c r="Q199" s="699"/>
      <c r="R199" s="699"/>
      <c r="S199" s="699"/>
      <c r="T199" s="699"/>
    </row>
    <row r="200" spans="1:20" s="700" customFormat="1" ht="54.75" customHeight="1">
      <c r="A200" s="683"/>
      <c r="B200" s="704"/>
      <c r="C200" s="1777" t="s">
        <v>1882</v>
      </c>
      <c r="D200" s="1777"/>
      <c r="E200" s="1777"/>
      <c r="F200" s="1777"/>
      <c r="G200" s="1777"/>
      <c r="H200" s="1777"/>
      <c r="I200" s="1777"/>
      <c r="J200" s="1777"/>
      <c r="K200" s="1777"/>
      <c r="M200" s="699"/>
      <c r="N200" s="699"/>
      <c r="P200" s="699"/>
      <c r="Q200" s="699"/>
      <c r="R200" s="699"/>
      <c r="S200" s="699"/>
      <c r="T200" s="699"/>
    </row>
    <row r="201" spans="1:20" s="700" customFormat="1">
      <c r="A201" s="683"/>
      <c r="B201" s="982" t="s">
        <v>1883</v>
      </c>
      <c r="C201" s="1781" t="s">
        <v>1884</v>
      </c>
      <c r="D201" s="1781"/>
      <c r="E201" s="1781"/>
      <c r="F201" s="1781"/>
      <c r="G201" s="1781"/>
      <c r="H201" s="1781"/>
      <c r="I201" s="1781"/>
      <c r="J201" s="1781"/>
      <c r="K201" s="1781"/>
      <c r="M201" s="699"/>
      <c r="N201" s="699"/>
      <c r="P201" s="699"/>
      <c r="Q201" s="699"/>
      <c r="R201" s="699"/>
      <c r="S201" s="699"/>
      <c r="T201" s="699"/>
    </row>
    <row r="202" spans="1:20" s="700" customFormat="1">
      <c r="A202" s="683"/>
      <c r="B202" s="701"/>
      <c r="C202" s="1775" t="s">
        <v>167</v>
      </c>
      <c r="D202" s="1775"/>
      <c r="E202" s="1775"/>
      <c r="F202" s="1775"/>
      <c r="G202" s="1775"/>
      <c r="H202" s="1775"/>
      <c r="I202" s="1775"/>
      <c r="J202" s="1775"/>
      <c r="K202" s="1775"/>
      <c r="M202" s="699"/>
      <c r="N202" s="699"/>
      <c r="P202" s="699"/>
      <c r="Q202" s="699"/>
      <c r="R202" s="699"/>
      <c r="S202" s="699"/>
      <c r="T202" s="699"/>
    </row>
    <row r="203" spans="1:20" s="700" customFormat="1">
      <c r="A203" s="683"/>
      <c r="B203" s="699"/>
      <c r="C203" s="1734"/>
      <c r="D203" s="1734"/>
      <c r="E203" s="1734"/>
      <c r="F203" s="1734"/>
      <c r="G203" s="1734"/>
      <c r="H203" s="1734"/>
      <c r="I203" s="1734"/>
      <c r="J203" s="1734"/>
      <c r="K203" s="1734"/>
      <c r="M203" s="699"/>
      <c r="N203" s="699"/>
      <c r="P203" s="699"/>
      <c r="Q203" s="699"/>
      <c r="R203" s="699"/>
      <c r="S203" s="699"/>
      <c r="T203" s="699"/>
    </row>
    <row r="204" spans="1:20" s="700" customFormat="1">
      <c r="A204" s="681"/>
      <c r="B204" s="983" t="s">
        <v>1885</v>
      </c>
      <c r="C204" s="704"/>
      <c r="D204" s="704"/>
      <c r="E204" s="704"/>
      <c r="F204" s="704"/>
      <c r="G204" s="704"/>
      <c r="H204" s="704"/>
      <c r="I204" s="704"/>
      <c r="J204" s="704"/>
      <c r="K204" s="704"/>
      <c r="M204" s="699"/>
      <c r="N204" s="699"/>
      <c r="P204" s="699"/>
      <c r="Q204" s="699"/>
      <c r="R204" s="699"/>
      <c r="S204" s="699"/>
      <c r="T204" s="699"/>
    </row>
    <row r="205" spans="1:20" s="700" customFormat="1" ht="32.25" customHeight="1">
      <c r="A205" s="683"/>
      <c r="B205" s="1776" t="s">
        <v>1886</v>
      </c>
      <c r="C205" s="1776"/>
      <c r="D205" s="1776"/>
      <c r="E205" s="1776"/>
      <c r="F205" s="1776"/>
      <c r="G205" s="1776"/>
      <c r="H205" s="1776"/>
      <c r="I205" s="1776"/>
      <c r="J205" s="1776"/>
      <c r="K205" s="1776"/>
      <c r="M205" s="699"/>
      <c r="N205" s="699"/>
      <c r="P205" s="699"/>
      <c r="Q205" s="699"/>
      <c r="R205" s="699"/>
      <c r="S205" s="699"/>
      <c r="T205" s="699"/>
    </row>
    <row r="206" spans="1:20" s="700" customFormat="1">
      <c r="A206" s="683"/>
      <c r="B206" s="688" t="s">
        <v>1887</v>
      </c>
      <c r="C206" s="687" t="s">
        <v>38</v>
      </c>
      <c r="D206" s="704"/>
      <c r="E206" s="704"/>
      <c r="F206" s="704"/>
      <c r="G206" s="704"/>
      <c r="H206" s="704"/>
      <c r="I206" s="704"/>
      <c r="J206" s="704"/>
      <c r="K206" s="704"/>
      <c r="M206" s="699"/>
      <c r="N206" s="699"/>
      <c r="P206" s="699"/>
      <c r="Q206" s="699"/>
      <c r="R206" s="699"/>
      <c r="S206" s="699"/>
      <c r="T206" s="699"/>
    </row>
    <row r="207" spans="1:20" s="700" customFormat="1" ht="1.5" customHeight="1">
      <c r="A207" s="683"/>
      <c r="B207" s="683"/>
      <c r="C207" s="683"/>
      <c r="D207" s="703"/>
      <c r="E207" s="703"/>
      <c r="F207" s="703"/>
      <c r="G207" s="703"/>
      <c r="H207" s="703"/>
      <c r="I207" s="703"/>
      <c r="J207" s="703"/>
      <c r="K207" s="703"/>
      <c r="M207" s="699"/>
      <c r="N207" s="699"/>
      <c r="P207" s="699"/>
      <c r="Q207" s="699"/>
      <c r="R207" s="699"/>
      <c r="S207" s="699"/>
      <c r="T207" s="699"/>
    </row>
    <row r="208" spans="1:20" s="700" customFormat="1">
      <c r="A208" s="683"/>
      <c r="B208" s="699"/>
      <c r="C208" s="849" t="s">
        <v>164</v>
      </c>
      <c r="D208" s="694"/>
      <c r="E208" s="694"/>
      <c r="F208" s="694"/>
      <c r="G208" s="694"/>
      <c r="H208" s="694"/>
      <c r="I208" s="694"/>
      <c r="J208" s="694"/>
      <c r="K208" s="694"/>
      <c r="M208" s="699"/>
      <c r="N208" s="699"/>
      <c r="P208" s="699"/>
      <c r="Q208" s="699"/>
      <c r="R208" s="699"/>
      <c r="S208" s="699"/>
      <c r="T208" s="699"/>
    </row>
    <row r="209" spans="1:20" s="700" customFormat="1" ht="24" customHeight="1">
      <c r="A209" s="683"/>
      <c r="B209" s="704"/>
      <c r="C209" s="1811" t="s">
        <v>2000</v>
      </c>
      <c r="D209" s="1736"/>
      <c r="E209" s="1736"/>
      <c r="F209" s="1736"/>
      <c r="G209" s="1736"/>
      <c r="H209" s="1736"/>
      <c r="I209" s="1736"/>
      <c r="J209" s="1736"/>
      <c r="K209" s="1736"/>
      <c r="M209" s="699"/>
      <c r="N209" s="699"/>
      <c r="P209" s="699"/>
      <c r="Q209" s="699"/>
      <c r="R209" s="699"/>
      <c r="S209" s="699"/>
      <c r="T209" s="699"/>
    </row>
    <row r="210" spans="1:20" s="700" customFormat="1" ht="3.75" customHeight="1">
      <c r="A210" s="683"/>
      <c r="B210" s="704"/>
      <c r="C210" s="1791"/>
      <c r="D210" s="1791"/>
      <c r="E210" s="1791"/>
      <c r="F210" s="1734"/>
      <c r="G210" s="1734"/>
      <c r="H210" s="1734"/>
      <c r="I210" s="1734"/>
      <c r="J210" s="1734"/>
      <c r="K210" s="1734"/>
      <c r="M210" s="699"/>
      <c r="N210" s="699"/>
      <c r="P210" s="699"/>
      <c r="Q210" s="699"/>
      <c r="R210" s="699"/>
      <c r="S210" s="699"/>
      <c r="T210" s="699"/>
    </row>
    <row r="211" spans="1:20" s="700" customFormat="1">
      <c r="A211" s="683"/>
      <c r="B211" s="701"/>
      <c r="C211" s="1780" t="s">
        <v>165</v>
      </c>
      <c r="D211" s="1780"/>
      <c r="E211" s="1780"/>
      <c r="F211" s="1734"/>
      <c r="G211" s="1734"/>
      <c r="H211" s="1734"/>
      <c r="I211" s="1734"/>
      <c r="J211" s="1734"/>
      <c r="K211" s="1734"/>
      <c r="M211" s="699"/>
      <c r="N211" s="699"/>
      <c r="P211" s="699"/>
      <c r="Q211" s="699"/>
      <c r="R211" s="699"/>
      <c r="S211" s="699"/>
      <c r="T211" s="699"/>
    </row>
    <row r="212" spans="1:20" s="700" customFormat="1" ht="51.75" customHeight="1">
      <c r="A212" s="683"/>
      <c r="B212" s="681"/>
      <c r="C212" s="1812" t="s">
        <v>1888</v>
      </c>
      <c r="D212" s="1736"/>
      <c r="E212" s="1736"/>
      <c r="F212" s="1736"/>
      <c r="G212" s="1736"/>
      <c r="H212" s="1736"/>
      <c r="I212" s="1736"/>
      <c r="J212" s="1736"/>
      <c r="K212" s="1736"/>
      <c r="M212" s="699"/>
      <c r="N212" s="699"/>
      <c r="P212" s="699"/>
      <c r="Q212" s="699"/>
      <c r="R212" s="699"/>
      <c r="S212" s="699"/>
      <c r="T212" s="699"/>
    </row>
    <row r="213" spans="1:20" s="700" customFormat="1" ht="3" customHeight="1">
      <c r="A213" s="683"/>
      <c r="B213" s="703"/>
      <c r="C213" s="703"/>
      <c r="D213" s="703"/>
      <c r="E213" s="703"/>
      <c r="F213" s="703"/>
      <c r="G213" s="703"/>
      <c r="H213" s="703"/>
      <c r="I213" s="703"/>
      <c r="J213" s="703"/>
      <c r="K213" s="703"/>
      <c r="M213" s="699"/>
      <c r="N213" s="699"/>
      <c r="P213" s="699"/>
      <c r="Q213" s="699"/>
      <c r="R213" s="699"/>
      <c r="S213" s="699"/>
      <c r="T213" s="699"/>
    </row>
    <row r="214" spans="1:20" s="700" customFormat="1">
      <c r="A214" s="683"/>
      <c r="B214" s="703"/>
      <c r="C214" s="1781" t="s">
        <v>168</v>
      </c>
      <c r="D214" s="1781"/>
      <c r="E214" s="1781"/>
      <c r="F214" s="1781"/>
      <c r="G214" s="1781"/>
      <c r="H214" s="1781"/>
      <c r="I214" s="1781"/>
      <c r="J214" s="1781"/>
      <c r="K214" s="1781"/>
      <c r="M214" s="699"/>
      <c r="N214" s="699"/>
      <c r="P214" s="699"/>
      <c r="Q214" s="699"/>
      <c r="R214" s="699"/>
      <c r="S214" s="699"/>
      <c r="T214" s="699"/>
    </row>
    <row r="215" spans="1:20" s="700" customFormat="1" ht="40.5" customHeight="1">
      <c r="A215" s="683"/>
      <c r="B215" s="704"/>
      <c r="C215" s="1781" t="s">
        <v>1889</v>
      </c>
      <c r="D215" s="1734"/>
      <c r="E215" s="1734"/>
      <c r="F215" s="1734"/>
      <c r="G215" s="1734"/>
      <c r="H215" s="1734"/>
      <c r="I215" s="1734"/>
      <c r="J215" s="1734"/>
      <c r="K215" s="1734"/>
      <c r="M215" s="699"/>
      <c r="N215" s="699"/>
      <c r="P215" s="699"/>
      <c r="Q215" s="699"/>
      <c r="R215" s="699"/>
      <c r="S215" s="699"/>
      <c r="T215" s="699"/>
    </row>
    <row r="216" spans="1:20" s="700" customFormat="1">
      <c r="A216" s="683"/>
      <c r="B216" s="704"/>
      <c r="C216" s="979"/>
      <c r="D216" s="704"/>
      <c r="E216" s="704"/>
      <c r="F216" s="704"/>
      <c r="G216" s="704"/>
      <c r="H216" s="704"/>
      <c r="I216" s="704"/>
      <c r="J216" s="704"/>
      <c r="K216" s="704"/>
      <c r="M216" s="699"/>
      <c r="N216" s="699"/>
      <c r="P216" s="699"/>
      <c r="Q216" s="699"/>
      <c r="R216" s="699"/>
      <c r="S216" s="699"/>
      <c r="T216" s="699"/>
    </row>
    <row r="217" spans="1:20" s="700" customFormat="1">
      <c r="A217" s="723">
        <v>2.14</v>
      </c>
      <c r="B217" s="681" t="s">
        <v>2088</v>
      </c>
      <c r="C217" s="704"/>
      <c r="D217" s="704"/>
      <c r="E217" s="704"/>
      <c r="F217" s="704"/>
      <c r="G217" s="704"/>
      <c r="H217" s="704"/>
      <c r="I217" s="704"/>
      <c r="J217" s="704"/>
      <c r="K217" s="704"/>
      <c r="M217" s="699"/>
      <c r="N217" s="699"/>
      <c r="P217" s="699"/>
      <c r="Q217" s="699"/>
      <c r="R217" s="699"/>
      <c r="S217" s="699"/>
      <c r="T217" s="699"/>
    </row>
    <row r="218" spans="1:20" s="700" customFormat="1">
      <c r="A218" s="723"/>
      <c r="B218" s="681"/>
      <c r="C218" s="704"/>
      <c r="D218" s="704"/>
      <c r="E218" s="704"/>
      <c r="F218" s="704"/>
      <c r="G218" s="704"/>
      <c r="H218" s="704"/>
      <c r="I218" s="704"/>
      <c r="J218" s="704"/>
      <c r="K218" s="704"/>
      <c r="M218" s="699"/>
      <c r="N218" s="699"/>
      <c r="P218" s="699"/>
      <c r="Q218" s="699"/>
      <c r="R218" s="699"/>
      <c r="S218" s="699"/>
      <c r="T218" s="699"/>
    </row>
    <row r="219" spans="1:20">
      <c r="B219" s="688" t="s">
        <v>1890</v>
      </c>
      <c r="C219" s="688" t="s">
        <v>169</v>
      </c>
      <c r="D219" s="703"/>
      <c r="E219" s="703"/>
      <c r="F219" s="703"/>
      <c r="G219" s="703"/>
      <c r="H219" s="703"/>
      <c r="I219" s="703"/>
      <c r="J219" s="703"/>
      <c r="K219" s="703"/>
      <c r="O219" s="699"/>
    </row>
    <row r="220" spans="1:20" ht="4.5" customHeight="1">
      <c r="B220" s="703"/>
      <c r="C220" s="683"/>
      <c r="D220" s="703"/>
      <c r="E220" s="703"/>
      <c r="F220" s="703"/>
      <c r="G220" s="703"/>
      <c r="H220" s="703"/>
      <c r="I220" s="703"/>
      <c r="J220" s="703"/>
      <c r="K220" s="703"/>
      <c r="O220" s="699"/>
    </row>
    <row r="221" spans="1:20" s="700" customFormat="1" ht="38.25" customHeight="1">
      <c r="A221" s="683"/>
      <c r="B221" s="704"/>
      <c r="C221" s="1777" t="s">
        <v>1891</v>
      </c>
      <c r="D221" s="1734"/>
      <c r="E221" s="1734"/>
      <c r="F221" s="1734"/>
      <c r="G221" s="1734"/>
      <c r="H221" s="1734"/>
      <c r="I221" s="1734"/>
      <c r="J221" s="1734"/>
      <c r="K221" s="1734"/>
      <c r="M221" s="699"/>
      <c r="N221" s="699"/>
      <c r="P221" s="699"/>
      <c r="Q221" s="699"/>
      <c r="R221" s="699"/>
      <c r="S221" s="699"/>
      <c r="T221" s="699"/>
    </row>
    <row r="222" spans="1:20" s="700" customFormat="1">
      <c r="A222" s="683"/>
      <c r="B222" s="704"/>
      <c r="C222" s="1778"/>
      <c r="D222" s="1778"/>
      <c r="E222" s="1778"/>
      <c r="F222" s="1778"/>
      <c r="G222" s="1778"/>
      <c r="H222" s="1778"/>
      <c r="I222" s="1778"/>
      <c r="J222" s="1778"/>
      <c r="K222" s="1778"/>
      <c r="M222" s="699"/>
      <c r="N222" s="699"/>
      <c r="P222" s="699"/>
      <c r="Q222" s="699"/>
      <c r="R222" s="699"/>
      <c r="S222" s="699"/>
      <c r="T222" s="699"/>
    </row>
    <row r="223" spans="1:20" ht="26.25" customHeight="1">
      <c r="B223" s="984" t="s">
        <v>1854</v>
      </c>
      <c r="C223" s="1781" t="s">
        <v>1892</v>
      </c>
      <c r="D223" s="1734"/>
      <c r="E223" s="1734"/>
      <c r="F223" s="1734"/>
      <c r="G223" s="1734"/>
      <c r="H223" s="1734"/>
      <c r="I223" s="1734"/>
      <c r="J223" s="1734"/>
      <c r="K223" s="1734"/>
      <c r="O223" s="699"/>
    </row>
    <row r="224" spans="1:20" ht="24.75" customHeight="1">
      <c r="B224" s="984" t="s">
        <v>1855</v>
      </c>
      <c r="C224" s="1775" t="s">
        <v>1893</v>
      </c>
      <c r="D224" s="1782"/>
      <c r="E224" s="1782"/>
      <c r="F224" s="1782"/>
      <c r="G224" s="1782"/>
      <c r="H224" s="1782"/>
      <c r="I224" s="1782"/>
      <c r="J224" s="1782"/>
      <c r="K224" s="1782"/>
      <c r="L224" s="704"/>
      <c r="O224" s="699"/>
    </row>
    <row r="225" spans="1:15" ht="16.5" customHeight="1">
      <c r="B225" s="984" t="s">
        <v>1883</v>
      </c>
      <c r="C225" s="1781" t="s">
        <v>1894</v>
      </c>
      <c r="D225" s="1734"/>
      <c r="E225" s="1734"/>
      <c r="F225" s="1734"/>
      <c r="G225" s="1734"/>
      <c r="H225" s="1734"/>
      <c r="I225" s="1734"/>
      <c r="J225" s="1734"/>
      <c r="K225" s="1734"/>
      <c r="O225" s="699"/>
    </row>
    <row r="226" spans="1:15" ht="4.5" customHeight="1">
      <c r="B226" s="704"/>
      <c r="C226" s="1734"/>
      <c r="D226" s="1734"/>
      <c r="E226" s="1734"/>
      <c r="F226" s="1734"/>
      <c r="G226" s="1734"/>
      <c r="H226" s="1734"/>
      <c r="I226" s="1734"/>
      <c r="J226" s="1734"/>
      <c r="K226" s="1734"/>
      <c r="O226" s="699"/>
    </row>
    <row r="227" spans="1:15">
      <c r="B227" s="694" t="s">
        <v>1896</v>
      </c>
      <c r="C227" s="1779" t="s">
        <v>1895</v>
      </c>
      <c r="D227" s="1780"/>
      <c r="E227" s="1780"/>
      <c r="F227" s="1779"/>
      <c r="G227" s="1780"/>
      <c r="H227" s="1780"/>
      <c r="I227" s="1779"/>
      <c r="J227" s="1780"/>
      <c r="K227" s="1780"/>
      <c r="O227" s="699"/>
    </row>
    <row r="228" spans="1:15" ht="3.75" customHeight="1">
      <c r="B228" s="701"/>
      <c r="C228" s="1791"/>
      <c r="D228" s="1791"/>
      <c r="E228" s="1791"/>
      <c r="F228" s="1791"/>
      <c r="G228" s="1791"/>
      <c r="H228" s="1791"/>
      <c r="I228" s="1791"/>
      <c r="J228" s="1791"/>
      <c r="K228" s="1791"/>
      <c r="O228" s="699"/>
    </row>
    <row r="229" spans="1:15" ht="66" customHeight="1">
      <c r="B229" s="704"/>
      <c r="C229" s="1781" t="s">
        <v>1897</v>
      </c>
      <c r="D229" s="1734"/>
      <c r="E229" s="1734"/>
      <c r="F229" s="1734"/>
      <c r="G229" s="1734"/>
      <c r="H229" s="1734"/>
      <c r="I229" s="1734"/>
      <c r="J229" s="1734"/>
      <c r="K229" s="1734"/>
      <c r="L229" s="699"/>
      <c r="O229" s="699"/>
    </row>
    <row r="230" spans="1:15" ht="4.5" customHeight="1">
      <c r="A230" s="681"/>
      <c r="B230" s="975"/>
      <c r="C230" s="1736"/>
      <c r="D230" s="1736"/>
      <c r="E230" s="1736"/>
      <c r="F230" s="1736"/>
      <c r="G230" s="1736"/>
      <c r="H230" s="1736"/>
      <c r="I230" s="1736"/>
      <c r="J230" s="1736"/>
      <c r="K230" s="1736"/>
      <c r="L230" s="699"/>
      <c r="O230" s="699"/>
    </row>
    <row r="231" spans="1:15">
      <c r="B231" s="681" t="s">
        <v>39</v>
      </c>
      <c r="L231" s="699"/>
      <c r="O231" s="699"/>
    </row>
    <row r="232" spans="1:15" ht="4.5" customHeight="1">
      <c r="B232" s="681"/>
      <c r="L232" s="699"/>
      <c r="O232" s="699"/>
    </row>
    <row r="233" spans="1:15" ht="57" customHeight="1">
      <c r="B233" s="1734" t="s">
        <v>170</v>
      </c>
      <c r="C233" s="1734"/>
      <c r="D233" s="1734"/>
      <c r="E233" s="1734"/>
      <c r="F233" s="1734"/>
      <c r="G233" s="1734"/>
      <c r="H233" s="1734"/>
      <c r="I233" s="1734"/>
      <c r="J233" s="1734"/>
      <c r="K233" s="1734"/>
      <c r="L233" s="699"/>
      <c r="O233" s="699"/>
    </row>
    <row r="234" spans="1:15" hidden="1">
      <c r="B234" s="681" t="s">
        <v>1845</v>
      </c>
      <c r="C234" s="704"/>
      <c r="D234" s="704"/>
      <c r="E234" s="704"/>
      <c r="F234" s="704"/>
      <c r="G234" s="704"/>
      <c r="H234" s="704"/>
      <c r="I234" s="704"/>
      <c r="J234" s="704"/>
      <c r="K234" s="704"/>
      <c r="L234" s="699"/>
      <c r="O234" s="699"/>
    </row>
    <row r="235" spans="1:15" hidden="1">
      <c r="B235" s="704"/>
      <c r="C235" s="704"/>
      <c r="D235" s="704"/>
      <c r="E235" s="704"/>
      <c r="F235" s="704"/>
      <c r="G235" s="704"/>
      <c r="H235" s="704"/>
      <c r="I235" s="704"/>
      <c r="J235" s="704"/>
      <c r="K235" s="704"/>
      <c r="L235" s="699"/>
      <c r="O235" s="699"/>
    </row>
    <row r="236" spans="1:15">
      <c r="B236" s="704"/>
      <c r="C236" s="704"/>
      <c r="D236" s="704"/>
      <c r="E236" s="704"/>
      <c r="F236" s="704"/>
      <c r="G236" s="704"/>
      <c r="H236" s="704"/>
      <c r="I236" s="704"/>
      <c r="J236" s="704"/>
      <c r="K236" s="704"/>
      <c r="L236" s="699"/>
      <c r="O236" s="699"/>
    </row>
    <row r="237" spans="1:15">
      <c r="A237" s="722">
        <v>2.15</v>
      </c>
      <c r="B237" s="718" t="s">
        <v>1853</v>
      </c>
      <c r="C237" s="719"/>
      <c r="D237" s="719"/>
      <c r="E237" s="719"/>
      <c r="F237" s="704"/>
      <c r="G237" s="704"/>
      <c r="H237" s="704"/>
      <c r="I237" s="704"/>
      <c r="J237" s="704"/>
      <c r="K237" s="704"/>
      <c r="L237" s="699"/>
      <c r="O237" s="699"/>
    </row>
    <row r="238" spans="1:15">
      <c r="A238" s="720"/>
      <c r="B238" s="719"/>
      <c r="C238" s="719"/>
      <c r="D238" s="719"/>
      <c r="E238" s="719"/>
      <c r="F238" s="704"/>
      <c r="G238" s="704"/>
      <c r="H238" s="704"/>
      <c r="I238" s="704"/>
      <c r="J238" s="704"/>
      <c r="K238" s="704"/>
      <c r="L238" s="699"/>
      <c r="O238" s="699"/>
    </row>
    <row r="239" spans="1:15" hidden="1">
      <c r="A239" s="720"/>
      <c r="B239" s="690"/>
      <c r="C239" s="690"/>
      <c r="D239" s="690"/>
      <c r="E239" s="719"/>
      <c r="F239" s="704"/>
      <c r="G239" s="704"/>
      <c r="H239" s="704"/>
      <c r="I239" s="704"/>
      <c r="J239" s="704"/>
      <c r="K239" s="704"/>
      <c r="L239" s="699"/>
      <c r="O239" s="699"/>
    </row>
    <row r="240" spans="1:15" ht="189" customHeight="1">
      <c r="A240" s="720"/>
      <c r="B240" s="1808" t="s">
        <v>1856</v>
      </c>
      <c r="C240" s="1808"/>
      <c r="D240" s="1808"/>
      <c r="E240" s="1808"/>
      <c r="F240" s="1808"/>
      <c r="G240" s="1808"/>
      <c r="H240" s="1808"/>
      <c r="I240" s="1808"/>
      <c r="J240" s="1808"/>
      <c r="K240" s="1808"/>
      <c r="L240" s="699"/>
      <c r="O240" s="699"/>
    </row>
    <row r="241" spans="1:15">
      <c r="A241" s="720"/>
      <c r="B241" s="719"/>
      <c r="C241" s="719"/>
      <c r="D241" s="719"/>
      <c r="E241" s="719"/>
      <c r="F241" s="704"/>
      <c r="G241" s="704"/>
      <c r="H241" s="704"/>
      <c r="I241" s="704"/>
      <c r="J241" s="704"/>
      <c r="K241" s="704"/>
      <c r="L241" s="699"/>
      <c r="O241" s="699"/>
    </row>
    <row r="242" spans="1:15" ht="266.25" customHeight="1">
      <c r="A242" s="720"/>
      <c r="B242" s="1808" t="s">
        <v>1857</v>
      </c>
      <c r="C242" s="1808"/>
      <c r="D242" s="1808"/>
      <c r="E242" s="1808"/>
      <c r="F242" s="1808"/>
      <c r="G242" s="1808"/>
      <c r="H242" s="1808"/>
      <c r="I242" s="1808"/>
      <c r="J242" s="1808"/>
      <c r="K242" s="1808"/>
      <c r="L242" s="699"/>
      <c r="O242" s="699"/>
    </row>
    <row r="243" spans="1:15">
      <c r="A243" s="720"/>
      <c r="B243" s="719"/>
      <c r="C243" s="719"/>
      <c r="D243" s="719"/>
      <c r="E243" s="719"/>
      <c r="F243" s="704"/>
      <c r="G243" s="704"/>
      <c r="H243" s="704"/>
      <c r="I243" s="704"/>
      <c r="J243" s="704"/>
      <c r="K243" s="704"/>
      <c r="L243" s="699"/>
      <c r="O243" s="699"/>
    </row>
    <row r="244" spans="1:15">
      <c r="A244" s="722">
        <v>2.15</v>
      </c>
      <c r="B244" s="718" t="s">
        <v>2089</v>
      </c>
      <c r="C244" s="719"/>
      <c r="D244" s="719"/>
      <c r="E244" s="719"/>
      <c r="F244" s="704"/>
      <c r="G244" s="704"/>
      <c r="H244" s="704"/>
      <c r="I244" s="704"/>
      <c r="J244" s="704"/>
      <c r="K244" s="704"/>
      <c r="L244" s="699"/>
      <c r="O244" s="699"/>
    </row>
    <row r="245" spans="1:15">
      <c r="A245" s="720"/>
      <c r="B245" s="719"/>
      <c r="C245" s="719"/>
      <c r="D245" s="719"/>
      <c r="E245" s="719"/>
      <c r="F245" s="704"/>
      <c r="G245" s="704"/>
      <c r="H245" s="704"/>
      <c r="I245" s="704"/>
      <c r="J245" s="704"/>
      <c r="K245" s="704"/>
      <c r="L245" s="699"/>
      <c r="O245" s="699"/>
    </row>
    <row r="246" spans="1:15" ht="150.75" customHeight="1">
      <c r="A246" s="720"/>
      <c r="B246" s="1808" t="s">
        <v>1858</v>
      </c>
      <c r="C246" s="1808"/>
      <c r="D246" s="1808"/>
      <c r="E246" s="1808"/>
      <c r="F246" s="1808"/>
      <c r="G246" s="1808"/>
      <c r="H246" s="1808"/>
      <c r="I246" s="1808"/>
      <c r="J246" s="1808"/>
      <c r="K246" s="1808"/>
      <c r="L246" s="699"/>
      <c r="O246" s="699"/>
    </row>
    <row r="247" spans="1:15">
      <c r="B247" s="704"/>
      <c r="C247" s="704"/>
      <c r="D247" s="704"/>
      <c r="E247" s="704"/>
      <c r="F247" s="704"/>
      <c r="G247" s="704"/>
      <c r="H247" s="704"/>
      <c r="I247" s="704"/>
      <c r="J247" s="704"/>
      <c r="K247" s="704"/>
      <c r="L247" s="699"/>
      <c r="O247" s="699"/>
    </row>
    <row r="248" spans="1:15">
      <c r="B248" s="704"/>
      <c r="C248" s="704"/>
      <c r="D248" s="704"/>
      <c r="E248" s="704"/>
      <c r="F248" s="704"/>
      <c r="G248" s="704"/>
      <c r="H248" s="704"/>
      <c r="I248" s="704"/>
      <c r="J248" s="704"/>
      <c r="K248" s="704"/>
      <c r="L248" s="699"/>
      <c r="O248" s="699"/>
    </row>
    <row r="249" spans="1:15">
      <c r="B249" s="704"/>
      <c r="C249" s="704"/>
      <c r="D249" s="704"/>
      <c r="E249" s="704"/>
      <c r="F249" s="704"/>
      <c r="G249" s="704"/>
      <c r="H249" s="704"/>
      <c r="I249" s="704"/>
      <c r="J249" s="704"/>
      <c r="K249" s="704"/>
      <c r="L249" s="699"/>
      <c r="O249" s="699"/>
    </row>
    <row r="250" spans="1:15">
      <c r="B250" s="704"/>
      <c r="C250" s="704"/>
      <c r="D250" s="704"/>
      <c r="E250" s="704"/>
      <c r="F250" s="704"/>
      <c r="G250" s="704"/>
      <c r="H250" s="704"/>
      <c r="I250" s="704"/>
      <c r="J250" s="704"/>
      <c r="K250" s="704"/>
      <c r="L250" s="699"/>
      <c r="O250" s="699"/>
    </row>
    <row r="251" spans="1:15">
      <c r="B251" s="704"/>
      <c r="C251" s="704"/>
      <c r="D251" s="704"/>
      <c r="E251" s="704"/>
      <c r="F251" s="704"/>
      <c r="G251" s="704"/>
      <c r="H251" s="704"/>
      <c r="I251" s="704"/>
      <c r="J251" s="704"/>
      <c r="K251" s="704"/>
      <c r="L251" s="699"/>
      <c r="O251" s="699"/>
    </row>
    <row r="252" spans="1:15">
      <c r="B252" s="704"/>
      <c r="C252" s="704"/>
      <c r="D252" s="704"/>
      <c r="E252" s="704"/>
      <c r="F252" s="704"/>
      <c r="G252" s="704"/>
      <c r="H252" s="704"/>
      <c r="I252" s="704"/>
      <c r="J252" s="704"/>
      <c r="K252" s="704"/>
      <c r="L252" s="699"/>
      <c r="O252" s="699"/>
    </row>
    <row r="253" spans="1:15">
      <c r="B253" s="704"/>
      <c r="C253" s="704"/>
      <c r="D253" s="704"/>
      <c r="E253" s="704"/>
      <c r="F253" s="704"/>
      <c r="G253" s="704"/>
      <c r="H253" s="704"/>
      <c r="I253" s="704"/>
      <c r="J253" s="704"/>
      <c r="K253" s="704"/>
      <c r="L253" s="699"/>
      <c r="O253" s="699"/>
    </row>
    <row r="254" spans="1:15">
      <c r="B254" s="704"/>
      <c r="C254" s="704"/>
      <c r="D254" s="704"/>
      <c r="E254" s="704"/>
      <c r="F254" s="704"/>
      <c r="G254" s="704"/>
      <c r="H254" s="704"/>
      <c r="I254" s="704"/>
      <c r="J254" s="704"/>
      <c r="K254" s="704"/>
      <c r="L254" s="699"/>
      <c r="O254" s="699"/>
    </row>
    <row r="255" spans="1:15">
      <c r="B255" s="704"/>
      <c r="C255" s="704"/>
      <c r="D255" s="704"/>
      <c r="E255" s="704"/>
      <c r="F255" s="704"/>
      <c r="G255" s="704"/>
      <c r="H255" s="704"/>
      <c r="I255" s="704"/>
      <c r="J255" s="704"/>
      <c r="K255" s="704"/>
      <c r="L255" s="699"/>
      <c r="O255" s="699"/>
    </row>
    <row r="256" spans="1:15">
      <c r="B256" s="704"/>
      <c r="C256" s="704"/>
      <c r="D256" s="704"/>
      <c r="E256" s="704"/>
      <c r="F256" s="704"/>
      <c r="G256" s="704"/>
      <c r="H256" s="704"/>
      <c r="I256" s="704"/>
      <c r="J256" s="704"/>
      <c r="K256" s="704"/>
      <c r="L256" s="699"/>
      <c r="O256" s="699"/>
    </row>
    <row r="257" spans="2:15">
      <c r="B257" s="704"/>
      <c r="C257" s="704"/>
      <c r="D257" s="704"/>
      <c r="E257" s="704"/>
      <c r="F257" s="704"/>
      <c r="G257" s="704"/>
      <c r="H257" s="704"/>
      <c r="I257" s="704"/>
      <c r="J257" s="704"/>
      <c r="K257" s="704"/>
      <c r="L257" s="699"/>
      <c r="O257" s="699"/>
    </row>
    <row r="258" spans="2:15">
      <c r="B258" s="704"/>
      <c r="C258" s="704"/>
      <c r="D258" s="704"/>
      <c r="E258" s="704"/>
      <c r="F258" s="704"/>
      <c r="G258" s="704"/>
      <c r="H258" s="704"/>
      <c r="I258" s="704"/>
      <c r="J258" s="704"/>
      <c r="K258" s="704"/>
      <c r="L258" s="699"/>
      <c r="O258" s="699"/>
    </row>
    <row r="259" spans="2:15">
      <c r="B259" s="704"/>
      <c r="C259" s="704"/>
      <c r="D259" s="704"/>
      <c r="E259" s="704"/>
      <c r="F259" s="704"/>
      <c r="G259" s="704"/>
      <c r="H259" s="704"/>
      <c r="I259" s="704"/>
      <c r="J259" s="704"/>
      <c r="K259" s="704"/>
      <c r="L259" s="699"/>
      <c r="O259" s="699"/>
    </row>
    <row r="260" spans="2:15">
      <c r="B260" s="704"/>
      <c r="C260" s="704"/>
      <c r="D260" s="704"/>
      <c r="E260" s="704"/>
      <c r="F260" s="704"/>
      <c r="G260" s="704"/>
      <c r="H260" s="704"/>
      <c r="I260" s="704"/>
      <c r="J260" s="704"/>
      <c r="K260" s="704"/>
      <c r="L260" s="699"/>
      <c r="O260" s="699"/>
    </row>
    <row r="261" spans="2:15">
      <c r="B261" s="704"/>
      <c r="C261" s="704"/>
      <c r="D261" s="704"/>
      <c r="E261" s="704"/>
      <c r="F261" s="704"/>
      <c r="G261" s="704"/>
      <c r="H261" s="704"/>
      <c r="I261" s="704"/>
      <c r="J261" s="704"/>
      <c r="K261" s="704"/>
      <c r="L261" s="699"/>
      <c r="O261" s="699"/>
    </row>
    <row r="262" spans="2:15">
      <c r="B262" s="704"/>
      <c r="C262" s="704"/>
      <c r="D262" s="704"/>
      <c r="E262" s="704"/>
      <c r="F262" s="704"/>
      <c r="G262" s="704"/>
      <c r="H262" s="704"/>
      <c r="I262" s="704"/>
      <c r="J262" s="704"/>
      <c r="K262" s="704"/>
      <c r="L262" s="699"/>
      <c r="O262" s="699"/>
    </row>
    <row r="263" spans="2:15">
      <c r="B263" s="704"/>
      <c r="C263" s="704"/>
      <c r="D263" s="704"/>
      <c r="E263" s="704"/>
      <c r="F263" s="704"/>
      <c r="G263" s="704"/>
      <c r="H263" s="704"/>
      <c r="I263" s="704"/>
      <c r="J263" s="704"/>
      <c r="K263" s="704"/>
      <c r="L263" s="699"/>
      <c r="O263" s="699"/>
    </row>
    <row r="264" spans="2:15">
      <c r="L264" s="699"/>
      <c r="O264" s="699"/>
    </row>
    <row r="265" spans="2:15">
      <c r="B265" s="681"/>
    </row>
  </sheetData>
  <mergeCells count="112">
    <mergeCell ref="B242:K242"/>
    <mergeCell ref="B246:K246"/>
    <mergeCell ref="B240:K240"/>
    <mergeCell ref="B169:K169"/>
    <mergeCell ref="B167:K167"/>
    <mergeCell ref="B182:K182"/>
    <mergeCell ref="B193:K193"/>
    <mergeCell ref="C199:K199"/>
    <mergeCell ref="C201:K201"/>
    <mergeCell ref="C203:K203"/>
    <mergeCell ref="C209:K209"/>
    <mergeCell ref="B233:K233"/>
    <mergeCell ref="C210:E210"/>
    <mergeCell ref="F210:K210"/>
    <mergeCell ref="C211:E211"/>
    <mergeCell ref="F211:K211"/>
    <mergeCell ref="C212:K212"/>
    <mergeCell ref="C229:K229"/>
    <mergeCell ref="C230:K230"/>
    <mergeCell ref="B190:K190"/>
    <mergeCell ref="B191:K191"/>
    <mergeCell ref="B192:D192"/>
    <mergeCell ref="C197:K197"/>
    <mergeCell ref="C200:K200"/>
    <mergeCell ref="B134:K134"/>
    <mergeCell ref="B139:K139"/>
    <mergeCell ref="B143:K143"/>
    <mergeCell ref="B151:K151"/>
    <mergeCell ref="B155:K155"/>
    <mergeCell ref="B158:K158"/>
    <mergeCell ref="B161:K161"/>
    <mergeCell ref="B121:K121"/>
    <mergeCell ref="B130:K130"/>
    <mergeCell ref="B144:K144"/>
    <mergeCell ref="A3:K3"/>
    <mergeCell ref="B23:K23"/>
    <mergeCell ref="B24:K24"/>
    <mergeCell ref="B34:K34"/>
    <mergeCell ref="B44:K44"/>
    <mergeCell ref="B45:K45"/>
    <mergeCell ref="B47:K47"/>
    <mergeCell ref="B35:K35"/>
    <mergeCell ref="B36:K36"/>
    <mergeCell ref="B37:K37"/>
    <mergeCell ref="B38:K38"/>
    <mergeCell ref="B39:K39"/>
    <mergeCell ref="B40:K40"/>
    <mergeCell ref="B41:K41"/>
    <mergeCell ref="B42:K42"/>
    <mergeCell ref="B43:K43"/>
    <mergeCell ref="B8:K8"/>
    <mergeCell ref="B21:K21"/>
    <mergeCell ref="B27:K27"/>
    <mergeCell ref="B17:F17"/>
    <mergeCell ref="B14:K14"/>
    <mergeCell ref="B10:K10"/>
    <mergeCell ref="B12:K12"/>
    <mergeCell ref="B58:K58"/>
    <mergeCell ref="C99:K99"/>
    <mergeCell ref="C103:K103"/>
    <mergeCell ref="C105:K105"/>
    <mergeCell ref="B106:K106"/>
    <mergeCell ref="B110:K110"/>
    <mergeCell ref="B113:K113"/>
    <mergeCell ref="B119:K119"/>
    <mergeCell ref="B59:K59"/>
    <mergeCell ref="B90:K90"/>
    <mergeCell ref="B107:K107"/>
    <mergeCell ref="B109:H109"/>
    <mergeCell ref="B71:K71"/>
    <mergeCell ref="B79:K79"/>
    <mergeCell ref="B83:K83"/>
    <mergeCell ref="B72:K72"/>
    <mergeCell ref="B75:K75"/>
    <mergeCell ref="B77:K77"/>
    <mergeCell ref="B48:K48"/>
    <mergeCell ref="B29:K29"/>
    <mergeCell ref="B30:K30"/>
    <mergeCell ref="B32:K32"/>
    <mergeCell ref="B54:K54"/>
    <mergeCell ref="B33:K33"/>
    <mergeCell ref="B52:K52"/>
    <mergeCell ref="C228:K228"/>
    <mergeCell ref="B56:K56"/>
    <mergeCell ref="B127:K127"/>
    <mergeCell ref="B142:K142"/>
    <mergeCell ref="B146:E146"/>
    <mergeCell ref="B147:K147"/>
    <mergeCell ref="B148:K148"/>
    <mergeCell ref="B170:K170"/>
    <mergeCell ref="B174:C174"/>
    <mergeCell ref="B175:K175"/>
    <mergeCell ref="B177:K177"/>
    <mergeCell ref="B68:K68"/>
    <mergeCell ref="B70:K70"/>
    <mergeCell ref="B84:K84"/>
    <mergeCell ref="B61:D61"/>
    <mergeCell ref="B62:K62"/>
    <mergeCell ref="B55:K55"/>
    <mergeCell ref="C202:K202"/>
    <mergeCell ref="B205:K205"/>
    <mergeCell ref="C221:K221"/>
    <mergeCell ref="C222:K222"/>
    <mergeCell ref="C227:E227"/>
    <mergeCell ref="F227:H227"/>
    <mergeCell ref="I227:K227"/>
    <mergeCell ref="C223:K223"/>
    <mergeCell ref="C224:K224"/>
    <mergeCell ref="C225:K225"/>
    <mergeCell ref="C226:K226"/>
    <mergeCell ref="C214:K214"/>
    <mergeCell ref="C215:K215"/>
  </mergeCells>
  <pageMargins left="0.70866141732283505" right="0.15748031496063" top="0.70866141732283505" bottom="0.23622047244094499" header="0.23622047244094499" footer="0.23622047244094499"/>
  <pageSetup paperSize="9" scale="75" firstPageNumber="14" orientation="portrait" blackAndWhite="1" useFirstPageNumber="1" r:id="rId1"/>
  <headerFooter alignWithMargins="0">
    <oddFooter>&amp;C&amp;P</oddFooter>
  </headerFooter>
  <rowBreaks count="6" manualBreakCount="6">
    <brk id="39" max="11" man="1"/>
    <brk id="79" max="11" man="1"/>
    <brk id="134" max="11" man="1"/>
    <brk id="170" max="11" man="1"/>
    <brk id="215" max="11" man="1"/>
    <brk id="242" max="11" man="1"/>
  </row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CC9900"/>
  </sheetPr>
  <dimension ref="A1:P240"/>
  <sheetViews>
    <sheetView showGridLines="0" zoomScaleNormal="100" workbookViewId="0">
      <pane ySplit="4" topLeftCell="A76" activePane="bottomLeft" state="frozen"/>
      <selection activeCell="B12" sqref="B12"/>
      <selection pane="bottomLeft" activeCell="B12" sqref="B12"/>
    </sheetView>
  </sheetViews>
  <sheetFormatPr defaultColWidth="9.21875" defaultRowHeight="14.4"/>
  <cols>
    <col min="1" max="1" width="9.21875" style="409" bestFit="1" customWidth="1"/>
    <col min="2" max="2" width="60" style="412" customWidth="1"/>
    <col min="3" max="3" width="0.77734375" style="408" customWidth="1"/>
    <col min="4" max="4" width="16.21875" style="408" bestFit="1" customWidth="1"/>
    <col min="5" max="5" width="0.5546875" style="408" customWidth="1"/>
    <col min="6" max="6" width="16.21875" style="408" bestFit="1" customWidth="1"/>
    <col min="7" max="7" width="0.5546875" style="408" customWidth="1"/>
    <col min="8" max="8" width="15.21875" style="408" bestFit="1" customWidth="1"/>
    <col min="9" max="9" width="0.5546875" style="408" customWidth="1"/>
    <col min="10" max="10" width="14.21875" style="408" customWidth="1"/>
    <col min="11" max="11" width="15.21875" style="408" customWidth="1"/>
    <col min="12" max="12" width="14.21875" style="408" customWidth="1"/>
    <col min="13" max="13" width="13.21875" style="408" customWidth="1"/>
    <col min="14" max="14" width="16" style="408" bestFit="1" customWidth="1"/>
    <col min="15" max="15" width="13.21875" style="408" bestFit="1" customWidth="1"/>
    <col min="16" max="16384" width="9.21875" style="408"/>
  </cols>
  <sheetData>
    <row r="1" spans="1:12" ht="21">
      <c r="A1" s="405" t="str">
        <f>+Master!$B$2</f>
        <v>Syntel Solutions (India) Private Limited</v>
      </c>
      <c r="B1" s="406"/>
      <c r="C1" s="407"/>
      <c r="I1" s="409"/>
      <c r="L1" s="410" t="s">
        <v>10</v>
      </c>
    </row>
    <row r="2" spans="1:12">
      <c r="A2" s="411" t="str">
        <f>"Cash Flow Working for the year ended " &amp;Master!$B$5</f>
        <v>Cash Flow Working for the year ended 31st March 2025</v>
      </c>
    </row>
    <row r="4" spans="1:12" s="409" customFormat="1">
      <c r="A4" s="413" t="s">
        <v>722</v>
      </c>
      <c r="B4" s="414" t="s">
        <v>835</v>
      </c>
      <c r="C4" s="415"/>
      <c r="D4" s="416">
        <f>BS!G7</f>
        <v>45747</v>
      </c>
      <c r="E4" s="417"/>
      <c r="F4" s="416">
        <f>BS!I7</f>
        <v>45382</v>
      </c>
      <c r="G4" s="418"/>
      <c r="H4" s="416">
        <v>44651</v>
      </c>
      <c r="I4" s="418"/>
      <c r="J4" s="419"/>
      <c r="K4" s="420" t="s">
        <v>836</v>
      </c>
    </row>
    <row r="5" spans="1:12" ht="5.0999999999999996" customHeight="1">
      <c r="A5" s="421"/>
      <c r="B5" s="422"/>
      <c r="C5" s="423"/>
      <c r="D5" s="424"/>
      <c r="F5" s="424"/>
      <c r="H5" s="424"/>
      <c r="J5" s="424"/>
      <c r="K5" s="424"/>
    </row>
    <row r="6" spans="1:12">
      <c r="A6" s="421"/>
      <c r="B6" s="425"/>
      <c r="C6" s="423"/>
      <c r="D6" s="426"/>
      <c r="E6" s="427"/>
      <c r="F6" s="426"/>
      <c r="G6" s="427"/>
      <c r="H6" s="426"/>
      <c r="J6" s="426"/>
      <c r="K6" s="426"/>
    </row>
    <row r="7" spans="1:12">
      <c r="A7" s="421">
        <v>1</v>
      </c>
      <c r="B7" s="422" t="s">
        <v>837</v>
      </c>
      <c r="C7" s="423"/>
      <c r="D7" s="426"/>
      <c r="E7" s="427"/>
      <c r="F7" s="426"/>
      <c r="G7" s="427"/>
      <c r="H7" s="426"/>
      <c r="J7" s="426"/>
      <c r="K7" s="426"/>
    </row>
    <row r="8" spans="1:12">
      <c r="A8" s="421"/>
      <c r="B8" s="425" t="s">
        <v>838</v>
      </c>
      <c r="C8" s="423"/>
      <c r="D8" s="426">
        <f>+BS!G27</f>
        <v>8607499.1199999992</v>
      </c>
      <c r="E8" s="427"/>
      <c r="F8" s="426">
        <f>+BS!I27</f>
        <v>2012487</v>
      </c>
      <c r="G8" s="427"/>
      <c r="H8" s="426">
        <v>7732579</v>
      </c>
      <c r="J8" s="426"/>
      <c r="K8" s="426" t="str">
        <f>IF(D8-'Sch - BS'!E114=0," ","False")</f>
        <v>False</v>
      </c>
    </row>
    <row r="9" spans="1:12">
      <c r="A9" s="421"/>
      <c r="B9" s="425" t="s">
        <v>839</v>
      </c>
      <c r="C9" s="423"/>
      <c r="D9" s="428">
        <f>-D219</f>
        <v>0</v>
      </c>
      <c r="E9" s="427"/>
      <c r="F9" s="428">
        <f>-F219*0</f>
        <v>0</v>
      </c>
      <c r="G9" s="427"/>
      <c r="H9" s="426"/>
      <c r="J9" s="426"/>
      <c r="K9" s="426"/>
    </row>
    <row r="10" spans="1:12">
      <c r="A10" s="421"/>
      <c r="B10" s="425" t="s">
        <v>840</v>
      </c>
      <c r="C10" s="423"/>
      <c r="D10" s="426">
        <f>+CF!F23+CF!F24</f>
        <v>98431</v>
      </c>
      <c r="E10" s="427"/>
      <c r="F10" s="426">
        <f>+CF!H23+CF!H24</f>
        <v>0</v>
      </c>
      <c r="G10" s="427"/>
      <c r="H10" s="426"/>
      <c r="J10" s="426"/>
      <c r="K10" s="426"/>
      <c r="L10" s="429"/>
    </row>
    <row r="11" spans="1:12">
      <c r="A11" s="421"/>
      <c r="B11" s="425" t="s">
        <v>841</v>
      </c>
      <c r="C11" s="423"/>
      <c r="D11" s="430">
        <f>SUM(D8:D10)</f>
        <v>8705930.1199999992</v>
      </c>
      <c r="E11" s="427"/>
      <c r="F11" s="430">
        <f>SUM(F8:F10)</f>
        <v>2012487</v>
      </c>
      <c r="G11" s="427"/>
      <c r="H11" s="431">
        <f>SUM(H8:H10)</f>
        <v>7732579</v>
      </c>
      <c r="J11" s="426"/>
      <c r="K11" s="426"/>
      <c r="L11" s="429"/>
    </row>
    <row r="12" spans="1:12">
      <c r="A12" s="421"/>
      <c r="B12" s="425" t="s">
        <v>842</v>
      </c>
      <c r="C12" s="423"/>
      <c r="D12" s="426">
        <f>-F8</f>
        <v>-2012487</v>
      </c>
      <c r="E12" s="427"/>
      <c r="F12" s="432">
        <f>-H11</f>
        <v>-7732579</v>
      </c>
      <c r="G12" s="427"/>
      <c r="H12" s="426"/>
      <c r="J12" s="426"/>
      <c r="K12" s="426"/>
    </row>
    <row r="13" spans="1:12" s="438" customFormat="1" ht="15" thickBot="1">
      <c r="A13" s="433"/>
      <c r="B13" s="422"/>
      <c r="C13" s="434"/>
      <c r="D13" s="435">
        <f>SUM(D11:D12)</f>
        <v>6693443.1199999992</v>
      </c>
      <c r="E13" s="436"/>
      <c r="F13" s="435">
        <f>SUM(F11:F12)</f>
        <v>-5720092</v>
      </c>
      <c r="G13" s="436"/>
      <c r="H13" s="437"/>
      <c r="J13" s="437"/>
      <c r="K13" s="437"/>
      <c r="L13" s="408"/>
    </row>
    <row r="14" spans="1:12" ht="15" thickTop="1">
      <c r="A14" s="421"/>
      <c r="B14" s="425"/>
      <c r="C14" s="423"/>
      <c r="D14" s="426"/>
      <c r="E14" s="427"/>
      <c r="F14" s="426"/>
      <c r="G14" s="427"/>
      <c r="H14" s="426"/>
      <c r="J14" s="426"/>
      <c r="K14" s="426"/>
    </row>
    <row r="15" spans="1:12">
      <c r="A15" s="421">
        <v>2</v>
      </c>
      <c r="B15" s="422" t="s">
        <v>843</v>
      </c>
      <c r="C15" s="423"/>
      <c r="D15" s="426"/>
      <c r="E15" s="427"/>
      <c r="F15" s="426"/>
      <c r="G15" s="427"/>
      <c r="H15" s="426"/>
      <c r="J15" s="426"/>
      <c r="K15" s="426"/>
    </row>
    <row r="16" spans="1:12">
      <c r="A16" s="421" t="s">
        <v>844</v>
      </c>
      <c r="B16" s="422" t="s">
        <v>18</v>
      </c>
      <c r="C16" s="423"/>
      <c r="D16" s="426"/>
      <c r="E16" s="427"/>
      <c r="F16" s="426"/>
      <c r="G16" s="427"/>
      <c r="H16" s="426"/>
      <c r="J16" s="426"/>
      <c r="K16" s="426"/>
    </row>
    <row r="17" spans="1:13">
      <c r="A17" s="421"/>
      <c r="B17" s="425" t="s">
        <v>838</v>
      </c>
      <c r="C17" s="423"/>
      <c r="D17" s="426">
        <f>BS!G17</f>
        <v>0</v>
      </c>
      <c r="E17" s="427"/>
      <c r="F17" s="426">
        <f>BS!I17</f>
        <v>0</v>
      </c>
      <c r="G17" s="427"/>
      <c r="H17" s="439"/>
      <c r="J17" s="426"/>
      <c r="K17" s="426"/>
    </row>
    <row r="18" spans="1:13">
      <c r="A18" s="421"/>
      <c r="B18" s="425" t="s">
        <v>845</v>
      </c>
      <c r="C18" s="423"/>
      <c r="D18" s="426"/>
      <c r="E18" s="427"/>
      <c r="F18" s="426"/>
      <c r="G18" s="427"/>
      <c r="H18" s="426"/>
      <c r="J18" s="426"/>
      <c r="K18" s="426"/>
      <c r="L18" s="429"/>
      <c r="M18" s="429"/>
    </row>
    <row r="19" spans="1:13">
      <c r="A19" s="421"/>
      <c r="B19" s="425" t="s">
        <v>846</v>
      </c>
      <c r="C19" s="423"/>
      <c r="D19" s="440">
        <f>SUM(D17:D18)</f>
        <v>0</v>
      </c>
      <c r="E19" s="427"/>
      <c r="F19" s="440">
        <f>SUM(F17:F18)</f>
        <v>0</v>
      </c>
      <c r="G19" s="427"/>
      <c r="H19" s="441"/>
      <c r="J19" s="426"/>
      <c r="K19" s="426"/>
    </row>
    <row r="20" spans="1:13">
      <c r="A20" s="421"/>
      <c r="B20" s="425" t="s">
        <v>842</v>
      </c>
      <c r="C20" s="423"/>
      <c r="D20" s="442">
        <f>-F19</f>
        <v>0</v>
      </c>
      <c r="E20" s="443"/>
      <c r="F20" s="444">
        <f>-ROUND(H19/Master!$B$23,0)</f>
        <v>0</v>
      </c>
      <c r="G20" s="427"/>
      <c r="H20" s="426"/>
      <c r="J20" s="426"/>
      <c r="K20" s="426"/>
    </row>
    <row r="21" spans="1:13">
      <c r="A21" s="421"/>
      <c r="B21" s="425"/>
      <c r="C21" s="423"/>
      <c r="D21" s="445">
        <f>SUM(D19:D20)</f>
        <v>0</v>
      </c>
      <c r="E21" s="443"/>
      <c r="F21" s="445">
        <f>SUM(F19:F20)</f>
        <v>0</v>
      </c>
      <c r="G21" s="427"/>
      <c r="H21" s="426"/>
      <c r="J21" s="426"/>
      <c r="K21" s="426"/>
    </row>
    <row r="22" spans="1:13">
      <c r="A22" s="421" t="s">
        <v>847</v>
      </c>
      <c r="B22" s="422" t="s">
        <v>19</v>
      </c>
      <c r="C22" s="423"/>
      <c r="D22" s="426"/>
      <c r="E22" s="427"/>
      <c r="F22" s="426"/>
      <c r="G22" s="427"/>
      <c r="H22" s="426"/>
      <c r="J22" s="426"/>
      <c r="K22" s="426"/>
    </row>
    <row r="23" spans="1:13">
      <c r="A23" s="421"/>
      <c r="B23" s="425" t="s">
        <v>838</v>
      </c>
      <c r="C23" s="423"/>
      <c r="D23" s="442">
        <f>BS!G18</f>
        <v>0</v>
      </c>
      <c r="E23" s="427"/>
      <c r="F23" s="442">
        <f>BS!I18</f>
        <v>2602786</v>
      </c>
      <c r="G23" s="427"/>
      <c r="H23" s="441">
        <v>2306141</v>
      </c>
      <c r="J23" s="426"/>
      <c r="K23" s="426"/>
      <c r="L23" s="429"/>
    </row>
    <row r="24" spans="1:13">
      <c r="A24" s="421"/>
      <c r="B24" s="425" t="s">
        <v>845</v>
      </c>
      <c r="C24" s="423"/>
      <c r="D24" s="426">
        <f>-'Sch - BS'!G44</f>
        <v>0</v>
      </c>
      <c r="E24" s="427"/>
      <c r="F24" s="426">
        <f>-'Sch - BS'!I44</f>
        <v>0</v>
      </c>
      <c r="G24" s="427"/>
      <c r="H24" s="426"/>
      <c r="J24" s="426"/>
      <c r="K24" s="426"/>
    </row>
    <row r="25" spans="1:13">
      <c r="A25" s="421"/>
      <c r="B25" s="425" t="s">
        <v>848</v>
      </c>
      <c r="C25" s="423"/>
      <c r="D25" s="430">
        <f>SUM(D23:D24)</f>
        <v>0</v>
      </c>
      <c r="E25" s="427"/>
      <c r="F25" s="440">
        <f>SUM(F23:F24)</f>
        <v>2602786</v>
      </c>
      <c r="G25" s="427"/>
      <c r="H25" s="426"/>
      <c r="J25" s="426"/>
      <c r="K25" s="426"/>
    </row>
    <row r="26" spans="1:13">
      <c r="A26" s="421"/>
      <c r="B26" s="425" t="s">
        <v>842</v>
      </c>
      <c r="C26" s="423"/>
      <c r="D26" s="446">
        <f>-F25</f>
        <v>-2602786</v>
      </c>
      <c r="E26" s="427"/>
      <c r="F26" s="447">
        <f>-H23</f>
        <v>-2306141</v>
      </c>
      <c r="G26" s="427"/>
      <c r="H26" s="426"/>
      <c r="J26" s="426"/>
      <c r="K26" s="426"/>
    </row>
    <row r="27" spans="1:13">
      <c r="A27" s="421"/>
      <c r="B27" s="425" t="s">
        <v>849</v>
      </c>
      <c r="C27" s="423"/>
      <c r="D27" s="442">
        <f>-ROUND(('BS Gr'!I458-36105+158934.207899833)/Master!$B$23,0)</f>
        <v>-122829</v>
      </c>
      <c r="E27" s="427"/>
      <c r="F27" s="432">
        <f>ROUND((-122829)/Master!$B$23,0)</f>
        <v>-122829</v>
      </c>
      <c r="G27" s="427"/>
      <c r="H27" s="426"/>
      <c r="J27" s="426"/>
      <c r="K27" s="426"/>
    </row>
    <row r="28" spans="1:13">
      <c r="A28" s="421"/>
      <c r="B28" s="425"/>
      <c r="C28" s="423"/>
      <c r="D28" s="448">
        <f>SUM(D25:D27)</f>
        <v>-2725615</v>
      </c>
      <c r="E28" s="436"/>
      <c r="F28" s="448">
        <f>SUM(F25:F27)</f>
        <v>173816</v>
      </c>
      <c r="G28" s="427"/>
      <c r="H28" s="426"/>
      <c r="J28" s="426"/>
      <c r="K28" s="426"/>
    </row>
    <row r="29" spans="1:13">
      <c r="A29" s="421" t="s">
        <v>850</v>
      </c>
      <c r="B29" s="422" t="s">
        <v>851</v>
      </c>
      <c r="C29" s="423"/>
      <c r="D29" s="426"/>
      <c r="E29" s="427"/>
      <c r="F29" s="432"/>
      <c r="G29" s="427"/>
      <c r="H29" s="426"/>
      <c r="J29" s="426"/>
      <c r="K29" s="426"/>
    </row>
    <row r="30" spans="1:13">
      <c r="A30" s="421"/>
      <c r="B30" s="425" t="s">
        <v>838</v>
      </c>
      <c r="C30" s="423"/>
      <c r="D30" s="426">
        <f>BS!G20</f>
        <v>11303080</v>
      </c>
      <c r="E30" s="427"/>
      <c r="F30" s="426">
        <f>BS!I20</f>
        <v>11303080</v>
      </c>
      <c r="G30" s="427"/>
      <c r="H30" s="441">
        <f>ROUND(11303080/Master!$B$23,0)</f>
        <v>11303080</v>
      </c>
      <c r="J30" s="426"/>
      <c r="K30" s="426"/>
    </row>
    <row r="31" spans="1:13">
      <c r="A31" s="421"/>
      <c r="B31" s="425" t="s">
        <v>852</v>
      </c>
      <c r="C31" s="423"/>
      <c r="D31" s="426">
        <f>-'Sch - BS'!G58</f>
        <v>0</v>
      </c>
      <c r="E31" s="427"/>
      <c r="F31" s="426">
        <f>-'Sch - BS'!I58</f>
        <v>0</v>
      </c>
      <c r="G31" s="427"/>
      <c r="H31" s="441"/>
      <c r="J31" s="426"/>
      <c r="K31" s="426"/>
    </row>
    <row r="32" spans="1:13">
      <c r="A32" s="421"/>
      <c r="B32" s="425" t="s">
        <v>853</v>
      </c>
      <c r="C32" s="423"/>
      <c r="D32" s="426">
        <f>'Sch - BS'!G58</f>
        <v>0</v>
      </c>
      <c r="E32" s="427"/>
      <c r="F32" s="426">
        <f>'Sch - BS'!I58</f>
        <v>0</v>
      </c>
      <c r="G32" s="427"/>
      <c r="H32" s="441"/>
      <c r="J32" s="426"/>
      <c r="K32" s="426"/>
    </row>
    <row r="33" spans="1:13">
      <c r="A33" s="421"/>
      <c r="B33" s="425" t="s">
        <v>854</v>
      </c>
      <c r="C33" s="423"/>
      <c r="D33" s="426">
        <f>-ROUND(('Sch - BS'!G73-'Sch - BS'!I73),0)</f>
        <v>0</v>
      </c>
      <c r="E33" s="427"/>
      <c r="F33" s="426">
        <f>-ROUND(('Sch - BS'!G73-'Sch - BS'!I73),0)*0</f>
        <v>0</v>
      </c>
      <c r="G33" s="427"/>
      <c r="H33" s="441"/>
      <c r="J33" s="426"/>
      <c r="K33" s="426"/>
    </row>
    <row r="34" spans="1:13">
      <c r="A34" s="421"/>
      <c r="B34" s="422" t="s">
        <v>855</v>
      </c>
      <c r="C34" s="423"/>
      <c r="D34" s="426"/>
      <c r="E34" s="427"/>
      <c r="F34" s="426"/>
      <c r="G34" s="427"/>
      <c r="H34" s="426"/>
      <c r="J34" s="426"/>
      <c r="K34" s="426"/>
    </row>
    <row r="35" spans="1:13">
      <c r="A35" s="421"/>
      <c r="B35" s="425" t="s">
        <v>856</v>
      </c>
      <c r="C35" s="423"/>
      <c r="D35" s="426">
        <f>-'Sch - BS'!G67</f>
        <v>0</v>
      </c>
      <c r="E35" s="427"/>
      <c r="F35" s="426">
        <f>-'Sch - BS'!I67</f>
        <v>0</v>
      </c>
      <c r="G35" s="427"/>
      <c r="H35" s="441">
        <f>-'Sch - BS'!I67</f>
        <v>0</v>
      </c>
      <c r="J35" s="426"/>
      <c r="K35" s="426"/>
    </row>
    <row r="36" spans="1:13">
      <c r="A36" s="421"/>
      <c r="B36" s="425"/>
      <c r="C36" s="423"/>
      <c r="D36" s="440">
        <f>SUM(D30:D35)</f>
        <v>11303080</v>
      </c>
      <c r="E36" s="427"/>
      <c r="F36" s="440">
        <f>SUM(F30:F35)</f>
        <v>11303080</v>
      </c>
      <c r="G36" s="427"/>
      <c r="H36" s="426"/>
      <c r="J36" s="426"/>
      <c r="K36" s="426"/>
    </row>
    <row r="37" spans="1:13">
      <c r="A37" s="421"/>
      <c r="B37" s="425" t="s">
        <v>842</v>
      </c>
      <c r="C37" s="423"/>
      <c r="D37" s="437">
        <f>-F36</f>
        <v>-11303080</v>
      </c>
      <c r="E37" s="427"/>
      <c r="F37" s="442">
        <f>(-H30-H35)</f>
        <v>-11303080</v>
      </c>
      <c r="G37" s="427"/>
      <c r="H37" s="426"/>
      <c r="J37" s="426"/>
      <c r="K37" s="426"/>
    </row>
    <row r="38" spans="1:13">
      <c r="A38" s="421"/>
      <c r="B38" s="425"/>
      <c r="C38" s="423"/>
      <c r="D38" s="449">
        <f>SUM(D36:D37)</f>
        <v>0</v>
      </c>
      <c r="E38" s="427"/>
      <c r="F38" s="449">
        <f>SUM(F36:F37)</f>
        <v>0</v>
      </c>
      <c r="G38" s="427"/>
      <c r="H38" s="426"/>
      <c r="J38" s="426"/>
      <c r="K38" s="426"/>
    </row>
    <row r="39" spans="1:13" ht="5.0999999999999996" customHeight="1">
      <c r="A39" s="421"/>
      <c r="B39" s="425"/>
      <c r="C39" s="423"/>
      <c r="D39" s="426"/>
      <c r="E39" s="427"/>
      <c r="F39" s="432"/>
      <c r="G39" s="427"/>
      <c r="H39" s="426"/>
      <c r="J39" s="426"/>
      <c r="K39" s="426"/>
    </row>
    <row r="40" spans="1:13">
      <c r="A40" s="421"/>
      <c r="B40" s="425"/>
      <c r="C40" s="423"/>
      <c r="D40" s="426"/>
      <c r="E40" s="427"/>
      <c r="F40" s="426"/>
      <c r="G40" s="427"/>
      <c r="H40" s="426"/>
      <c r="J40" s="426"/>
      <c r="K40" s="426"/>
    </row>
    <row r="41" spans="1:13">
      <c r="A41" s="421">
        <v>3</v>
      </c>
      <c r="B41" s="422" t="s">
        <v>857</v>
      </c>
      <c r="C41" s="423"/>
      <c r="D41" s="426"/>
      <c r="E41" s="427"/>
      <c r="F41" s="426"/>
      <c r="G41" s="427"/>
      <c r="H41" s="426"/>
      <c r="J41" s="426"/>
      <c r="K41" s="426"/>
    </row>
    <row r="42" spans="1:13">
      <c r="A42" s="421" t="s">
        <v>844</v>
      </c>
      <c r="B42" s="422" t="s">
        <v>18</v>
      </c>
      <c r="C42" s="423"/>
      <c r="D42" s="426"/>
      <c r="E42" s="427"/>
      <c r="F42" s="426"/>
      <c r="G42" s="427"/>
      <c r="H42" s="426"/>
      <c r="J42" s="426"/>
      <c r="K42" s="426"/>
    </row>
    <row r="43" spans="1:13">
      <c r="A43" s="421"/>
      <c r="B43" s="425" t="s">
        <v>838</v>
      </c>
      <c r="C43" s="423"/>
      <c r="D43" s="426">
        <f>BS!E30</f>
        <v>0</v>
      </c>
      <c r="E43" s="427"/>
      <c r="F43" s="426">
        <f>BS!G30</f>
        <v>0</v>
      </c>
      <c r="G43" s="427"/>
      <c r="H43" s="441">
        <f>BS!I30</f>
        <v>0</v>
      </c>
      <c r="J43" s="426"/>
      <c r="K43" s="426"/>
    </row>
    <row r="44" spans="1:13">
      <c r="A44" s="421"/>
      <c r="B44" s="425" t="s">
        <v>842</v>
      </c>
      <c r="C44" s="423"/>
      <c r="D44" s="442">
        <f>-F43</f>
        <v>0</v>
      </c>
      <c r="E44" s="443"/>
      <c r="F44" s="441">
        <f>-H43</f>
        <v>0</v>
      </c>
      <c r="G44" s="427"/>
      <c r="H44" s="426"/>
      <c r="J44" s="426"/>
      <c r="K44" s="426"/>
    </row>
    <row r="45" spans="1:13">
      <c r="A45" s="421"/>
      <c r="B45" s="425"/>
      <c r="C45" s="423"/>
      <c r="D45" s="448">
        <f>SUM(D43:D44)</f>
        <v>0</v>
      </c>
      <c r="E45" s="436"/>
      <c r="F45" s="448">
        <f>SUM(F43:F44)</f>
        <v>0</v>
      </c>
      <c r="G45" s="427"/>
      <c r="H45" s="426"/>
      <c r="J45" s="426"/>
      <c r="K45" s="426"/>
    </row>
    <row r="46" spans="1:13">
      <c r="A46" s="421" t="s">
        <v>847</v>
      </c>
      <c r="B46" s="422" t="s">
        <v>19</v>
      </c>
      <c r="C46" s="423"/>
      <c r="D46" s="426"/>
      <c r="E46" s="427"/>
      <c r="F46" s="426"/>
      <c r="G46" s="427"/>
      <c r="H46" s="426"/>
      <c r="J46" s="426"/>
      <c r="K46" s="426"/>
    </row>
    <row r="47" spans="1:13">
      <c r="A47" s="421"/>
      <c r="B47" s="425" t="s">
        <v>838</v>
      </c>
      <c r="C47" s="423"/>
      <c r="D47" s="442">
        <f>BS!G31</f>
        <v>5526491</v>
      </c>
      <c r="E47" s="427"/>
      <c r="F47" s="442">
        <f>BS!I31</f>
        <v>2678928</v>
      </c>
      <c r="G47" s="427"/>
      <c r="H47" s="441">
        <v>2297276</v>
      </c>
      <c r="J47" s="426"/>
      <c r="K47" s="426" t="e">
        <f>IF(D47-SUM('Sch - BS'!#REF!)=0," ","False")</f>
        <v>#REF!</v>
      </c>
      <c r="L47" s="429"/>
      <c r="M47" s="429"/>
    </row>
    <row r="48" spans="1:13">
      <c r="A48" s="421"/>
      <c r="B48" s="425" t="s">
        <v>858</v>
      </c>
      <c r="C48" s="423"/>
      <c r="D48" s="442">
        <f>-'Sch - BS'!G141</f>
        <v>-1868359</v>
      </c>
      <c r="E48" s="427"/>
      <c r="F48" s="442">
        <f>-'Sch - BS'!I141</f>
        <v>-1580011</v>
      </c>
      <c r="G48" s="427"/>
      <c r="H48" s="441">
        <v>-1381030</v>
      </c>
      <c r="J48" s="426"/>
      <c r="K48" s="426"/>
      <c r="L48" s="429">
        <f>+D48-F48</f>
        <v>-288348</v>
      </c>
    </row>
    <row r="49" spans="1:12">
      <c r="A49" s="421"/>
      <c r="B49" s="425" t="s">
        <v>2610</v>
      </c>
      <c r="C49" s="423"/>
      <c r="D49" s="442">
        <f>-'Sch - BS'!G139</f>
        <v>0</v>
      </c>
      <c r="E49" s="427"/>
      <c r="F49" s="442">
        <f>-'Sch - BS'!I139</f>
        <v>0</v>
      </c>
      <c r="G49" s="427"/>
      <c r="H49" s="441"/>
      <c r="J49" s="426"/>
      <c r="K49" s="426"/>
      <c r="L49" s="429"/>
    </row>
    <row r="50" spans="1:12">
      <c r="A50" s="421"/>
      <c r="B50" s="425" t="s">
        <v>859</v>
      </c>
      <c r="C50" s="423"/>
      <c r="D50" s="479">
        <f>D220</f>
        <v>-16200</v>
      </c>
      <c r="E50" s="427"/>
      <c r="F50" s="479">
        <f>F220</f>
        <v>-9869</v>
      </c>
      <c r="G50" s="427"/>
      <c r="H50" s="441"/>
      <c r="J50" s="426"/>
      <c r="K50" s="426"/>
      <c r="L50" s="429">
        <f>SUM(D47:D50)-SUM(F47:F50)</f>
        <v>2552884</v>
      </c>
    </row>
    <row r="51" spans="1:12">
      <c r="A51" s="421"/>
      <c r="B51" s="425" t="s">
        <v>860</v>
      </c>
      <c r="C51" s="423"/>
      <c r="D51" s="479">
        <f>ROUND((0)/Master!$B$23,0)</f>
        <v>0</v>
      </c>
      <c r="E51" s="427"/>
      <c r="F51" s="479">
        <f>ROUND((0)/Master!$B$23,0)</f>
        <v>0</v>
      </c>
      <c r="G51" s="427"/>
      <c r="H51" s="441"/>
      <c r="J51" s="426"/>
      <c r="K51" s="426"/>
    </row>
    <row r="52" spans="1:12">
      <c r="A52" s="421"/>
      <c r="B52" s="425" t="s">
        <v>842</v>
      </c>
      <c r="C52" s="423"/>
      <c r="D52" s="442">
        <f>-F47-F48</f>
        <v>-1098917</v>
      </c>
      <c r="E52" s="427"/>
      <c r="F52" s="441">
        <f>-(H47+H48)</f>
        <v>-916246</v>
      </c>
      <c r="G52" s="427"/>
      <c r="H52" s="426"/>
      <c r="J52" s="426"/>
      <c r="K52" s="426"/>
    </row>
    <row r="53" spans="1:12">
      <c r="A53" s="421"/>
      <c r="B53" s="425"/>
      <c r="C53" s="423"/>
      <c r="D53" s="448">
        <f>SUM(D47:D52)-D49</f>
        <v>2543015</v>
      </c>
      <c r="E53" s="436"/>
      <c r="F53" s="448">
        <f>SUM(F47:F52)</f>
        <v>172802</v>
      </c>
      <c r="G53" s="427"/>
      <c r="H53" s="426"/>
      <c r="J53" s="426"/>
      <c r="K53" s="426"/>
    </row>
    <row r="54" spans="1:12">
      <c r="A54" s="421" t="s">
        <v>850</v>
      </c>
      <c r="B54" s="422" t="s">
        <v>861</v>
      </c>
      <c r="C54" s="423"/>
      <c r="D54" s="426"/>
      <c r="E54" s="427"/>
      <c r="F54" s="432"/>
      <c r="G54" s="427"/>
      <c r="H54" s="426"/>
      <c r="J54" s="426"/>
      <c r="K54" s="426"/>
    </row>
    <row r="55" spans="1:12">
      <c r="A55" s="421"/>
      <c r="B55" s="425" t="s">
        <v>838</v>
      </c>
      <c r="C55" s="423"/>
      <c r="D55" s="426">
        <f>BS!G32</f>
        <v>506907</v>
      </c>
      <c r="E55" s="427"/>
      <c r="F55" s="426">
        <f>BS!I32</f>
        <v>345410</v>
      </c>
      <c r="G55" s="427"/>
      <c r="H55" s="441">
        <v>111245</v>
      </c>
      <c r="J55" s="426"/>
      <c r="K55" s="426"/>
    </row>
    <row r="56" spans="1:12">
      <c r="A56" s="421"/>
      <c r="B56" s="425" t="s">
        <v>862</v>
      </c>
      <c r="C56" s="423"/>
      <c r="D56" s="426">
        <f>-'5-9'!I211*0</f>
        <v>0</v>
      </c>
      <c r="E56" s="427"/>
      <c r="F56" s="426">
        <f>-'5-9'!J211*0</f>
        <v>0</v>
      </c>
      <c r="G56" s="427"/>
      <c r="H56" s="450"/>
      <c r="J56" s="426"/>
      <c r="K56" s="426"/>
      <c r="L56" s="429"/>
    </row>
    <row r="57" spans="1:12">
      <c r="A57" s="421"/>
      <c r="B57" s="425" t="s">
        <v>842</v>
      </c>
      <c r="C57" s="423"/>
      <c r="D57" s="437">
        <f>-F55</f>
        <v>-345410</v>
      </c>
      <c r="E57" s="427"/>
      <c r="F57" s="441">
        <f>-(H55+H56)</f>
        <v>-111245</v>
      </c>
      <c r="G57" s="427"/>
      <c r="H57" s="426"/>
      <c r="J57" s="426"/>
      <c r="K57" s="426"/>
    </row>
    <row r="58" spans="1:12">
      <c r="A58" s="421"/>
      <c r="B58" s="425"/>
      <c r="C58" s="423"/>
      <c r="D58" s="449">
        <f>SUM(D55:D57)</f>
        <v>161497</v>
      </c>
      <c r="E58" s="427"/>
      <c r="F58" s="449">
        <f>SUM(F55:F57)+1</f>
        <v>234166</v>
      </c>
      <c r="G58" s="427"/>
      <c r="H58" s="426"/>
      <c r="J58" s="426"/>
      <c r="K58" s="426"/>
    </row>
    <row r="59" spans="1:12" ht="5.0999999999999996" customHeight="1">
      <c r="A59" s="421"/>
      <c r="B59" s="425"/>
      <c r="C59" s="423"/>
      <c r="D59" s="426"/>
      <c r="E59" s="427"/>
      <c r="F59" s="432"/>
      <c r="G59" s="427"/>
      <c r="H59" s="426"/>
      <c r="J59" s="426"/>
      <c r="K59" s="426"/>
    </row>
    <row r="60" spans="1:12" ht="15" thickBot="1">
      <c r="A60" s="421"/>
      <c r="B60" s="451" t="s">
        <v>863</v>
      </c>
      <c r="C60" s="452"/>
      <c r="D60" s="453">
        <f>D13+D21+D28+D38+D45+D53+D58</f>
        <v>6672340.1199999992</v>
      </c>
      <c r="E60" s="454"/>
      <c r="F60" s="453">
        <f>F13+F21+F28+F38+F45+F53+F58-1</f>
        <v>-5139309</v>
      </c>
      <c r="G60" s="427"/>
      <c r="H60" s="426"/>
      <c r="J60" s="426"/>
      <c r="K60" s="426"/>
    </row>
    <row r="61" spans="1:12" ht="15" thickTop="1">
      <c r="A61" s="421"/>
      <c r="B61" s="425"/>
      <c r="C61" s="423"/>
      <c r="D61" s="426"/>
      <c r="E61" s="427"/>
      <c r="F61" s="426"/>
      <c r="G61" s="427"/>
      <c r="H61" s="426"/>
      <c r="J61" s="426"/>
      <c r="K61" s="426"/>
    </row>
    <row r="62" spans="1:12">
      <c r="A62" s="421">
        <v>4</v>
      </c>
      <c r="B62" s="422" t="s">
        <v>864</v>
      </c>
      <c r="C62" s="423"/>
      <c r="D62" s="426"/>
      <c r="E62" s="427"/>
      <c r="F62" s="426"/>
      <c r="G62" s="427"/>
      <c r="H62" s="426"/>
      <c r="J62" s="426"/>
      <c r="K62" s="426"/>
    </row>
    <row r="63" spans="1:12">
      <c r="A63" s="421"/>
      <c r="B63" s="425" t="s">
        <v>838</v>
      </c>
      <c r="C63" s="423"/>
      <c r="D63" s="426">
        <f>+BS!G59</f>
        <v>4084430</v>
      </c>
      <c r="E63" s="427"/>
      <c r="F63" s="426">
        <f>+BS!I59+132626</f>
        <v>3218706</v>
      </c>
      <c r="G63" s="427"/>
      <c r="H63" s="441">
        <f>ROUND(2900000/Master!$B$23,0)</f>
        <v>2900000</v>
      </c>
      <c r="J63" s="426"/>
      <c r="K63" s="426"/>
      <c r="L63" s="429"/>
    </row>
    <row r="64" spans="1:12">
      <c r="A64" s="421"/>
      <c r="B64" s="425" t="s">
        <v>865</v>
      </c>
      <c r="C64" s="423"/>
      <c r="D64" s="479">
        <f>D224*0</f>
        <v>0</v>
      </c>
      <c r="E64" s="455"/>
      <c r="F64" s="479">
        <f>F224</f>
        <v>0</v>
      </c>
      <c r="G64" s="427"/>
      <c r="H64" s="441"/>
      <c r="J64" s="426"/>
      <c r="K64" s="426"/>
    </row>
    <row r="65" spans="1:13">
      <c r="A65" s="421"/>
      <c r="B65" s="425" t="s">
        <v>842</v>
      </c>
      <c r="C65" s="423"/>
      <c r="D65" s="426">
        <f>-F63</f>
        <v>-3218706</v>
      </c>
      <c r="E65" s="427"/>
      <c r="F65" s="441">
        <f>-H63</f>
        <v>-2900000</v>
      </c>
      <c r="G65" s="427"/>
      <c r="H65" s="426"/>
      <c r="J65" s="426"/>
      <c r="K65" s="426"/>
      <c r="L65" s="429"/>
      <c r="M65" s="429"/>
    </row>
    <row r="66" spans="1:13" ht="15" thickBot="1">
      <c r="A66" s="421"/>
      <c r="B66" s="422"/>
      <c r="C66" s="434"/>
      <c r="D66" s="435">
        <f>SUM(D63:D65)</f>
        <v>865724</v>
      </c>
      <c r="E66" s="436"/>
      <c r="F66" s="435">
        <f>SUM(F63:F65)</f>
        <v>318706</v>
      </c>
      <c r="G66" s="427">
        <f>SUM(F63:F65)</f>
        <v>318706</v>
      </c>
      <c r="H66" s="426"/>
      <c r="J66" s="426"/>
      <c r="K66" s="426"/>
      <c r="L66" s="429"/>
      <c r="M66" s="429"/>
    </row>
    <row r="67" spans="1:13" ht="15" thickTop="1">
      <c r="A67" s="421"/>
      <c r="B67" s="422"/>
      <c r="C67" s="434"/>
      <c r="D67" s="437"/>
      <c r="E67" s="436"/>
      <c r="F67" s="437"/>
      <c r="G67" s="427"/>
      <c r="H67" s="426"/>
      <c r="J67" s="426"/>
      <c r="K67" s="426"/>
    </row>
    <row r="68" spans="1:13">
      <c r="A68" s="421">
        <v>5</v>
      </c>
      <c r="B68" s="422" t="s">
        <v>866</v>
      </c>
      <c r="C68" s="423"/>
      <c r="D68" s="426"/>
      <c r="E68" s="427"/>
      <c r="F68" s="426"/>
      <c r="G68" s="427"/>
      <c r="H68" s="426"/>
      <c r="J68" s="426"/>
      <c r="K68" s="426"/>
    </row>
    <row r="69" spans="1:13">
      <c r="A69" s="421" t="s">
        <v>844</v>
      </c>
      <c r="B69" s="422" t="s">
        <v>40</v>
      </c>
      <c r="C69" s="423"/>
      <c r="D69" s="426"/>
      <c r="E69" s="427"/>
      <c r="F69" s="426"/>
      <c r="G69" s="427"/>
      <c r="H69" s="426"/>
      <c r="J69" s="426"/>
      <c r="K69" s="426"/>
    </row>
    <row r="70" spans="1:13">
      <c r="A70" s="421"/>
      <c r="B70" s="425" t="s">
        <v>838</v>
      </c>
      <c r="C70" s="423"/>
      <c r="D70" s="426">
        <f>BS!G47</f>
        <v>0</v>
      </c>
      <c r="E70" s="427"/>
      <c r="F70" s="426">
        <f>BS!I47</f>
        <v>235325157.6183489</v>
      </c>
      <c r="G70" s="427"/>
      <c r="H70" s="441">
        <f>--242325762</f>
        <v>242325762</v>
      </c>
      <c r="J70" s="426"/>
      <c r="K70" s="426"/>
    </row>
    <row r="71" spans="1:13">
      <c r="A71" s="421"/>
      <c r="B71" s="425" t="s">
        <v>867</v>
      </c>
      <c r="C71" s="423"/>
      <c r="D71" s="426">
        <f>+PL!F19*0</f>
        <v>0</v>
      </c>
      <c r="E71" s="427"/>
      <c r="F71" s="426">
        <f>PL!H19*0</f>
        <v>0</v>
      </c>
      <c r="G71" s="427"/>
      <c r="H71" s="441">
        <v>0</v>
      </c>
      <c r="J71" s="426"/>
      <c r="K71" s="426"/>
    </row>
    <row r="72" spans="1:13">
      <c r="A72" s="421"/>
      <c r="B72" s="425" t="s">
        <v>842</v>
      </c>
      <c r="C72" s="423"/>
      <c r="D72" s="426">
        <f>-F70-F71</f>
        <v>-235325157.6183489</v>
      </c>
      <c r="E72" s="427"/>
      <c r="F72" s="426">
        <f>-(H70+H71)</f>
        <v>-242325762</v>
      </c>
      <c r="G72" s="427"/>
      <c r="H72" s="441"/>
      <c r="J72" s="426"/>
      <c r="K72" s="426"/>
    </row>
    <row r="73" spans="1:13">
      <c r="A73" s="421"/>
      <c r="B73" s="422"/>
      <c r="C73" s="434"/>
      <c r="D73" s="448">
        <f>SUM(D70:D72)</f>
        <v>-235325157.6183489</v>
      </c>
      <c r="E73" s="466"/>
      <c r="F73" s="448">
        <f>SUM(F70:F72)+3</f>
        <v>-7000601.3816511035</v>
      </c>
      <c r="G73" s="427"/>
      <c r="H73" s="426"/>
      <c r="J73" s="426"/>
      <c r="K73" s="426"/>
    </row>
    <row r="74" spans="1:13">
      <c r="A74" s="421"/>
      <c r="B74" s="422" t="s">
        <v>1809</v>
      </c>
      <c r="C74" s="434"/>
      <c r="D74" s="678">
        <f>CF!F27</f>
        <v>11355848</v>
      </c>
      <c r="E74" s="466"/>
      <c r="F74" s="678">
        <f>CF!H27</f>
        <v>13389967</v>
      </c>
      <c r="G74" s="427"/>
      <c r="H74" s="426"/>
      <c r="J74" s="426"/>
      <c r="K74" s="426"/>
    </row>
    <row r="75" spans="1:13">
      <c r="A75" s="421"/>
      <c r="B75" s="422"/>
      <c r="C75" s="434"/>
      <c r="D75" s="678">
        <v>0</v>
      </c>
      <c r="E75" s="466"/>
      <c r="F75" s="678">
        <f>ROUND(0/Master!$B$23,0)</f>
        <v>0</v>
      </c>
      <c r="G75" s="427"/>
      <c r="H75" s="426"/>
      <c r="J75" s="426"/>
      <c r="K75" s="426"/>
    </row>
    <row r="76" spans="1:13">
      <c r="A76" s="421"/>
      <c r="B76" s="422" t="s">
        <v>1810</v>
      </c>
      <c r="C76" s="434"/>
      <c r="D76" s="456">
        <f>(+D73-D74)*0</f>
        <v>0</v>
      </c>
      <c r="E76" s="437"/>
      <c r="F76" s="456">
        <f>(+F73-F74)*0</f>
        <v>0</v>
      </c>
      <c r="G76" s="427"/>
      <c r="H76" s="426"/>
      <c r="J76" s="426"/>
      <c r="K76" s="426"/>
    </row>
    <row r="77" spans="1:13">
      <c r="A77" s="421"/>
      <c r="B77" s="425"/>
      <c r="C77" s="423"/>
      <c r="D77" s="426"/>
      <c r="E77" s="427"/>
      <c r="F77" s="426"/>
      <c r="G77" s="427"/>
      <c r="H77" s="426"/>
      <c r="J77" s="426"/>
      <c r="K77" s="426"/>
    </row>
    <row r="78" spans="1:13">
      <c r="A78" s="421" t="s">
        <v>847</v>
      </c>
      <c r="B78" s="26" t="s">
        <v>43</v>
      </c>
      <c r="C78" s="423"/>
      <c r="D78" s="426"/>
      <c r="E78" s="427"/>
      <c r="F78" s="426"/>
      <c r="G78" s="427"/>
      <c r="H78" s="426"/>
      <c r="J78" s="426"/>
      <c r="K78" s="426"/>
    </row>
    <row r="79" spans="1:13">
      <c r="A79" s="421"/>
      <c r="B79" s="425" t="s">
        <v>838</v>
      </c>
      <c r="C79" s="423"/>
      <c r="D79" s="426">
        <f>BS!G51</f>
        <v>0</v>
      </c>
      <c r="E79" s="427"/>
      <c r="F79" s="426">
        <f>BS!I51</f>
        <v>0</v>
      </c>
      <c r="G79" s="427"/>
      <c r="H79" s="441">
        <f>ROUND(0/Master!$B$23,0)</f>
        <v>0</v>
      </c>
      <c r="J79" s="426"/>
      <c r="K79" s="426"/>
    </row>
    <row r="80" spans="1:13">
      <c r="A80" s="421"/>
      <c r="B80" s="425" t="s">
        <v>842</v>
      </c>
      <c r="C80" s="423"/>
      <c r="D80" s="426">
        <f>-F79</f>
        <v>0</v>
      </c>
      <c r="E80" s="427"/>
      <c r="F80" s="426">
        <f>-H79</f>
        <v>0</v>
      </c>
      <c r="G80" s="427"/>
      <c r="H80" s="426"/>
      <c r="J80" s="426"/>
      <c r="K80" s="426"/>
    </row>
    <row r="81" spans="1:11">
      <c r="A81" s="421"/>
      <c r="B81" s="425" t="s">
        <v>2216</v>
      </c>
      <c r="C81" s="423"/>
      <c r="D81" s="426">
        <f>-ROUND(0/Master!$B$23,0)</f>
        <v>0</v>
      </c>
      <c r="E81" s="427"/>
      <c r="F81" s="426">
        <f>-ROUND(36187575/Master!$B$23,0)*0</f>
        <v>0</v>
      </c>
      <c r="G81" s="427"/>
      <c r="H81" s="426"/>
      <c r="J81" s="426"/>
      <c r="K81" s="426"/>
    </row>
    <row r="82" spans="1:11">
      <c r="A82" s="421"/>
      <c r="B82" s="425"/>
      <c r="C82" s="423"/>
      <c r="D82" s="456">
        <f>SUM(D79:D81)</f>
        <v>0</v>
      </c>
      <c r="E82" s="436"/>
      <c r="F82" s="456">
        <f>SUM(F79:F80)-ROUND(688/Master!$B$23,0)*0+F81</f>
        <v>0</v>
      </c>
      <c r="G82" s="427"/>
      <c r="H82" s="426"/>
      <c r="J82" s="426"/>
      <c r="K82" s="426"/>
    </row>
    <row r="83" spans="1:11">
      <c r="A83" s="421"/>
      <c r="B83" s="425"/>
      <c r="C83" s="423"/>
      <c r="D83" s="426"/>
      <c r="E83" s="427"/>
      <c r="F83" s="426"/>
      <c r="G83" s="427"/>
      <c r="H83" s="426"/>
      <c r="J83" s="426"/>
      <c r="K83" s="426"/>
    </row>
    <row r="84" spans="1:11">
      <c r="A84" s="421">
        <v>6</v>
      </c>
      <c r="B84" s="422" t="s">
        <v>868</v>
      </c>
      <c r="C84" s="423"/>
      <c r="D84" s="426"/>
      <c r="E84" s="427"/>
      <c r="F84" s="426"/>
      <c r="G84" s="427"/>
      <c r="H84" s="426"/>
      <c r="J84" s="426"/>
      <c r="K84" s="426"/>
    </row>
    <row r="85" spans="1:11">
      <c r="A85" s="421" t="s">
        <v>844</v>
      </c>
      <c r="B85" s="422" t="s">
        <v>40</v>
      </c>
      <c r="C85" s="423"/>
      <c r="D85" s="426"/>
      <c r="E85" s="427"/>
      <c r="F85" s="426"/>
      <c r="G85" s="427"/>
      <c r="H85" s="426"/>
      <c r="J85" s="426"/>
      <c r="K85" s="426"/>
    </row>
    <row r="86" spans="1:11">
      <c r="A86" s="421"/>
      <c r="B86" s="425" t="s">
        <v>838</v>
      </c>
      <c r="C86" s="423"/>
      <c r="D86" s="426">
        <f>BS!G61</f>
        <v>574907.60231995583</v>
      </c>
      <c r="E86" s="427"/>
      <c r="F86" s="426">
        <f>BS!I61</f>
        <v>830147</v>
      </c>
      <c r="G86" s="427"/>
      <c r="H86" s="441">
        <f>ROUND(659430/Master!$B$23,0)</f>
        <v>659430</v>
      </c>
      <c r="J86" s="426"/>
      <c r="K86" s="426"/>
    </row>
    <row r="87" spans="1:11" ht="28.8">
      <c r="A87" s="421"/>
      <c r="B87" s="425" t="s">
        <v>869</v>
      </c>
      <c r="C87" s="423"/>
      <c r="D87" s="426">
        <f>-'Sch - BS'!G276</f>
        <v>0</v>
      </c>
      <c r="E87" s="427"/>
      <c r="F87" s="426">
        <f>-'Sch - BS'!I276</f>
        <v>0</v>
      </c>
      <c r="G87" s="427"/>
      <c r="H87" s="426">
        <f>-'Sch - BS'!I276</f>
        <v>0</v>
      </c>
      <c r="J87" s="426"/>
      <c r="K87" s="426"/>
    </row>
    <row r="88" spans="1:11" ht="28.8">
      <c r="A88" s="421"/>
      <c r="B88" s="425" t="s">
        <v>870</v>
      </c>
      <c r="C88" s="423"/>
      <c r="D88" s="426">
        <f>-F87</f>
        <v>0</v>
      </c>
      <c r="E88" s="427"/>
      <c r="F88" s="426">
        <f>-H87</f>
        <v>0</v>
      </c>
      <c r="G88" s="427"/>
      <c r="H88" s="426"/>
      <c r="J88" s="426"/>
      <c r="K88" s="426"/>
    </row>
    <row r="89" spans="1:11">
      <c r="A89" s="421"/>
      <c r="B89" s="425" t="s">
        <v>842</v>
      </c>
      <c r="C89" s="423"/>
      <c r="D89" s="426">
        <f>-F86-F87</f>
        <v>-830147</v>
      </c>
      <c r="E89" s="427"/>
      <c r="F89" s="426">
        <f>-H86</f>
        <v>-659430</v>
      </c>
      <c r="G89" s="427"/>
      <c r="H89" s="432"/>
      <c r="J89" s="426"/>
      <c r="K89" s="426"/>
    </row>
    <row r="90" spans="1:11">
      <c r="A90" s="421"/>
      <c r="B90" s="422"/>
      <c r="C90" s="434"/>
      <c r="D90" s="456">
        <f>SUM(D86:D89)</f>
        <v>-255239.39768004417</v>
      </c>
      <c r="E90" s="436"/>
      <c r="F90" s="456">
        <f>SUM(F86:F89)</f>
        <v>170717</v>
      </c>
      <c r="G90" s="427"/>
      <c r="H90" s="426"/>
      <c r="J90" s="426"/>
      <c r="K90" s="426"/>
    </row>
    <row r="91" spans="1:11">
      <c r="A91" s="421"/>
      <c r="B91" s="425"/>
      <c r="C91" s="423"/>
      <c r="D91" s="426"/>
      <c r="E91" s="427"/>
      <c r="F91" s="426"/>
      <c r="G91" s="427"/>
      <c r="H91" s="426"/>
      <c r="J91" s="426"/>
      <c r="K91" s="426"/>
    </row>
    <row r="92" spans="1:11">
      <c r="A92" s="421" t="s">
        <v>847</v>
      </c>
      <c r="B92" s="26" t="s">
        <v>47</v>
      </c>
      <c r="C92" s="423"/>
      <c r="D92" s="426"/>
      <c r="E92" s="427"/>
      <c r="F92" s="426"/>
      <c r="G92" s="427"/>
      <c r="H92" s="426"/>
      <c r="J92" s="426"/>
      <c r="K92" s="426"/>
    </row>
    <row r="93" spans="1:11">
      <c r="A93" s="421"/>
      <c r="B93" s="425" t="s">
        <v>838</v>
      </c>
      <c r="C93" s="423"/>
      <c r="D93" s="426">
        <f>BS!G62</f>
        <v>1280596</v>
      </c>
      <c r="E93" s="427"/>
      <c r="F93" s="426">
        <f>BS!I62</f>
        <v>1316327</v>
      </c>
      <c r="G93" s="427"/>
      <c r="H93" s="441">
        <f>ROUND((1445164)/Master!$B$23,0)</f>
        <v>1445164</v>
      </c>
      <c r="J93" s="426"/>
      <c r="K93" s="426"/>
    </row>
    <row r="94" spans="1:11">
      <c r="A94" s="421"/>
      <c r="B94" s="425" t="s">
        <v>842</v>
      </c>
      <c r="C94" s="423"/>
      <c r="D94" s="426">
        <f>-F93</f>
        <v>-1316327</v>
      </c>
      <c r="E94" s="427"/>
      <c r="F94" s="426">
        <f>-H93</f>
        <v>-1445164</v>
      </c>
      <c r="G94" s="427"/>
      <c r="H94" s="426"/>
      <c r="J94" s="426"/>
      <c r="K94" s="426"/>
    </row>
    <row r="95" spans="1:11">
      <c r="A95" s="421"/>
      <c r="B95" s="425"/>
      <c r="C95" s="423"/>
      <c r="D95" s="456">
        <f>SUM(D93:D94)</f>
        <v>-35731</v>
      </c>
      <c r="E95" s="436"/>
      <c r="F95" s="456">
        <f>SUM(F93:F94)</f>
        <v>-128837</v>
      </c>
      <c r="G95" s="427"/>
      <c r="H95" s="426"/>
      <c r="J95" s="426"/>
      <c r="K95" s="426"/>
    </row>
    <row r="96" spans="1:11">
      <c r="A96" s="421"/>
      <c r="B96" s="425"/>
      <c r="C96" s="423"/>
      <c r="D96" s="426"/>
      <c r="E96" s="427"/>
      <c r="F96" s="426"/>
      <c r="G96" s="427"/>
      <c r="H96" s="426"/>
      <c r="J96" s="426"/>
      <c r="K96" s="426"/>
    </row>
    <row r="97" spans="1:12">
      <c r="A97" s="421" t="s">
        <v>871</v>
      </c>
      <c r="B97" s="457" t="s">
        <v>41</v>
      </c>
      <c r="C97" s="423"/>
      <c r="D97" s="426"/>
      <c r="E97" s="427"/>
      <c r="F97" s="426"/>
      <c r="G97" s="427"/>
      <c r="H97" s="426"/>
      <c r="J97" s="426"/>
      <c r="K97" s="426"/>
    </row>
    <row r="98" spans="1:12">
      <c r="A98" s="421"/>
      <c r="B98" s="425" t="s">
        <v>838</v>
      </c>
      <c r="C98" s="423"/>
      <c r="D98" s="426">
        <f>+BS!G49+BS!G64</f>
        <v>1692590</v>
      </c>
      <c r="E98" s="427"/>
      <c r="F98" s="426">
        <f>+BS!I49+BS!I64</f>
        <v>2416192</v>
      </c>
      <c r="G98" s="427"/>
      <c r="H98" s="441">
        <f>ROUND((2480064)/Master!$B$23,0)</f>
        <v>2480064</v>
      </c>
      <c r="J98" s="426"/>
      <c r="K98" s="426"/>
    </row>
    <row r="99" spans="1:12">
      <c r="A99" s="421"/>
      <c r="B99" s="425" t="s">
        <v>872</v>
      </c>
      <c r="C99" s="423"/>
      <c r="D99" s="426">
        <f>PL!F41</f>
        <v>-46765</v>
      </c>
      <c r="E99" s="427"/>
      <c r="F99" s="426">
        <f>PL!H41</f>
        <v>-30176</v>
      </c>
      <c r="G99" s="427"/>
      <c r="H99" s="441"/>
      <c r="J99" s="426"/>
      <c r="K99" s="426"/>
    </row>
    <row r="100" spans="1:12">
      <c r="A100" s="421"/>
      <c r="B100" s="425" t="s">
        <v>842</v>
      </c>
      <c r="C100" s="423"/>
      <c r="D100" s="426">
        <f>-F98</f>
        <v>-2416192</v>
      </c>
      <c r="E100" s="427"/>
      <c r="F100" s="426">
        <f>-H98</f>
        <v>-2480064</v>
      </c>
      <c r="G100" s="427"/>
      <c r="H100" s="426"/>
      <c r="J100" s="426"/>
      <c r="K100" s="426"/>
    </row>
    <row r="101" spans="1:12">
      <c r="A101" s="421"/>
      <c r="B101" s="425"/>
      <c r="C101" s="423"/>
      <c r="D101" s="458">
        <f>SUM(D98:D100)</f>
        <v>-770367</v>
      </c>
      <c r="E101" s="436"/>
      <c r="F101" s="458">
        <f>SUM(F98:F100)</f>
        <v>-94048</v>
      </c>
      <c r="G101" s="427"/>
      <c r="H101" s="426"/>
      <c r="J101" s="426"/>
      <c r="K101" s="426"/>
      <c r="L101" s="408">
        <f>-6+2+1-2-1</f>
        <v>-6</v>
      </c>
    </row>
    <row r="102" spans="1:12">
      <c r="A102" s="421"/>
      <c r="C102" s="423"/>
      <c r="D102" s="426"/>
      <c r="E102" s="427"/>
      <c r="F102" s="426"/>
      <c r="G102" s="427"/>
      <c r="H102" s="426"/>
      <c r="J102" s="426"/>
      <c r="K102" s="426"/>
    </row>
    <row r="103" spans="1:12">
      <c r="A103" s="421"/>
      <c r="C103" s="423"/>
      <c r="D103" s="426"/>
      <c r="E103" s="427"/>
      <c r="F103" s="426"/>
      <c r="G103" s="427"/>
      <c r="H103" s="426"/>
      <c r="J103" s="426"/>
      <c r="K103" s="426"/>
    </row>
    <row r="104" spans="1:12" ht="15" thickBot="1">
      <c r="A104" s="421"/>
      <c r="B104" s="451" t="s">
        <v>873</v>
      </c>
      <c r="C104" s="459"/>
      <c r="D104" s="453">
        <f>D66+D73+D82+D90+D95+D101</f>
        <v>-235520771.01602894</v>
      </c>
      <c r="E104" s="454"/>
      <c r="F104" s="453">
        <f>F66+F73+F82+F90+F95+F101</f>
        <v>-6734063.3816511035</v>
      </c>
      <c r="G104" s="427"/>
      <c r="H104" s="426"/>
      <c r="J104" s="426"/>
      <c r="K104" s="426"/>
    </row>
    <row r="105" spans="1:12" ht="15" thickTop="1">
      <c r="A105" s="421"/>
      <c r="B105" s="425"/>
      <c r="C105" s="423"/>
      <c r="D105" s="426"/>
      <c r="E105" s="427"/>
      <c r="F105" s="426"/>
      <c r="G105" s="427"/>
      <c r="H105" s="426"/>
      <c r="J105" s="426"/>
      <c r="K105" s="426"/>
    </row>
    <row r="106" spans="1:12">
      <c r="A106" s="421"/>
      <c r="B106" s="425"/>
      <c r="C106" s="423"/>
      <c r="D106" s="426"/>
      <c r="E106" s="427"/>
      <c r="F106" s="426"/>
      <c r="G106" s="427"/>
      <c r="H106" s="426"/>
      <c r="J106" s="426" t="s">
        <v>874</v>
      </c>
      <c r="K106" s="426" t="s">
        <v>875</v>
      </c>
    </row>
    <row r="107" spans="1:12">
      <c r="A107" s="421">
        <v>240230</v>
      </c>
      <c r="B107" s="425" t="s">
        <v>876</v>
      </c>
      <c r="C107" s="423"/>
      <c r="D107" s="426">
        <f>ROUND(VLOOKUP(A107,'BS Gr'!A:D,4,0)/Master!$B$23,0)</f>
        <v>0</v>
      </c>
      <c r="E107" s="427"/>
      <c r="F107" s="426">
        <f>ROUND(VLOOKUP(A107,'BS Gr'!A:N,6,0)/Master!$B$23,0)</f>
        <v>0</v>
      </c>
      <c r="G107" s="427"/>
      <c r="H107" s="441">
        <f>ROUND(336644/Master!$B$23,0)</f>
        <v>336644</v>
      </c>
      <c r="J107" s="460">
        <v>67.19</v>
      </c>
      <c r="K107" s="461">
        <f>+D107/J107</f>
        <v>0</v>
      </c>
      <c r="L107" s="462">
        <f>D107/65.92</f>
        <v>0</v>
      </c>
    </row>
    <row r="108" spans="1:12">
      <c r="A108" s="421"/>
      <c r="B108" s="425" t="s">
        <v>877</v>
      </c>
      <c r="C108" s="423"/>
      <c r="D108" s="426">
        <f>-F107</f>
        <v>0</v>
      </c>
      <c r="E108" s="427"/>
      <c r="F108" s="426">
        <f>ROUND(-H107/Master!$B$23,0)</f>
        <v>-336644</v>
      </c>
      <c r="G108" s="427"/>
      <c r="H108" s="426"/>
      <c r="J108" s="460">
        <v>65.92</v>
      </c>
      <c r="K108" s="461">
        <f>+D108/J108</f>
        <v>0</v>
      </c>
    </row>
    <row r="109" spans="1:12" ht="15" thickBot="1">
      <c r="A109" s="421"/>
      <c r="B109" s="422" t="s">
        <v>878</v>
      </c>
      <c r="C109" s="423"/>
      <c r="D109" s="463">
        <f>SUM(D107:D108)*0</f>
        <v>0</v>
      </c>
      <c r="E109" s="436"/>
      <c r="F109" s="463">
        <f>SUM(F107:F108)*0</f>
        <v>0</v>
      </c>
      <c r="G109" s="427"/>
      <c r="H109" s="426"/>
      <c r="J109" s="426"/>
      <c r="K109" s="464">
        <f>SUM(K107:K108)</f>
        <v>0</v>
      </c>
    </row>
    <row r="110" spans="1:12" ht="15" thickTop="1">
      <c r="A110" s="421"/>
      <c r="B110" s="425"/>
      <c r="C110" s="423"/>
      <c r="D110" s="426"/>
      <c r="E110" s="427"/>
      <c r="F110" s="426"/>
      <c r="G110" s="427"/>
      <c r="H110" s="426"/>
      <c r="J110" s="426"/>
      <c r="K110" s="426"/>
    </row>
    <row r="111" spans="1:12">
      <c r="A111" s="421">
        <v>7</v>
      </c>
      <c r="B111" s="422" t="s">
        <v>879</v>
      </c>
      <c r="C111" s="423"/>
      <c r="D111" s="426"/>
      <c r="E111" s="427"/>
      <c r="F111" s="426"/>
      <c r="G111" s="427"/>
      <c r="H111" s="426"/>
      <c r="J111" s="426"/>
      <c r="K111" s="426"/>
    </row>
    <row r="112" spans="1:12">
      <c r="A112" s="421"/>
      <c r="B112" s="425" t="s">
        <v>838</v>
      </c>
      <c r="C112" s="423"/>
      <c r="D112" s="426">
        <f>BS!G21+BS!G33-BS!G65</f>
        <v>-839640</v>
      </c>
      <c r="E112" s="427"/>
      <c r="F112" s="426">
        <f>BS!I21+BS!I33-BS!I65</f>
        <v>40668266</v>
      </c>
      <c r="G112" s="427"/>
      <c r="H112" s="441">
        <f>ROUND(42019768/Master!$B$23,0)</f>
        <v>42019768</v>
      </c>
      <c r="J112" s="426">
        <v>828087</v>
      </c>
      <c r="K112" s="426"/>
    </row>
    <row r="113" spans="1:11">
      <c r="A113" s="421"/>
      <c r="B113" s="425" t="s">
        <v>880</v>
      </c>
      <c r="C113" s="423"/>
      <c r="D113" s="426">
        <f>+PL!F29+ROUND(1064832/Master!$B$23,0)*0</f>
        <v>42613709</v>
      </c>
      <c r="E113" s="427"/>
      <c r="F113" s="426">
        <f>+PL!H29+ROUND(260689/Master!$B$23,0)*0</f>
        <v>4035301</v>
      </c>
      <c r="G113" s="427"/>
      <c r="H113" s="426"/>
      <c r="J113" s="426"/>
      <c r="K113" s="426"/>
    </row>
    <row r="114" spans="1:11">
      <c r="A114" s="421"/>
      <c r="B114" s="425" t="s">
        <v>881</v>
      </c>
      <c r="C114" s="423"/>
      <c r="D114" s="428">
        <f>D226+(0)/Master!$B$23</f>
        <v>0</v>
      </c>
      <c r="E114" s="455"/>
      <c r="F114" s="428">
        <f>(F226+(1558221-1601944)/Master!$B$23)*0</f>
        <v>0</v>
      </c>
      <c r="G114" s="427"/>
      <c r="H114" s="426"/>
      <c r="J114" s="426"/>
      <c r="K114" s="426"/>
    </row>
    <row r="115" spans="1:11">
      <c r="A115" s="421"/>
      <c r="B115" s="425" t="s">
        <v>842</v>
      </c>
      <c r="C115" s="423"/>
      <c r="D115" s="426">
        <f>-F112</f>
        <v>-40668266</v>
      </c>
      <c r="E115" s="427"/>
      <c r="F115" s="432">
        <f>-H112</f>
        <v>-42019768</v>
      </c>
      <c r="G115" s="427"/>
      <c r="H115" s="426"/>
      <c r="J115" s="426"/>
      <c r="K115" s="426"/>
    </row>
    <row r="116" spans="1:11">
      <c r="A116" s="421"/>
      <c r="B116" s="465" t="s">
        <v>882</v>
      </c>
      <c r="C116" s="423"/>
      <c r="D116" s="456">
        <f>SUM(D112:D115)</f>
        <v>1105803</v>
      </c>
      <c r="E116" s="436"/>
      <c r="F116" s="449">
        <f>SUM(F112:F115)+1</f>
        <v>2683800</v>
      </c>
      <c r="G116" s="427"/>
      <c r="H116" s="426"/>
      <c r="J116" s="426"/>
      <c r="K116" s="426"/>
    </row>
    <row r="117" spans="1:11" ht="8.1" customHeight="1">
      <c r="A117" s="421"/>
      <c r="B117" s="425"/>
      <c r="C117" s="423"/>
      <c r="D117" s="426"/>
      <c r="E117" s="427"/>
      <c r="F117" s="426"/>
      <c r="G117" s="426"/>
      <c r="H117" s="426"/>
      <c r="J117" s="426"/>
      <c r="K117" s="426"/>
    </row>
    <row r="118" spans="1:11">
      <c r="A118" s="421"/>
      <c r="B118" s="425" t="s">
        <v>883</v>
      </c>
      <c r="C118" s="423"/>
      <c r="D118" s="426">
        <f>-ROUND('BS Gr'!I875/Master!$B$23,0)</f>
        <v>0</v>
      </c>
      <c r="E118" s="427"/>
      <c r="F118" s="426">
        <f>-ROUND('BS Gr'!M875/Master!$B$23,0)</f>
        <v>0</v>
      </c>
      <c r="G118" s="427"/>
      <c r="H118" s="441">
        <f>ROUND(0/Master!$B$23,0)</f>
        <v>0</v>
      </c>
      <c r="J118" s="426"/>
      <c r="K118" s="426"/>
    </row>
    <row r="119" spans="1:11">
      <c r="A119" s="421"/>
      <c r="B119" s="425" t="s">
        <v>880</v>
      </c>
      <c r="C119" s="423"/>
      <c r="D119" s="426">
        <f>PL!F30+PL!F31-'Sch - PL'!E122</f>
        <v>0</v>
      </c>
      <c r="E119" s="427"/>
      <c r="F119" s="426">
        <f>PL!H30+PL!H31-'Sch - PL'!G122</f>
        <v>0</v>
      </c>
      <c r="G119" s="427"/>
      <c r="H119" s="426"/>
      <c r="J119" s="426"/>
      <c r="K119" s="426"/>
    </row>
    <row r="120" spans="1:11">
      <c r="A120" s="421"/>
      <c r="B120" s="425" t="s">
        <v>842</v>
      </c>
      <c r="C120" s="423"/>
      <c r="D120" s="426">
        <f>-F118</f>
        <v>0</v>
      </c>
      <c r="E120" s="427"/>
      <c r="F120" s="426">
        <f>-H118</f>
        <v>0</v>
      </c>
      <c r="G120" s="427"/>
      <c r="H120" s="426"/>
      <c r="J120" s="426"/>
      <c r="K120" s="426"/>
    </row>
    <row r="121" spans="1:11">
      <c r="A121" s="421"/>
      <c r="B121" s="425" t="s">
        <v>884</v>
      </c>
      <c r="C121" s="423"/>
      <c r="D121" s="447">
        <f>-ROUND(0/Master!$B$23,0)</f>
        <v>0</v>
      </c>
      <c r="E121" s="427"/>
      <c r="F121" s="426">
        <f>-ROUND(0/Master!$B$23,0)</f>
        <v>0</v>
      </c>
      <c r="G121" s="427"/>
      <c r="H121" s="426"/>
      <c r="J121" s="426"/>
      <c r="K121" s="426"/>
    </row>
    <row r="122" spans="1:11">
      <c r="A122" s="421"/>
      <c r="B122" s="465" t="s">
        <v>885</v>
      </c>
      <c r="C122" s="423"/>
      <c r="D122" s="456">
        <f>SUM(D118:D121)</f>
        <v>0</v>
      </c>
      <c r="E122" s="436"/>
      <c r="F122" s="456">
        <f>SUM(F118:F121)</f>
        <v>0</v>
      </c>
      <c r="G122" s="427"/>
      <c r="H122" s="426"/>
      <c r="J122" s="426"/>
      <c r="K122" s="426"/>
    </row>
    <row r="123" spans="1:11">
      <c r="A123" s="421"/>
      <c r="B123" s="425"/>
      <c r="C123" s="423"/>
      <c r="D123" s="426"/>
      <c r="E123" s="427"/>
      <c r="F123" s="426"/>
      <c r="G123" s="426"/>
      <c r="H123" s="426"/>
      <c r="J123" s="426"/>
      <c r="K123" s="426"/>
    </row>
    <row r="124" spans="1:11">
      <c r="A124" s="421"/>
      <c r="B124" s="425" t="s">
        <v>886</v>
      </c>
      <c r="C124" s="423"/>
      <c r="D124" s="426">
        <f>BS!E19*0</f>
        <v>0</v>
      </c>
      <c r="E124" s="427"/>
      <c r="F124" s="426">
        <f>BS!G19*0</f>
        <v>0</v>
      </c>
      <c r="G124" s="426"/>
      <c r="H124" s="441">
        <f>ROUND(0/Master!$B$23,0)</f>
        <v>0</v>
      </c>
      <c r="J124" s="426"/>
      <c r="K124" s="426">
        <f>F124-D124</f>
        <v>0</v>
      </c>
    </row>
    <row r="125" spans="1:11">
      <c r="A125" s="421"/>
      <c r="B125" s="425" t="s">
        <v>880</v>
      </c>
      <c r="C125" s="423"/>
      <c r="D125" s="426">
        <f>PL!F32*0-D119*0</f>
        <v>0</v>
      </c>
      <c r="E125" s="427"/>
      <c r="F125" s="426">
        <f>PL!H32*0</f>
        <v>0</v>
      </c>
      <c r="G125" s="426"/>
      <c r="H125" s="426"/>
      <c r="J125" s="426"/>
      <c r="K125" s="426"/>
    </row>
    <row r="126" spans="1:11">
      <c r="A126" s="421"/>
      <c r="B126" s="425" t="s">
        <v>881</v>
      </c>
      <c r="C126" s="423"/>
      <c r="D126" s="426">
        <f>D226*0</f>
        <v>0</v>
      </c>
      <c r="E126" s="427"/>
      <c r="F126" s="426">
        <f>F226</f>
        <v>0</v>
      </c>
      <c r="G126" s="426"/>
      <c r="H126" s="426"/>
      <c r="J126" s="426"/>
      <c r="K126" s="426"/>
    </row>
    <row r="127" spans="1:11">
      <c r="A127" s="421"/>
      <c r="B127" s="425" t="s">
        <v>842</v>
      </c>
      <c r="C127" s="423"/>
      <c r="D127" s="426">
        <f>-F124</f>
        <v>0</v>
      </c>
      <c r="E127" s="427"/>
      <c r="F127" s="426">
        <f>-ROUND(H124/Master!$B$23,0)*0</f>
        <v>0</v>
      </c>
      <c r="G127" s="426"/>
      <c r="H127" s="426"/>
      <c r="J127" s="426"/>
      <c r="K127" s="426"/>
    </row>
    <row r="128" spans="1:11">
      <c r="A128" s="421"/>
      <c r="B128" s="465" t="s">
        <v>887</v>
      </c>
      <c r="C128" s="423"/>
      <c r="D128" s="456">
        <f>SUM(D124:D127)</f>
        <v>0</v>
      </c>
      <c r="E128" s="436"/>
      <c r="F128" s="456">
        <f>SUM(F124:F127)</f>
        <v>0</v>
      </c>
      <c r="G128" s="426"/>
      <c r="H128" s="426"/>
      <c r="J128" s="426"/>
      <c r="K128" s="426"/>
    </row>
    <row r="129" spans="1:16">
      <c r="A129" s="421"/>
      <c r="B129" s="425"/>
      <c r="C129" s="423"/>
      <c r="D129" s="426"/>
      <c r="E129" s="427"/>
      <c r="F129" s="426"/>
      <c r="G129" s="426"/>
      <c r="H129" s="426"/>
      <c r="J129" s="426"/>
      <c r="K129" s="426"/>
    </row>
    <row r="130" spans="1:16" ht="8.1" customHeight="1">
      <c r="A130" s="421"/>
      <c r="B130" s="465"/>
      <c r="C130" s="423"/>
      <c r="D130" s="448"/>
      <c r="E130" s="466"/>
      <c r="F130" s="448"/>
      <c r="G130" s="467"/>
      <c r="H130" s="432"/>
      <c r="J130" s="432"/>
      <c r="K130" s="432"/>
    </row>
    <row r="131" spans="1:16">
      <c r="A131" s="421"/>
      <c r="B131" s="468" t="s">
        <v>888</v>
      </c>
      <c r="C131" s="459"/>
      <c r="D131" s="469">
        <f>D116+D122+D128</f>
        <v>1105803</v>
      </c>
      <c r="E131" s="454"/>
      <c r="F131" s="469">
        <f>F116+F122+F128</f>
        <v>2683800</v>
      </c>
      <c r="G131" s="427"/>
      <c r="H131" s="426"/>
      <c r="J131" s="426"/>
      <c r="K131" s="426"/>
    </row>
    <row r="132" spans="1:16">
      <c r="A132" s="421"/>
      <c r="B132" s="425"/>
      <c r="C132" s="423"/>
      <c r="D132" s="426"/>
      <c r="E132" s="427"/>
      <c r="F132" s="426"/>
      <c r="G132" s="427"/>
      <c r="H132" s="426"/>
      <c r="J132" s="426"/>
      <c r="K132" s="426"/>
    </row>
    <row r="133" spans="1:16">
      <c r="A133" s="421">
        <v>8</v>
      </c>
      <c r="B133" s="422" t="s">
        <v>117</v>
      </c>
      <c r="C133" s="423"/>
      <c r="D133" s="426"/>
      <c r="E133" s="427"/>
      <c r="F133" s="426"/>
      <c r="G133" s="427"/>
      <c r="H133" s="426"/>
      <c r="J133" s="426"/>
      <c r="K133" s="426"/>
    </row>
    <row r="134" spans="1:16">
      <c r="A134" s="421"/>
      <c r="B134" s="425" t="s">
        <v>889</v>
      </c>
      <c r="C134" s="423"/>
      <c r="D134" s="432">
        <f>+'Sch - FA'!K13</f>
        <v>0</v>
      </c>
      <c r="E134" s="427"/>
      <c r="F134" s="426">
        <f>+'Sch - FA'!K7</f>
        <v>0</v>
      </c>
      <c r="G134" s="427"/>
      <c r="H134" s="426"/>
      <c r="J134" s="426"/>
      <c r="K134" s="426"/>
      <c r="O134" s="429"/>
      <c r="P134" s="429"/>
    </row>
    <row r="135" spans="1:16">
      <c r="A135" s="421"/>
      <c r="B135" s="425" t="s">
        <v>890</v>
      </c>
      <c r="C135" s="423"/>
      <c r="D135" s="441">
        <v>0</v>
      </c>
      <c r="E135" s="427"/>
      <c r="F135" s="441">
        <v>0</v>
      </c>
      <c r="G135" s="427"/>
      <c r="H135" s="426"/>
      <c r="J135" s="426"/>
      <c r="K135" s="426"/>
      <c r="O135" s="429"/>
      <c r="P135" s="429"/>
    </row>
    <row r="136" spans="1:16">
      <c r="A136" s="421"/>
      <c r="B136" s="425"/>
      <c r="C136" s="423"/>
      <c r="D136" s="430">
        <f>SUM(D134:D135)</f>
        <v>0</v>
      </c>
      <c r="E136" s="427"/>
      <c r="F136" s="430">
        <f>SUM(F134:F135)</f>
        <v>0</v>
      </c>
      <c r="G136" s="427"/>
      <c r="H136" s="426"/>
      <c r="J136" s="426"/>
      <c r="K136" s="426"/>
      <c r="O136" s="429"/>
      <c r="P136" s="429"/>
    </row>
    <row r="137" spans="1:16">
      <c r="A137" s="421"/>
      <c r="B137" s="425" t="str">
        <f>+"Add: Closing Balance of CWIP " &amp;Master!$B$7</f>
        <v>Add: Closing Balance of CWIP 2025</v>
      </c>
      <c r="C137" s="423"/>
      <c r="D137" s="426">
        <f>+BS!E12+'Sch - BS'!G60</f>
        <v>0</v>
      </c>
      <c r="E137" s="427"/>
      <c r="F137" s="426">
        <f>+BS!G12+'Sch - BS'!G60</f>
        <v>0</v>
      </c>
      <c r="G137" s="427"/>
      <c r="H137" s="441"/>
      <c r="J137" s="426"/>
      <c r="K137" s="426"/>
      <c r="O137" s="429"/>
      <c r="P137" s="429"/>
    </row>
    <row r="138" spans="1:16">
      <c r="A138" s="421"/>
      <c r="B138" s="425" t="str">
        <f>+"Less: Opening Balance of CWIP " &amp;Master!$B$14</f>
        <v>Less: Opening Balance of CWIP March 31, 2024</v>
      </c>
      <c r="C138" s="423"/>
      <c r="D138" s="426">
        <f>-F137</f>
        <v>0</v>
      </c>
      <c r="E138" s="427"/>
      <c r="F138" s="441">
        <f>-ROUND(H137/Master!$B$23,0)</f>
        <v>0</v>
      </c>
      <c r="G138" s="427"/>
      <c r="H138" s="426"/>
      <c r="J138" s="426"/>
      <c r="K138" s="426"/>
      <c r="O138" s="429"/>
      <c r="P138" s="429"/>
    </row>
    <row r="139" spans="1:16">
      <c r="A139" s="421"/>
      <c r="B139" s="425"/>
      <c r="C139" s="423"/>
      <c r="D139" s="430">
        <f>SUM(D136:D138)</f>
        <v>0</v>
      </c>
      <c r="E139" s="427"/>
      <c r="F139" s="430">
        <f>SUM(F136:F138)</f>
        <v>0</v>
      </c>
      <c r="G139" s="427"/>
      <c r="H139" s="426"/>
      <c r="J139" s="426"/>
      <c r="K139" s="426"/>
      <c r="O139" s="429"/>
      <c r="P139" s="429"/>
    </row>
    <row r="140" spans="1:16">
      <c r="A140" s="421"/>
      <c r="B140" s="425" t="s">
        <v>891</v>
      </c>
      <c r="C140" s="423"/>
      <c r="D140" s="441">
        <v>0</v>
      </c>
      <c r="E140" s="427"/>
      <c r="F140" s="441">
        <v>0</v>
      </c>
      <c r="G140" s="427"/>
      <c r="H140" s="426"/>
      <c r="J140" s="426"/>
      <c r="K140" s="426"/>
      <c r="O140" s="429"/>
      <c r="P140" s="429"/>
    </row>
    <row r="141" spans="1:16">
      <c r="A141" s="421"/>
      <c r="B141" s="425"/>
      <c r="C141" s="423"/>
      <c r="D141" s="430">
        <f>SUM(D139:D140)</f>
        <v>0</v>
      </c>
      <c r="E141" s="427"/>
      <c r="F141" s="430">
        <f>SUM(F139:F140)</f>
        <v>0</v>
      </c>
      <c r="G141" s="427"/>
      <c r="H141" s="426"/>
      <c r="J141" s="426"/>
      <c r="K141" s="426"/>
      <c r="O141" s="429"/>
      <c r="P141" s="429"/>
    </row>
    <row r="142" spans="1:16">
      <c r="A142" s="421"/>
      <c r="B142" s="425" t="str">
        <f>+"Add: Purchase on credit as of " &amp;Master!$B$13</f>
        <v>Add: Purchase on credit as of 2024</v>
      </c>
      <c r="C142" s="423"/>
      <c r="D142" s="426">
        <f>-F143</f>
        <v>0</v>
      </c>
      <c r="E142" s="427"/>
      <c r="F142" s="441">
        <f>ROUND(H142/Master!$B$23,0)</f>
        <v>0</v>
      </c>
      <c r="G142" s="427"/>
      <c r="H142" s="441"/>
      <c r="J142" s="426"/>
      <c r="K142" s="426"/>
      <c r="O142" s="429"/>
      <c r="P142" s="429"/>
    </row>
    <row r="143" spans="1:16">
      <c r="A143" s="421"/>
      <c r="B143" s="425" t="str">
        <f>+"Less: Purchase on credit as of " &amp;Master!$B$7</f>
        <v>Less: Purchase on credit as of 2025</v>
      </c>
      <c r="C143" s="423"/>
      <c r="D143" s="441">
        <f>D87</f>
        <v>0</v>
      </c>
      <c r="E143" s="427"/>
      <c r="F143" s="441">
        <f>F87</f>
        <v>0</v>
      </c>
      <c r="G143" s="427"/>
      <c r="H143" s="426"/>
      <c r="J143" s="426"/>
      <c r="K143" s="426"/>
      <c r="O143" s="429"/>
      <c r="P143" s="429"/>
    </row>
    <row r="144" spans="1:16" ht="4.5" customHeight="1">
      <c r="A144" s="421"/>
      <c r="B144" s="425"/>
      <c r="C144" s="423"/>
      <c r="D144" s="432"/>
      <c r="E144" s="470"/>
      <c r="F144" s="432"/>
      <c r="G144" s="427"/>
      <c r="H144" s="426"/>
      <c r="J144" s="426"/>
      <c r="K144" s="426"/>
      <c r="O144" s="429"/>
      <c r="P144" s="429"/>
    </row>
    <row r="145" spans="1:16" ht="15" thickBot="1">
      <c r="A145" s="421"/>
      <c r="B145" s="471" t="s">
        <v>117</v>
      </c>
      <c r="C145" s="459"/>
      <c r="D145" s="453">
        <f>SUM(D141:D143)</f>
        <v>0</v>
      </c>
      <c r="E145" s="454"/>
      <c r="F145" s="453">
        <f>SUM(F141:F143)</f>
        <v>0</v>
      </c>
      <c r="G145" s="427"/>
      <c r="H145" s="426"/>
      <c r="J145" s="426"/>
      <c r="K145" s="426"/>
      <c r="O145" s="429"/>
      <c r="P145" s="429"/>
    </row>
    <row r="146" spans="1:16" ht="15" thickTop="1">
      <c r="A146" s="421"/>
      <c r="B146" s="425"/>
      <c r="C146" s="423"/>
      <c r="D146" s="426"/>
      <c r="E146" s="427"/>
      <c r="F146" s="426"/>
      <c r="G146" s="427"/>
      <c r="H146" s="426"/>
      <c r="J146" s="426"/>
      <c r="K146" s="426"/>
    </row>
    <row r="147" spans="1:16">
      <c r="A147" s="421">
        <v>9</v>
      </c>
      <c r="B147" s="422" t="s">
        <v>892</v>
      </c>
      <c r="C147" s="423"/>
      <c r="D147" s="426"/>
      <c r="E147" s="427"/>
      <c r="F147" s="426"/>
      <c r="G147" s="427"/>
      <c r="H147" s="426"/>
      <c r="J147" s="426"/>
      <c r="K147" s="426"/>
    </row>
    <row r="148" spans="1:16">
      <c r="A148" s="421"/>
      <c r="B148" s="425" t="s">
        <v>893</v>
      </c>
      <c r="C148" s="423"/>
      <c r="D148" s="426">
        <f>-'Sch - FA'!K14</f>
        <v>0</v>
      </c>
      <c r="E148" s="427"/>
      <c r="F148" s="460">
        <f>-'Sch - FA'!K8</f>
        <v>0</v>
      </c>
      <c r="G148" s="427"/>
      <c r="H148" s="426"/>
      <c r="J148" s="426"/>
      <c r="K148" s="426"/>
    </row>
    <row r="149" spans="1:16">
      <c r="A149" s="421"/>
      <c r="B149" s="425" t="s">
        <v>894</v>
      </c>
      <c r="C149" s="423"/>
      <c r="D149" s="426">
        <f>+'Sch - FA'!K32</f>
        <v>0</v>
      </c>
      <c r="E149" s="427"/>
      <c r="F149" s="460">
        <f>'Sch - FA'!K26</f>
        <v>0</v>
      </c>
      <c r="G149" s="427"/>
      <c r="H149" s="426"/>
      <c r="J149" s="426"/>
      <c r="K149" s="426"/>
    </row>
    <row r="150" spans="1:16">
      <c r="A150" s="421"/>
      <c r="B150" s="425" t="s">
        <v>895</v>
      </c>
      <c r="C150" s="423"/>
      <c r="D150" s="430">
        <f>SUM(D148:D149)</f>
        <v>0</v>
      </c>
      <c r="E150" s="427"/>
      <c r="F150" s="472">
        <f>SUM(F148:F149)</f>
        <v>0</v>
      </c>
      <c r="G150" s="427"/>
      <c r="H150" s="426"/>
      <c r="J150" s="426"/>
      <c r="K150" s="426"/>
    </row>
    <row r="151" spans="1:16">
      <c r="A151" s="421"/>
      <c r="B151" s="425" t="s">
        <v>896</v>
      </c>
      <c r="C151" s="423"/>
      <c r="D151" s="441"/>
      <c r="E151" s="470"/>
      <c r="F151" s="441"/>
      <c r="G151" s="427"/>
      <c r="H151" s="426"/>
      <c r="J151" s="426"/>
      <c r="K151" s="426"/>
    </row>
    <row r="152" spans="1:16">
      <c r="A152" s="421"/>
      <c r="B152" s="425" t="str">
        <f>+"Less: Assets sold on credit  as of " &amp;Master!$B$7</f>
        <v>Less: Assets sold on credit  as of 2025</v>
      </c>
      <c r="C152" s="423"/>
      <c r="D152" s="426">
        <v>0</v>
      </c>
      <c r="E152" s="427"/>
      <c r="F152" s="426">
        <v>0</v>
      </c>
      <c r="G152" s="427"/>
      <c r="H152" s="426"/>
      <c r="J152" s="426"/>
      <c r="K152" s="432"/>
    </row>
    <row r="153" spans="1:16">
      <c r="A153" s="421"/>
      <c r="B153" s="425" t="str">
        <f>+"Add: Assets sold on credit  as of " &amp;Master!$B$11</f>
        <v>Add: Assets sold on credit  as of 30th March 2024</v>
      </c>
      <c r="C153" s="423"/>
      <c r="D153" s="426">
        <v>0</v>
      </c>
      <c r="E153" s="427"/>
      <c r="F153" s="426">
        <v>0</v>
      </c>
      <c r="G153" s="427"/>
      <c r="H153" s="426"/>
      <c r="J153" s="426"/>
      <c r="K153" s="432"/>
    </row>
    <row r="154" spans="1:16">
      <c r="A154" s="421"/>
      <c r="B154" s="425"/>
      <c r="C154" s="423"/>
      <c r="D154" s="430">
        <f>SUM(D150:D153)</f>
        <v>0</v>
      </c>
      <c r="E154" s="427"/>
      <c r="F154" s="430">
        <f>SUM(F150:F153)</f>
        <v>0</v>
      </c>
      <c r="G154" s="427"/>
      <c r="H154" s="426"/>
      <c r="J154" s="426"/>
      <c r="K154" s="426"/>
    </row>
    <row r="155" spans="1:16">
      <c r="A155" s="421"/>
      <c r="B155" s="425" t="s">
        <v>897</v>
      </c>
      <c r="C155" s="423"/>
      <c r="D155" s="432">
        <f>-CF!F14</f>
        <v>0</v>
      </c>
      <c r="E155" s="470"/>
      <c r="F155" s="432">
        <f>-CF!H14</f>
        <v>0</v>
      </c>
      <c r="G155" s="427"/>
      <c r="H155" s="426"/>
      <c r="J155" s="426"/>
      <c r="K155" s="426"/>
    </row>
    <row r="156" spans="1:16" ht="15" thickBot="1">
      <c r="A156" s="421"/>
      <c r="B156" s="422" t="str">
        <f>+CF!B52</f>
        <v>Proceeds from sale of property, plant and equipment</v>
      </c>
      <c r="C156" s="423"/>
      <c r="D156" s="435">
        <f>SUM(D154:D155)</f>
        <v>0</v>
      </c>
      <c r="E156" s="436"/>
      <c r="F156" s="435">
        <f>SUM(F154:F155)</f>
        <v>0</v>
      </c>
      <c r="G156" s="427"/>
      <c r="H156" s="426"/>
      <c r="J156" s="426"/>
      <c r="K156" s="426"/>
    </row>
    <row r="157" spans="1:16" ht="15" thickTop="1">
      <c r="A157" s="421"/>
      <c r="B157" s="425"/>
      <c r="C157" s="423"/>
      <c r="D157" s="426"/>
      <c r="E157" s="427"/>
      <c r="F157" s="426"/>
      <c r="G157" s="427"/>
      <c r="H157" s="426"/>
      <c r="J157" s="426"/>
      <c r="K157" s="426"/>
    </row>
    <row r="158" spans="1:16">
      <c r="A158" s="421">
        <v>10</v>
      </c>
      <c r="B158" s="422" t="s">
        <v>898</v>
      </c>
      <c r="C158" s="423"/>
      <c r="D158" s="426"/>
      <c r="E158" s="427"/>
      <c r="F158" s="426"/>
      <c r="G158" s="427"/>
      <c r="H158" s="426"/>
      <c r="J158" s="426"/>
      <c r="K158" s="426"/>
    </row>
    <row r="159" spans="1:16">
      <c r="A159" s="421"/>
      <c r="B159" s="425" t="s">
        <v>838</v>
      </c>
      <c r="C159" s="423"/>
      <c r="D159" s="426">
        <f>+'Sch - BS'!G31+'Sch - BS'!G94</f>
        <v>0</v>
      </c>
      <c r="E159" s="427"/>
      <c r="F159" s="426">
        <f>+'Sch - BS'!G31+'Sch - BS'!G94</f>
        <v>0</v>
      </c>
      <c r="G159" s="427"/>
      <c r="H159" s="426"/>
      <c r="J159" s="426"/>
      <c r="K159" s="426"/>
    </row>
    <row r="160" spans="1:16">
      <c r="A160" s="421"/>
      <c r="B160" s="425" t="s">
        <v>899</v>
      </c>
      <c r="C160" s="423"/>
      <c r="D160" s="426"/>
      <c r="E160" s="427"/>
      <c r="F160" s="426">
        <f>-'Sch - PL'!G34</f>
        <v>0</v>
      </c>
      <c r="G160" s="427"/>
      <c r="H160" s="426"/>
      <c r="J160" s="426"/>
      <c r="K160" s="426"/>
    </row>
    <row r="161" spans="1:11">
      <c r="A161" s="421"/>
      <c r="B161" s="425" t="s">
        <v>900</v>
      </c>
      <c r="C161" s="423"/>
      <c r="D161" s="430">
        <f>SUM(D159:D160)</f>
        <v>0</v>
      </c>
      <c r="E161" s="427"/>
      <c r="F161" s="430">
        <f>SUM(F159:F160)</f>
        <v>0</v>
      </c>
      <c r="G161" s="427"/>
      <c r="H161" s="426"/>
      <c r="J161" s="426"/>
      <c r="K161" s="426"/>
    </row>
    <row r="162" spans="1:11">
      <c r="A162" s="421"/>
      <c r="B162" s="425" t="s">
        <v>901</v>
      </c>
      <c r="C162" s="423"/>
      <c r="D162" s="441">
        <f>ROUND(0/Master!$B$23,0)</f>
        <v>0</v>
      </c>
      <c r="E162" s="427"/>
      <c r="F162" s="441">
        <f>ROUND(0/Master!$B$23,0)</f>
        <v>0</v>
      </c>
      <c r="G162" s="427"/>
      <c r="H162" s="426"/>
      <c r="J162" s="426"/>
      <c r="K162" s="426"/>
    </row>
    <row r="163" spans="1:11">
      <c r="A163" s="421"/>
      <c r="B163" s="425" t="s">
        <v>902</v>
      </c>
      <c r="C163" s="423"/>
      <c r="D163" s="426">
        <f>-F161</f>
        <v>0</v>
      </c>
      <c r="E163" s="427"/>
      <c r="F163" s="432">
        <f>-ROUND(H159/Master!$B$23,0)</f>
        <v>0</v>
      </c>
      <c r="G163" s="427"/>
      <c r="H163" s="426"/>
      <c r="J163" s="426"/>
      <c r="K163" s="426"/>
    </row>
    <row r="164" spans="1:11" ht="15" thickBot="1">
      <c r="A164" s="421"/>
      <c r="B164" s="422" t="str">
        <f>+CF!B53</f>
        <v>Purchase of preference shares</v>
      </c>
      <c r="C164" s="423"/>
      <c r="D164" s="435">
        <f>SUM(D161:D163)</f>
        <v>0</v>
      </c>
      <c r="E164" s="436"/>
      <c r="F164" s="435">
        <f>SUM(F161:F163)</f>
        <v>0</v>
      </c>
      <c r="G164" s="427"/>
      <c r="H164" s="426"/>
      <c r="J164" s="426"/>
      <c r="K164" s="426"/>
    </row>
    <row r="165" spans="1:11" ht="15" thickTop="1">
      <c r="A165" s="421"/>
      <c r="B165" s="425"/>
      <c r="C165" s="423"/>
      <c r="D165" s="426"/>
      <c r="E165" s="427"/>
      <c r="F165" s="426"/>
      <c r="G165" s="427"/>
      <c r="H165" s="426"/>
      <c r="J165" s="426"/>
      <c r="K165" s="426"/>
    </row>
    <row r="166" spans="1:11">
      <c r="A166" s="421">
        <v>11</v>
      </c>
      <c r="B166" s="422" t="s">
        <v>903</v>
      </c>
      <c r="C166" s="423"/>
      <c r="D166" s="426"/>
      <c r="E166" s="427"/>
      <c r="F166" s="426"/>
      <c r="G166" s="427"/>
      <c r="H166" s="426"/>
      <c r="J166" s="426"/>
      <c r="K166" s="426"/>
    </row>
    <row r="167" spans="1:11">
      <c r="A167" s="421"/>
      <c r="B167" s="425" t="s">
        <v>904</v>
      </c>
      <c r="C167" s="423"/>
      <c r="D167" s="426">
        <f>+D162</f>
        <v>0</v>
      </c>
      <c r="E167" s="427"/>
      <c r="F167" s="426">
        <f>+F162</f>
        <v>0</v>
      </c>
      <c r="G167" s="427"/>
      <c r="H167" s="426"/>
      <c r="J167" s="426"/>
      <c r="K167" s="426"/>
    </row>
    <row r="168" spans="1:11" ht="15" thickBot="1">
      <c r="A168" s="421"/>
      <c r="B168" s="422" t="str">
        <f>+CF!B54</f>
        <v>Proceeds from redemption of preference shares</v>
      </c>
      <c r="C168" s="423"/>
      <c r="D168" s="435">
        <f>SUM(D167:D167)</f>
        <v>0</v>
      </c>
      <c r="E168" s="427"/>
      <c r="F168" s="463">
        <f>SUM(F167:F167)</f>
        <v>0</v>
      </c>
      <c r="G168" s="427"/>
      <c r="H168" s="426"/>
      <c r="J168" s="426"/>
      <c r="K168" s="426"/>
    </row>
    <row r="169" spans="1:11" ht="15" thickTop="1">
      <c r="A169" s="421"/>
      <c r="B169" s="425"/>
      <c r="C169" s="423"/>
      <c r="D169" s="426"/>
      <c r="E169" s="427"/>
      <c r="F169" s="426"/>
      <c r="G169" s="427"/>
      <c r="H169" s="426"/>
      <c r="J169" s="426"/>
      <c r="K169" s="426"/>
    </row>
    <row r="170" spans="1:11">
      <c r="A170" s="421">
        <v>12</v>
      </c>
      <c r="B170" s="422" t="s">
        <v>905</v>
      </c>
      <c r="C170" s="423"/>
      <c r="D170" s="426"/>
      <c r="E170" s="427"/>
      <c r="F170" s="426"/>
      <c r="G170" s="427"/>
      <c r="H170" s="426"/>
      <c r="J170" s="426"/>
      <c r="K170" s="426"/>
    </row>
    <row r="171" spans="1:11">
      <c r="A171" s="421"/>
      <c r="B171" s="425" t="s">
        <v>838</v>
      </c>
      <c r="C171" s="423"/>
      <c r="D171" s="426">
        <f>+'Sch - BS'!G87</f>
        <v>-10</v>
      </c>
      <c r="E171" s="427"/>
      <c r="F171" s="426">
        <f>+'Sch - BS'!I87</f>
        <v>-10</v>
      </c>
      <c r="G171" s="427"/>
      <c r="H171" s="473">
        <f>ROUND(0/Master!$B$23,0)</f>
        <v>0</v>
      </c>
      <c r="J171" s="426"/>
      <c r="K171" s="426"/>
    </row>
    <row r="172" spans="1:11">
      <c r="A172" s="421"/>
      <c r="B172" s="425" t="s">
        <v>906</v>
      </c>
      <c r="C172" s="423"/>
      <c r="D172" s="426">
        <f>-'Sch - PL'!E32*0-'Sch - PL'!E33</f>
        <v>0</v>
      </c>
      <c r="E172" s="427"/>
      <c r="F172" s="426">
        <f>-'Sch - PL'!G32*0-'Sch - PL'!G33</f>
        <v>0</v>
      </c>
      <c r="G172" s="427"/>
      <c r="H172" s="426"/>
      <c r="J172" s="426"/>
      <c r="K172" s="426"/>
    </row>
    <row r="173" spans="1:11">
      <c r="A173" s="421"/>
      <c r="B173" s="425" t="s">
        <v>900</v>
      </c>
      <c r="C173" s="423"/>
      <c r="D173" s="430">
        <f>SUM(D171:D172)</f>
        <v>-10</v>
      </c>
      <c r="E173" s="427"/>
      <c r="F173" s="430">
        <f>SUM(F171:F172)</f>
        <v>-10</v>
      </c>
      <c r="G173" s="427"/>
      <c r="H173" s="426"/>
      <c r="J173" s="426"/>
      <c r="K173" s="426"/>
    </row>
    <row r="174" spans="1:11">
      <c r="A174" s="421"/>
      <c r="B174" s="425" t="s">
        <v>907</v>
      </c>
      <c r="C174" s="423"/>
      <c r="D174" s="474">
        <f>ROUND((0)/Master!$B$23,0)</f>
        <v>0</v>
      </c>
      <c r="E174" s="475"/>
      <c r="F174" s="441">
        <f>ROUND((0)/Master!$B$23,0)</f>
        <v>0</v>
      </c>
      <c r="G174" s="427"/>
      <c r="H174" s="426"/>
      <c r="J174" s="426"/>
      <c r="K174" s="426"/>
    </row>
    <row r="175" spans="1:11">
      <c r="A175" s="421"/>
      <c r="B175" s="425" t="s">
        <v>908</v>
      </c>
      <c r="C175" s="423"/>
      <c r="D175" s="474">
        <f>-'Sch - PL'!E32</f>
        <v>0</v>
      </c>
      <c r="E175" s="475"/>
      <c r="F175" s="441">
        <f>-'Sch - PL'!G32</f>
        <v>0</v>
      </c>
      <c r="G175" s="427"/>
      <c r="H175" s="426"/>
      <c r="J175" s="426"/>
      <c r="K175" s="426"/>
    </row>
    <row r="176" spans="1:11">
      <c r="A176" s="421"/>
      <c r="B176" s="425" t="s">
        <v>902</v>
      </c>
      <c r="C176" s="423"/>
      <c r="D176" s="426">
        <f>-F173+F172</f>
        <v>10</v>
      </c>
      <c r="E176" s="427"/>
      <c r="F176" s="441">
        <f>-H171</f>
        <v>0</v>
      </c>
      <c r="G176" s="427"/>
      <c r="H176" s="426"/>
      <c r="J176" s="426"/>
      <c r="K176" s="426"/>
    </row>
    <row r="177" spans="1:11">
      <c r="A177" s="421"/>
      <c r="B177" s="425" t="s">
        <v>909</v>
      </c>
      <c r="C177" s="423"/>
      <c r="D177" s="426"/>
      <c r="E177" s="427"/>
      <c r="F177" s="441">
        <f>ROUND(0/Master!$B$23,0)</f>
        <v>0</v>
      </c>
      <c r="G177" s="427"/>
      <c r="H177" s="426"/>
      <c r="J177" s="426"/>
      <c r="K177" s="426"/>
    </row>
    <row r="178" spans="1:11" ht="15" thickBot="1">
      <c r="A178" s="421"/>
      <c r="B178" s="422" t="str">
        <f>+CF!B55</f>
        <v>Investment in mutual fund units</v>
      </c>
      <c r="C178" s="423"/>
      <c r="D178" s="435">
        <f>SUM(D173:D176)</f>
        <v>0</v>
      </c>
      <c r="E178" s="436"/>
      <c r="F178" s="435">
        <f>SUM(F173:F177)</f>
        <v>-10</v>
      </c>
      <c r="G178" s="427"/>
      <c r="H178" s="426"/>
      <c r="J178" s="426"/>
      <c r="K178" s="426"/>
    </row>
    <row r="179" spans="1:11" ht="15" thickTop="1">
      <c r="A179" s="421"/>
      <c r="B179" s="425"/>
      <c r="C179" s="423"/>
      <c r="D179" s="426"/>
      <c r="E179" s="427"/>
      <c r="F179" s="426"/>
      <c r="G179" s="427"/>
      <c r="H179" s="426"/>
      <c r="J179" s="426"/>
      <c r="K179" s="426"/>
    </row>
    <row r="180" spans="1:11">
      <c r="A180" s="421">
        <v>13</v>
      </c>
      <c r="B180" s="422" t="s">
        <v>910</v>
      </c>
      <c r="C180" s="423"/>
      <c r="D180" s="426"/>
      <c r="E180" s="427"/>
      <c r="F180" s="426"/>
      <c r="G180" s="427"/>
      <c r="H180" s="426"/>
      <c r="J180" s="426"/>
      <c r="K180" s="426"/>
    </row>
    <row r="181" spans="1:11">
      <c r="A181" s="421"/>
      <c r="B181" s="425" t="s">
        <v>911</v>
      </c>
      <c r="C181" s="423"/>
      <c r="D181" s="426">
        <f>+D174</f>
        <v>0</v>
      </c>
      <c r="E181" s="427"/>
      <c r="F181" s="426">
        <f>+F174</f>
        <v>0</v>
      </c>
      <c r="G181" s="427"/>
      <c r="H181" s="426"/>
      <c r="J181" s="426"/>
      <c r="K181" s="426"/>
    </row>
    <row r="182" spans="1:11" ht="15" thickBot="1">
      <c r="A182" s="421"/>
      <c r="B182" s="422" t="str">
        <f>+CF!B56</f>
        <v>Proceeds from sale of mutual fund units</v>
      </c>
      <c r="C182" s="423"/>
      <c r="D182" s="435">
        <f>SUM(D181:D181)</f>
        <v>0</v>
      </c>
      <c r="E182" s="427"/>
      <c r="F182" s="435">
        <f>SUM(F181:F181)</f>
        <v>0</v>
      </c>
      <c r="G182" s="427"/>
      <c r="H182" s="426"/>
      <c r="J182" s="426"/>
      <c r="K182" s="426"/>
    </row>
    <row r="183" spans="1:11" ht="15" thickTop="1">
      <c r="A183" s="421"/>
      <c r="B183" s="425"/>
      <c r="C183" s="423"/>
      <c r="D183" s="426"/>
      <c r="E183" s="427"/>
      <c r="F183" s="426"/>
      <c r="G183" s="427"/>
      <c r="H183" s="426"/>
      <c r="J183" s="426"/>
      <c r="K183" s="426"/>
    </row>
    <row r="184" spans="1:11">
      <c r="A184" s="421">
        <v>14</v>
      </c>
      <c r="B184" s="422" t="s">
        <v>912</v>
      </c>
      <c r="C184" s="423"/>
      <c r="D184" s="426"/>
      <c r="E184" s="427"/>
      <c r="F184" s="426"/>
      <c r="G184" s="427"/>
      <c r="H184" s="426"/>
      <c r="J184" s="426"/>
      <c r="K184" s="426"/>
    </row>
    <row r="185" spans="1:11">
      <c r="A185" s="421"/>
      <c r="B185" s="425" t="s">
        <v>913</v>
      </c>
      <c r="C185" s="423"/>
      <c r="D185" s="432">
        <f>+'Sch - BS'!G128</f>
        <v>2</v>
      </c>
      <c r="E185" s="470"/>
      <c r="F185" s="432">
        <f>+'Sch - BS'!I128</f>
        <v>2</v>
      </c>
      <c r="G185" s="427"/>
      <c r="H185" s="441">
        <f>ROUND(0/Master!$B$23,0)</f>
        <v>0</v>
      </c>
      <c r="J185" s="426"/>
      <c r="K185" s="426"/>
    </row>
    <row r="186" spans="1:11">
      <c r="A186" s="421"/>
      <c r="B186" s="425" t="s">
        <v>914</v>
      </c>
      <c r="C186" s="423"/>
      <c r="D186" s="441">
        <f>ROUND(0/Master!$B$23,0)</f>
        <v>0</v>
      </c>
      <c r="E186" s="427"/>
      <c r="F186" s="441">
        <f>ROUND(0/Master!$B$23,0)</f>
        <v>0</v>
      </c>
      <c r="G186" s="427"/>
      <c r="H186" s="426"/>
      <c r="J186" s="426"/>
      <c r="K186" s="426"/>
    </row>
    <row r="187" spans="1:11">
      <c r="A187" s="421"/>
      <c r="B187" s="425" t="s">
        <v>915</v>
      </c>
      <c r="C187" s="423"/>
      <c r="D187" s="441">
        <f>-ROUND((0)/Master!$B$23,0)</f>
        <v>0</v>
      </c>
      <c r="E187" s="427"/>
      <c r="F187" s="441">
        <f>-ROUND((0)/Master!$B$23,0)</f>
        <v>0</v>
      </c>
      <c r="G187" s="427"/>
      <c r="H187" s="426"/>
      <c r="J187" s="426"/>
      <c r="K187" s="426"/>
    </row>
    <row r="188" spans="1:11">
      <c r="A188" s="421"/>
      <c r="B188" s="425" t="s">
        <v>916</v>
      </c>
      <c r="C188" s="423"/>
      <c r="D188" s="441">
        <f>D228</f>
        <v>0</v>
      </c>
      <c r="E188" s="427"/>
      <c r="F188" s="441">
        <f>F228</f>
        <v>0</v>
      </c>
      <c r="G188" s="427"/>
      <c r="H188" s="426"/>
      <c r="J188" s="426"/>
      <c r="K188" s="426"/>
    </row>
    <row r="189" spans="1:11">
      <c r="A189" s="421"/>
      <c r="B189" s="425" t="s">
        <v>917</v>
      </c>
      <c r="C189" s="423"/>
      <c r="D189" s="441">
        <f>-F185</f>
        <v>-2</v>
      </c>
      <c r="E189" s="427"/>
      <c r="F189" s="441">
        <f>-H185</f>
        <v>0</v>
      </c>
      <c r="G189" s="427"/>
      <c r="H189" s="426"/>
      <c r="J189" s="426"/>
      <c r="K189" s="426"/>
    </row>
    <row r="190" spans="1:11">
      <c r="A190" s="421"/>
      <c r="B190" s="425"/>
      <c r="C190" s="423"/>
      <c r="D190" s="441"/>
      <c r="E190" s="427"/>
      <c r="F190" s="441"/>
      <c r="G190" s="427"/>
      <c r="H190" s="426"/>
      <c r="J190" s="426"/>
      <c r="K190" s="426"/>
    </row>
    <row r="191" spans="1:11" ht="15" thickBot="1">
      <c r="A191" s="421"/>
      <c r="B191" s="422"/>
      <c r="C191" s="423"/>
      <c r="D191" s="435">
        <f>SUM(D185:D190)</f>
        <v>0</v>
      </c>
      <c r="E191" s="427"/>
      <c r="F191" s="435">
        <f>SUM(F185:F190)</f>
        <v>2</v>
      </c>
      <c r="G191" s="427"/>
      <c r="H191" s="426"/>
      <c r="J191" s="426"/>
      <c r="K191" s="426"/>
    </row>
    <row r="192" spans="1:11" ht="15" thickTop="1">
      <c r="A192" s="421"/>
      <c r="B192" s="422"/>
      <c r="C192" s="423"/>
      <c r="D192" s="476"/>
      <c r="E192" s="427"/>
      <c r="F192" s="476"/>
      <c r="G192" s="427"/>
      <c r="H192" s="426"/>
      <c r="J192" s="426"/>
      <c r="K192" s="426"/>
    </row>
    <row r="193" spans="1:11">
      <c r="A193" s="421">
        <v>15</v>
      </c>
      <c r="B193" s="422" t="s">
        <v>918</v>
      </c>
      <c r="C193" s="423"/>
      <c r="D193" s="426"/>
      <c r="E193" s="427"/>
      <c r="F193" s="426"/>
      <c r="G193" s="427"/>
      <c r="H193" s="426"/>
      <c r="J193" s="426"/>
      <c r="K193" s="426"/>
    </row>
    <row r="194" spans="1:11">
      <c r="A194" s="421"/>
      <c r="B194" s="425" t="s">
        <v>918</v>
      </c>
      <c r="C194" s="423"/>
      <c r="D194" s="426">
        <f>+'Sch - PL'!E27</f>
        <v>15820395</v>
      </c>
      <c r="E194" s="427"/>
      <c r="F194" s="426">
        <f>+'Sch - PL'!G27</f>
        <v>16072071</v>
      </c>
      <c r="G194" s="427"/>
      <c r="H194" s="426"/>
      <c r="J194" s="426"/>
      <c r="K194" s="426"/>
    </row>
    <row r="195" spans="1:11">
      <c r="A195" s="421"/>
      <c r="B195" s="425" t="s">
        <v>919</v>
      </c>
      <c r="C195" s="423"/>
      <c r="D195" s="426">
        <f>-'18-26'!I25</f>
        <v>-217627</v>
      </c>
      <c r="E195" s="427"/>
      <c r="F195" s="426">
        <f>-'18-26'!J25</f>
        <v>-188323</v>
      </c>
      <c r="G195" s="427"/>
      <c r="H195" s="426"/>
      <c r="J195" s="426"/>
      <c r="K195" s="426"/>
    </row>
    <row r="196" spans="1:11">
      <c r="A196" s="421"/>
      <c r="B196" s="425" t="s">
        <v>2290</v>
      </c>
      <c r="C196" s="423"/>
      <c r="D196" s="426">
        <f>-ROUND('PL Gr'!E31/Master!$B$23,0)</f>
        <v>0</v>
      </c>
      <c r="E196" s="427"/>
      <c r="F196" s="426"/>
      <c r="G196" s="427"/>
      <c r="H196" s="426"/>
      <c r="J196" s="426"/>
      <c r="K196" s="426"/>
    </row>
    <row r="197" spans="1:11" ht="15" customHeight="1">
      <c r="A197" s="421"/>
      <c r="B197" s="425" t="s">
        <v>920</v>
      </c>
      <c r="C197" s="423"/>
      <c r="D197" s="432">
        <f>-ROUND((30260+39800)/Master!$B$23,0)</f>
        <v>-70060</v>
      </c>
      <c r="E197" s="427"/>
      <c r="F197" s="441">
        <f>-ROUND((30260+39800)/Master!$B$23,0)</f>
        <v>-70060</v>
      </c>
      <c r="G197" s="427"/>
      <c r="H197" s="426"/>
      <c r="J197" s="426"/>
      <c r="K197" s="426"/>
    </row>
    <row r="198" spans="1:11" ht="15" customHeight="1">
      <c r="A198" s="421"/>
      <c r="B198" s="425"/>
      <c r="C198" s="423"/>
      <c r="D198" s="430">
        <f>SUM(D194:D197)</f>
        <v>15532708</v>
      </c>
      <c r="E198" s="427"/>
      <c r="F198" s="430">
        <f>SUM(F194:F197)</f>
        <v>15813688</v>
      </c>
      <c r="G198" s="427"/>
      <c r="H198" s="426"/>
      <c r="J198" s="426"/>
      <c r="K198" s="426"/>
    </row>
    <row r="199" spans="1:11">
      <c r="A199" s="421"/>
      <c r="B199" s="425" t="str">
        <f>+"Add: Opening accrued interest " &amp;Master!$B$14</f>
        <v>Add: Opening accrued interest March 31, 2024</v>
      </c>
      <c r="C199" s="423"/>
      <c r="D199" s="426">
        <f>-F200</f>
        <v>1580011</v>
      </c>
      <c r="E199" s="427"/>
      <c r="F199" s="441">
        <f>H199</f>
        <v>1381030</v>
      </c>
      <c r="G199" s="427"/>
      <c r="H199" s="441">
        <f>ROUND(1381030/Master!$B$23,0)</f>
        <v>1381030</v>
      </c>
      <c r="J199" s="426"/>
      <c r="K199" s="426"/>
    </row>
    <row r="200" spans="1:11">
      <c r="A200" s="421"/>
      <c r="B200" s="425" t="str">
        <f>+"Less: Closing accrued interest " &amp;Master!$B$7</f>
        <v>Less: Closing accrued interest 2025</v>
      </c>
      <c r="C200" s="423"/>
      <c r="D200" s="426">
        <f>-'Sch - BS'!G141</f>
        <v>-1868359</v>
      </c>
      <c r="E200" s="427"/>
      <c r="F200" s="426">
        <f>-'Sch - BS'!I141</f>
        <v>-1580011</v>
      </c>
      <c r="G200" s="427"/>
      <c r="H200" s="426"/>
      <c r="J200" s="426"/>
      <c r="K200" s="426"/>
    </row>
    <row r="201" spans="1:11" ht="15" thickBot="1">
      <c r="A201" s="421"/>
      <c r="B201" s="422" t="str">
        <f>+CF!B60</f>
        <v>Interest received on deposits with banks</v>
      </c>
      <c r="C201" s="423"/>
      <c r="D201" s="435">
        <f>SUM(D198:D200)+1</f>
        <v>15244361</v>
      </c>
      <c r="E201" s="427"/>
      <c r="F201" s="435">
        <f>SUM(F198:F200)+1</f>
        <v>15614708</v>
      </c>
      <c r="G201" s="427"/>
      <c r="H201" s="426"/>
      <c r="J201" s="426"/>
      <c r="K201" s="426"/>
    </row>
    <row r="202" spans="1:11" ht="15" thickTop="1">
      <c r="A202" s="421"/>
      <c r="B202" s="425"/>
      <c r="C202" s="423"/>
      <c r="D202" s="426"/>
      <c r="E202" s="427"/>
      <c r="F202" s="426"/>
      <c r="G202" s="427"/>
      <c r="H202" s="426"/>
      <c r="J202" s="426"/>
      <c r="K202" s="426"/>
    </row>
    <row r="203" spans="1:11">
      <c r="A203" s="421">
        <v>16</v>
      </c>
      <c r="B203" s="422" t="s">
        <v>921</v>
      </c>
      <c r="C203" s="423"/>
      <c r="D203" s="426"/>
      <c r="E203" s="427"/>
      <c r="F203" s="426"/>
      <c r="G203" s="427"/>
      <c r="H203" s="426"/>
      <c r="J203" s="426"/>
      <c r="K203" s="426"/>
    </row>
    <row r="204" spans="1:11">
      <c r="A204" s="421"/>
      <c r="B204" s="425" t="s">
        <v>838</v>
      </c>
      <c r="C204" s="423"/>
      <c r="D204" s="426">
        <v>0</v>
      </c>
      <c r="E204" s="427"/>
      <c r="F204" s="426">
        <v>0</v>
      </c>
      <c r="G204" s="427"/>
      <c r="H204" s="441">
        <v>0</v>
      </c>
      <c r="J204" s="426"/>
      <c r="K204" s="426"/>
    </row>
    <row r="205" spans="1:11">
      <c r="A205" s="421"/>
      <c r="B205" s="425" t="s">
        <v>842</v>
      </c>
      <c r="C205" s="423"/>
      <c r="D205" s="426">
        <f>-F204</f>
        <v>0</v>
      </c>
      <c r="E205" s="427"/>
      <c r="F205" s="426">
        <f>-ROUND(H204/Master!$B$23,0)</f>
        <v>0</v>
      </c>
      <c r="G205" s="427"/>
      <c r="H205" s="426"/>
      <c r="J205" s="426"/>
      <c r="K205" s="426"/>
    </row>
    <row r="206" spans="1:11">
      <c r="A206" s="421"/>
      <c r="B206" s="425"/>
      <c r="C206" s="423"/>
      <c r="D206" s="440">
        <f>SUM(D204:D205)</f>
        <v>0</v>
      </c>
      <c r="E206" s="436"/>
      <c r="F206" s="440">
        <f>SUM(F204:F205)</f>
        <v>0</v>
      </c>
      <c r="G206" s="427"/>
      <c r="H206" s="426"/>
      <c r="J206" s="426"/>
      <c r="K206" s="426"/>
    </row>
    <row r="207" spans="1:11">
      <c r="A207" s="421"/>
      <c r="B207" s="425" t="s">
        <v>922</v>
      </c>
      <c r="C207" s="423"/>
      <c r="D207" s="426"/>
      <c r="E207" s="427"/>
      <c r="F207" s="426"/>
      <c r="G207" s="427"/>
      <c r="H207" s="426"/>
      <c r="J207" s="426"/>
      <c r="K207" s="426"/>
    </row>
    <row r="208" spans="1:11">
      <c r="A208" s="421"/>
      <c r="B208" s="425" t="s">
        <v>923</v>
      </c>
      <c r="C208" s="423"/>
      <c r="D208" s="441">
        <f>ROUND(0/Master!$B$23,0)</f>
        <v>0</v>
      </c>
      <c r="E208" s="427"/>
      <c r="F208" s="441">
        <f>ROUND(0/Master!$B$23,0)</f>
        <v>0</v>
      </c>
      <c r="G208" s="427"/>
      <c r="H208" s="426"/>
      <c r="J208" s="426"/>
      <c r="K208" s="426"/>
    </row>
    <row r="209" spans="1:11">
      <c r="A209" s="421"/>
      <c r="B209" s="425" t="s">
        <v>924</v>
      </c>
      <c r="C209" s="423"/>
      <c r="D209" s="441">
        <f>ROUND(0/Master!$B$23,0)</f>
        <v>0</v>
      </c>
      <c r="E209" s="427"/>
      <c r="F209" s="441">
        <f>ROUND(0/Master!$B$23,0)</f>
        <v>0</v>
      </c>
      <c r="G209" s="427"/>
      <c r="H209" s="426"/>
      <c r="J209" s="426"/>
      <c r="K209" s="426"/>
    </row>
    <row r="210" spans="1:11">
      <c r="A210" s="421"/>
      <c r="B210" s="425"/>
      <c r="C210" s="423"/>
      <c r="D210" s="430"/>
      <c r="E210" s="427"/>
      <c r="F210" s="430"/>
      <c r="G210" s="427"/>
      <c r="H210" s="426"/>
      <c r="J210" s="426"/>
      <c r="K210" s="426"/>
    </row>
    <row r="211" spans="1:11" ht="28.8">
      <c r="A211" s="421">
        <v>17</v>
      </c>
      <c r="B211" s="422" t="s">
        <v>925</v>
      </c>
      <c r="C211" s="423"/>
      <c r="D211" s="426"/>
      <c r="E211" s="427"/>
      <c r="F211" s="426"/>
      <c r="G211" s="427"/>
      <c r="H211" s="426"/>
      <c r="J211" s="426"/>
      <c r="K211" s="426"/>
    </row>
    <row r="212" spans="1:11">
      <c r="A212" s="421"/>
      <c r="B212" s="425" t="s">
        <v>926</v>
      </c>
      <c r="C212" s="423"/>
      <c r="D212" s="426">
        <f>ROUND(H212/Master!$B$23,0)</f>
        <v>0</v>
      </c>
      <c r="E212" s="427"/>
      <c r="F212" s="426">
        <f>ROUND(J212/Master!$B$23,0)</f>
        <v>0</v>
      </c>
      <c r="G212" s="427"/>
      <c r="H212" s="477"/>
      <c r="J212" s="441"/>
      <c r="K212" s="441"/>
    </row>
    <row r="213" spans="1:11">
      <c r="A213" s="421"/>
      <c r="B213" s="425" t="s">
        <v>927</v>
      </c>
      <c r="C213" s="423"/>
      <c r="D213" s="426">
        <f>ROUND(H213/Master!$B$23,0)</f>
        <v>0</v>
      </c>
      <c r="E213" s="427"/>
      <c r="F213" s="426">
        <f>ROUND(J213/Master!$B$23,0)</f>
        <v>0</v>
      </c>
      <c r="G213" s="427"/>
      <c r="H213" s="477">
        <v>0</v>
      </c>
      <c r="J213" s="441">
        <v>0</v>
      </c>
      <c r="K213" s="441"/>
    </row>
    <row r="214" spans="1:11">
      <c r="A214" s="421"/>
      <c r="B214" s="425" t="s">
        <v>928</v>
      </c>
      <c r="C214" s="423"/>
      <c r="D214" s="426">
        <f>ROUND(H214/Master!$B$23,0)</f>
        <v>0</v>
      </c>
      <c r="E214" s="427"/>
      <c r="F214" s="426">
        <f>ROUND(J214/Master!$B$23,0)</f>
        <v>0</v>
      </c>
      <c r="G214" s="427"/>
      <c r="H214" s="477">
        <v>0</v>
      </c>
      <c r="J214" s="441">
        <v>0</v>
      </c>
      <c r="K214" s="441"/>
    </row>
    <row r="215" spans="1:11">
      <c r="A215" s="421"/>
      <c r="B215" s="425"/>
      <c r="C215" s="423"/>
      <c r="D215" s="478">
        <f>SUM(D212:D214)</f>
        <v>0</v>
      </c>
      <c r="E215" s="436"/>
      <c r="F215" s="478">
        <f>SUM(F212:F214)</f>
        <v>0</v>
      </c>
      <c r="G215" s="427"/>
      <c r="H215" s="426"/>
      <c r="J215" s="426"/>
      <c r="K215" s="426"/>
    </row>
    <row r="216" spans="1:11">
      <c r="A216" s="421"/>
      <c r="B216" s="425"/>
      <c r="C216" s="423"/>
      <c r="D216" s="426"/>
      <c r="E216" s="427"/>
      <c r="F216" s="426"/>
      <c r="G216" s="427"/>
      <c r="H216" s="426"/>
      <c r="J216" s="426"/>
      <c r="K216" s="426"/>
    </row>
    <row r="217" spans="1:11">
      <c r="A217" s="421">
        <v>18</v>
      </c>
      <c r="B217" s="422" t="s">
        <v>929</v>
      </c>
      <c r="C217" s="423"/>
      <c r="D217" s="426"/>
      <c r="E217" s="427"/>
      <c r="F217" s="426"/>
      <c r="G217" s="427"/>
      <c r="H217" s="426"/>
      <c r="J217" s="426"/>
      <c r="K217" s="426"/>
    </row>
    <row r="218" spans="1:11">
      <c r="A218" s="421"/>
      <c r="B218" s="422" t="s">
        <v>541</v>
      </c>
      <c r="C218" s="423"/>
      <c r="D218" s="426"/>
      <c r="E218" s="427"/>
      <c r="F218" s="426"/>
      <c r="G218" s="427"/>
      <c r="H218" s="426"/>
      <c r="J218" s="426"/>
      <c r="K218" s="426"/>
    </row>
    <row r="219" spans="1:11">
      <c r="A219" s="421"/>
      <c r="B219" s="425" t="s">
        <v>930</v>
      </c>
      <c r="C219" s="423"/>
      <c r="D219" s="479">
        <f>ROUND((0)/Master!$B$23,0)</f>
        <v>0</v>
      </c>
      <c r="E219" s="480"/>
      <c r="F219" s="479">
        <f>ROUND((0)/Master!$B$23,0)</f>
        <v>0</v>
      </c>
      <c r="G219" s="427"/>
      <c r="H219" s="426"/>
      <c r="J219" s="426"/>
      <c r="K219" s="426"/>
    </row>
    <row r="220" spans="1:11">
      <c r="A220" s="421"/>
      <c r="B220" s="425" t="s">
        <v>931</v>
      </c>
      <c r="C220" s="423"/>
      <c r="D220" s="479">
        <f>-ROUND(('Sch - BS'!G136-'Sch - BS'!I136)/Master!$B$23,0)</f>
        <v>-16200</v>
      </c>
      <c r="E220" s="480"/>
      <c r="F220" s="479">
        <f>-ROUND(('Sch - BS'!I136-683440)/Master!$B$23,0)</f>
        <v>-9869</v>
      </c>
      <c r="G220" s="427"/>
      <c r="H220" s="426"/>
      <c r="J220" s="426"/>
      <c r="K220" s="426"/>
    </row>
    <row r="221" spans="1:11">
      <c r="A221" s="421"/>
      <c r="B221" s="422" t="s">
        <v>932</v>
      </c>
      <c r="C221" s="423"/>
      <c r="D221" s="432"/>
      <c r="E221" s="470"/>
      <c r="F221" s="432"/>
      <c r="G221" s="427"/>
      <c r="H221" s="426"/>
      <c r="J221" s="426"/>
      <c r="K221" s="426"/>
    </row>
    <row r="222" spans="1:11">
      <c r="A222" s="421"/>
      <c r="B222" s="481" t="s">
        <v>933</v>
      </c>
      <c r="C222" s="423"/>
      <c r="D222" s="432">
        <f>ROUND(('BS Gr'!D614+'BS Gr'!D615+'BS Gr'!D621)/Master!$B$23,0)*0</f>
        <v>0</v>
      </c>
      <c r="E222" s="470"/>
      <c r="F222" s="432">
        <v>0</v>
      </c>
      <c r="G222" s="427"/>
      <c r="H222" s="432">
        <f>0/10000</f>
        <v>0</v>
      </c>
      <c r="J222" s="426"/>
      <c r="K222" s="426"/>
    </row>
    <row r="223" spans="1:11">
      <c r="A223" s="421"/>
      <c r="B223" s="481" t="s">
        <v>934</v>
      </c>
      <c r="C223" s="423"/>
      <c r="D223" s="482">
        <f>-F222*0</f>
        <v>0</v>
      </c>
      <c r="E223" s="470"/>
      <c r="F223" s="432">
        <f>-ROUND(H222,0)</f>
        <v>0</v>
      </c>
      <c r="G223" s="427"/>
      <c r="H223" s="426"/>
      <c r="J223" s="426"/>
      <c r="K223" s="426"/>
    </row>
    <row r="224" spans="1:11">
      <c r="A224" s="421"/>
      <c r="B224" s="425" t="s">
        <v>935</v>
      </c>
      <c r="C224" s="423"/>
      <c r="D224" s="483">
        <f>D222-D223</f>
        <v>0</v>
      </c>
      <c r="E224" s="470"/>
      <c r="F224" s="483">
        <f>F222-F223</f>
        <v>0</v>
      </c>
      <c r="G224" s="427"/>
      <c r="H224" s="426"/>
      <c r="J224" s="426"/>
      <c r="K224" s="426"/>
    </row>
    <row r="225" spans="1:11">
      <c r="A225" s="421"/>
      <c r="B225" s="481"/>
      <c r="C225" s="423"/>
      <c r="D225" s="432"/>
      <c r="E225" s="470"/>
      <c r="F225" s="432"/>
      <c r="G225" s="427"/>
      <c r="H225" s="432"/>
      <c r="J225" s="426"/>
      <c r="K225" s="426"/>
    </row>
    <row r="226" spans="1:11">
      <c r="A226" s="421"/>
      <c r="B226" s="481" t="s">
        <v>936</v>
      </c>
      <c r="C226" s="423"/>
      <c r="D226" s="479">
        <f>ROUND(77320/Master!$B$23,0)*0</f>
        <v>0</v>
      </c>
      <c r="E226" s="480"/>
      <c r="F226" s="479">
        <f>ROUND(0/Master!$B$23,0)</f>
        <v>0</v>
      </c>
      <c r="G226" s="427"/>
      <c r="H226" s="432"/>
      <c r="J226" s="426"/>
      <c r="K226" s="426"/>
    </row>
    <row r="227" spans="1:11">
      <c r="A227" s="421"/>
      <c r="B227" s="481"/>
      <c r="C227" s="423"/>
      <c r="D227" s="432"/>
      <c r="E227" s="470"/>
      <c r="F227" s="432"/>
      <c r="G227" s="427"/>
      <c r="H227" s="432"/>
      <c r="J227" s="426"/>
      <c r="K227" s="426"/>
    </row>
    <row r="228" spans="1:11" ht="28.8">
      <c r="A228" s="421"/>
      <c r="B228" s="484" t="s">
        <v>937</v>
      </c>
      <c r="C228" s="423"/>
      <c r="D228" s="479">
        <f>ROUND((9099978.64)/Master!$B$23,0)*0</f>
        <v>0</v>
      </c>
      <c r="E228" s="479"/>
      <c r="F228" s="479">
        <f>ROUND((0)/Master!$B$23,0)</f>
        <v>0</v>
      </c>
      <c r="G228" s="427"/>
      <c r="H228" s="432"/>
      <c r="J228" s="426"/>
      <c r="K228" s="426"/>
    </row>
    <row r="229" spans="1:11">
      <c r="A229" s="421"/>
      <c r="B229" s="484"/>
      <c r="C229" s="423"/>
      <c r="D229" s="432"/>
      <c r="E229" s="470"/>
      <c r="F229" s="432"/>
      <c r="G229" s="427"/>
      <c r="H229" s="432"/>
      <c r="J229" s="426"/>
      <c r="K229" s="426"/>
    </row>
    <row r="230" spans="1:11">
      <c r="A230" s="421"/>
      <c r="B230" s="422" t="s">
        <v>938</v>
      </c>
      <c r="C230" s="423"/>
      <c r="D230" s="432"/>
      <c r="E230" s="467"/>
      <c r="F230" s="432"/>
      <c r="G230" s="427"/>
      <c r="H230" s="426"/>
      <c r="J230" s="426"/>
      <c r="K230" s="426"/>
    </row>
    <row r="231" spans="1:11">
      <c r="A231" s="421"/>
      <c r="B231" s="425" t="s">
        <v>939</v>
      </c>
      <c r="C231" s="423"/>
      <c r="D231" s="432">
        <f>ROUND('BS Gr'!D801/Master!$B$23,0)-ROUND('BS Gr'!D352/Master!$B$23,0)</f>
        <v>0</v>
      </c>
      <c r="E231" s="467"/>
      <c r="F231" s="432">
        <f>ROUND('BS Gr'!F801/Master!$B$23,0)-ROUND('BS Gr'!F352/Master!$B$23,0)</f>
        <v>0</v>
      </c>
      <c r="G231" s="427"/>
      <c r="H231" s="426">
        <v>0</v>
      </c>
      <c r="J231" s="426"/>
      <c r="K231" s="426"/>
    </row>
    <row r="232" spans="1:11">
      <c r="A232" s="421"/>
      <c r="B232" s="425" t="s">
        <v>940</v>
      </c>
      <c r="C232" s="423"/>
      <c r="D232" s="432">
        <f>F231</f>
        <v>0</v>
      </c>
      <c r="E232" s="467"/>
      <c r="F232" s="432">
        <f>ROUND(H231/Master!$B$23,0)</f>
        <v>0</v>
      </c>
      <c r="G232" s="427"/>
      <c r="H232" s="426"/>
      <c r="J232" s="426"/>
      <c r="K232" s="426"/>
    </row>
    <row r="233" spans="1:11">
      <c r="A233" s="421"/>
      <c r="B233" s="481" t="s">
        <v>941</v>
      </c>
      <c r="C233" s="423"/>
      <c r="D233" s="483">
        <f>D231-D232</f>
        <v>0</v>
      </c>
      <c r="E233" s="470"/>
      <c r="F233" s="483">
        <f>F231-F232</f>
        <v>0</v>
      </c>
      <c r="G233" s="427"/>
      <c r="H233" s="426"/>
      <c r="J233" s="426"/>
      <c r="K233" s="426"/>
    </row>
    <row r="234" spans="1:11" ht="15" thickBot="1">
      <c r="A234" s="421"/>
      <c r="B234" s="425" t="s">
        <v>942</v>
      </c>
      <c r="C234" s="423"/>
      <c r="D234" s="485">
        <f>D219+D220+D224+D233+D226+D228+D215</f>
        <v>-16200</v>
      </c>
      <c r="E234" s="427"/>
      <c r="F234" s="485">
        <f>F219+F220+F224+F233+F226+F228+F215-3</f>
        <v>-9872</v>
      </c>
      <c r="G234" s="427"/>
      <c r="H234" s="426"/>
      <c r="J234" s="426"/>
      <c r="K234" s="426"/>
    </row>
    <row r="235" spans="1:11" ht="15" thickTop="1">
      <c r="A235" s="421"/>
      <c r="B235" s="425"/>
      <c r="C235" s="423"/>
      <c r="D235" s="426"/>
      <c r="E235" s="427"/>
      <c r="F235" s="426"/>
      <c r="G235" s="427"/>
      <c r="H235" s="426"/>
      <c r="J235" s="426"/>
      <c r="K235" s="426"/>
    </row>
    <row r="236" spans="1:11">
      <c r="A236" s="421"/>
      <c r="B236" s="425"/>
      <c r="C236" s="423"/>
      <c r="D236" s="426"/>
      <c r="E236" s="427"/>
      <c r="F236" s="426"/>
      <c r="G236" s="427"/>
      <c r="H236" s="426"/>
      <c r="J236" s="426"/>
      <c r="K236" s="426"/>
    </row>
    <row r="237" spans="1:11">
      <c r="A237" s="421"/>
      <c r="B237" s="425"/>
      <c r="C237" s="423"/>
      <c r="D237" s="426"/>
      <c r="E237" s="427"/>
      <c r="F237" s="426"/>
      <c r="G237" s="427"/>
      <c r="H237" s="426"/>
      <c r="J237" s="426"/>
      <c r="K237" s="426"/>
    </row>
    <row r="238" spans="1:11">
      <c r="A238" s="421"/>
      <c r="B238" s="425"/>
      <c r="C238" s="423"/>
      <c r="D238" s="426"/>
      <c r="E238" s="427"/>
      <c r="F238" s="426"/>
      <c r="G238" s="427"/>
      <c r="H238" s="426"/>
      <c r="J238" s="426"/>
      <c r="K238" s="426"/>
    </row>
    <row r="239" spans="1:11">
      <c r="A239" s="421"/>
      <c r="B239" s="425"/>
      <c r="C239" s="423"/>
      <c r="D239" s="426"/>
      <c r="E239" s="427"/>
      <c r="F239" s="426"/>
      <c r="G239" s="427"/>
      <c r="H239" s="426"/>
      <c r="J239" s="426"/>
      <c r="K239" s="426"/>
    </row>
    <row r="240" spans="1:11">
      <c r="A240" s="486"/>
      <c r="B240" s="487"/>
      <c r="C240" s="423"/>
      <c r="D240" s="488"/>
      <c r="E240" s="427"/>
      <c r="F240" s="488"/>
      <c r="G240" s="427"/>
      <c r="H240" s="488"/>
      <c r="J240" s="488"/>
      <c r="K240" s="488"/>
    </row>
  </sheetData>
  <conditionalFormatting sqref="H1:H3 H5:H10 J212:K214">
    <cfRule type="containsText" dxfId="58" priority="31" operator="containsText" text="False">
      <formula>NOT(ISERROR(SEARCH("False",H1)))</formula>
    </cfRule>
  </conditionalFormatting>
  <conditionalFormatting sqref="H12:H55">
    <cfRule type="containsText" dxfId="57" priority="15" operator="containsText" text="False">
      <formula>NOT(ISERROR(SEARCH("False",H12)))</formula>
    </cfRule>
  </conditionalFormatting>
  <conditionalFormatting sqref="H57:H86">
    <cfRule type="containsText" dxfId="56" priority="1" operator="containsText" text="False">
      <formula>NOT(ISERROR(SEARCH("False",H57)))</formula>
    </cfRule>
  </conditionalFormatting>
  <conditionalFormatting sqref="H89:H158">
    <cfRule type="containsText" dxfId="55" priority="2" operator="containsText" text="False">
      <formula>NOT(ISERROR(SEARCH("False",H89)))</formula>
    </cfRule>
  </conditionalFormatting>
  <conditionalFormatting sqref="H160:H1048576">
    <cfRule type="containsText" dxfId="54" priority="22" operator="containsText" text="False">
      <formula>NOT(ISERROR(SEARCH("False",H160)))</formula>
    </cfRule>
  </conditionalFormatting>
  <conditionalFormatting sqref="K1:K211">
    <cfRule type="containsText" dxfId="53" priority="10" operator="containsText" text="False">
      <formula>NOT(ISERROR(SEARCH("False",K1)))</formula>
    </cfRule>
  </conditionalFormatting>
  <conditionalFormatting sqref="K215:K1048576">
    <cfRule type="containsText" dxfId="52" priority="23" operator="containsText" text="False">
      <formula>NOT(ISERROR(SEARCH("False",K215)))</formula>
    </cfRule>
  </conditionalFormatting>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03"/>
  <sheetViews>
    <sheetView showGridLines="0" view="pageBreakPreview" zoomScale="99" zoomScaleNormal="80" zoomScaleSheetLayoutView="99" workbookViewId="0">
      <selection activeCell="F66" sqref="F66"/>
    </sheetView>
  </sheetViews>
  <sheetFormatPr defaultColWidth="9.21875" defaultRowHeight="13.2"/>
  <cols>
    <col min="1" max="1" width="2.5546875" style="727" customWidth="1"/>
    <col min="2" max="2" width="61.77734375" style="727" customWidth="1"/>
    <col min="3" max="3" width="0.5546875" style="727" customWidth="1"/>
    <col min="4" max="4" width="14.44140625" style="727" hidden="1" customWidth="1"/>
    <col min="5" max="5" width="15.5546875" style="727" hidden="1" customWidth="1"/>
    <col min="6" max="7" width="20.77734375" style="727" customWidth="1"/>
    <col min="8" max="8" width="17.21875" style="727" customWidth="1"/>
    <col min="9" max="9" width="1.44140625" style="727" customWidth="1"/>
    <col min="10" max="10" width="9.21875" style="727"/>
    <col min="11" max="11" width="12.44140625" style="727" bestFit="1" customWidth="1"/>
    <col min="12" max="13" width="9.21875" style="727"/>
    <col min="14" max="14" width="10.21875" style="727" bestFit="1" customWidth="1"/>
    <col min="15" max="16384" width="9.21875" style="727"/>
  </cols>
  <sheetData>
    <row r="1" spans="1:8">
      <c r="A1" s="725" t="s">
        <v>1</v>
      </c>
      <c r="B1" s="724"/>
    </row>
    <row r="2" spans="1:8">
      <c r="A2" s="728"/>
      <c r="B2" s="728"/>
    </row>
    <row r="3" spans="1:8">
      <c r="A3" s="729" t="s">
        <v>3001</v>
      </c>
      <c r="B3" s="729"/>
    </row>
    <row r="4" spans="1:8">
      <c r="A4" s="784" t="str">
        <f>BS!A4</f>
        <v>(Amounts are stated in ₹ Lakhs unless otherwise stated)</v>
      </c>
      <c r="B4" s="784"/>
    </row>
    <row r="5" spans="1:8">
      <c r="B5" s="739"/>
    </row>
    <row r="6" spans="1:8">
      <c r="A6" s="681" t="s">
        <v>1921</v>
      </c>
      <c r="B6" s="689" t="s">
        <v>33</v>
      </c>
      <c r="C6" s="699"/>
      <c r="D6" s="699"/>
      <c r="E6" s="699"/>
      <c r="F6" s="699"/>
      <c r="G6" s="699"/>
      <c r="H6" s="699"/>
    </row>
    <row r="7" spans="1:8">
      <c r="A7" s="699"/>
      <c r="C7" s="711"/>
      <c r="D7" s="711"/>
      <c r="E7" s="711"/>
      <c r="F7" s="711"/>
      <c r="G7" s="821" t="s">
        <v>1862</v>
      </c>
      <c r="H7" s="821" t="s">
        <v>258</v>
      </c>
    </row>
    <row r="8" spans="1:8">
      <c r="A8" s="699"/>
      <c r="B8" s="817" t="s">
        <v>1861</v>
      </c>
      <c r="C8" s="699"/>
      <c r="D8" s="699"/>
      <c r="E8" s="699"/>
      <c r="F8" s="699"/>
      <c r="G8" s="898"/>
      <c r="H8" s="898"/>
    </row>
    <row r="9" spans="1:8">
      <c r="A9" s="699"/>
      <c r="B9" s="1165" t="s">
        <v>2996</v>
      </c>
      <c r="C9" s="699"/>
      <c r="D9" s="699"/>
      <c r="E9" s="699"/>
      <c r="F9" s="699"/>
      <c r="G9" s="785">
        <v>10000</v>
      </c>
      <c r="H9" s="786">
        <f>'10-17'!K17</f>
        <v>100000</v>
      </c>
    </row>
    <row r="10" spans="1:8">
      <c r="A10" s="699"/>
      <c r="B10" s="987" t="s">
        <v>1923</v>
      </c>
      <c r="C10" s="699"/>
      <c r="D10" s="699"/>
      <c r="E10" s="699"/>
      <c r="F10" s="699"/>
      <c r="G10" s="785">
        <v>0</v>
      </c>
      <c r="H10" s="785">
        <v>0</v>
      </c>
    </row>
    <row r="11" spans="1:8">
      <c r="A11" s="699"/>
      <c r="B11" s="817" t="s">
        <v>2840</v>
      </c>
      <c r="C11" s="680"/>
      <c r="D11" s="680"/>
      <c r="E11" s="680"/>
      <c r="F11" s="680"/>
      <c r="G11" s="818">
        <f>SUM(G9:G10)</f>
        <v>10000</v>
      </c>
      <c r="H11" s="818">
        <f>SUM(H9:H10)</f>
        <v>100000</v>
      </c>
    </row>
    <row r="12" spans="1:8">
      <c r="A12" s="699"/>
      <c r="B12" s="987" t="s">
        <v>1924</v>
      </c>
      <c r="C12" s="699"/>
      <c r="D12" s="699"/>
      <c r="E12" s="699"/>
      <c r="F12" s="699"/>
      <c r="G12" s="786">
        <v>0</v>
      </c>
      <c r="H12" s="786">
        <v>0</v>
      </c>
    </row>
    <row r="13" spans="1:8">
      <c r="A13" s="699"/>
      <c r="B13" s="819" t="s">
        <v>2997</v>
      </c>
      <c r="C13" s="820"/>
      <c r="D13" s="820"/>
      <c r="E13" s="820"/>
      <c r="F13" s="820"/>
      <c r="G13" s="787">
        <f>SUM(G11:G12)</f>
        <v>10000</v>
      </c>
      <c r="H13" s="787">
        <f>SUM(H11:H12)</f>
        <v>100000</v>
      </c>
    </row>
    <row r="14" spans="1:8">
      <c r="B14" s="739"/>
    </row>
    <row r="15" spans="1:8" hidden="1">
      <c r="B15" s="739"/>
    </row>
    <row r="16" spans="1:8" hidden="1">
      <c r="B16" s="739"/>
    </row>
    <row r="17" spans="1:9">
      <c r="B17" s="739"/>
    </row>
    <row r="18" spans="1:9">
      <c r="A18" s="681" t="s">
        <v>1922</v>
      </c>
      <c r="B18" s="689" t="s">
        <v>80</v>
      </c>
      <c r="C18" s="1770"/>
      <c r="D18" s="1770"/>
      <c r="E18" s="1770"/>
      <c r="F18" s="1770"/>
      <c r="G18" s="1770"/>
    </row>
    <row r="19" spans="1:9">
      <c r="A19" s="681"/>
      <c r="B19" s="689"/>
      <c r="C19" s="684"/>
      <c r="D19" s="823"/>
      <c r="E19" s="823"/>
      <c r="F19" s="1744"/>
      <c r="G19" s="1744"/>
    </row>
    <row r="20" spans="1:9" ht="12.75" customHeight="1">
      <c r="B20" s="1029" t="s">
        <v>82</v>
      </c>
      <c r="C20" s="1021"/>
      <c r="D20" s="822"/>
      <c r="E20" s="822"/>
      <c r="F20" s="1021" t="s">
        <v>81</v>
      </c>
      <c r="G20" s="1022" t="s">
        <v>1873</v>
      </c>
      <c r="H20" s="1023" t="s">
        <v>173</v>
      </c>
    </row>
    <row r="21" spans="1:9" ht="42" customHeight="1">
      <c r="B21" s="685"/>
      <c r="C21" s="791" t="s">
        <v>83</v>
      </c>
      <c r="D21" s="789" t="s">
        <v>84</v>
      </c>
      <c r="E21" s="789" t="s">
        <v>85</v>
      </c>
      <c r="F21" s="974" t="s">
        <v>86</v>
      </c>
      <c r="G21" s="974" t="s">
        <v>87</v>
      </c>
      <c r="H21" s="1023"/>
      <c r="I21" s="792"/>
    </row>
    <row r="22" spans="1:9" hidden="1">
      <c r="B22" s="793" t="s">
        <v>89</v>
      </c>
      <c r="C22" s="742">
        <f>ROUND(128912000/Master!$B$23,0)</f>
        <v>128912000</v>
      </c>
      <c r="D22" s="794">
        <v>0</v>
      </c>
      <c r="E22" s="742">
        <f>ROUND(0/Master!$B$23,0)</f>
        <v>0</v>
      </c>
      <c r="F22" s="742">
        <f>ROUND((808335170+198700179-1000-3000)/Master!$B$23,0)-1</f>
        <v>1007031348</v>
      </c>
      <c r="G22" s="795">
        <v>0</v>
      </c>
      <c r="H22" s="796">
        <f>SUM(C22:G22)</f>
        <v>1135943348</v>
      </c>
    </row>
    <row r="23" spans="1:9" hidden="1">
      <c r="B23" s="793" t="s">
        <v>90</v>
      </c>
      <c r="C23" s="742">
        <f>ROUND(-128912000/Master!$B$23,0)</f>
        <v>-128912000</v>
      </c>
      <c r="D23" s="797"/>
      <c r="E23" s="797">
        <v>0</v>
      </c>
      <c r="F23" s="742">
        <f>ROUND((-23705845+52020-44531.63+3361)/Master!$B$23,0)</f>
        <v>-23694996</v>
      </c>
      <c r="G23" s="797">
        <v>0</v>
      </c>
      <c r="H23" s="796">
        <f>SUM(C23:G23)</f>
        <v>-152606996</v>
      </c>
    </row>
    <row r="24" spans="1:9" hidden="1">
      <c r="B24" s="798" t="s">
        <v>91</v>
      </c>
      <c r="C24" s="799">
        <f t="shared" ref="C24:H24" si="0">SUM(C22:C23)</f>
        <v>0</v>
      </c>
      <c r="D24" s="800">
        <f t="shared" si="0"/>
        <v>0</v>
      </c>
      <c r="E24" s="800">
        <f t="shared" si="0"/>
        <v>0</v>
      </c>
      <c r="F24" s="800">
        <f t="shared" si="0"/>
        <v>983336352</v>
      </c>
      <c r="G24" s="800">
        <f t="shared" si="0"/>
        <v>0</v>
      </c>
      <c r="H24" s="801">
        <f t="shared" si="0"/>
        <v>983336352</v>
      </c>
    </row>
    <row r="25" spans="1:9" hidden="1">
      <c r="B25" s="788" t="s">
        <v>92</v>
      </c>
      <c r="C25" s="802">
        <v>0</v>
      </c>
      <c r="D25" s="802">
        <v>0</v>
      </c>
      <c r="E25" s="802">
        <v>0</v>
      </c>
      <c r="F25" s="802">
        <f>+'Sch - BS'!G197*0</f>
        <v>0</v>
      </c>
      <c r="G25" s="802">
        <v>0</v>
      </c>
      <c r="H25" s="796">
        <f>SUM(C25:G25)</f>
        <v>0</v>
      </c>
    </row>
    <row r="26" spans="1:9" hidden="1">
      <c r="B26" s="793" t="s">
        <v>93</v>
      </c>
      <c r="C26" s="802">
        <v>0</v>
      </c>
      <c r="D26" s="802">
        <v>0</v>
      </c>
      <c r="E26" s="802">
        <v>0</v>
      </c>
      <c r="F26" s="802">
        <f>ROUND(0/Master!$B$23,0)</f>
        <v>0</v>
      </c>
      <c r="G26" s="802">
        <v>0</v>
      </c>
      <c r="H26" s="796">
        <f>SUM(C26:G26)</f>
        <v>0</v>
      </c>
    </row>
    <row r="27" spans="1:9" hidden="1">
      <c r="B27" s="788" t="s">
        <v>94</v>
      </c>
      <c r="C27" s="803">
        <v>0</v>
      </c>
      <c r="D27" s="802">
        <v>0</v>
      </c>
      <c r="E27" s="802">
        <v>0</v>
      </c>
      <c r="F27" s="802">
        <f>-ROUND((26946603.2087233+385+1)/Master!$B$23,0)</f>
        <v>-26946989</v>
      </c>
      <c r="G27" s="802">
        <v>0</v>
      </c>
      <c r="H27" s="796">
        <f>SUM(C27:G27)</f>
        <v>-26946989</v>
      </c>
    </row>
    <row r="28" spans="1:9" hidden="1">
      <c r="B28" s="788" t="s">
        <v>95</v>
      </c>
      <c r="C28" s="803">
        <v>0</v>
      </c>
      <c r="D28" s="802">
        <v>0</v>
      </c>
      <c r="E28" s="802">
        <v>0</v>
      </c>
      <c r="F28" s="802">
        <f>+'Sch - BS'!G191</f>
        <v>0</v>
      </c>
      <c r="G28" s="802">
        <v>0</v>
      </c>
      <c r="H28" s="796">
        <f>SUM(C28:G28)</f>
        <v>0</v>
      </c>
    </row>
    <row r="29" spans="1:9" hidden="1">
      <c r="B29" s="788" t="s">
        <v>96</v>
      </c>
      <c r="C29" s="803">
        <v>0</v>
      </c>
      <c r="D29" s="802">
        <v>0</v>
      </c>
      <c r="E29" s="802">
        <v>0</v>
      </c>
      <c r="F29" s="802">
        <v>0</v>
      </c>
      <c r="G29" s="802">
        <f>-OCI!C7</f>
        <v>466941</v>
      </c>
      <c r="H29" s="796">
        <f>SUM(C29:G29)</f>
        <v>466941</v>
      </c>
    </row>
    <row r="30" spans="1:9" hidden="1">
      <c r="B30" s="788"/>
      <c r="C30" s="803"/>
      <c r="D30" s="802"/>
      <c r="E30" s="802"/>
      <c r="F30" s="802"/>
      <c r="G30" s="802"/>
      <c r="H30" s="804"/>
    </row>
    <row r="31" spans="1:9" hidden="1">
      <c r="B31" s="805" t="s">
        <v>97</v>
      </c>
      <c r="C31" s="807">
        <f t="shared" ref="C31:H31" si="1">SUM(C24:C29)</f>
        <v>0</v>
      </c>
      <c r="D31" s="808">
        <f t="shared" si="1"/>
        <v>0</v>
      </c>
      <c r="E31" s="808">
        <f t="shared" si="1"/>
        <v>0</v>
      </c>
      <c r="F31" s="808">
        <f t="shared" si="1"/>
        <v>956389363</v>
      </c>
      <c r="G31" s="808">
        <f t="shared" si="1"/>
        <v>466941</v>
      </c>
      <c r="H31" s="809">
        <f t="shared" si="1"/>
        <v>956856304</v>
      </c>
    </row>
    <row r="32" spans="1:9" hidden="1">
      <c r="B32" s="788" t="s">
        <v>92</v>
      </c>
      <c r="C32" s="803">
        <v>0</v>
      </c>
      <c r="D32" s="802">
        <v>0</v>
      </c>
      <c r="E32" s="802">
        <v>0</v>
      </c>
      <c r="F32" s="794">
        <f>-ROUND(751520000/Master!$B$23,0)</f>
        <v>-751520000</v>
      </c>
      <c r="G32" s="802">
        <v>0</v>
      </c>
      <c r="H32" s="796">
        <f>SUM(C32:G32)</f>
        <v>-751520000</v>
      </c>
    </row>
    <row r="33" spans="2:9" hidden="1">
      <c r="B33" s="793" t="s">
        <v>98</v>
      </c>
      <c r="C33" s="803">
        <v>0</v>
      </c>
      <c r="D33" s="802">
        <v>0</v>
      </c>
      <c r="E33" s="802">
        <v>0</v>
      </c>
      <c r="F33" s="794">
        <f>-ROUND(152991789/Master!$B$23,0)</f>
        <v>-152991789</v>
      </c>
      <c r="G33" s="802">
        <v>0</v>
      </c>
      <c r="H33" s="796">
        <f>SUM(C33:G33)</f>
        <v>-152991789</v>
      </c>
    </row>
    <row r="34" spans="2:9" hidden="1">
      <c r="B34" s="788" t="s">
        <v>99</v>
      </c>
      <c r="C34" s="803">
        <v>0</v>
      </c>
      <c r="D34" s="802">
        <v>0</v>
      </c>
      <c r="E34" s="802">
        <v>0</v>
      </c>
      <c r="F34" s="802">
        <f>ROUND((37503846)/Master!$B$23,0)</f>
        <v>37503846</v>
      </c>
      <c r="G34" s="802">
        <v>0</v>
      </c>
      <c r="H34" s="796">
        <f>SUM(C34:G34)</f>
        <v>37503846</v>
      </c>
    </row>
    <row r="35" spans="2:9" hidden="1">
      <c r="B35" s="788" t="s">
        <v>100</v>
      </c>
      <c r="C35" s="802">
        <v>0</v>
      </c>
      <c r="D35" s="802">
        <v>0</v>
      </c>
      <c r="E35" s="742">
        <f>+-E31</f>
        <v>0</v>
      </c>
      <c r="F35" s="794">
        <f>-E35</f>
        <v>0</v>
      </c>
      <c r="G35" s="802">
        <v>0</v>
      </c>
      <c r="H35" s="796">
        <f>SUM(C35:G35)</f>
        <v>0</v>
      </c>
    </row>
    <row r="36" spans="2:9" hidden="1">
      <c r="B36" s="788" t="s">
        <v>96</v>
      </c>
      <c r="C36" s="803">
        <v>0</v>
      </c>
      <c r="D36" s="802">
        <v>0</v>
      </c>
      <c r="E36" s="742">
        <v>0</v>
      </c>
      <c r="F36" s="794">
        <v>0</v>
      </c>
      <c r="G36" s="802">
        <f>ROUND((78797)/Master!$B$23,0)</f>
        <v>78797</v>
      </c>
      <c r="H36" s="796">
        <f>SUM(C36:G36)</f>
        <v>78797</v>
      </c>
    </row>
    <row r="37" spans="2:9" hidden="1">
      <c r="B37" s="788"/>
      <c r="C37" s="810"/>
      <c r="H37" s="790"/>
    </row>
    <row r="38" spans="2:9" hidden="1">
      <c r="B38" s="1024" t="s">
        <v>2371</v>
      </c>
      <c r="C38" s="1025">
        <f>SUM(C31:C36)</f>
        <v>0</v>
      </c>
      <c r="D38" s="1026">
        <f>SUM(D31:D36)</f>
        <v>0</v>
      </c>
      <c r="E38" s="1026">
        <f>SUM(E31:E36)</f>
        <v>0</v>
      </c>
      <c r="F38" s="1026">
        <f>ROUND(59058236/Master!$B$23,0)</f>
        <v>59058236</v>
      </c>
      <c r="G38" s="1026">
        <f>ROUND(709341/Master!$B$23,0)-1</f>
        <v>709340</v>
      </c>
      <c r="H38" s="1026">
        <f>+F38+G38</f>
        <v>59767576</v>
      </c>
    </row>
    <row r="39" spans="2:9" hidden="1">
      <c r="B39" s="727" t="s">
        <v>92</v>
      </c>
      <c r="C39" s="803">
        <v>0</v>
      </c>
      <c r="D39" s="802">
        <v>0</v>
      </c>
      <c r="E39" s="802">
        <v>0</v>
      </c>
      <c r="F39" s="794">
        <v>0</v>
      </c>
      <c r="G39" s="802">
        <v>0</v>
      </c>
      <c r="H39" s="794">
        <f>SUM(C39:G39)</f>
        <v>0</v>
      </c>
    </row>
    <row r="40" spans="2:9" hidden="1">
      <c r="B40" s="792" t="s">
        <v>98</v>
      </c>
      <c r="C40" s="803">
        <v>0</v>
      </c>
      <c r="D40" s="802">
        <v>0</v>
      </c>
      <c r="E40" s="802">
        <v>0</v>
      </c>
      <c r="F40" s="794">
        <f>ROUND('Sch - BS'!G191/Master!$B$23,0)</f>
        <v>0</v>
      </c>
      <c r="G40" s="802">
        <v>0</v>
      </c>
      <c r="H40" s="794">
        <f>SUM(C40:G40)</f>
        <v>0</v>
      </c>
    </row>
    <row r="41" spans="2:9" hidden="1">
      <c r="B41" s="1169" t="s">
        <v>101</v>
      </c>
      <c r="C41" s="803">
        <v>0</v>
      </c>
      <c r="D41" s="802">
        <v>0</v>
      </c>
      <c r="E41" s="802">
        <v>0</v>
      </c>
      <c r="F41" s="794">
        <f>ROUND(-11706579/Master!$B$23,0)</f>
        <v>-11706579</v>
      </c>
      <c r="G41" s="802">
        <v>0</v>
      </c>
      <c r="H41" s="794">
        <f>SUM(C41:G41)</f>
        <v>-11706579</v>
      </c>
    </row>
    <row r="42" spans="2:9" hidden="1">
      <c r="B42" s="727" t="s">
        <v>100</v>
      </c>
      <c r="C42" s="802">
        <v>0</v>
      </c>
      <c r="D42" s="802">
        <v>0</v>
      </c>
      <c r="E42" s="742">
        <f>+-E31</f>
        <v>0</v>
      </c>
      <c r="F42" s="794">
        <f>-E42</f>
        <v>0</v>
      </c>
      <c r="G42" s="802">
        <v>0</v>
      </c>
      <c r="H42" s="794">
        <f>SUM(C42:G42)</f>
        <v>0</v>
      </c>
    </row>
    <row r="43" spans="2:9" hidden="1">
      <c r="B43" s="993" t="s">
        <v>78</v>
      </c>
      <c r="C43" s="803">
        <v>0</v>
      </c>
      <c r="D43" s="802">
        <v>0</v>
      </c>
      <c r="E43" s="742">
        <v>0</v>
      </c>
      <c r="F43" s="794">
        <v>0</v>
      </c>
      <c r="G43" s="794">
        <f>ROUND(248799/Master!$B$23,0)</f>
        <v>248799</v>
      </c>
      <c r="H43" s="794">
        <f>SUM(C43:G43)</f>
        <v>248799</v>
      </c>
    </row>
    <row r="44" spans="2:9" hidden="1">
      <c r="C44" s="810"/>
    </row>
    <row r="45" spans="2:9" hidden="1">
      <c r="B45" s="1024" t="s">
        <v>2721</v>
      </c>
      <c r="C45" s="1025">
        <f>SUM(C31:C43)</f>
        <v>0</v>
      </c>
      <c r="D45" s="1026">
        <f>SUM(D31:D43)</f>
        <v>0</v>
      </c>
      <c r="E45" s="1026">
        <f>SUM(E31:E43)</f>
        <v>0</v>
      </c>
      <c r="F45" s="1026">
        <f>SUM(F38:F43)</f>
        <v>47351657</v>
      </c>
      <c r="G45" s="1026">
        <f>SUM(G38:G43)</f>
        <v>958139</v>
      </c>
      <c r="H45" s="1026">
        <f>SUM(H38:H43)</f>
        <v>48309796</v>
      </c>
      <c r="I45" s="727" t="b">
        <f>IF(H45=BS!I41," ",FALSE)</f>
        <v>0</v>
      </c>
    </row>
    <row r="46" spans="2:9" hidden="1">
      <c r="B46" s="727" t="s">
        <v>92</v>
      </c>
      <c r="C46" s="803">
        <v>0</v>
      </c>
      <c r="D46" s="802">
        <v>0</v>
      </c>
      <c r="E46" s="802">
        <v>0</v>
      </c>
      <c r="F46" s="794">
        <f>ROUND('Sch - BS'!G197/Master!$B$23,0)</f>
        <v>0</v>
      </c>
      <c r="G46" s="802">
        <v>0</v>
      </c>
      <c r="H46" s="794">
        <f>SUM(C46:G46)</f>
        <v>0</v>
      </c>
      <c r="I46" s="811"/>
    </row>
    <row r="47" spans="2:9" hidden="1">
      <c r="B47" s="792" t="s">
        <v>98</v>
      </c>
      <c r="C47" s="803">
        <v>0</v>
      </c>
      <c r="D47" s="802">
        <v>0</v>
      </c>
      <c r="E47" s="802">
        <v>0</v>
      </c>
      <c r="F47" s="794">
        <f>ROUND('Sch - BS'!G198/Master!$B$23,0)</f>
        <v>0</v>
      </c>
      <c r="G47" s="802">
        <v>0</v>
      </c>
      <c r="H47" s="794">
        <f>SUM(C47:G47)</f>
        <v>0</v>
      </c>
      <c r="I47" s="811"/>
    </row>
    <row r="48" spans="2:9" hidden="1">
      <c r="B48" s="727" t="s">
        <v>101</v>
      </c>
      <c r="C48" s="803">
        <v>0</v>
      </c>
      <c r="D48" s="802">
        <v>0</v>
      </c>
      <c r="E48" s="802">
        <v>0</v>
      </c>
      <c r="F48" s="794">
        <f>ROUND(-13600000/Master!$B$23,0)</f>
        <v>-13600000</v>
      </c>
      <c r="G48" s="802">
        <v>0</v>
      </c>
      <c r="H48" s="794">
        <f>SUM(C48:G48)</f>
        <v>-13600000</v>
      </c>
      <c r="I48" s="811"/>
    </row>
    <row r="49" spans="2:14" hidden="1">
      <c r="B49" s="727" t="s">
        <v>100</v>
      </c>
      <c r="C49" s="802">
        <v>0</v>
      </c>
      <c r="D49" s="802">
        <v>0</v>
      </c>
      <c r="E49" s="742">
        <f>+-E38</f>
        <v>0</v>
      </c>
      <c r="F49" s="794">
        <f>-E49</f>
        <v>0</v>
      </c>
      <c r="G49" s="802">
        <v>0</v>
      </c>
      <c r="H49" s="794">
        <f>SUM(C49:G49)</f>
        <v>0</v>
      </c>
      <c r="I49" s="811"/>
    </row>
    <row r="50" spans="2:14" hidden="1">
      <c r="B50" s="993" t="s">
        <v>1925</v>
      </c>
      <c r="C50" s="803">
        <v>0</v>
      </c>
      <c r="D50" s="802">
        <v>0</v>
      </c>
      <c r="E50" s="742">
        <v>0</v>
      </c>
      <c r="F50" s="794">
        <v>0</v>
      </c>
      <c r="G50" s="802">
        <f>ROUND(-700000/Master!$B$23,0)</f>
        <v>-700000</v>
      </c>
      <c r="H50" s="794">
        <f>SUM(C50:G50)</f>
        <v>-700000</v>
      </c>
      <c r="I50" s="811"/>
    </row>
    <row r="51" spans="2:14" hidden="1">
      <c r="C51" s="810"/>
      <c r="I51" s="811"/>
    </row>
    <row r="52" spans="2:14" ht="13.8" hidden="1" thickBot="1">
      <c r="B52" s="1027" t="s">
        <v>2372</v>
      </c>
      <c r="C52" s="1028">
        <f>SUM(C38:C50)</f>
        <v>0</v>
      </c>
      <c r="D52" s="911">
        <f>SUM(D38:D50)</f>
        <v>0</v>
      </c>
      <c r="E52" s="911">
        <f>SUM(E38:E50)</f>
        <v>0</v>
      </c>
      <c r="F52" s="911">
        <f>SUM(F45:F50)</f>
        <v>33751657</v>
      </c>
      <c r="G52" s="911">
        <f>SUM(G45:G50)</f>
        <v>258139</v>
      </c>
      <c r="H52" s="911">
        <f>SUM(H45:H50)</f>
        <v>34009796</v>
      </c>
      <c r="I52" s="1132">
        <f>IF(H52=BS!G41," ",FALSE)+1</f>
        <v>1</v>
      </c>
      <c r="J52" s="727">
        <f>+BS!I41</f>
        <v>66078334</v>
      </c>
      <c r="K52" s="742">
        <f>+H52-J52</f>
        <v>-32068538</v>
      </c>
      <c r="M52" s="727">
        <v>35811881</v>
      </c>
      <c r="N52" s="742">
        <f>+M52-F52</f>
        <v>2060224</v>
      </c>
    </row>
    <row r="53" spans="2:14" ht="13.8" hidden="1" thickTop="1">
      <c r="B53" s="1024"/>
      <c r="C53" s="1025"/>
      <c r="D53" s="1026"/>
      <c r="E53" s="1026"/>
      <c r="F53" s="1026"/>
      <c r="G53" s="1026"/>
      <c r="H53" s="1026"/>
    </row>
    <row r="54" spans="2:14" hidden="1">
      <c r="B54" s="727" t="s">
        <v>92</v>
      </c>
      <c r="C54" s="803">
        <v>0</v>
      </c>
      <c r="D54" s="802">
        <v>0</v>
      </c>
      <c r="E54" s="802">
        <v>0</v>
      </c>
      <c r="F54" s="794">
        <f>ROUND('Sch - BS'!G205/Master!$B$23,0)</f>
        <v>0</v>
      </c>
      <c r="G54" s="802">
        <v>0</v>
      </c>
      <c r="H54" s="794">
        <f>SUM(C54:G54)</f>
        <v>0</v>
      </c>
      <c r="I54" s="811"/>
    </row>
    <row r="55" spans="2:14" hidden="1">
      <c r="B55" s="792" t="s">
        <v>98</v>
      </c>
      <c r="C55" s="803">
        <v>0</v>
      </c>
      <c r="D55" s="802">
        <v>0</v>
      </c>
      <c r="E55" s="802">
        <v>0</v>
      </c>
      <c r="F55" s="794">
        <f>ROUND('Sch - BS'!G206/Master!$B$23,0)</f>
        <v>0</v>
      </c>
      <c r="G55" s="802">
        <v>0</v>
      </c>
      <c r="H55" s="794">
        <f>SUM(C55:G55)</f>
        <v>0</v>
      </c>
      <c r="I55" s="811"/>
    </row>
    <row r="56" spans="2:14" hidden="1">
      <c r="B56" s="727" t="s">
        <v>101</v>
      </c>
      <c r="C56" s="803">
        <v>0</v>
      </c>
      <c r="D56" s="802">
        <v>0</v>
      </c>
      <c r="E56" s="802">
        <v>0</v>
      </c>
      <c r="F56" s="794">
        <f>ROUND(-10093039/Master!$B$23,0)</f>
        <v>-10093039</v>
      </c>
      <c r="G56" s="802">
        <v>0</v>
      </c>
      <c r="H56" s="794">
        <f>SUM(C56:G56)</f>
        <v>-10093039</v>
      </c>
      <c r="I56" s="811"/>
    </row>
    <row r="57" spans="2:14" hidden="1">
      <c r="B57" s="727" t="s">
        <v>100</v>
      </c>
      <c r="C57" s="802">
        <v>0</v>
      </c>
      <c r="D57" s="802">
        <v>0</v>
      </c>
      <c r="E57" s="742">
        <f>+-E46</f>
        <v>0</v>
      </c>
      <c r="F57" s="794">
        <f>-E57</f>
        <v>0</v>
      </c>
      <c r="G57" s="802">
        <v>0</v>
      </c>
      <c r="H57" s="794">
        <f>SUM(C57:G57)</f>
        <v>0</v>
      </c>
      <c r="I57" s="811"/>
    </row>
    <row r="58" spans="2:14" hidden="1">
      <c r="B58" s="993" t="s">
        <v>1925</v>
      </c>
      <c r="C58" s="803">
        <v>0</v>
      </c>
      <c r="D58" s="802">
        <v>0</v>
      </c>
      <c r="E58" s="742">
        <v>0</v>
      </c>
      <c r="F58" s="794">
        <v>0</v>
      </c>
      <c r="G58" s="802">
        <f>ROUND(788019/Master!$B$23,0)</f>
        <v>788019</v>
      </c>
      <c r="H58" s="794">
        <f>SUM(C58:G58)</f>
        <v>788019</v>
      </c>
      <c r="I58" s="811"/>
    </row>
    <row r="59" spans="2:14" hidden="1">
      <c r="C59" s="810"/>
      <c r="I59" s="811"/>
    </row>
    <row r="60" spans="2:14" ht="13.8" thickBot="1">
      <c r="B60" s="1027" t="s">
        <v>2720</v>
      </c>
      <c r="C60" s="1028">
        <f>SUM(C46:C58)</f>
        <v>0</v>
      </c>
      <c r="D60" s="911">
        <f>SUM(D46:D58)</f>
        <v>0</v>
      </c>
      <c r="E60" s="911">
        <f>SUM(E46:E58)</f>
        <v>0</v>
      </c>
      <c r="F60" s="911">
        <f>SUM(F52:F58)</f>
        <v>23658618</v>
      </c>
      <c r="G60" s="911">
        <f>SUM(G52:G58)</f>
        <v>1046158</v>
      </c>
      <c r="H60" s="911">
        <f>SUM(H52:H58)</f>
        <v>24704776</v>
      </c>
      <c r="I60" s="1132" t="b">
        <f>IF(H60=BS!G49," ",FALSE)</f>
        <v>0</v>
      </c>
      <c r="J60" s="727">
        <f>+BS!G41</f>
        <v>17022765</v>
      </c>
      <c r="K60" s="742">
        <f>+H60-J60</f>
        <v>7682011</v>
      </c>
    </row>
    <row r="61" spans="2:14" ht="13.8" thickTop="1">
      <c r="B61" s="1169" t="s">
        <v>99</v>
      </c>
      <c r="C61" s="803">
        <v>0</v>
      </c>
      <c r="D61" s="802">
        <v>0</v>
      </c>
      <c r="E61" s="802">
        <v>0</v>
      </c>
      <c r="F61" s="794">
        <f>PL!H37</f>
        <v>41395539</v>
      </c>
      <c r="G61" s="802">
        <v>0</v>
      </c>
      <c r="H61" s="794">
        <f>SUM(C61:G61)</f>
        <v>41395539</v>
      </c>
      <c r="I61" s="1132"/>
      <c r="K61" s="742"/>
    </row>
    <row r="62" spans="2:14" hidden="1">
      <c r="B62" s="727" t="s">
        <v>100</v>
      </c>
      <c r="C62" s="802">
        <v>0</v>
      </c>
      <c r="D62" s="802">
        <v>0</v>
      </c>
      <c r="E62" s="742">
        <f>+-E51</f>
        <v>0</v>
      </c>
      <c r="F62" s="794">
        <f>-E62</f>
        <v>0</v>
      </c>
      <c r="G62" s="802">
        <v>0</v>
      </c>
      <c r="H62" s="794">
        <f>SUM(C62:G62)</f>
        <v>0</v>
      </c>
      <c r="I62" s="1132"/>
      <c r="K62" s="742"/>
    </row>
    <row r="63" spans="2:14">
      <c r="B63" s="1169" t="s">
        <v>2974</v>
      </c>
      <c r="C63" s="803">
        <v>0</v>
      </c>
      <c r="D63" s="802">
        <v>0</v>
      </c>
      <c r="E63" s="742">
        <v>0</v>
      </c>
      <c r="F63" s="802">
        <v>0</v>
      </c>
      <c r="G63" s="802">
        <f>PL!H43</f>
        <v>-21781</v>
      </c>
      <c r="H63" s="794">
        <f>SUM(C63:G63)</f>
        <v>-21781</v>
      </c>
      <c r="I63" s="1132"/>
      <c r="K63" s="742"/>
    </row>
    <row r="64" spans="2:14">
      <c r="C64" s="810"/>
      <c r="I64" s="1132"/>
      <c r="K64" s="742"/>
    </row>
    <row r="65" spans="1:12" ht="13.8" thickBot="1">
      <c r="B65" s="1027" t="s">
        <v>2841</v>
      </c>
      <c r="C65" s="1028">
        <f>SUM(C51:C63)</f>
        <v>0</v>
      </c>
      <c r="D65" s="911">
        <f>SUM(D51:D63)</f>
        <v>0</v>
      </c>
      <c r="E65" s="911">
        <f>SUM(E51:E63)</f>
        <v>0</v>
      </c>
      <c r="F65" s="911">
        <f>SUM(F60:F63)</f>
        <v>65054157</v>
      </c>
      <c r="G65" s="911">
        <f>SUM(G60:G63)</f>
        <v>1024377</v>
      </c>
      <c r="H65" s="911">
        <f>SUM(H60:H63)</f>
        <v>66078534</v>
      </c>
      <c r="I65" s="1132"/>
      <c r="K65" s="742">
        <f>BS!I41</f>
        <v>66078334</v>
      </c>
      <c r="L65" s="742">
        <f>H65-K65</f>
        <v>200</v>
      </c>
    </row>
    <row r="66" spans="1:12" ht="13.8" thickTop="1">
      <c r="B66" s="1169" t="s">
        <v>99</v>
      </c>
      <c r="C66" s="803">
        <v>0</v>
      </c>
      <c r="D66" s="802">
        <v>0</v>
      </c>
      <c r="E66" s="802">
        <v>0</v>
      </c>
      <c r="F66" s="794">
        <f>PL!F37</f>
        <v>-49022014</v>
      </c>
      <c r="G66" s="802">
        <v>0</v>
      </c>
      <c r="H66" s="794">
        <f>SUM(C66:G66)</f>
        <v>-49022014</v>
      </c>
      <c r="I66" s="1132"/>
      <c r="K66" s="742"/>
    </row>
    <row r="67" spans="1:12" hidden="1">
      <c r="B67" s="727" t="s">
        <v>100</v>
      </c>
      <c r="C67" s="802">
        <v>0</v>
      </c>
      <c r="D67" s="802">
        <v>0</v>
      </c>
      <c r="E67" s="742">
        <f>+-E56</f>
        <v>0</v>
      </c>
      <c r="F67" s="794">
        <f>-E67</f>
        <v>0</v>
      </c>
      <c r="G67" s="802">
        <v>0</v>
      </c>
      <c r="H67" s="794">
        <f>SUM(C67:G67)</f>
        <v>0</v>
      </c>
      <c r="I67" s="1132"/>
      <c r="K67" s="742"/>
    </row>
    <row r="68" spans="1:12">
      <c r="B68" s="1169" t="s">
        <v>2974</v>
      </c>
      <c r="C68" s="803">
        <v>0</v>
      </c>
      <c r="D68" s="802">
        <v>0</v>
      </c>
      <c r="E68" s="742">
        <v>0</v>
      </c>
      <c r="F68" s="802">
        <v>0</v>
      </c>
      <c r="G68" s="802">
        <f>PL!F43</f>
        <v>-33755</v>
      </c>
      <c r="H68" s="794">
        <f>SUM(C68:G68)</f>
        <v>-33755</v>
      </c>
      <c r="I68" s="1132"/>
      <c r="K68" s="742"/>
    </row>
    <row r="69" spans="1:12">
      <c r="C69" s="810"/>
      <c r="I69" s="1132"/>
      <c r="K69" s="742"/>
    </row>
    <row r="70" spans="1:12" ht="13.8" thickBot="1">
      <c r="B70" s="1027" t="s">
        <v>3002</v>
      </c>
      <c r="C70" s="1028">
        <f>SUM(C56:C68)</f>
        <v>0</v>
      </c>
      <c r="D70" s="911">
        <f>SUM(D56:D68)</f>
        <v>0</v>
      </c>
      <c r="E70" s="911">
        <f>SUM(E56:E68)</f>
        <v>0</v>
      </c>
      <c r="F70" s="911">
        <f>SUM(F65:F68)</f>
        <v>16032143</v>
      </c>
      <c r="G70" s="911">
        <f>SUM(G65:G68)</f>
        <v>990622</v>
      </c>
      <c r="H70" s="911">
        <f>SUM(H65:H68)</f>
        <v>17022765</v>
      </c>
      <c r="I70" s="1132"/>
      <c r="K70" s="742">
        <f>BS!G41</f>
        <v>17022765</v>
      </c>
      <c r="L70" s="742">
        <f>H70-K70</f>
        <v>0</v>
      </c>
    </row>
    <row r="71" spans="1:12" s="1169" customFormat="1" ht="13.8" thickTop="1">
      <c r="C71" s="803"/>
      <c r="D71" s="1608"/>
      <c r="E71" s="1608"/>
      <c r="F71" s="1608"/>
      <c r="G71" s="1608"/>
      <c r="H71" s="1608"/>
      <c r="I71" s="1608"/>
      <c r="J71" s="1609"/>
    </row>
    <row r="72" spans="1:12">
      <c r="B72" s="1169" t="s">
        <v>2752</v>
      </c>
      <c r="C72" s="806"/>
      <c r="D72" s="811"/>
      <c r="E72" s="811"/>
      <c r="F72" s="811"/>
      <c r="G72" s="811"/>
      <c r="H72" s="811"/>
      <c r="I72" s="811"/>
      <c r="J72" s="813"/>
      <c r="K72" s="742"/>
    </row>
    <row r="73" spans="1:12" s="1169" customFormat="1">
      <c r="C73" s="803"/>
      <c r="D73" s="1608"/>
      <c r="E73" s="1608"/>
      <c r="F73" s="1608"/>
      <c r="G73" s="1608"/>
      <c r="H73" s="1608"/>
      <c r="I73" s="1608"/>
      <c r="J73" s="1609"/>
    </row>
    <row r="74" spans="1:12">
      <c r="A74" s="812" t="s">
        <v>1926</v>
      </c>
      <c r="C74" s="806"/>
      <c r="D74" s="811"/>
      <c r="E74" s="811"/>
      <c r="F74" s="811"/>
      <c r="G74" s="811"/>
      <c r="H74" s="811"/>
      <c r="I74" s="811"/>
      <c r="J74" s="813"/>
    </row>
    <row r="75" spans="1:12">
      <c r="B75" s="812"/>
      <c r="C75" s="806"/>
      <c r="D75" s="811"/>
      <c r="E75" s="811"/>
      <c r="F75" s="811"/>
      <c r="G75" s="811"/>
      <c r="H75" s="811"/>
      <c r="I75" s="811"/>
      <c r="J75" s="813"/>
    </row>
    <row r="76" spans="1:12">
      <c r="A76" s="812" t="s">
        <v>1927</v>
      </c>
      <c r="B76" s="812" t="s">
        <v>1928</v>
      </c>
      <c r="C76" s="806"/>
      <c r="D76" s="811"/>
      <c r="E76" s="811"/>
      <c r="F76" s="811"/>
      <c r="G76" s="811"/>
      <c r="H76" s="811"/>
      <c r="I76" s="811"/>
      <c r="J76" s="813"/>
    </row>
    <row r="77" spans="1:12">
      <c r="B77" s="1815" t="s">
        <v>2006</v>
      </c>
      <c r="C77" s="1815"/>
      <c r="D77" s="1815"/>
      <c r="E77" s="1815"/>
      <c r="F77" s="1815"/>
      <c r="G77" s="811"/>
      <c r="H77" s="811"/>
      <c r="I77" s="811"/>
      <c r="J77" s="813"/>
    </row>
    <row r="78" spans="1:12">
      <c r="B78" s="812"/>
      <c r="C78" s="806"/>
      <c r="D78" s="811"/>
      <c r="E78" s="811"/>
      <c r="F78" s="811"/>
      <c r="G78" s="811"/>
      <c r="H78" s="811"/>
      <c r="I78" s="811"/>
      <c r="J78" s="813"/>
    </row>
    <row r="79" spans="1:12">
      <c r="A79" s="812" t="s">
        <v>1929</v>
      </c>
      <c r="B79" s="685" t="s">
        <v>87</v>
      </c>
    </row>
    <row r="80" spans="1:12" ht="26.25" customHeight="1">
      <c r="A80" s="993"/>
      <c r="B80" s="1816" t="s">
        <v>1958</v>
      </c>
      <c r="C80" s="1816"/>
      <c r="D80" s="1816"/>
      <c r="E80" s="1816"/>
      <c r="F80" s="1816"/>
      <c r="G80" s="1816"/>
      <c r="H80" s="1816"/>
    </row>
    <row r="82" spans="1:8">
      <c r="A82" s="959" t="str">
        <f>PL!A58</f>
        <v>The accompanying notes are integral part of the financial statements</v>
      </c>
      <c r="B82" s="959"/>
      <c r="C82" s="959"/>
      <c r="D82" s="959"/>
      <c r="E82" s="959"/>
      <c r="F82" s="959"/>
      <c r="G82" s="959"/>
      <c r="H82" s="797"/>
    </row>
    <row r="83" spans="1:8">
      <c r="A83" s="727" t="str">
        <f>PL!A59</f>
        <v>As per our report of even date</v>
      </c>
      <c r="H83" s="794"/>
    </row>
    <row r="84" spans="1:8">
      <c r="H84" s="794"/>
    </row>
    <row r="85" spans="1:8">
      <c r="H85" s="794"/>
    </row>
    <row r="86" spans="1:8">
      <c r="A86" s="752" t="s">
        <v>1814</v>
      </c>
      <c r="H86" s="814" t="str">
        <f>+PL!H61</f>
        <v>For and on behalf of the Board of Directors of</v>
      </c>
    </row>
    <row r="87" spans="1:8">
      <c r="A87" s="752" t="s">
        <v>54</v>
      </c>
      <c r="H87" s="814">
        <f>+PL!H62</f>
        <v>0</v>
      </c>
    </row>
    <row r="88" spans="1:8">
      <c r="A88" s="752" t="s">
        <v>1815</v>
      </c>
      <c r="H88" s="815" t="str">
        <f>+PL!H63</f>
        <v>CIN: U72900PN2010FTC137168</v>
      </c>
    </row>
    <row r="89" spans="1:8">
      <c r="H89" s="794"/>
    </row>
    <row r="90" spans="1:8">
      <c r="H90" s="794"/>
    </row>
    <row r="91" spans="1:8">
      <c r="H91" s="794"/>
    </row>
    <row r="92" spans="1:8">
      <c r="H92" s="794"/>
    </row>
    <row r="93" spans="1:8">
      <c r="H93" s="794"/>
    </row>
    <row r="94" spans="1:8" s="812" customFormat="1" ht="15" customHeight="1">
      <c r="A94" s="812" t="e">
        <f>+PL!#REF!</f>
        <v>#REF!</v>
      </c>
      <c r="C94" s="812" t="e">
        <f>+PL!#REF!</f>
        <v>#REF!</v>
      </c>
      <c r="H94" s="1460" t="s">
        <v>3099</v>
      </c>
    </row>
    <row r="95" spans="1:8" ht="15" customHeight="1">
      <c r="A95" s="1196" t="e">
        <f>+PL!#REF!</f>
        <v>#REF!</v>
      </c>
      <c r="B95" s="1196"/>
      <c r="C95" s="1196" t="e">
        <f>+PL!#REF!</f>
        <v>#REF!</v>
      </c>
      <c r="D95" s="1196"/>
      <c r="E95" s="1196"/>
      <c r="H95" s="1461" t="s">
        <v>56</v>
      </c>
    </row>
    <row r="96" spans="1:8" ht="15" customHeight="1">
      <c r="A96" s="727" t="e">
        <f>+PL!#REF!</f>
        <v>#REF!</v>
      </c>
      <c r="C96" s="727" t="e">
        <f>+PL!#REF!</f>
        <v>#REF!</v>
      </c>
      <c r="H96" s="1462" t="s">
        <v>3100</v>
      </c>
    </row>
    <row r="97" spans="1:8">
      <c r="C97" s="727" t="e">
        <f>+CF!C93</f>
        <v>#REF!</v>
      </c>
      <c r="H97" s="1462" t="e">
        <f>+CF!H93</f>
        <v>#REF!</v>
      </c>
    </row>
    <row r="98" spans="1:8">
      <c r="H98" s="794"/>
    </row>
    <row r="99" spans="1:8">
      <c r="H99" s="794"/>
    </row>
    <row r="100" spans="1:8">
      <c r="H100" s="898" t="s">
        <v>2652</v>
      </c>
    </row>
    <row r="101" spans="1:8">
      <c r="H101" s="1466" t="s">
        <v>2653</v>
      </c>
    </row>
    <row r="102" spans="1:8" ht="15" customHeight="1">
      <c r="A102" s="727" t="e">
        <f>+PL!#REF!</f>
        <v>#REF!</v>
      </c>
      <c r="C102" s="1817"/>
      <c r="D102" s="1817"/>
      <c r="E102" s="1817"/>
      <c r="F102" s="1817"/>
      <c r="H102" s="1463" t="e">
        <f>+A102</f>
        <v>#REF!</v>
      </c>
    </row>
    <row r="103" spans="1:8" ht="15" customHeight="1">
      <c r="A103" s="727" t="e">
        <f>+PL!#REF!</f>
        <v>#REF!</v>
      </c>
      <c r="C103" s="1814" t="e">
        <f>+PL!#REF!</f>
        <v>#REF!</v>
      </c>
      <c r="D103" s="1814"/>
      <c r="E103" s="1814"/>
      <c r="F103" s="1814"/>
      <c r="G103" s="1814"/>
      <c r="H103" s="1814"/>
    </row>
  </sheetData>
  <mergeCells count="6">
    <mergeCell ref="C103:H103"/>
    <mergeCell ref="C18:G18"/>
    <mergeCell ref="F19:G19"/>
    <mergeCell ref="B77:F77"/>
    <mergeCell ref="B80:H80"/>
    <mergeCell ref="C102:F102"/>
  </mergeCells>
  <conditionalFormatting sqref="I45">
    <cfRule type="cellIs" dxfId="51" priority="4" operator="equal">
      <formula>FALSE</formula>
    </cfRule>
  </conditionalFormatting>
  <conditionalFormatting sqref="I52:I53">
    <cfRule type="cellIs" dxfId="50" priority="2" operator="equal">
      <formula>FALSE</formula>
    </cfRule>
  </conditionalFormatting>
  <conditionalFormatting sqref="I60:I70">
    <cfRule type="cellIs" dxfId="49" priority="1" operator="equal">
      <formula>FALSE</formula>
    </cfRule>
  </conditionalFormatting>
  <pageMargins left="0.74803149606299213" right="0.23622047244094491" top="0.74803149606299213" bottom="0.23622047244094491" header="0.31496062992125984" footer="0.31496062992125984"/>
  <pageSetup paperSize="9" scale="75" firstPageNumber="14" orientation="portrait" useFirstPageNumber="1" r:id="rId1"/>
  <headerFooter>
    <oddFooter>&amp;C&amp;P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304"/>
  <sheetViews>
    <sheetView showGridLines="0" view="pageBreakPreview" topLeftCell="A185" zoomScale="104" zoomScaleNormal="100" zoomScaleSheetLayoutView="104" workbookViewId="0">
      <selection activeCell="H185" sqref="H185"/>
    </sheetView>
  </sheetViews>
  <sheetFormatPr defaultColWidth="9.21875" defaultRowHeight="13.2"/>
  <cols>
    <col min="1" max="1" width="5.77734375" style="1188" customWidth="1"/>
    <col min="2" max="2" width="3.77734375" style="1188" customWidth="1"/>
    <col min="3" max="3" width="17.77734375" style="1188" customWidth="1"/>
    <col min="4" max="4" width="12.21875" style="1188" customWidth="1"/>
    <col min="5" max="5" width="19.77734375" style="1188" customWidth="1"/>
    <col min="6" max="6" width="13.44140625" style="1188" customWidth="1"/>
    <col min="7" max="16384" width="9.21875" style="1188"/>
  </cols>
  <sheetData>
    <row r="1" spans="1:11">
      <c r="A1" s="689" t="s">
        <v>1</v>
      </c>
      <c r="B1" s="681"/>
      <c r="C1" s="1159"/>
      <c r="D1" s="1159"/>
      <c r="E1" s="1159"/>
      <c r="F1" s="1159"/>
      <c r="G1" s="1159"/>
      <c r="H1" s="1159"/>
      <c r="I1" s="1159"/>
      <c r="J1" s="1159"/>
      <c r="K1" s="1159"/>
    </row>
    <row r="2" spans="1:11">
      <c r="A2" s="1160"/>
      <c r="B2" s="1159"/>
      <c r="C2" s="1159"/>
      <c r="D2" s="1159"/>
      <c r="E2" s="1603"/>
      <c r="F2" s="1159"/>
      <c r="G2" s="1159"/>
      <c r="H2" s="1159"/>
      <c r="I2" s="1159"/>
      <c r="J2" s="1159"/>
      <c r="K2" s="1159"/>
    </row>
    <row r="3" spans="1:11">
      <c r="A3" s="1800" t="s">
        <v>2919</v>
      </c>
      <c r="B3" s="1800"/>
      <c r="C3" s="1800"/>
      <c r="D3" s="1800"/>
      <c r="E3" s="1800"/>
      <c r="F3" s="1800"/>
      <c r="G3" s="1800"/>
      <c r="H3" s="1800"/>
      <c r="I3" s="1800"/>
      <c r="J3" s="1800"/>
      <c r="K3" s="1800"/>
    </row>
    <row r="4" spans="1:11">
      <c r="A4" s="1160"/>
      <c r="B4" s="1159"/>
      <c r="C4" s="1159"/>
      <c r="D4" s="1159"/>
      <c r="E4" s="1159"/>
      <c r="F4" s="1159"/>
      <c r="G4" s="1159"/>
      <c r="H4" s="1159"/>
      <c r="I4" s="1159"/>
      <c r="J4" s="1159"/>
      <c r="K4" s="1159"/>
    </row>
    <row r="5" spans="1:11">
      <c r="A5" s="1160"/>
      <c r="B5" s="1159"/>
      <c r="C5" s="1159"/>
      <c r="D5" s="1159"/>
      <c r="E5" s="1159"/>
      <c r="F5" s="1159"/>
      <c r="G5" s="1159"/>
      <c r="H5" s="1159"/>
      <c r="I5" s="1159"/>
      <c r="J5" s="1159"/>
      <c r="K5" s="1159"/>
    </row>
    <row r="6" spans="1:11">
      <c r="A6" s="683">
        <v>1</v>
      </c>
      <c r="B6" s="681" t="s">
        <v>130</v>
      </c>
      <c r="C6" s="1159"/>
      <c r="D6" s="1159"/>
      <c r="E6" s="1159"/>
      <c r="F6" s="1159"/>
      <c r="G6" s="1159"/>
      <c r="H6" s="1159"/>
      <c r="I6" s="1159"/>
      <c r="J6" s="1159"/>
      <c r="K6" s="1159"/>
    </row>
    <row r="7" spans="1:11">
      <c r="A7" s="683"/>
      <c r="B7" s="1159"/>
      <c r="C7" s="1159"/>
      <c r="D7" s="1159"/>
      <c r="E7" s="1159"/>
      <c r="F7" s="1159"/>
      <c r="G7" s="1159"/>
      <c r="H7" s="1159"/>
      <c r="I7" s="1159"/>
      <c r="J7" s="1159"/>
      <c r="K7" s="1159"/>
    </row>
    <row r="8" spans="1:11" ht="130.05000000000001" customHeight="1">
      <c r="A8" s="683"/>
      <c r="B8" s="1733" t="s">
        <v>2964</v>
      </c>
      <c r="C8" s="1825"/>
      <c r="D8" s="1825"/>
      <c r="E8" s="1825"/>
      <c r="F8" s="1825"/>
      <c r="G8" s="1825"/>
      <c r="H8" s="1825"/>
      <c r="I8" s="1825"/>
      <c r="J8" s="1825"/>
      <c r="K8" s="1825"/>
    </row>
    <row r="9" spans="1:11" ht="3" customHeight="1">
      <c r="A9" s="683"/>
      <c r="B9" s="1194"/>
      <c r="C9" s="1443"/>
      <c r="D9" s="1443"/>
      <c r="E9" s="1443"/>
      <c r="F9" s="1443"/>
      <c r="G9" s="1443"/>
      <c r="H9" s="1443"/>
      <c r="I9" s="1443"/>
      <c r="J9" s="1443"/>
      <c r="K9" s="1443"/>
    </row>
    <row r="10" spans="1:11" ht="27" hidden="1" customHeight="1">
      <c r="A10" s="683"/>
      <c r="B10" s="1729" t="s">
        <v>2330</v>
      </c>
      <c r="C10" s="1729"/>
      <c r="D10" s="1729"/>
      <c r="E10" s="1729"/>
      <c r="F10" s="1729"/>
      <c r="G10" s="1729"/>
      <c r="H10" s="1729"/>
      <c r="I10" s="1729"/>
      <c r="J10" s="1729"/>
      <c r="K10" s="1729"/>
    </row>
    <row r="11" spans="1:11" ht="9.75" customHeight="1">
      <c r="A11" s="683"/>
      <c r="B11" s="1194"/>
      <c r="C11" s="1443"/>
      <c r="D11" s="1443"/>
      <c r="E11" s="1443"/>
      <c r="F11" s="1443"/>
      <c r="G11" s="1443"/>
      <c r="H11" s="1443"/>
      <c r="I11" s="1443"/>
      <c r="J11" s="1443"/>
      <c r="K11" s="1443"/>
    </row>
    <row r="12" spans="1:11">
      <c r="A12" s="683">
        <f>+A6+1</f>
        <v>2</v>
      </c>
      <c r="B12" s="683" t="s">
        <v>2778</v>
      </c>
    </row>
    <row r="13" spans="1:11" ht="9.75" customHeight="1"/>
    <row r="14" spans="1:11">
      <c r="A14" s="681" t="s">
        <v>131</v>
      </c>
      <c r="B14" s="1187" t="s">
        <v>2090</v>
      </c>
    </row>
    <row r="15" spans="1:11" ht="3" customHeight="1">
      <c r="A15" s="1208"/>
      <c r="B15" s="1209"/>
    </row>
    <row r="16" spans="1:11" ht="54.75" customHeight="1">
      <c r="B16" s="1818" t="s">
        <v>2766</v>
      </c>
      <c r="C16" s="1818"/>
      <c r="D16" s="1818"/>
      <c r="E16" s="1818"/>
      <c r="F16" s="1818"/>
      <c r="G16" s="1818"/>
      <c r="H16" s="1818"/>
      <c r="I16" s="1818"/>
      <c r="J16" s="1818"/>
      <c r="K16" s="1818"/>
    </row>
    <row r="17" spans="1:12">
      <c r="A17" s="683" t="s">
        <v>133</v>
      </c>
      <c r="B17" s="1511" t="s">
        <v>2769</v>
      </c>
      <c r="C17" s="1212"/>
      <c r="D17" s="1212"/>
      <c r="E17" s="1212"/>
      <c r="F17" s="1212"/>
      <c r="G17" s="1212"/>
      <c r="H17" s="1212"/>
      <c r="I17" s="1212"/>
      <c r="J17" s="1212"/>
      <c r="K17" s="1212"/>
    </row>
    <row r="18" spans="1:12" ht="2.5499999999999998" customHeight="1">
      <c r="A18" s="1208"/>
      <c r="B18" s="1209"/>
      <c r="C18" s="1212"/>
      <c r="D18" s="1212"/>
      <c r="E18" s="1212"/>
      <c r="F18" s="1212"/>
      <c r="G18" s="1212"/>
      <c r="H18" s="1212"/>
      <c r="I18" s="1212"/>
      <c r="J18" s="1212"/>
      <c r="K18" s="1212"/>
    </row>
    <row r="19" spans="1:12" ht="66" customHeight="1">
      <c r="B19" s="1818" t="s">
        <v>2770</v>
      </c>
      <c r="C19" s="1818"/>
      <c r="D19" s="1818"/>
      <c r="E19" s="1818"/>
      <c r="F19" s="1818"/>
      <c r="G19" s="1818"/>
      <c r="H19" s="1818"/>
      <c r="I19" s="1818"/>
      <c r="J19" s="1818"/>
      <c r="K19" s="1818"/>
    </row>
    <row r="20" spans="1:12" ht="38.549999999999997" customHeight="1">
      <c r="B20" s="1818" t="s">
        <v>2091</v>
      </c>
      <c r="C20" s="1818"/>
      <c r="D20" s="1818"/>
      <c r="E20" s="1818"/>
      <c r="F20" s="1818"/>
      <c r="G20" s="1818"/>
      <c r="H20" s="1818"/>
      <c r="I20" s="1818"/>
      <c r="J20" s="1818"/>
      <c r="K20" s="1818"/>
    </row>
    <row r="21" spans="1:12" ht="26.55" customHeight="1">
      <c r="B21" s="1818" t="s">
        <v>2092</v>
      </c>
      <c r="C21" s="1818"/>
      <c r="D21" s="1818"/>
      <c r="E21" s="1818"/>
      <c r="F21" s="1818"/>
      <c r="G21" s="1818"/>
      <c r="H21" s="1818"/>
      <c r="I21" s="1818"/>
      <c r="J21" s="1818"/>
      <c r="K21" s="1818"/>
    </row>
    <row r="22" spans="1:12" ht="40.049999999999997" customHeight="1">
      <c r="B22" s="1818" t="s">
        <v>2965</v>
      </c>
      <c r="C22" s="1818"/>
      <c r="D22" s="1818"/>
      <c r="E22" s="1818"/>
      <c r="F22" s="1818"/>
      <c r="G22" s="1818"/>
      <c r="H22" s="1818"/>
      <c r="I22" s="1818"/>
      <c r="J22" s="1818"/>
      <c r="K22" s="1818"/>
    </row>
    <row r="23" spans="1:12" ht="39.75" customHeight="1">
      <c r="B23" s="1818" t="s">
        <v>2093</v>
      </c>
      <c r="C23" s="1818"/>
      <c r="D23" s="1818"/>
      <c r="E23" s="1818"/>
      <c r="F23" s="1818"/>
      <c r="G23" s="1818"/>
      <c r="H23" s="1818"/>
      <c r="I23" s="1818"/>
      <c r="J23" s="1818"/>
      <c r="K23" s="1818"/>
      <c r="L23" s="1188" t="s">
        <v>2771</v>
      </c>
    </row>
    <row r="24" spans="1:12" ht="9.75" customHeight="1">
      <c r="B24" s="1195"/>
      <c r="C24" s="1195"/>
      <c r="D24" s="1195"/>
      <c r="E24" s="1195"/>
      <c r="F24" s="1195"/>
      <c r="G24" s="1195"/>
      <c r="H24" s="1195"/>
      <c r="I24" s="1195"/>
      <c r="J24" s="1195"/>
      <c r="K24" s="1195"/>
    </row>
    <row r="25" spans="1:12">
      <c r="A25" s="683" t="s">
        <v>134</v>
      </c>
      <c r="B25" s="1187" t="s">
        <v>2772</v>
      </c>
    </row>
    <row r="26" spans="1:12" ht="3" customHeight="1">
      <c r="A26" s="683"/>
      <c r="B26" s="1187"/>
    </row>
    <row r="27" spans="1:12" ht="107.25" customHeight="1">
      <c r="B27" s="1818" t="s">
        <v>2773</v>
      </c>
      <c r="C27" s="1818"/>
      <c r="D27" s="1818"/>
      <c r="E27" s="1818"/>
      <c r="F27" s="1818"/>
      <c r="G27" s="1818"/>
      <c r="H27" s="1818"/>
      <c r="I27" s="1818"/>
      <c r="J27" s="1818"/>
      <c r="K27" s="1818"/>
    </row>
    <row r="28" spans="1:12" ht="6.75" customHeight="1">
      <c r="A28" s="1189"/>
    </row>
    <row r="29" spans="1:12">
      <c r="A29" s="1210" t="s">
        <v>2169</v>
      </c>
      <c r="B29" s="1190" t="s">
        <v>2094</v>
      </c>
    </row>
    <row r="30" spans="1:12" ht="41.25" customHeight="1">
      <c r="B30" s="1818" t="s">
        <v>2095</v>
      </c>
      <c r="C30" s="1818"/>
      <c r="D30" s="1818"/>
      <c r="E30" s="1818"/>
      <c r="F30" s="1818"/>
      <c r="G30" s="1818"/>
      <c r="H30" s="1818"/>
      <c r="I30" s="1818"/>
      <c r="J30" s="1818"/>
      <c r="K30" s="1818"/>
    </row>
    <row r="31" spans="1:12" ht="5.25" customHeight="1">
      <c r="B31" s="1212"/>
      <c r="C31" s="1212"/>
      <c r="D31" s="1212"/>
      <c r="E31" s="1212"/>
      <c r="F31" s="1212"/>
      <c r="G31" s="1212"/>
      <c r="H31" s="1212"/>
      <c r="I31" s="1212"/>
      <c r="J31" s="1212"/>
      <c r="K31" s="1212"/>
    </row>
    <row r="32" spans="1:12">
      <c r="A32" s="1210" t="s">
        <v>2170</v>
      </c>
      <c r="B32" s="1190" t="s">
        <v>2096</v>
      </c>
    </row>
    <row r="33" spans="1:11" ht="93" customHeight="1">
      <c r="B33" s="1818" t="s">
        <v>2276</v>
      </c>
      <c r="C33" s="1818"/>
      <c r="D33" s="1818"/>
      <c r="E33" s="1818"/>
      <c r="F33" s="1818"/>
      <c r="G33" s="1818"/>
      <c r="H33" s="1818"/>
      <c r="I33" s="1818"/>
      <c r="J33" s="1818"/>
      <c r="K33" s="1818"/>
    </row>
    <row r="34" spans="1:11" ht="3" customHeight="1">
      <c r="B34" s="1212"/>
      <c r="C34" s="1212"/>
      <c r="D34" s="1212"/>
      <c r="E34" s="1212"/>
      <c r="F34" s="1212"/>
      <c r="G34" s="1212"/>
      <c r="H34" s="1212"/>
      <c r="I34" s="1212"/>
      <c r="J34" s="1212"/>
      <c r="K34" s="1212"/>
    </row>
    <row r="35" spans="1:11">
      <c r="A35" s="1210" t="s">
        <v>2171</v>
      </c>
      <c r="B35" s="1827" t="s">
        <v>2097</v>
      </c>
      <c r="C35" s="1827"/>
      <c r="D35" s="1827"/>
      <c r="E35" s="1827"/>
      <c r="F35" s="1827"/>
      <c r="G35" s="1827"/>
      <c r="H35" s="1827"/>
      <c r="I35" s="1827"/>
      <c r="J35" s="1827"/>
      <c r="K35" s="1827"/>
    </row>
    <row r="36" spans="1:11" ht="65.55" customHeight="1">
      <c r="B36" s="1818" t="s">
        <v>2098</v>
      </c>
      <c r="C36" s="1818"/>
      <c r="D36" s="1818"/>
      <c r="E36" s="1818"/>
      <c r="F36" s="1818"/>
      <c r="G36" s="1818"/>
      <c r="H36" s="1818"/>
      <c r="I36" s="1818"/>
      <c r="J36" s="1818"/>
      <c r="K36" s="1818"/>
    </row>
    <row r="37" spans="1:11" ht="15.75" hidden="1" customHeight="1">
      <c r="B37" s="1212"/>
      <c r="C37" s="1212"/>
      <c r="D37" s="1212"/>
      <c r="E37" s="1212"/>
      <c r="F37" s="1212"/>
      <c r="G37" s="1212"/>
      <c r="H37" s="1212"/>
      <c r="I37" s="1212"/>
      <c r="J37" s="1212"/>
      <c r="K37" s="1212"/>
    </row>
    <row r="38" spans="1:11" ht="15.75" hidden="1" customHeight="1">
      <c r="B38" s="1212"/>
      <c r="C38" s="1212"/>
      <c r="D38" s="1212"/>
      <c r="E38" s="1212"/>
      <c r="F38" s="1212"/>
      <c r="G38" s="1212"/>
      <c r="H38" s="1212"/>
      <c r="I38" s="1212"/>
      <c r="J38" s="1212"/>
      <c r="K38" s="1212"/>
    </row>
    <row r="39" spans="1:11" ht="6.75" customHeight="1">
      <c r="B39" s="1212"/>
      <c r="C39" s="1212"/>
      <c r="D39" s="1818"/>
      <c r="E39" s="1818"/>
      <c r="F39" s="1818"/>
      <c r="G39" s="1212"/>
      <c r="H39" s="1212"/>
      <c r="I39" s="1212"/>
      <c r="J39" s="1212"/>
      <c r="K39" s="1212"/>
    </row>
    <row r="40" spans="1:11">
      <c r="A40" s="1210" t="s">
        <v>2172</v>
      </c>
      <c r="B40" s="1827" t="s">
        <v>2099</v>
      </c>
      <c r="C40" s="1827"/>
      <c r="D40" s="1827"/>
      <c r="E40" s="1827"/>
      <c r="F40" s="1827"/>
      <c r="G40" s="1827"/>
      <c r="H40" s="1827"/>
      <c r="I40" s="1827"/>
      <c r="J40" s="1827"/>
      <c r="K40" s="1827"/>
    </row>
    <row r="41" spans="1:11" ht="52.05" customHeight="1">
      <c r="B41" s="1818" t="s">
        <v>2774</v>
      </c>
      <c r="C41" s="1818"/>
      <c r="D41" s="1818"/>
      <c r="E41" s="1818"/>
      <c r="F41" s="1818"/>
      <c r="G41" s="1818"/>
      <c r="H41" s="1818"/>
      <c r="I41" s="1818"/>
      <c r="J41" s="1818"/>
      <c r="K41" s="1818"/>
    </row>
    <row r="42" spans="1:11" ht="4.5" customHeight="1">
      <c r="B42" s="1212"/>
      <c r="C42" s="1212"/>
      <c r="D42" s="1212"/>
      <c r="E42" s="1212"/>
      <c r="F42" s="1212"/>
      <c r="G42" s="1212"/>
      <c r="H42" s="1212"/>
      <c r="I42" s="1212"/>
      <c r="J42" s="1212"/>
      <c r="K42" s="1212"/>
    </row>
    <row r="43" spans="1:11">
      <c r="A43" s="1210" t="s">
        <v>2173</v>
      </c>
      <c r="B43" s="1827" t="s">
        <v>2100</v>
      </c>
      <c r="C43" s="1827"/>
      <c r="D43" s="1827"/>
      <c r="E43" s="1827"/>
      <c r="F43" s="1827"/>
      <c r="G43" s="1827"/>
      <c r="H43" s="1827"/>
      <c r="I43" s="1827"/>
      <c r="J43" s="1827"/>
      <c r="K43" s="1827"/>
    </row>
    <row r="44" spans="1:11" ht="42" customHeight="1">
      <c r="B44" s="1818" t="s">
        <v>2101</v>
      </c>
      <c r="C44" s="1818"/>
      <c r="D44" s="1818"/>
      <c r="E44" s="1818"/>
      <c r="F44" s="1818"/>
      <c r="G44" s="1818"/>
      <c r="H44" s="1818"/>
      <c r="I44" s="1818"/>
      <c r="J44" s="1818"/>
      <c r="K44" s="1818"/>
    </row>
    <row r="45" spans="1:11" ht="3" customHeight="1"/>
    <row r="46" spans="1:11">
      <c r="A46" s="1210" t="s">
        <v>2174</v>
      </c>
      <c r="B46" s="1827" t="s">
        <v>2260</v>
      </c>
      <c r="C46" s="1827"/>
      <c r="D46" s="1827"/>
      <c r="E46" s="1827"/>
      <c r="F46" s="1827"/>
      <c r="G46" s="1827"/>
      <c r="H46" s="1827"/>
      <c r="I46" s="1827"/>
      <c r="J46" s="1827"/>
      <c r="K46" s="1827"/>
    </row>
    <row r="47" spans="1:11" ht="143.55000000000001" customHeight="1">
      <c r="B47" s="1818" t="s">
        <v>2775</v>
      </c>
      <c r="C47" s="1818"/>
      <c r="D47" s="1818"/>
      <c r="E47" s="1818"/>
      <c r="F47" s="1818"/>
      <c r="G47" s="1818"/>
      <c r="H47" s="1818"/>
      <c r="I47" s="1818"/>
      <c r="J47" s="1818"/>
      <c r="K47" s="1818"/>
    </row>
    <row r="48" spans="1:11" ht="4.5" customHeight="1"/>
    <row r="49" spans="1:11" hidden="1">
      <c r="A49" s="1210" t="s">
        <v>2237</v>
      </c>
      <c r="B49" s="1826" t="s">
        <v>2277</v>
      </c>
      <c r="C49" s="1826"/>
      <c r="D49" s="1826"/>
      <c r="E49" s="1826"/>
      <c r="F49" s="1826"/>
      <c r="G49" s="1826"/>
      <c r="H49" s="1826"/>
      <c r="I49" s="1826"/>
      <c r="J49" s="1826"/>
      <c r="K49" s="1826"/>
    </row>
    <row r="50" spans="1:11" ht="192" hidden="1" customHeight="1">
      <c r="A50" s="1254"/>
      <c r="B50" s="1828" t="s">
        <v>2362</v>
      </c>
      <c r="C50" s="1829"/>
      <c r="D50" s="1829"/>
      <c r="E50" s="1829"/>
      <c r="F50" s="1829"/>
      <c r="G50" s="1829"/>
      <c r="H50" s="1829"/>
      <c r="I50" s="1829"/>
      <c r="J50" s="1829"/>
      <c r="K50" s="1829"/>
    </row>
    <row r="51" spans="1:11" hidden="1">
      <c r="A51" s="1254"/>
      <c r="B51" s="1259"/>
      <c r="C51" s="1260"/>
      <c r="D51" s="1260"/>
      <c r="E51" s="1260"/>
      <c r="F51" s="1260"/>
      <c r="G51" s="1260"/>
      <c r="H51" s="1260"/>
      <c r="I51" s="1260"/>
      <c r="J51" s="1260"/>
      <c r="K51" s="1260"/>
    </row>
    <row r="52" spans="1:11">
      <c r="A52" s="1210" t="s">
        <v>2175</v>
      </c>
      <c r="B52" s="1826" t="s">
        <v>2126</v>
      </c>
      <c r="C52" s="1826"/>
      <c r="D52" s="1826"/>
      <c r="E52" s="1826"/>
      <c r="F52" s="1826"/>
      <c r="G52" s="1826"/>
      <c r="H52" s="1826"/>
      <c r="I52" s="1826"/>
      <c r="J52" s="1826"/>
      <c r="K52" s="1826"/>
    </row>
    <row r="53" spans="1:11" ht="100.05" customHeight="1">
      <c r="A53" s="1254"/>
      <c r="B53" s="1828" t="s">
        <v>2776</v>
      </c>
      <c r="C53" s="1829"/>
      <c r="D53" s="1829"/>
      <c r="E53" s="1829"/>
      <c r="F53" s="1829"/>
      <c r="G53" s="1829"/>
      <c r="H53" s="1829"/>
      <c r="I53" s="1829"/>
      <c r="J53" s="1829"/>
      <c r="K53" s="1829"/>
    </row>
    <row r="54" spans="1:11" ht="7.95" customHeight="1">
      <c r="A54" s="1254"/>
      <c r="B54" s="1259"/>
      <c r="C54" s="1260"/>
      <c r="D54" s="1260"/>
      <c r="E54" s="1260"/>
      <c r="F54" s="1260"/>
      <c r="G54" s="1260"/>
      <c r="H54" s="1260"/>
      <c r="I54" s="1260"/>
      <c r="J54" s="1260"/>
      <c r="K54" s="1260"/>
    </row>
    <row r="55" spans="1:11">
      <c r="A55" s="1210" t="s">
        <v>2237</v>
      </c>
      <c r="B55" s="1826" t="s">
        <v>137</v>
      </c>
      <c r="C55" s="1826"/>
      <c r="D55" s="1826"/>
      <c r="E55" s="1826"/>
      <c r="F55" s="1826"/>
      <c r="G55" s="1826"/>
      <c r="H55" s="1826"/>
      <c r="I55" s="1826"/>
      <c r="J55" s="1826"/>
      <c r="K55" s="1826"/>
    </row>
    <row r="56" spans="1:11" ht="112.95" customHeight="1">
      <c r="A56" s="1210"/>
      <c r="B56" s="1828" t="s">
        <v>2777</v>
      </c>
      <c r="C56" s="1829"/>
      <c r="D56" s="1829"/>
      <c r="E56" s="1829"/>
      <c r="F56" s="1829"/>
      <c r="G56" s="1829"/>
      <c r="H56" s="1829"/>
      <c r="I56" s="1829"/>
      <c r="J56" s="1829"/>
      <c r="K56" s="1829"/>
    </row>
    <row r="57" spans="1:11" ht="5.25" customHeight="1">
      <c r="A57" s="1254"/>
      <c r="B57" s="1259"/>
      <c r="C57" s="1260"/>
      <c r="D57" s="1260"/>
      <c r="E57" s="1260"/>
      <c r="F57" s="1260"/>
      <c r="G57" s="1260"/>
      <c r="H57" s="1260"/>
      <c r="I57" s="1260"/>
      <c r="J57" s="1260"/>
      <c r="K57" s="1260"/>
    </row>
    <row r="58" spans="1:11">
      <c r="A58" s="683">
        <f>+A12+1</f>
        <v>3</v>
      </c>
      <c r="B58" s="683" t="s">
        <v>2168</v>
      </c>
      <c r="D58" s="1260"/>
      <c r="E58" s="1260"/>
      <c r="F58" s="1260"/>
      <c r="G58" s="1260"/>
      <c r="H58" s="1260"/>
      <c r="I58" s="1260"/>
      <c r="J58" s="1260"/>
      <c r="K58" s="1260"/>
    </row>
    <row r="59" spans="1:11" ht="4.05" customHeight="1">
      <c r="A59" s="683"/>
      <c r="B59" s="683"/>
      <c r="D59" s="1260"/>
      <c r="E59" s="1260"/>
      <c r="F59" s="1260"/>
      <c r="G59" s="1260"/>
      <c r="H59" s="1260"/>
      <c r="I59" s="1260"/>
      <c r="J59" s="1260"/>
      <c r="K59" s="1260"/>
    </row>
    <row r="60" spans="1:11">
      <c r="A60" s="683" t="s">
        <v>131</v>
      </c>
      <c r="B60" s="1190" t="s">
        <v>2102</v>
      </c>
    </row>
    <row r="61" spans="1:11" ht="6" customHeight="1">
      <c r="B61" s="1212"/>
      <c r="C61" s="1212"/>
      <c r="D61" s="1212"/>
      <c r="E61" s="1212"/>
      <c r="F61" s="1212"/>
      <c r="G61" s="1212"/>
      <c r="H61" s="1212"/>
      <c r="I61" s="1212"/>
      <c r="J61" s="1212"/>
      <c r="K61" s="1212"/>
    </row>
    <row r="62" spans="1:11">
      <c r="A62" s="1210" t="s">
        <v>2169</v>
      </c>
      <c r="B62" s="1190" t="s">
        <v>2103</v>
      </c>
    </row>
    <row r="63" spans="1:11" ht="25.5" customHeight="1">
      <c r="B63" s="1818" t="s">
        <v>2779</v>
      </c>
      <c r="C63" s="1818"/>
      <c r="D63" s="1818"/>
      <c r="E63" s="1818"/>
      <c r="F63" s="1818"/>
      <c r="G63" s="1818"/>
      <c r="H63" s="1818"/>
      <c r="I63" s="1818"/>
      <c r="J63" s="1818"/>
      <c r="K63" s="1818"/>
    </row>
    <row r="64" spans="1:11" ht="9.75" customHeight="1">
      <c r="B64" s="1195"/>
      <c r="C64" s="1195"/>
      <c r="D64" s="1195"/>
      <c r="E64" s="1195"/>
      <c r="F64" s="1195"/>
      <c r="G64" s="1195"/>
      <c r="H64" s="1195"/>
      <c r="I64" s="1195"/>
      <c r="J64" s="1195"/>
      <c r="K64" s="1195"/>
    </row>
    <row r="65" spans="1:12">
      <c r="A65" s="1210" t="s">
        <v>2170</v>
      </c>
      <c r="B65" s="1187" t="s">
        <v>2104</v>
      </c>
    </row>
    <row r="66" spans="1:12" ht="78.75" customHeight="1">
      <c r="B66" s="1818" t="s">
        <v>2363</v>
      </c>
      <c r="C66" s="1818"/>
      <c r="D66" s="1818"/>
      <c r="E66" s="1818"/>
      <c r="F66" s="1818"/>
      <c r="G66" s="1818"/>
      <c r="H66" s="1818"/>
      <c r="I66" s="1818"/>
      <c r="J66" s="1818"/>
      <c r="K66" s="1818"/>
    </row>
    <row r="67" spans="1:12" ht="9.75" customHeight="1">
      <c r="B67" s="1195"/>
      <c r="C67" s="1195"/>
      <c r="D67" s="1195"/>
      <c r="E67" s="1195"/>
      <c r="F67" s="1195"/>
      <c r="G67" s="1195"/>
      <c r="H67" s="1195"/>
      <c r="I67" s="1195"/>
      <c r="J67" s="1195"/>
      <c r="K67" s="1195"/>
    </row>
    <row r="68" spans="1:12">
      <c r="A68" s="683" t="s">
        <v>133</v>
      </c>
      <c r="B68" s="1190" t="s">
        <v>163</v>
      </c>
    </row>
    <row r="69" spans="1:12" ht="1.5" customHeight="1">
      <c r="A69" s="683"/>
      <c r="B69" s="1190"/>
    </row>
    <row r="70" spans="1:12" ht="27" customHeight="1">
      <c r="A70" s="683"/>
      <c r="B70" s="1818" t="s">
        <v>2780</v>
      </c>
      <c r="C70" s="1818"/>
      <c r="D70" s="1818"/>
      <c r="E70" s="1818"/>
      <c r="F70" s="1818"/>
      <c r="G70" s="1818"/>
      <c r="H70" s="1818"/>
      <c r="I70" s="1818"/>
      <c r="J70" s="1818"/>
      <c r="K70" s="1818"/>
    </row>
    <row r="71" spans="1:12" ht="4.05" customHeight="1">
      <c r="A71" s="683"/>
      <c r="B71" s="1190"/>
    </row>
    <row r="72" spans="1:12">
      <c r="A72" s="1210" t="s">
        <v>2169</v>
      </c>
      <c r="B72" s="1190" t="s">
        <v>164</v>
      </c>
    </row>
    <row r="73" spans="1:12" ht="2.1" customHeight="1">
      <c r="B73" s="1190"/>
    </row>
    <row r="74" spans="1:12" ht="88.5" customHeight="1">
      <c r="B74" s="1824" t="s">
        <v>2963</v>
      </c>
      <c r="C74" s="1824"/>
      <c r="D74" s="1824"/>
      <c r="E74" s="1824"/>
      <c r="F74" s="1824"/>
      <c r="G74" s="1824"/>
      <c r="H74" s="1824"/>
      <c r="I74" s="1824"/>
      <c r="J74" s="1824"/>
      <c r="K74" s="1824"/>
    </row>
    <row r="75" spans="1:12" ht="9.75" customHeight="1">
      <c r="B75" s="1195"/>
      <c r="C75" s="1195"/>
      <c r="D75" s="1195"/>
      <c r="E75" s="1195"/>
      <c r="F75" s="1195"/>
      <c r="G75" s="1195"/>
      <c r="H75" s="1195"/>
      <c r="I75" s="1195"/>
      <c r="J75" s="1195"/>
      <c r="K75" s="1195"/>
    </row>
    <row r="76" spans="1:12">
      <c r="A76" s="1210" t="s">
        <v>2170</v>
      </c>
      <c r="B76" s="1190" t="s">
        <v>165</v>
      </c>
    </row>
    <row r="77" spans="1:12">
      <c r="A77" s="1210"/>
      <c r="B77" s="1190"/>
    </row>
    <row r="78" spans="1:12">
      <c r="B78" s="1190" t="s">
        <v>2105</v>
      </c>
    </row>
    <row r="79" spans="1:12" ht="2.1" customHeight="1">
      <c r="B79" s="1190"/>
    </row>
    <row r="80" spans="1:12" ht="51.45" customHeight="1">
      <c r="B80" s="1818" t="s">
        <v>2781</v>
      </c>
      <c r="C80" s="1818"/>
      <c r="D80" s="1818"/>
      <c r="E80" s="1818"/>
      <c r="F80" s="1818"/>
      <c r="G80" s="1818"/>
      <c r="H80" s="1818"/>
      <c r="I80" s="1818"/>
      <c r="J80" s="1818"/>
      <c r="K80" s="1818"/>
      <c r="L80" s="1188" t="s">
        <v>166</v>
      </c>
    </row>
    <row r="81" spans="1:11">
      <c r="B81" s="1195"/>
      <c r="C81" s="1195"/>
      <c r="D81" s="1195"/>
      <c r="E81" s="1195"/>
      <c r="F81" s="1195"/>
      <c r="G81" s="1195"/>
      <c r="H81" s="1195"/>
      <c r="I81" s="1195"/>
      <c r="J81" s="1195"/>
      <c r="K81" s="1195"/>
    </row>
    <row r="82" spans="1:11">
      <c r="B82" s="1190" t="s">
        <v>2106</v>
      </c>
    </row>
    <row r="83" spans="1:11" ht="2.1" customHeight="1">
      <c r="B83" s="1190"/>
    </row>
    <row r="84" spans="1:11" ht="49.5" customHeight="1">
      <c r="B84" s="1818" t="s">
        <v>2782</v>
      </c>
      <c r="C84" s="1818"/>
      <c r="D84" s="1818"/>
      <c r="E84" s="1818"/>
      <c r="F84" s="1818"/>
      <c r="G84" s="1818"/>
      <c r="H84" s="1818"/>
      <c r="I84" s="1818"/>
      <c r="J84" s="1818"/>
      <c r="K84" s="1818"/>
    </row>
    <row r="85" spans="1:11">
      <c r="B85" s="1195"/>
      <c r="C85" s="1195"/>
      <c r="D85" s="1195"/>
      <c r="E85" s="1195"/>
      <c r="F85" s="1195"/>
      <c r="G85" s="1195"/>
      <c r="H85" s="1195"/>
      <c r="I85" s="1195"/>
      <c r="J85" s="1195"/>
      <c r="K85" s="1195"/>
    </row>
    <row r="86" spans="1:11">
      <c r="B86" s="1190" t="s">
        <v>2107</v>
      </c>
    </row>
    <row r="87" spans="1:11" ht="2.1" customHeight="1">
      <c r="B87" s="1190"/>
    </row>
    <row r="88" spans="1:11" ht="37.5" customHeight="1">
      <c r="B88" s="1818" t="s">
        <v>2783</v>
      </c>
      <c r="C88" s="1818"/>
      <c r="D88" s="1818"/>
      <c r="E88" s="1818"/>
      <c r="F88" s="1818"/>
      <c r="G88" s="1818"/>
      <c r="H88" s="1818"/>
      <c r="I88" s="1818"/>
      <c r="J88" s="1818"/>
      <c r="K88" s="1818"/>
    </row>
    <row r="89" spans="1:11">
      <c r="B89" s="1195"/>
      <c r="C89" s="1195"/>
      <c r="D89" s="1195"/>
      <c r="E89" s="1195"/>
      <c r="F89" s="1195"/>
      <c r="G89" s="1195"/>
      <c r="H89" s="1195"/>
      <c r="I89" s="1195"/>
      <c r="J89" s="1195"/>
      <c r="K89" s="1195"/>
    </row>
    <row r="90" spans="1:11">
      <c r="B90" s="1190" t="s">
        <v>38</v>
      </c>
    </row>
    <row r="91" spans="1:11" ht="3" customHeight="1">
      <c r="B91" s="1190"/>
    </row>
    <row r="92" spans="1:11" ht="30" customHeight="1">
      <c r="B92" s="1818" t="s">
        <v>2784</v>
      </c>
      <c r="C92" s="1818"/>
      <c r="D92" s="1818"/>
      <c r="E92" s="1818"/>
      <c r="F92" s="1818"/>
      <c r="G92" s="1818"/>
      <c r="H92" s="1818"/>
      <c r="I92" s="1818"/>
      <c r="J92" s="1818"/>
      <c r="K92" s="1818"/>
    </row>
    <row r="93" spans="1:11" ht="2.1" customHeight="1">
      <c r="B93" s="1195"/>
      <c r="C93" s="1195"/>
      <c r="D93" s="1195"/>
      <c r="E93" s="1195"/>
      <c r="F93" s="1195"/>
      <c r="G93" s="1195"/>
      <c r="H93" s="1195"/>
      <c r="I93" s="1195"/>
      <c r="J93" s="1195"/>
      <c r="K93" s="1195"/>
    </row>
    <row r="94" spans="1:11" ht="40.049999999999997" customHeight="1">
      <c r="B94" s="1818" t="s">
        <v>2364</v>
      </c>
      <c r="C94" s="1818"/>
      <c r="D94" s="1818"/>
      <c r="E94" s="1818"/>
      <c r="F94" s="1818"/>
      <c r="G94" s="1818"/>
      <c r="H94" s="1818"/>
      <c r="I94" s="1818"/>
      <c r="J94" s="1818"/>
      <c r="K94" s="1818"/>
    </row>
    <row r="95" spans="1:11">
      <c r="B95" s="1195"/>
      <c r="C95" s="1195"/>
      <c r="D95" s="1195"/>
      <c r="E95" s="1195"/>
      <c r="F95" s="1195"/>
      <c r="G95" s="1195"/>
      <c r="H95" s="1195"/>
      <c r="I95" s="1195"/>
      <c r="J95" s="1195"/>
      <c r="K95" s="1195"/>
    </row>
    <row r="96" spans="1:11">
      <c r="A96" s="1210" t="s">
        <v>2171</v>
      </c>
      <c r="B96" s="1187" t="s">
        <v>168</v>
      </c>
    </row>
    <row r="97" spans="1:11" ht="2.1" customHeight="1">
      <c r="A97" s="1210"/>
      <c r="B97" s="1187"/>
    </row>
    <row r="98" spans="1:11" ht="38.25" customHeight="1">
      <c r="B98" s="1818" t="s">
        <v>2365</v>
      </c>
      <c r="C98" s="1818"/>
      <c r="D98" s="1818"/>
      <c r="E98" s="1818"/>
      <c r="F98" s="1818"/>
      <c r="G98" s="1818"/>
      <c r="H98" s="1818"/>
      <c r="I98" s="1818"/>
      <c r="J98" s="1818"/>
      <c r="K98" s="1818"/>
    </row>
    <row r="99" spans="1:11" ht="9.75" customHeight="1">
      <c r="B99" s="1195"/>
      <c r="C99" s="1195"/>
      <c r="D99" s="1195"/>
      <c r="E99" s="1195"/>
      <c r="F99" s="1195"/>
      <c r="G99" s="1195"/>
      <c r="H99" s="1195"/>
      <c r="I99" s="1195"/>
      <c r="J99" s="1195"/>
      <c r="K99" s="1195"/>
    </row>
    <row r="100" spans="1:11">
      <c r="A100" s="683" t="s">
        <v>134</v>
      </c>
      <c r="B100" s="1187" t="s">
        <v>169</v>
      </c>
    </row>
    <row r="101" spans="1:11" ht="2.1" customHeight="1">
      <c r="A101" s="683"/>
      <c r="B101" s="1187"/>
    </row>
    <row r="102" spans="1:11" ht="41.1" customHeight="1">
      <c r="B102" s="1818" t="s">
        <v>2108</v>
      </c>
      <c r="C102" s="1818"/>
      <c r="D102" s="1818"/>
      <c r="E102" s="1818"/>
      <c r="F102" s="1818"/>
      <c r="G102" s="1818"/>
      <c r="H102" s="1818"/>
      <c r="I102" s="1818"/>
      <c r="J102" s="1818"/>
      <c r="K102" s="1818"/>
    </row>
    <row r="103" spans="1:11">
      <c r="B103" s="1818" t="s">
        <v>2109</v>
      </c>
      <c r="C103" s="1818"/>
      <c r="D103" s="1818"/>
      <c r="E103" s="1818"/>
      <c r="F103" s="1818"/>
      <c r="G103" s="1818"/>
      <c r="H103" s="1818"/>
      <c r="I103" s="1818"/>
      <c r="J103" s="1818"/>
      <c r="K103" s="1818"/>
    </row>
    <row r="104" spans="1:11" ht="2.1" customHeight="1">
      <c r="B104" s="1195"/>
      <c r="C104" s="1195"/>
      <c r="D104" s="1195"/>
      <c r="E104" s="1195"/>
      <c r="F104" s="1195"/>
      <c r="G104" s="1195"/>
      <c r="H104" s="1195"/>
      <c r="I104" s="1195"/>
      <c r="J104" s="1195"/>
      <c r="K104" s="1195"/>
    </row>
    <row r="105" spans="1:11">
      <c r="B105" s="1818" t="s">
        <v>2110</v>
      </c>
      <c r="C105" s="1818"/>
      <c r="D105" s="1818"/>
      <c r="E105" s="1818"/>
      <c r="F105" s="1818"/>
      <c r="G105" s="1818"/>
      <c r="H105" s="1818"/>
      <c r="I105" s="1818"/>
      <c r="J105" s="1818"/>
      <c r="K105" s="1818"/>
    </row>
    <row r="106" spans="1:11" ht="2.1" customHeight="1">
      <c r="B106" s="1195"/>
      <c r="C106" s="1195"/>
      <c r="D106" s="1195"/>
      <c r="E106" s="1195"/>
      <c r="F106" s="1195"/>
      <c r="G106" s="1195"/>
      <c r="H106" s="1195"/>
      <c r="I106" s="1195"/>
      <c r="J106" s="1195"/>
      <c r="K106" s="1195"/>
    </row>
    <row r="107" spans="1:11">
      <c r="B107" s="1818" t="s">
        <v>2366</v>
      </c>
      <c r="C107" s="1818"/>
      <c r="D107" s="1818"/>
      <c r="E107" s="1818"/>
      <c r="F107" s="1818"/>
      <c r="G107" s="1818"/>
      <c r="H107" s="1818"/>
      <c r="I107" s="1818"/>
      <c r="J107" s="1818"/>
      <c r="K107" s="1818"/>
    </row>
    <row r="108" spans="1:11" ht="2.1" customHeight="1">
      <c r="B108" s="1195"/>
      <c r="C108" s="1195"/>
      <c r="D108" s="1195"/>
      <c r="E108" s="1195"/>
      <c r="F108" s="1195"/>
      <c r="G108" s="1195"/>
      <c r="H108" s="1195"/>
      <c r="I108" s="1195"/>
      <c r="J108" s="1195"/>
      <c r="K108" s="1195"/>
    </row>
    <row r="109" spans="1:11" ht="26.55" customHeight="1">
      <c r="B109" s="1818" t="s">
        <v>2785</v>
      </c>
      <c r="C109" s="1818"/>
      <c r="D109" s="1818"/>
      <c r="E109" s="1818"/>
      <c r="F109" s="1818"/>
      <c r="G109" s="1818"/>
      <c r="H109" s="1818"/>
      <c r="I109" s="1818"/>
      <c r="J109" s="1818"/>
      <c r="K109" s="1818"/>
    </row>
    <row r="110" spans="1:11" ht="2.1" customHeight="1">
      <c r="B110" s="1195"/>
      <c r="C110" s="1195"/>
      <c r="D110" s="1195"/>
      <c r="E110" s="1195"/>
      <c r="F110" s="1195"/>
      <c r="G110" s="1195"/>
      <c r="H110" s="1195"/>
      <c r="I110" s="1195"/>
      <c r="J110" s="1195"/>
      <c r="K110" s="1195"/>
    </row>
    <row r="111" spans="1:11" ht="28.05" customHeight="1">
      <c r="B111" s="1818" t="s">
        <v>2111</v>
      </c>
      <c r="C111" s="1818"/>
      <c r="D111" s="1818"/>
      <c r="E111" s="1818"/>
      <c r="F111" s="1818"/>
      <c r="G111" s="1818"/>
      <c r="H111" s="1818"/>
      <c r="I111" s="1818"/>
      <c r="J111" s="1818"/>
      <c r="K111" s="1818"/>
    </row>
    <row r="112" spans="1:11" ht="2.1" customHeight="1">
      <c r="B112" s="1195"/>
      <c r="C112" s="1195"/>
      <c r="D112" s="1195"/>
      <c r="E112" s="1195"/>
      <c r="F112" s="1195"/>
      <c r="G112" s="1195"/>
      <c r="H112" s="1195"/>
      <c r="I112" s="1195"/>
      <c r="J112" s="1195"/>
      <c r="K112" s="1195"/>
    </row>
    <row r="113" spans="1:11" ht="28.5" customHeight="1">
      <c r="B113" s="1818" t="s">
        <v>2112</v>
      </c>
      <c r="C113" s="1818"/>
      <c r="D113" s="1818"/>
      <c r="E113" s="1818"/>
      <c r="F113" s="1818"/>
      <c r="G113" s="1818"/>
      <c r="H113" s="1818"/>
      <c r="I113" s="1818"/>
      <c r="J113" s="1818"/>
      <c r="K113" s="1818"/>
    </row>
    <row r="114" spans="1:11" ht="2.1" customHeight="1">
      <c r="B114" s="1195"/>
      <c r="C114" s="1195"/>
      <c r="D114" s="1195"/>
      <c r="E114" s="1195"/>
      <c r="F114" s="1195"/>
      <c r="G114" s="1195"/>
      <c r="H114" s="1195"/>
      <c r="I114" s="1195"/>
      <c r="J114" s="1195"/>
      <c r="K114" s="1195"/>
    </row>
    <row r="115" spans="1:11" ht="29.25" customHeight="1">
      <c r="B115" s="1818" t="s">
        <v>2113</v>
      </c>
      <c r="C115" s="1818"/>
      <c r="D115" s="1818"/>
      <c r="E115" s="1818"/>
      <c r="F115" s="1818"/>
      <c r="G115" s="1818"/>
      <c r="H115" s="1818"/>
      <c r="I115" s="1818"/>
      <c r="J115" s="1818"/>
      <c r="K115" s="1818"/>
    </row>
    <row r="116" spans="1:11" ht="2.1" customHeight="1">
      <c r="B116" s="1195"/>
      <c r="C116" s="1195"/>
      <c r="D116" s="1195"/>
      <c r="E116" s="1195"/>
      <c r="F116" s="1195"/>
      <c r="G116" s="1195"/>
      <c r="H116" s="1195"/>
      <c r="I116" s="1195"/>
      <c r="J116" s="1195"/>
      <c r="K116" s="1195"/>
    </row>
    <row r="117" spans="1:11">
      <c r="B117" s="1818" t="s">
        <v>2786</v>
      </c>
      <c r="C117" s="1818"/>
      <c r="D117" s="1818"/>
      <c r="E117" s="1818"/>
      <c r="F117" s="1818"/>
      <c r="G117" s="1818"/>
      <c r="H117" s="1818"/>
      <c r="I117" s="1818"/>
      <c r="J117" s="1818"/>
      <c r="K117" s="1818"/>
    </row>
    <row r="118" spans="1:11" ht="2.1" customHeight="1">
      <c r="B118" s="1195"/>
      <c r="C118" s="1195"/>
      <c r="D118" s="1195"/>
      <c r="E118" s="1195"/>
      <c r="F118" s="1195"/>
      <c r="G118" s="1195"/>
      <c r="H118" s="1195"/>
      <c r="I118" s="1195"/>
      <c r="J118" s="1195"/>
      <c r="K118" s="1195"/>
    </row>
    <row r="119" spans="1:11" ht="26.55" customHeight="1">
      <c r="B119" s="1818" t="s">
        <v>2809</v>
      </c>
      <c r="C119" s="1818"/>
      <c r="D119" s="1818"/>
      <c r="E119" s="1818"/>
      <c r="F119" s="1818"/>
      <c r="G119" s="1818"/>
      <c r="H119" s="1818"/>
      <c r="I119" s="1818"/>
      <c r="J119" s="1818"/>
      <c r="K119" s="1818"/>
    </row>
    <row r="120" spans="1:11" ht="12.45" hidden="1" customHeight="1">
      <c r="B120" s="1195"/>
      <c r="C120" s="1195"/>
      <c r="D120" s="1195"/>
      <c r="E120" s="1195"/>
      <c r="F120" s="1195"/>
      <c r="G120" s="1195"/>
      <c r="H120" s="1195"/>
      <c r="I120" s="1195"/>
      <c r="J120" s="1195"/>
      <c r="K120" s="1195"/>
    </row>
    <row r="121" spans="1:11" ht="26.55" customHeight="1">
      <c r="B121" s="1818" t="s">
        <v>2787</v>
      </c>
      <c r="C121" s="1818"/>
      <c r="D121" s="1818"/>
      <c r="E121" s="1818"/>
      <c r="F121" s="1818"/>
      <c r="G121" s="1818"/>
      <c r="H121" s="1818"/>
      <c r="I121" s="1818"/>
      <c r="J121" s="1818"/>
      <c r="K121" s="1818"/>
    </row>
    <row r="122" spans="1:11" ht="2.1" customHeight="1">
      <c r="B122" s="1195"/>
      <c r="C122" s="1195"/>
      <c r="D122" s="1195"/>
      <c r="E122" s="1195"/>
      <c r="F122" s="1195"/>
      <c r="G122" s="1195"/>
      <c r="H122" s="1195"/>
      <c r="I122" s="1195"/>
      <c r="J122" s="1195"/>
      <c r="K122" s="1195"/>
    </row>
    <row r="123" spans="1:11" ht="26.25" customHeight="1">
      <c r="B123" s="1818" t="s">
        <v>2114</v>
      </c>
      <c r="C123" s="1818"/>
      <c r="D123" s="1818"/>
      <c r="E123" s="1818"/>
      <c r="F123" s="1818"/>
      <c r="G123" s="1818"/>
      <c r="H123" s="1818"/>
      <c r="I123" s="1818"/>
      <c r="J123" s="1818"/>
      <c r="K123" s="1818"/>
    </row>
    <row r="124" spans="1:11" ht="9.75" customHeight="1">
      <c r="B124" s="1195"/>
      <c r="C124" s="1195"/>
      <c r="D124" s="1195"/>
      <c r="E124" s="1195"/>
      <c r="F124" s="1195"/>
      <c r="G124" s="1195"/>
      <c r="H124" s="1195"/>
      <c r="I124" s="1195"/>
      <c r="J124" s="1195"/>
      <c r="K124" s="1195"/>
    </row>
    <row r="125" spans="1:11" hidden="1">
      <c r="A125" s="1210" t="s">
        <v>2171</v>
      </c>
      <c r="B125" s="1190" t="s">
        <v>2115</v>
      </c>
    </row>
    <row r="126" spans="1:11" ht="5.0999999999999996" hidden="1" customHeight="1">
      <c r="B126" s="1190"/>
    </row>
    <row r="127" spans="1:11" ht="28.5" hidden="1" customHeight="1">
      <c r="B127" s="1818" t="s">
        <v>2116</v>
      </c>
      <c r="C127" s="1818"/>
      <c r="D127" s="1818"/>
      <c r="E127" s="1818"/>
      <c r="F127" s="1818"/>
      <c r="G127" s="1818"/>
      <c r="H127" s="1818"/>
      <c r="I127" s="1818"/>
      <c r="J127" s="1818"/>
      <c r="K127" s="1818"/>
    </row>
    <row r="128" spans="1:11" ht="9.75" hidden="1" customHeight="1">
      <c r="B128" s="1195"/>
      <c r="C128" s="1195"/>
      <c r="D128" s="1195"/>
      <c r="E128" s="1195"/>
      <c r="F128" s="1195"/>
      <c r="G128" s="1195"/>
      <c r="H128" s="1195"/>
      <c r="I128" s="1195"/>
      <c r="J128" s="1195"/>
      <c r="K128" s="1195"/>
    </row>
    <row r="129" spans="1:11">
      <c r="A129" s="683" t="s">
        <v>138</v>
      </c>
      <c r="B129" s="1190" t="s">
        <v>139</v>
      </c>
    </row>
    <row r="130" spans="1:11">
      <c r="B130" s="1190"/>
    </row>
    <row r="131" spans="1:11">
      <c r="A131" s="1210" t="s">
        <v>2169</v>
      </c>
      <c r="B131" s="1190" t="s">
        <v>16</v>
      </c>
    </row>
    <row r="132" spans="1:11" ht="5.0999999999999996" customHeight="1">
      <c r="B132" s="1190"/>
    </row>
    <row r="133" spans="1:11" ht="87" customHeight="1">
      <c r="B133" s="1818" t="s">
        <v>2788</v>
      </c>
      <c r="C133" s="1818"/>
      <c r="D133" s="1818"/>
      <c r="E133" s="1818"/>
      <c r="F133" s="1818"/>
      <c r="G133" s="1818"/>
      <c r="H133" s="1818"/>
      <c r="I133" s="1818"/>
      <c r="J133" s="1818"/>
      <c r="K133" s="1818"/>
    </row>
    <row r="134" spans="1:11">
      <c r="B134" s="1195"/>
      <c r="C134" s="1195"/>
      <c r="D134" s="1195"/>
      <c r="E134" s="1195"/>
      <c r="F134" s="1195"/>
      <c r="G134" s="1195"/>
      <c r="H134" s="1195"/>
      <c r="I134" s="1195"/>
      <c r="J134" s="1195"/>
      <c r="K134" s="1195"/>
    </row>
    <row r="135" spans="1:11">
      <c r="A135" s="1210" t="s">
        <v>2170</v>
      </c>
      <c r="B135" s="1190" t="s">
        <v>142</v>
      </c>
    </row>
    <row r="136" spans="1:11" ht="5.0999999999999996" customHeight="1">
      <c r="B136" s="1190"/>
    </row>
    <row r="137" spans="1:11" ht="25.5" customHeight="1">
      <c r="B137" s="1818" t="s">
        <v>2117</v>
      </c>
      <c r="C137" s="1818"/>
      <c r="D137" s="1818"/>
      <c r="E137" s="1818"/>
      <c r="F137" s="1818"/>
      <c r="G137" s="1818"/>
      <c r="H137" s="1818"/>
      <c r="I137" s="1818"/>
      <c r="J137" s="1818"/>
      <c r="K137" s="1818"/>
    </row>
    <row r="138" spans="1:11" ht="9.75" customHeight="1">
      <c r="B138" s="1195"/>
      <c r="C138" s="1195"/>
      <c r="D138" s="1195"/>
      <c r="E138" s="1195"/>
      <c r="F138" s="1195"/>
      <c r="G138" s="1195"/>
      <c r="H138" s="1195"/>
      <c r="I138" s="1195"/>
      <c r="J138" s="1195"/>
      <c r="K138" s="1195"/>
    </row>
    <row r="139" spans="1:11" ht="66" customHeight="1">
      <c r="B139" s="1818" t="s">
        <v>2118</v>
      </c>
      <c r="C139" s="1818"/>
      <c r="D139" s="1818"/>
      <c r="E139" s="1818"/>
      <c r="F139" s="1818"/>
      <c r="G139" s="1818"/>
      <c r="H139" s="1818"/>
      <c r="I139" s="1818"/>
      <c r="J139" s="1818"/>
      <c r="K139" s="1818"/>
    </row>
    <row r="140" spans="1:11" ht="5.55" customHeight="1">
      <c r="B140" s="1195"/>
      <c r="C140" s="1195"/>
      <c r="D140" s="1195"/>
      <c r="E140" s="1195"/>
      <c r="F140" s="1195"/>
      <c r="G140" s="1195"/>
      <c r="H140" s="1195"/>
      <c r="I140" s="1195"/>
      <c r="J140" s="1195"/>
      <c r="K140" s="1195"/>
    </row>
    <row r="141" spans="1:11" ht="12.75" customHeight="1">
      <c r="B141" s="1192"/>
      <c r="K141" s="1189"/>
    </row>
    <row r="142" spans="1:11">
      <c r="A142" s="683" t="s">
        <v>2176</v>
      </c>
      <c r="B142" s="1190" t="s">
        <v>2261</v>
      </c>
    </row>
    <row r="143" spans="1:11">
      <c r="B143" s="1818" t="s">
        <v>2953</v>
      </c>
      <c r="C143" s="1818"/>
      <c r="D143" s="1818"/>
      <c r="E143" s="1818"/>
      <c r="F143" s="1818"/>
      <c r="G143" s="1818"/>
      <c r="H143" s="1818"/>
      <c r="I143" s="1818"/>
      <c r="J143" s="1818"/>
      <c r="K143" s="1818"/>
    </row>
    <row r="144" spans="1:11">
      <c r="B144" s="1818"/>
      <c r="C144" s="1818"/>
      <c r="D144" s="1818"/>
      <c r="E144" s="1818"/>
      <c r="F144" s="1818"/>
      <c r="G144" s="1818"/>
      <c r="H144" s="1818"/>
      <c r="I144" s="1818"/>
      <c r="J144" s="1818"/>
      <c r="K144" s="1818"/>
    </row>
    <row r="145" spans="1:11" ht="37.950000000000003" customHeight="1">
      <c r="B145" s="1818" t="s">
        <v>2955</v>
      </c>
      <c r="C145" s="1818"/>
      <c r="D145" s="1818"/>
      <c r="E145" s="1818"/>
      <c r="F145" s="1818"/>
      <c r="G145" s="1818"/>
      <c r="H145" s="1818"/>
      <c r="I145" s="1818"/>
      <c r="J145" s="1818"/>
      <c r="K145" s="1818"/>
    </row>
    <row r="146" spans="1:11">
      <c r="B146" s="1818"/>
      <c r="C146" s="1818"/>
      <c r="D146" s="1818"/>
      <c r="E146" s="1818"/>
      <c r="F146" s="1818"/>
      <c r="G146" s="1818"/>
      <c r="H146" s="1818"/>
      <c r="I146" s="1818"/>
      <c r="J146" s="1818"/>
      <c r="K146" s="1818"/>
    </row>
    <row r="147" spans="1:11" ht="79.95" customHeight="1">
      <c r="B147" s="1818" t="s">
        <v>2954</v>
      </c>
      <c r="C147" s="1818"/>
      <c r="D147" s="1818"/>
      <c r="E147" s="1818"/>
      <c r="F147" s="1818"/>
      <c r="G147" s="1818"/>
      <c r="H147" s="1818"/>
      <c r="I147" s="1818"/>
      <c r="J147" s="1818"/>
      <c r="K147" s="1818"/>
    </row>
    <row r="148" spans="1:11">
      <c r="B148" s="1818"/>
      <c r="C148" s="1818"/>
      <c r="D148" s="1818"/>
      <c r="E148" s="1818"/>
      <c r="F148" s="1818"/>
      <c r="G148" s="1818"/>
      <c r="H148" s="1818"/>
      <c r="I148" s="1818"/>
      <c r="J148" s="1818"/>
      <c r="K148" s="1818"/>
    </row>
    <row r="149" spans="1:11" ht="90" customHeight="1">
      <c r="B149" s="1818" t="s">
        <v>2956</v>
      </c>
      <c r="C149" s="1818"/>
      <c r="D149" s="1818"/>
      <c r="E149" s="1818"/>
      <c r="F149" s="1818"/>
      <c r="G149" s="1818"/>
      <c r="H149" s="1818"/>
      <c r="I149" s="1818"/>
      <c r="J149" s="1818"/>
      <c r="K149" s="1818"/>
    </row>
    <row r="150" spans="1:11" ht="70.05" customHeight="1">
      <c r="B150" s="1818" t="s">
        <v>2957</v>
      </c>
      <c r="C150" s="1818"/>
      <c r="D150" s="1818"/>
      <c r="E150" s="1818"/>
      <c r="F150" s="1818"/>
      <c r="G150" s="1818"/>
      <c r="H150" s="1818"/>
      <c r="I150" s="1818"/>
      <c r="J150" s="1818"/>
      <c r="K150" s="1818"/>
    </row>
    <row r="151" spans="1:11" ht="25.05" customHeight="1">
      <c r="B151" s="1818" t="s">
        <v>2958</v>
      </c>
      <c r="C151" s="1818"/>
      <c r="D151" s="1818"/>
      <c r="E151" s="1818"/>
      <c r="F151" s="1818"/>
      <c r="G151" s="1818"/>
      <c r="H151" s="1818"/>
      <c r="I151" s="1818"/>
      <c r="J151" s="1818"/>
      <c r="K151" s="1818"/>
    </row>
    <row r="152" spans="1:11">
      <c r="B152" s="1818"/>
      <c r="C152" s="1818"/>
      <c r="D152" s="1818"/>
      <c r="E152" s="1818"/>
      <c r="F152" s="1818"/>
      <c r="G152" s="1818"/>
      <c r="H152" s="1818"/>
      <c r="I152" s="1818"/>
      <c r="J152" s="1818"/>
      <c r="K152" s="1818"/>
    </row>
    <row r="153" spans="1:11" ht="79.95" customHeight="1">
      <c r="B153" s="1818" t="s">
        <v>2959</v>
      </c>
      <c r="C153" s="1818"/>
      <c r="D153" s="1818"/>
      <c r="E153" s="1818"/>
      <c r="F153" s="1818"/>
      <c r="G153" s="1818"/>
      <c r="H153" s="1818"/>
      <c r="I153" s="1818"/>
      <c r="J153" s="1818"/>
      <c r="K153" s="1818"/>
    </row>
    <row r="154" spans="1:11">
      <c r="A154" s="1210"/>
      <c r="B154" s="1818"/>
      <c r="C154" s="1818"/>
      <c r="D154" s="1818"/>
      <c r="E154" s="1818"/>
      <c r="F154" s="1818"/>
      <c r="G154" s="1818"/>
      <c r="H154" s="1818"/>
      <c r="I154" s="1818"/>
      <c r="J154" s="1818"/>
      <c r="K154" s="1818"/>
    </row>
    <row r="155" spans="1:11" ht="49.95" customHeight="1">
      <c r="B155" s="1818" t="s">
        <v>2962</v>
      </c>
      <c r="C155" s="1818"/>
      <c r="D155" s="1818"/>
      <c r="E155" s="1818"/>
      <c r="F155" s="1818"/>
      <c r="G155" s="1818"/>
      <c r="H155" s="1818"/>
      <c r="I155" s="1818"/>
      <c r="J155" s="1818"/>
      <c r="K155" s="1818"/>
    </row>
    <row r="156" spans="1:11" ht="40.049999999999997" customHeight="1">
      <c r="B156" s="1818" t="s">
        <v>2960</v>
      </c>
      <c r="C156" s="1818"/>
      <c r="D156" s="1818"/>
      <c r="E156" s="1818"/>
      <c r="F156" s="1818"/>
      <c r="G156" s="1818"/>
      <c r="H156" s="1818"/>
      <c r="I156" s="1818"/>
      <c r="J156" s="1818"/>
      <c r="K156" s="1818"/>
    </row>
    <row r="157" spans="1:11">
      <c r="B157" s="1212"/>
      <c r="C157" s="1212"/>
      <c r="D157" s="1212"/>
      <c r="E157" s="1212"/>
      <c r="F157" s="1212"/>
      <c r="G157" s="1212"/>
      <c r="H157" s="1212"/>
      <c r="I157" s="1212"/>
      <c r="J157" s="1212"/>
      <c r="K157" s="1212"/>
    </row>
    <row r="158" spans="1:11">
      <c r="B158" s="1818" t="s">
        <v>2961</v>
      </c>
      <c r="C158" s="1818"/>
      <c r="D158" s="1818"/>
      <c r="E158" s="1818"/>
      <c r="F158" s="1818"/>
      <c r="G158" s="1818"/>
      <c r="H158" s="1818"/>
      <c r="I158" s="1818"/>
      <c r="J158" s="1818"/>
      <c r="K158" s="1818"/>
    </row>
    <row r="159" spans="1:11">
      <c r="B159" s="1212"/>
      <c r="C159" s="1212"/>
      <c r="D159" s="1212"/>
      <c r="E159" s="1212"/>
      <c r="F159" s="1212"/>
      <c r="G159" s="1212"/>
      <c r="H159" s="1212"/>
      <c r="I159" s="1212"/>
      <c r="J159" s="1212"/>
      <c r="K159" s="1212"/>
    </row>
    <row r="160" spans="1:11" ht="5.0999999999999996" hidden="1" customHeight="1">
      <c r="B160" s="1190" t="s">
        <v>2262</v>
      </c>
      <c r="C160" s="1212"/>
      <c r="D160" s="1212"/>
      <c r="E160" s="1212"/>
      <c r="F160" s="1212"/>
      <c r="G160" s="1212"/>
      <c r="H160" s="1212"/>
      <c r="I160" s="1212"/>
      <c r="J160" s="1212"/>
      <c r="K160" s="1212"/>
    </row>
    <row r="161" spans="1:11" ht="65.55" hidden="1" customHeight="1">
      <c r="B161" s="1818" t="s">
        <v>2263</v>
      </c>
      <c r="C161" s="1818"/>
      <c r="D161" s="1818"/>
      <c r="E161" s="1818"/>
      <c r="F161" s="1818"/>
      <c r="G161" s="1818"/>
      <c r="H161" s="1818"/>
      <c r="I161" s="1818"/>
      <c r="J161" s="1818"/>
      <c r="K161" s="1818"/>
    </row>
    <row r="162" spans="1:11" ht="5.0999999999999996" hidden="1" customHeight="1">
      <c r="B162" s="1212"/>
      <c r="C162" s="1212"/>
      <c r="D162" s="1212"/>
      <c r="E162" s="1212"/>
      <c r="F162" s="1212"/>
      <c r="G162" s="1212"/>
      <c r="H162" s="1212"/>
      <c r="I162" s="1212"/>
      <c r="J162" s="1212"/>
      <c r="K162" s="1212"/>
    </row>
    <row r="163" spans="1:11">
      <c r="A163" s="683" t="s">
        <v>2177</v>
      </c>
      <c r="B163" s="1190" t="s">
        <v>2040</v>
      </c>
    </row>
    <row r="164" spans="1:11">
      <c r="B164" s="1190"/>
    </row>
    <row r="165" spans="1:11">
      <c r="A165" s="1210" t="s">
        <v>2169</v>
      </c>
      <c r="B165" s="1190" t="s">
        <v>1904</v>
      </c>
    </row>
    <row r="166" spans="1:11" ht="41.25" customHeight="1">
      <c r="B166" s="1818" t="s">
        <v>2120</v>
      </c>
      <c r="C166" s="1818"/>
      <c r="D166" s="1818"/>
      <c r="E166" s="1818"/>
      <c r="F166" s="1818"/>
      <c r="G166" s="1818"/>
      <c r="H166" s="1818"/>
      <c r="I166" s="1818"/>
      <c r="J166" s="1818"/>
      <c r="K166" s="1818"/>
    </row>
    <row r="167" spans="1:11" ht="9.75" customHeight="1">
      <c r="B167" s="1195"/>
      <c r="C167" s="1195"/>
      <c r="D167" s="1195"/>
      <c r="E167" s="1195"/>
      <c r="F167" s="1195"/>
      <c r="G167" s="1195"/>
      <c r="H167" s="1195"/>
      <c r="I167" s="1195"/>
      <c r="J167" s="1195"/>
      <c r="K167" s="1195"/>
    </row>
    <row r="168" spans="1:11">
      <c r="A168" s="1210" t="s">
        <v>2170</v>
      </c>
      <c r="B168" s="1190" t="s">
        <v>2121</v>
      </c>
    </row>
    <row r="169" spans="1:11">
      <c r="B169" s="1190"/>
    </row>
    <row r="170" spans="1:11">
      <c r="B170" s="1190" t="s">
        <v>2122</v>
      </c>
    </row>
    <row r="171" spans="1:11" ht="6" customHeight="1">
      <c r="B171" s="1190"/>
    </row>
    <row r="172" spans="1:11">
      <c r="B172" s="1190" t="s">
        <v>1947</v>
      </c>
    </row>
    <row r="173" spans="1:11" ht="3" customHeight="1">
      <c r="B173" s="1190"/>
    </row>
    <row r="174" spans="1:11" ht="39.75" customHeight="1">
      <c r="B174" s="1818" t="s">
        <v>2123</v>
      </c>
      <c r="C174" s="1818"/>
      <c r="D174" s="1818"/>
      <c r="E174" s="1818"/>
      <c r="F174" s="1818"/>
      <c r="G174" s="1818"/>
      <c r="H174" s="1818"/>
      <c r="I174" s="1818"/>
      <c r="J174" s="1818"/>
      <c r="K174" s="1818"/>
    </row>
    <row r="175" spans="1:11" ht="9.75" customHeight="1">
      <c r="B175" s="1195"/>
      <c r="C175" s="1195"/>
      <c r="D175" s="1195"/>
      <c r="E175" s="1195"/>
      <c r="F175" s="1195"/>
      <c r="G175" s="1195"/>
      <c r="H175" s="1195"/>
      <c r="I175" s="1195"/>
      <c r="J175" s="1195"/>
      <c r="K175" s="1195"/>
    </row>
    <row r="176" spans="1:11">
      <c r="B176" s="1190" t="s">
        <v>155</v>
      </c>
    </row>
    <row r="177" spans="1:11" ht="6" customHeight="1">
      <c r="B177" s="1190"/>
    </row>
    <row r="178" spans="1:11">
      <c r="B178" s="1190" t="s">
        <v>156</v>
      </c>
    </row>
    <row r="179" spans="1:11" ht="2.1" customHeight="1">
      <c r="B179" s="1190"/>
    </row>
    <row r="180" spans="1:11" ht="53.1" customHeight="1">
      <c r="B180" s="1818" t="s">
        <v>2124</v>
      </c>
      <c r="C180" s="1818"/>
      <c r="D180" s="1818"/>
      <c r="E180" s="1818"/>
      <c r="F180" s="1818"/>
      <c r="G180" s="1818"/>
      <c r="H180" s="1818"/>
      <c r="I180" s="1818"/>
      <c r="J180" s="1818"/>
      <c r="K180" s="1818"/>
    </row>
    <row r="181" spans="1:11" ht="5.0999999999999996" customHeight="1">
      <c r="B181" s="1195"/>
      <c r="C181" s="1195"/>
      <c r="D181" s="1195"/>
      <c r="E181" s="1195"/>
      <c r="F181" s="1195"/>
      <c r="G181" s="1195"/>
      <c r="H181" s="1195"/>
      <c r="I181" s="1195"/>
      <c r="J181" s="1195"/>
      <c r="K181" s="1195"/>
    </row>
    <row r="182" spans="1:11" ht="55.05" customHeight="1">
      <c r="B182" s="1818" t="s">
        <v>2125</v>
      </c>
      <c r="C182" s="1818"/>
      <c r="D182" s="1818"/>
      <c r="E182" s="1818"/>
      <c r="F182" s="1818"/>
      <c r="G182" s="1818"/>
      <c r="H182" s="1818"/>
      <c r="I182" s="1818"/>
      <c r="J182" s="1818"/>
      <c r="K182" s="1818"/>
    </row>
    <row r="183" spans="1:11" ht="6.75" customHeight="1">
      <c r="B183" s="1195"/>
      <c r="C183" s="1195"/>
      <c r="D183" s="1195"/>
      <c r="E183" s="1195"/>
      <c r="F183" s="1195"/>
      <c r="G183" s="1195"/>
      <c r="H183" s="1195"/>
      <c r="I183" s="1195"/>
      <c r="J183" s="1195"/>
      <c r="K183" s="1195"/>
    </row>
    <row r="184" spans="1:11">
      <c r="A184" s="1210" t="s">
        <v>2171</v>
      </c>
      <c r="B184" s="1190" t="s">
        <v>157</v>
      </c>
    </row>
    <row r="185" spans="1:11" ht="2.1" customHeight="1">
      <c r="B185" s="1190"/>
    </row>
    <row r="186" spans="1:11" ht="85.05" customHeight="1">
      <c r="B186" s="1818" t="s">
        <v>2243</v>
      </c>
      <c r="C186" s="1818"/>
      <c r="D186" s="1818"/>
      <c r="E186" s="1818"/>
      <c r="F186" s="1818"/>
      <c r="G186" s="1818"/>
      <c r="H186" s="1818"/>
      <c r="I186" s="1818"/>
      <c r="J186" s="1818"/>
      <c r="K186" s="1818"/>
    </row>
    <row r="187" spans="1:11" ht="3" customHeight="1">
      <c r="B187" s="1195"/>
      <c r="C187" s="1195"/>
      <c r="D187" s="1195"/>
      <c r="E187" s="1195"/>
      <c r="F187" s="1195"/>
      <c r="G187" s="1195"/>
      <c r="H187" s="1195"/>
      <c r="I187" s="1195"/>
      <c r="J187" s="1195"/>
      <c r="K187" s="1195"/>
    </row>
    <row r="188" spans="1:11" ht="3.75" customHeight="1">
      <c r="B188" s="1195"/>
      <c r="C188" s="1195"/>
      <c r="D188" s="1195"/>
      <c r="E188" s="1195"/>
      <c r="F188" s="1195"/>
      <c r="G188" s="1195"/>
      <c r="H188" s="1195"/>
      <c r="I188" s="1195"/>
      <c r="J188" s="1195"/>
      <c r="K188" s="1195"/>
    </row>
    <row r="189" spans="1:11">
      <c r="A189" s="1210" t="s">
        <v>2172</v>
      </c>
      <c r="B189" s="683" t="s">
        <v>2196</v>
      </c>
    </row>
    <row r="190" spans="1:11" ht="3" customHeight="1">
      <c r="B190" s="1190"/>
    </row>
    <row r="191" spans="1:11" ht="64.5" customHeight="1">
      <c r="B191" s="1823" t="s">
        <v>1986</v>
      </c>
      <c r="C191" s="1818"/>
      <c r="D191" s="1818"/>
      <c r="E191" s="1818"/>
      <c r="F191" s="1818"/>
      <c r="G191" s="1818"/>
      <c r="H191" s="1818"/>
      <c r="I191" s="1818"/>
      <c r="J191" s="1818"/>
      <c r="K191" s="1818"/>
    </row>
    <row r="192" spans="1:11" ht="9.75" customHeight="1">
      <c r="B192" s="1195"/>
      <c r="C192" s="1195"/>
      <c r="D192" s="1195"/>
      <c r="E192" s="1195"/>
      <c r="F192" s="1195"/>
      <c r="G192" s="1195"/>
      <c r="H192" s="1195"/>
      <c r="I192" s="1195"/>
      <c r="J192" s="1195"/>
      <c r="K192" s="1195"/>
    </row>
    <row r="193" spans="1:11" ht="12.75" customHeight="1">
      <c r="A193" s="683" t="s">
        <v>2178</v>
      </c>
      <c r="B193" s="1190" t="s">
        <v>2126</v>
      </c>
    </row>
    <row r="194" spans="1:11" ht="2.1" customHeight="1">
      <c r="B194" s="1190"/>
    </row>
    <row r="195" spans="1:11" ht="77.55" customHeight="1">
      <c r="B195" s="1818" t="s">
        <v>2789</v>
      </c>
      <c r="C195" s="1818"/>
      <c r="D195" s="1818"/>
      <c r="E195" s="1818"/>
      <c r="F195" s="1818"/>
      <c r="G195" s="1818"/>
      <c r="H195" s="1818"/>
      <c r="I195" s="1818"/>
      <c r="J195" s="1818"/>
      <c r="K195" s="1818"/>
    </row>
    <row r="196" spans="1:11" ht="3" customHeight="1">
      <c r="B196" s="1195"/>
      <c r="C196" s="1195"/>
      <c r="D196" s="1195"/>
      <c r="E196" s="1195"/>
      <c r="F196" s="1195"/>
      <c r="G196" s="1195"/>
      <c r="H196" s="1195"/>
      <c r="I196" s="1195"/>
      <c r="J196" s="1195"/>
      <c r="K196" s="1195"/>
    </row>
    <row r="197" spans="1:11" ht="49.5" customHeight="1">
      <c r="B197" s="1818" t="s">
        <v>2127</v>
      </c>
      <c r="C197" s="1818"/>
      <c r="D197" s="1818"/>
      <c r="E197" s="1818"/>
      <c r="F197" s="1818"/>
      <c r="G197" s="1818"/>
      <c r="H197" s="1818"/>
      <c r="I197" s="1818"/>
      <c r="J197" s="1818"/>
      <c r="K197" s="1818"/>
    </row>
    <row r="198" spans="1:11">
      <c r="A198" s="683" t="s">
        <v>2179</v>
      </c>
      <c r="B198" s="1190" t="s">
        <v>774</v>
      </c>
    </row>
    <row r="199" spans="1:11" ht="2.1" customHeight="1">
      <c r="B199" s="1190"/>
    </row>
    <row r="200" spans="1:11" ht="115.5" customHeight="1">
      <c r="B200" s="1818" t="s">
        <v>2810</v>
      </c>
      <c r="C200" s="1818"/>
      <c r="D200" s="1818"/>
      <c r="E200" s="1818"/>
      <c r="F200" s="1818"/>
      <c r="G200" s="1818"/>
      <c r="H200" s="1818"/>
      <c r="I200" s="1818"/>
      <c r="J200" s="1818"/>
      <c r="K200" s="1818"/>
    </row>
    <row r="201" spans="1:11" ht="3" customHeight="1">
      <c r="B201" s="1195"/>
      <c r="C201" s="1195"/>
      <c r="D201" s="1195"/>
      <c r="E201" s="1195"/>
      <c r="F201" s="1195"/>
      <c r="G201" s="1195"/>
      <c r="H201" s="1195"/>
      <c r="I201" s="1195"/>
      <c r="J201" s="1195"/>
      <c r="K201" s="1195"/>
    </row>
    <row r="202" spans="1:11" ht="39.75" customHeight="1">
      <c r="B202" s="1818" t="s">
        <v>2367</v>
      </c>
      <c r="C202" s="1818"/>
      <c r="D202" s="1818"/>
      <c r="E202" s="1818"/>
      <c r="F202" s="1818"/>
      <c r="G202" s="1818"/>
      <c r="H202" s="1818"/>
      <c r="I202" s="1818"/>
      <c r="J202" s="1818"/>
      <c r="K202" s="1818"/>
    </row>
    <row r="203" spans="1:11" ht="3" customHeight="1">
      <c r="B203" s="1195"/>
      <c r="C203" s="1195"/>
      <c r="D203" s="1195"/>
      <c r="E203" s="1195"/>
      <c r="F203" s="1195"/>
      <c r="G203" s="1195"/>
      <c r="H203" s="1195"/>
      <c r="I203" s="1195"/>
      <c r="J203" s="1195"/>
      <c r="K203" s="1195"/>
    </row>
    <row r="204" spans="1:11" ht="2.25" customHeight="1">
      <c r="B204" s="1818"/>
      <c r="C204" s="1818"/>
      <c r="D204" s="1818"/>
      <c r="E204" s="1818"/>
      <c r="F204" s="1818"/>
      <c r="G204" s="1818"/>
      <c r="H204" s="1818"/>
      <c r="I204" s="1818"/>
      <c r="J204" s="1818"/>
      <c r="K204" s="1818"/>
    </row>
    <row r="205" spans="1:11" ht="12.75" customHeight="1">
      <c r="A205" s="1210" t="s">
        <v>2169</v>
      </c>
      <c r="B205" s="1190" t="s">
        <v>2128</v>
      </c>
    </row>
    <row r="206" spans="1:11">
      <c r="B206" s="1818" t="s">
        <v>2129</v>
      </c>
      <c r="C206" s="1818"/>
      <c r="D206" s="1818"/>
      <c r="E206" s="1818"/>
      <c r="F206" s="1818"/>
      <c r="G206" s="1818"/>
      <c r="H206" s="1818"/>
      <c r="I206" s="1818"/>
      <c r="J206" s="1818"/>
      <c r="K206" s="1818"/>
    </row>
    <row r="207" spans="1:11" ht="4.5" customHeight="1"/>
    <row r="208" spans="1:11">
      <c r="A208" s="1210" t="s">
        <v>2170</v>
      </c>
      <c r="B208" s="1190" t="s">
        <v>2183</v>
      </c>
      <c r="C208" s="1189"/>
    </row>
    <row r="209" spans="1:11" ht="54.75" customHeight="1">
      <c r="B209" s="1818" t="s">
        <v>2130</v>
      </c>
      <c r="C209" s="1818"/>
      <c r="D209" s="1818"/>
      <c r="E209" s="1818"/>
      <c r="F209" s="1818"/>
      <c r="G209" s="1818"/>
      <c r="H209" s="1818"/>
      <c r="I209" s="1818"/>
      <c r="J209" s="1818"/>
      <c r="K209" s="1818"/>
    </row>
    <row r="210" spans="1:11" ht="3" customHeight="1">
      <c r="B210" s="1195"/>
      <c r="C210" s="1195"/>
      <c r="D210" s="1195"/>
      <c r="E210" s="1195"/>
      <c r="F210" s="1195"/>
      <c r="G210" s="1195"/>
      <c r="H210" s="1195"/>
      <c r="I210" s="1195"/>
      <c r="J210" s="1195"/>
      <c r="K210" s="1195"/>
    </row>
    <row r="211" spans="1:11">
      <c r="A211" s="1210" t="s">
        <v>2171</v>
      </c>
      <c r="B211" s="1190" t="s">
        <v>190</v>
      </c>
      <c r="C211" s="1189"/>
    </row>
    <row r="212" spans="1:11" ht="54" customHeight="1">
      <c r="B212" s="1818" t="s">
        <v>2131</v>
      </c>
      <c r="C212" s="1818"/>
      <c r="D212" s="1818"/>
      <c r="E212" s="1818"/>
      <c r="F212" s="1818"/>
      <c r="G212" s="1818"/>
      <c r="H212" s="1818"/>
      <c r="I212" s="1818"/>
      <c r="J212" s="1818"/>
      <c r="K212" s="1818"/>
    </row>
    <row r="213" spans="1:11" ht="3" customHeight="1">
      <c r="B213" s="1195"/>
      <c r="C213" s="1195"/>
      <c r="D213" s="1195"/>
      <c r="E213" s="1195"/>
      <c r="F213" s="1195"/>
      <c r="G213" s="1195"/>
      <c r="H213" s="1195"/>
      <c r="I213" s="1195"/>
      <c r="J213" s="1195"/>
      <c r="K213" s="1195"/>
    </row>
    <row r="214" spans="1:11" ht="39" customHeight="1">
      <c r="B214" s="1818" t="s">
        <v>2132</v>
      </c>
      <c r="C214" s="1818"/>
      <c r="D214" s="1818"/>
      <c r="E214" s="1818"/>
      <c r="F214" s="1818"/>
      <c r="G214" s="1818"/>
      <c r="H214" s="1818"/>
      <c r="I214" s="1818"/>
      <c r="J214" s="1818"/>
      <c r="K214" s="1818"/>
    </row>
    <row r="215" spans="1:11" ht="3" customHeight="1"/>
    <row r="216" spans="1:11" ht="66.75" customHeight="1">
      <c r="B216" s="1818" t="s">
        <v>2161</v>
      </c>
      <c r="C216" s="1818"/>
      <c r="D216" s="1818"/>
      <c r="E216" s="1818"/>
      <c r="F216" s="1818"/>
      <c r="G216" s="1818"/>
      <c r="H216" s="1818"/>
      <c r="I216" s="1818"/>
      <c r="J216" s="1818"/>
      <c r="K216" s="1818"/>
    </row>
    <row r="217" spans="1:11" ht="3" customHeight="1">
      <c r="B217" s="1195"/>
      <c r="C217" s="1195"/>
      <c r="D217" s="1195"/>
      <c r="E217" s="1195"/>
      <c r="F217" s="1195"/>
      <c r="G217" s="1195"/>
      <c r="H217" s="1195"/>
      <c r="I217" s="1195"/>
      <c r="J217" s="1195"/>
      <c r="K217" s="1195"/>
    </row>
    <row r="218" spans="1:11" ht="53.55" customHeight="1">
      <c r="B218" s="1818" t="s">
        <v>2162</v>
      </c>
      <c r="C218" s="1818"/>
      <c r="D218" s="1818"/>
      <c r="E218" s="1818"/>
      <c r="F218" s="1818"/>
      <c r="G218" s="1818"/>
      <c r="H218" s="1818"/>
      <c r="I218" s="1818"/>
      <c r="J218" s="1818"/>
      <c r="K218" s="1818"/>
    </row>
    <row r="219" spans="1:11" ht="3" customHeight="1">
      <c r="B219" s="1195"/>
      <c r="C219" s="1195"/>
      <c r="D219" s="1195"/>
      <c r="E219" s="1195"/>
      <c r="F219" s="1195"/>
      <c r="G219" s="1195"/>
      <c r="H219" s="1195"/>
      <c r="I219" s="1195"/>
      <c r="J219" s="1195"/>
      <c r="K219" s="1195"/>
    </row>
    <row r="220" spans="1:11">
      <c r="B220" s="1818" t="s">
        <v>2133</v>
      </c>
      <c r="C220" s="1818"/>
      <c r="D220" s="1818"/>
      <c r="E220" s="1818"/>
      <c r="F220" s="1818"/>
      <c r="G220" s="1818"/>
      <c r="H220" s="1818"/>
      <c r="I220" s="1818"/>
      <c r="J220" s="1818"/>
      <c r="K220" s="1818"/>
    </row>
    <row r="221" spans="1:11">
      <c r="B221" s="1212"/>
      <c r="C221" s="1212"/>
      <c r="D221" s="1212"/>
      <c r="E221" s="1212"/>
      <c r="F221" s="1212"/>
      <c r="G221" s="1212"/>
      <c r="H221" s="1212"/>
      <c r="I221" s="1212"/>
      <c r="J221" s="1212"/>
      <c r="K221" s="1212"/>
    </row>
    <row r="222" spans="1:11">
      <c r="A222" s="1210" t="s">
        <v>2172</v>
      </c>
      <c r="B222" s="1190" t="s">
        <v>2811</v>
      </c>
      <c r="C222" s="1212"/>
      <c r="D222" s="1212"/>
      <c r="E222" s="1212"/>
      <c r="F222" s="1212"/>
      <c r="G222" s="1212"/>
      <c r="H222" s="1212"/>
      <c r="I222" s="1212"/>
      <c r="J222" s="1212"/>
      <c r="K222" s="1212"/>
    </row>
    <row r="223" spans="1:11" ht="150.44999999999999" customHeight="1">
      <c r="B223" s="1818" t="s">
        <v>2812</v>
      </c>
      <c r="C223" s="1818"/>
      <c r="D223" s="1818"/>
      <c r="E223" s="1818"/>
      <c r="F223" s="1818"/>
      <c r="G223" s="1818"/>
      <c r="H223" s="1818"/>
      <c r="I223" s="1818"/>
      <c r="J223" s="1818"/>
      <c r="K223" s="1818"/>
    </row>
    <row r="224" spans="1:11" ht="6" customHeight="1">
      <c r="B224" s="1195"/>
      <c r="C224" s="1195"/>
      <c r="D224" s="1195"/>
      <c r="E224" s="1195"/>
      <c r="F224" s="1195"/>
      <c r="G224" s="1195"/>
      <c r="H224" s="1195"/>
      <c r="I224" s="1195"/>
      <c r="J224" s="1195"/>
      <c r="K224" s="1195"/>
    </row>
    <row r="225" spans="1:11">
      <c r="A225" s="1211" t="s">
        <v>1854</v>
      </c>
      <c r="B225" s="1190" t="s">
        <v>58</v>
      </c>
    </row>
    <row r="226" spans="1:11" ht="2.1" customHeight="1">
      <c r="B226" s="1190"/>
    </row>
    <row r="227" spans="1:11" ht="27" customHeight="1">
      <c r="B227" s="1818" t="s">
        <v>2190</v>
      </c>
      <c r="C227" s="1818"/>
      <c r="D227" s="1818"/>
      <c r="E227" s="1818"/>
      <c r="F227" s="1818"/>
      <c r="G227" s="1818"/>
      <c r="H227" s="1818"/>
      <c r="I227" s="1818"/>
      <c r="J227" s="1818"/>
      <c r="K227" s="1818"/>
    </row>
    <row r="228" spans="1:11" ht="4.5" customHeight="1">
      <c r="B228" s="1195"/>
      <c r="C228" s="1195"/>
      <c r="D228" s="1195"/>
      <c r="E228" s="1195"/>
      <c r="F228" s="1195"/>
      <c r="G228" s="1195"/>
      <c r="H228" s="1195"/>
      <c r="I228" s="1195"/>
      <c r="J228" s="1195"/>
      <c r="K228" s="1195"/>
    </row>
    <row r="229" spans="1:11">
      <c r="A229" s="1211" t="s">
        <v>2180</v>
      </c>
      <c r="B229" s="1190" t="s">
        <v>2094</v>
      </c>
    </row>
    <row r="230" spans="1:11" ht="2.1" customHeight="1">
      <c r="B230" s="1190"/>
    </row>
    <row r="231" spans="1:11" ht="25.5" customHeight="1">
      <c r="B231" s="1818" t="s">
        <v>2134</v>
      </c>
      <c r="C231" s="1818"/>
      <c r="D231" s="1818"/>
      <c r="E231" s="1818"/>
      <c r="F231" s="1818"/>
      <c r="G231" s="1818"/>
      <c r="H231" s="1818"/>
      <c r="I231" s="1818"/>
      <c r="J231" s="1818"/>
      <c r="K231" s="1818"/>
    </row>
    <row r="232" spans="1:11" ht="4.5" customHeight="1">
      <c r="B232" s="1195"/>
      <c r="C232" s="1195"/>
      <c r="D232" s="1195"/>
      <c r="E232" s="1195"/>
      <c r="F232" s="1195"/>
      <c r="G232" s="1195"/>
      <c r="H232" s="1195"/>
      <c r="I232" s="1195"/>
      <c r="J232" s="1195"/>
      <c r="K232" s="1195"/>
    </row>
    <row r="233" spans="1:11">
      <c r="A233" s="1210" t="s">
        <v>2169</v>
      </c>
      <c r="B233" s="1190" t="s">
        <v>71</v>
      </c>
    </row>
    <row r="234" spans="1:11" ht="2.1" customHeight="1">
      <c r="B234" s="1190"/>
    </row>
    <row r="235" spans="1:11" ht="76.95" customHeight="1">
      <c r="B235" s="1818" t="s">
        <v>2817</v>
      </c>
      <c r="C235" s="1818"/>
      <c r="D235" s="1818"/>
      <c r="E235" s="1818"/>
      <c r="F235" s="1818"/>
      <c r="G235" s="1818"/>
      <c r="H235" s="1818"/>
      <c r="I235" s="1818"/>
      <c r="J235" s="1818"/>
      <c r="K235" s="1818"/>
    </row>
    <row r="236" spans="1:11" ht="2.1" customHeight="1">
      <c r="B236" s="1195"/>
      <c r="C236" s="1195"/>
      <c r="D236" s="1195"/>
      <c r="E236" s="1195"/>
      <c r="F236" s="1195"/>
      <c r="G236" s="1195"/>
      <c r="H236" s="1195"/>
      <c r="I236" s="1195"/>
      <c r="J236" s="1195"/>
      <c r="K236" s="1195"/>
    </row>
    <row r="237" spans="1:11" ht="29.25" customHeight="1">
      <c r="B237" s="1818" t="s">
        <v>2135</v>
      </c>
      <c r="C237" s="1818"/>
      <c r="D237" s="1818"/>
      <c r="E237" s="1818"/>
      <c r="F237" s="1818"/>
      <c r="G237" s="1818"/>
      <c r="H237" s="1818"/>
      <c r="I237" s="1818"/>
      <c r="J237" s="1818"/>
      <c r="K237" s="1818"/>
    </row>
    <row r="238" spans="1:11" ht="5.0999999999999996" customHeight="1">
      <c r="B238" s="1195"/>
      <c r="C238" s="1195"/>
      <c r="D238" s="1195"/>
      <c r="E238" s="1195"/>
      <c r="F238" s="1195"/>
      <c r="G238" s="1195"/>
      <c r="H238" s="1195"/>
      <c r="I238" s="1195"/>
      <c r="J238" s="1195"/>
      <c r="K238" s="1195"/>
    </row>
    <row r="239" spans="1:11" ht="12.75" customHeight="1">
      <c r="A239" s="1210" t="s">
        <v>2170</v>
      </c>
      <c r="B239" s="1190" t="s">
        <v>2163</v>
      </c>
    </row>
    <row r="240" spans="1:11" ht="2.1" customHeight="1">
      <c r="B240" s="1190"/>
    </row>
    <row r="241" spans="1:11" ht="64.05" customHeight="1">
      <c r="B241" s="1818" t="s">
        <v>2818</v>
      </c>
      <c r="C241" s="1818"/>
      <c r="D241" s="1818"/>
      <c r="E241" s="1818"/>
      <c r="F241" s="1818"/>
      <c r="G241" s="1818"/>
      <c r="H241" s="1818"/>
      <c r="I241" s="1818"/>
      <c r="J241" s="1818"/>
      <c r="K241" s="1818"/>
    </row>
    <row r="242" spans="1:11" ht="2.1" customHeight="1">
      <c r="B242" s="1195"/>
      <c r="C242" s="1195"/>
      <c r="D242" s="1195"/>
      <c r="E242" s="1195"/>
      <c r="F242" s="1195"/>
      <c r="G242" s="1195"/>
      <c r="H242" s="1195"/>
      <c r="I242" s="1195"/>
      <c r="J242" s="1195"/>
      <c r="K242" s="1195"/>
    </row>
    <row r="243" spans="1:11" ht="32.549999999999997" customHeight="1">
      <c r="B243" s="1818" t="s">
        <v>2136</v>
      </c>
      <c r="C243" s="1818"/>
      <c r="D243" s="1818"/>
      <c r="E243" s="1818"/>
      <c r="F243" s="1818"/>
      <c r="G243" s="1818"/>
      <c r="H243" s="1818"/>
      <c r="I243" s="1818"/>
      <c r="J243" s="1818"/>
      <c r="K243" s="1818"/>
    </row>
    <row r="244" spans="1:11" ht="2.1" customHeight="1">
      <c r="B244" s="1195"/>
      <c r="C244" s="1195"/>
      <c r="D244" s="1195"/>
      <c r="E244" s="1195"/>
      <c r="F244" s="1195"/>
      <c r="G244" s="1195"/>
      <c r="H244" s="1195"/>
      <c r="I244" s="1195"/>
      <c r="J244" s="1195"/>
      <c r="K244" s="1195"/>
    </row>
    <row r="245" spans="1:11" ht="52.95" customHeight="1">
      <c r="B245" s="1818" t="s">
        <v>2137</v>
      </c>
      <c r="C245" s="1818"/>
      <c r="D245" s="1818"/>
      <c r="E245" s="1818"/>
      <c r="F245" s="1818"/>
      <c r="G245" s="1818"/>
      <c r="H245" s="1818"/>
      <c r="I245" s="1818"/>
      <c r="J245" s="1818"/>
      <c r="K245" s="1818"/>
    </row>
    <row r="246" spans="1:11" ht="5.0999999999999996" customHeight="1">
      <c r="B246" s="1195"/>
      <c r="C246" s="1195"/>
      <c r="D246" s="1195"/>
      <c r="E246" s="1195"/>
      <c r="F246" s="1195"/>
      <c r="G246" s="1195"/>
      <c r="H246" s="1195"/>
      <c r="I246" s="1195"/>
      <c r="J246" s="1195"/>
      <c r="K246" s="1195"/>
    </row>
    <row r="247" spans="1:11">
      <c r="A247" s="1211" t="s">
        <v>2181</v>
      </c>
      <c r="B247" s="1190" t="s">
        <v>2138</v>
      </c>
    </row>
    <row r="248" spans="1:11" ht="2.1" customHeight="1">
      <c r="B248" s="1190"/>
    </row>
    <row r="249" spans="1:11" ht="54" customHeight="1">
      <c r="B249" s="1818" t="s">
        <v>2139</v>
      </c>
      <c r="C249" s="1818"/>
      <c r="D249" s="1818"/>
      <c r="E249" s="1818"/>
      <c r="F249" s="1818"/>
      <c r="G249" s="1818"/>
      <c r="H249" s="1818"/>
      <c r="I249" s="1818"/>
      <c r="J249" s="1818"/>
      <c r="K249" s="1818"/>
    </row>
    <row r="250" spans="1:11" ht="5.25" customHeight="1">
      <c r="B250" s="1195"/>
      <c r="C250" s="1195"/>
      <c r="D250" s="1195"/>
      <c r="E250" s="1195"/>
      <c r="F250" s="1195"/>
      <c r="G250" s="1195"/>
      <c r="H250" s="1195"/>
      <c r="I250" s="1195"/>
      <c r="J250" s="1195"/>
      <c r="K250" s="1195"/>
    </row>
    <row r="251" spans="1:11">
      <c r="A251" s="1211" t="s">
        <v>2182</v>
      </c>
      <c r="B251" s="1190" t="s">
        <v>26</v>
      </c>
    </row>
    <row r="252" spans="1:11" ht="2.1" customHeight="1">
      <c r="B252" s="1190"/>
    </row>
    <row r="253" spans="1:11" ht="41.1" customHeight="1">
      <c r="B253" s="1818" t="s">
        <v>2140</v>
      </c>
      <c r="C253" s="1818"/>
      <c r="D253" s="1818"/>
      <c r="E253" s="1818"/>
      <c r="F253" s="1818"/>
      <c r="G253" s="1818"/>
      <c r="H253" s="1818"/>
      <c r="I253" s="1818"/>
      <c r="J253" s="1818"/>
      <c r="K253" s="1818"/>
    </row>
    <row r="254" spans="1:11" ht="3.75" customHeight="1">
      <c r="B254" s="1195"/>
      <c r="C254" s="1195"/>
      <c r="D254" s="1195"/>
      <c r="E254" s="1195"/>
      <c r="F254" s="1195"/>
      <c r="G254" s="1195"/>
      <c r="H254" s="1195"/>
      <c r="I254" s="1195"/>
      <c r="J254" s="1195"/>
      <c r="K254" s="1195"/>
    </row>
    <row r="255" spans="1:11">
      <c r="A255" s="1211" t="s">
        <v>2184</v>
      </c>
      <c r="B255" s="1190" t="s">
        <v>161</v>
      </c>
    </row>
    <row r="256" spans="1:11" ht="2.1" customHeight="1">
      <c r="B256" s="1190"/>
    </row>
    <row r="257" spans="1:11" ht="40.5" customHeight="1">
      <c r="B257" s="1818" t="s">
        <v>2164</v>
      </c>
      <c r="C257" s="1818"/>
      <c r="D257" s="1818"/>
      <c r="E257" s="1818"/>
      <c r="F257" s="1818"/>
      <c r="G257" s="1818"/>
      <c r="H257" s="1818"/>
      <c r="I257" s="1818"/>
      <c r="J257" s="1818"/>
      <c r="K257" s="1818"/>
    </row>
    <row r="258" spans="1:11" ht="2.25" customHeight="1">
      <c r="B258" s="1195"/>
      <c r="C258" s="1195"/>
      <c r="D258" s="1195"/>
      <c r="E258" s="1195"/>
      <c r="F258" s="1195"/>
      <c r="G258" s="1195"/>
      <c r="H258" s="1195"/>
      <c r="I258" s="1195"/>
      <c r="J258" s="1195"/>
      <c r="K258" s="1195"/>
    </row>
    <row r="259" spans="1:11" hidden="1">
      <c r="A259" s="1211" t="s">
        <v>2186</v>
      </c>
      <c r="B259" s="1190" t="s">
        <v>2165</v>
      </c>
    </row>
    <row r="260" spans="1:11" ht="2.1" hidden="1" customHeight="1">
      <c r="B260" s="1190"/>
    </row>
    <row r="261" spans="1:11" ht="77.25" hidden="1" customHeight="1">
      <c r="B261" s="1818" t="s">
        <v>2264</v>
      </c>
      <c r="C261" s="1818"/>
      <c r="D261" s="1818"/>
      <c r="E261" s="1818"/>
      <c r="F261" s="1818"/>
      <c r="G261" s="1818"/>
      <c r="H261" s="1818"/>
      <c r="I261" s="1818"/>
      <c r="J261" s="1818"/>
      <c r="K261" s="1818"/>
    </row>
    <row r="262" spans="1:11" hidden="1">
      <c r="B262" s="1212"/>
      <c r="C262" s="1212"/>
      <c r="D262" s="1212"/>
      <c r="E262" s="1212"/>
      <c r="F262" s="1212"/>
      <c r="G262" s="1212"/>
      <c r="H262" s="1212"/>
      <c r="I262" s="1212"/>
      <c r="J262" s="1212"/>
      <c r="K262" s="1212"/>
    </row>
    <row r="263" spans="1:11" hidden="1">
      <c r="A263" s="1211" t="s">
        <v>2186</v>
      </c>
      <c r="B263" s="1190" t="s">
        <v>2165</v>
      </c>
    </row>
    <row r="264" spans="1:11" ht="2.25" hidden="1" customHeight="1">
      <c r="B264" s="1190"/>
    </row>
    <row r="265" spans="1:11" hidden="1">
      <c r="B265" s="1818" t="s">
        <v>2331</v>
      </c>
      <c r="C265" s="1818"/>
      <c r="D265" s="1818"/>
      <c r="E265" s="1818"/>
      <c r="F265" s="1818"/>
      <c r="G265" s="1818"/>
      <c r="H265" s="1818"/>
      <c r="I265" s="1818"/>
      <c r="J265" s="1818"/>
      <c r="K265" s="1818"/>
    </row>
    <row r="266" spans="1:11" hidden="1">
      <c r="A266" s="1211" t="s">
        <v>2187</v>
      </c>
      <c r="B266" s="1190" t="s">
        <v>2141</v>
      </c>
    </row>
    <row r="267" spans="1:11" ht="2.1" hidden="1" customHeight="1">
      <c r="B267" s="1190"/>
    </row>
    <row r="268" spans="1:11" ht="42" hidden="1" customHeight="1">
      <c r="B268" s="1818" t="s">
        <v>2146</v>
      </c>
      <c r="C268" s="1818"/>
      <c r="D268" s="1818"/>
      <c r="E268" s="1818"/>
      <c r="F268" s="1818"/>
      <c r="G268" s="1818"/>
      <c r="H268" s="1818"/>
      <c r="I268" s="1818"/>
      <c r="J268" s="1818"/>
      <c r="K268" s="1818"/>
    </row>
    <row r="269" spans="1:11" ht="9.75" hidden="1" customHeight="1">
      <c r="A269" s="1191"/>
    </row>
    <row r="270" spans="1:11" hidden="1">
      <c r="A270" s="1210" t="s">
        <v>2169</v>
      </c>
      <c r="B270" s="1187" t="s">
        <v>2142</v>
      </c>
    </row>
    <row r="271" spans="1:11" ht="2.1" hidden="1" customHeight="1">
      <c r="B271" s="1187"/>
    </row>
    <row r="272" spans="1:11" ht="63.75" hidden="1" customHeight="1">
      <c r="B272" s="1818" t="s">
        <v>2191</v>
      </c>
      <c r="C272" s="1818"/>
      <c r="D272" s="1818"/>
      <c r="E272" s="1818"/>
      <c r="F272" s="1818"/>
      <c r="G272" s="1818"/>
      <c r="H272" s="1818"/>
      <c r="I272" s="1818"/>
      <c r="J272" s="1818"/>
      <c r="K272" s="1818"/>
    </row>
    <row r="273" spans="1:11" ht="5.0999999999999996" hidden="1" customHeight="1">
      <c r="A273" s="1191"/>
    </row>
    <row r="274" spans="1:11" ht="142.5" hidden="1" customHeight="1">
      <c r="B274" s="1818" t="s">
        <v>2192</v>
      </c>
      <c r="C274" s="1818"/>
      <c r="D274" s="1818"/>
      <c r="E274" s="1818"/>
      <c r="F274" s="1818"/>
      <c r="G274" s="1818"/>
      <c r="H274" s="1818"/>
      <c r="I274" s="1818"/>
      <c r="J274" s="1818"/>
      <c r="K274" s="1818"/>
    </row>
    <row r="275" spans="1:11" hidden="1">
      <c r="A275" s="1191"/>
    </row>
    <row r="276" spans="1:11" hidden="1">
      <c r="A276" s="1210" t="s">
        <v>2170</v>
      </c>
      <c r="B276" s="1187" t="s">
        <v>2143</v>
      </c>
    </row>
    <row r="277" spans="1:11" hidden="1">
      <c r="A277" s="1191"/>
    </row>
    <row r="278" spans="1:11" ht="78" hidden="1" customHeight="1">
      <c r="B278" s="1818" t="s">
        <v>2144</v>
      </c>
      <c r="C278" s="1818"/>
      <c r="D278" s="1818"/>
      <c r="E278" s="1818"/>
      <c r="F278" s="1818"/>
      <c r="G278" s="1818"/>
      <c r="H278" s="1818"/>
      <c r="I278" s="1818"/>
      <c r="J278" s="1818"/>
      <c r="K278" s="1818"/>
    </row>
    <row r="279" spans="1:11" ht="5.0999999999999996" hidden="1" customHeight="1">
      <c r="A279" s="1189"/>
    </row>
    <row r="280" spans="1:11" ht="51" hidden="1" customHeight="1">
      <c r="B280" s="1818" t="s">
        <v>2193</v>
      </c>
      <c r="C280" s="1818"/>
      <c r="D280" s="1818"/>
      <c r="E280" s="1818"/>
      <c r="F280" s="1818"/>
      <c r="G280" s="1818"/>
      <c r="H280" s="1818"/>
      <c r="I280" s="1818"/>
      <c r="J280" s="1818"/>
      <c r="K280" s="1818"/>
    </row>
    <row r="281" spans="1:11" ht="5.0999999999999996" hidden="1" customHeight="1">
      <c r="A281" s="1189"/>
    </row>
    <row r="282" spans="1:11" ht="51" hidden="1" customHeight="1">
      <c r="B282" s="1818" t="s">
        <v>2147</v>
      </c>
      <c r="C282" s="1818"/>
      <c r="D282" s="1818"/>
      <c r="E282" s="1818"/>
      <c r="F282" s="1818"/>
      <c r="G282" s="1818"/>
      <c r="H282" s="1818"/>
      <c r="I282" s="1818"/>
      <c r="J282" s="1818"/>
      <c r="K282" s="1818"/>
    </row>
    <row r="283" spans="1:11" ht="5.0999999999999996" hidden="1" customHeight="1">
      <c r="A283" s="1189"/>
    </row>
    <row r="284" spans="1:11" ht="29.25" hidden="1" customHeight="1">
      <c r="B284" s="1818" t="s">
        <v>2194</v>
      </c>
      <c r="C284" s="1818"/>
      <c r="D284" s="1818"/>
      <c r="E284" s="1818"/>
      <c r="F284" s="1818"/>
      <c r="G284" s="1818"/>
      <c r="H284" s="1818"/>
      <c r="I284" s="1818"/>
      <c r="J284" s="1818"/>
      <c r="K284" s="1818"/>
    </row>
    <row r="285" spans="1:11" hidden="1">
      <c r="A285" s="1189"/>
    </row>
    <row r="286" spans="1:11" hidden="1">
      <c r="A286" s="1210" t="s">
        <v>2171</v>
      </c>
      <c r="B286" s="1190" t="s">
        <v>2145</v>
      </c>
    </row>
    <row r="287" spans="1:11" hidden="1">
      <c r="A287" s="1189"/>
    </row>
    <row r="288" spans="1:11" ht="12.75" hidden="1" customHeight="1">
      <c r="B288" s="1818" t="s">
        <v>2195</v>
      </c>
      <c r="C288" s="1818"/>
      <c r="D288" s="1818"/>
      <c r="E288" s="1818"/>
      <c r="F288" s="1818"/>
      <c r="G288" s="1818"/>
      <c r="H288" s="1818"/>
      <c r="I288" s="1818"/>
      <c r="J288" s="1818"/>
      <c r="K288" s="1818"/>
    </row>
    <row r="289" spans="1:11" hidden="1"/>
    <row r="290" spans="1:11" hidden="1"/>
    <row r="291" spans="1:11" hidden="1"/>
    <row r="292" spans="1:11">
      <c r="A292" s="1211" t="s">
        <v>2185</v>
      </c>
      <c r="B292" s="1190" t="s">
        <v>2611</v>
      </c>
    </row>
    <row r="293" spans="1:11" ht="39.75" hidden="1" customHeight="1">
      <c r="B293" s="1818" t="s">
        <v>2612</v>
      </c>
      <c r="C293" s="1818"/>
      <c r="D293" s="1818"/>
      <c r="E293" s="1818"/>
      <c r="F293" s="1818"/>
      <c r="G293" s="1818"/>
      <c r="H293" s="1818"/>
      <c r="I293" s="1818"/>
      <c r="J293" s="1818"/>
      <c r="K293" s="1818"/>
    </row>
    <row r="294" spans="1:11" ht="3" hidden="1" customHeight="1"/>
    <row r="295" spans="1:11" ht="65.55" hidden="1" customHeight="1">
      <c r="B295" s="1819" t="s">
        <v>2790</v>
      </c>
      <c r="C295" s="1818"/>
      <c r="D295" s="1818"/>
      <c r="E295" s="1818"/>
      <c r="F295" s="1818"/>
      <c r="G295" s="1818"/>
      <c r="H295" s="1818"/>
      <c r="I295" s="1818"/>
      <c r="J295" s="1818"/>
      <c r="K295" s="1818"/>
    </row>
    <row r="296" spans="1:11" ht="3.75" hidden="1" customHeight="1"/>
    <row r="297" spans="1:11" ht="77.55" hidden="1" customHeight="1">
      <c r="B297" s="1818" t="s">
        <v>2791</v>
      </c>
      <c r="C297" s="1818"/>
      <c r="D297" s="1818"/>
      <c r="E297" s="1818"/>
      <c r="F297" s="1818"/>
      <c r="G297" s="1818"/>
      <c r="H297" s="1818"/>
      <c r="I297" s="1818"/>
      <c r="J297" s="1818"/>
      <c r="K297" s="1818"/>
    </row>
    <row r="298" spans="1:11" ht="4.5" hidden="1" customHeight="1"/>
    <row r="299" spans="1:11" ht="76.95" hidden="1" customHeight="1">
      <c r="B299" s="1819" t="s">
        <v>2792</v>
      </c>
      <c r="C299" s="1818"/>
      <c r="D299" s="1818"/>
      <c r="E299" s="1818"/>
      <c r="F299" s="1818"/>
      <c r="G299" s="1818"/>
      <c r="H299" s="1818"/>
      <c r="I299" s="1818"/>
      <c r="J299" s="1818"/>
      <c r="K299" s="1818"/>
    </row>
    <row r="300" spans="1:11" ht="3.75" hidden="1" customHeight="1">
      <c r="B300" s="1820"/>
      <c r="C300" s="1820"/>
      <c r="D300" s="1820"/>
      <c r="E300" s="1820"/>
      <c r="F300" s="1820"/>
      <c r="G300" s="1820"/>
      <c r="H300" s="1820"/>
      <c r="I300" s="1820"/>
      <c r="J300" s="1820"/>
    </row>
    <row r="301" spans="1:11" ht="53.25" hidden="1" customHeight="1">
      <c r="B301" s="1818" t="s">
        <v>2793</v>
      </c>
      <c r="C301" s="1818"/>
      <c r="D301" s="1818"/>
      <c r="E301" s="1818"/>
      <c r="F301" s="1818"/>
      <c r="G301" s="1818"/>
      <c r="H301" s="1818"/>
      <c r="I301" s="1818"/>
      <c r="J301" s="1818"/>
      <c r="K301" s="1818"/>
    </row>
    <row r="302" spans="1:11" ht="2.25" hidden="1" customHeight="1">
      <c r="B302" s="1820"/>
      <c r="C302" s="1820"/>
      <c r="D302" s="1820"/>
      <c r="E302" s="1820"/>
      <c r="F302" s="1820"/>
      <c r="G302" s="1820"/>
      <c r="H302" s="1820"/>
      <c r="I302" s="1820"/>
      <c r="J302" s="1820"/>
    </row>
    <row r="303" spans="1:11" hidden="1">
      <c r="B303" s="1821" t="s">
        <v>2794</v>
      </c>
      <c r="C303" s="1821"/>
      <c r="D303" s="1821"/>
      <c r="E303" s="1821"/>
      <c r="F303" s="1821"/>
      <c r="G303" s="1821"/>
      <c r="H303" s="1821"/>
      <c r="I303" s="1821"/>
      <c r="J303" s="1821"/>
    </row>
    <row r="304" spans="1:11">
      <c r="B304" s="1822" t="s">
        <v>3103</v>
      </c>
      <c r="C304" s="1822"/>
      <c r="D304" s="1822"/>
      <c r="E304" s="1822"/>
      <c r="F304" s="1822"/>
      <c r="G304" s="1822"/>
      <c r="H304" s="1822"/>
      <c r="I304" s="1822"/>
      <c r="J304" s="1822"/>
    </row>
  </sheetData>
  <mergeCells count="117">
    <mergeCell ref="B216:K216"/>
    <mergeCell ref="B218:K218"/>
    <mergeCell ref="B227:K227"/>
    <mergeCell ref="B52:K52"/>
    <mergeCell ref="B53:K53"/>
    <mergeCell ref="B50:K50"/>
    <mergeCell ref="B245:K245"/>
    <mergeCell ref="B145:K145"/>
    <mergeCell ref="B151:K151"/>
    <mergeCell ref="B197:K197"/>
    <mergeCell ref="B119:K119"/>
    <mergeCell ref="B121:K121"/>
    <mergeCell ref="B123:K123"/>
    <mergeCell ref="B127:K127"/>
    <mergeCell ref="B133:K133"/>
    <mergeCell ref="B55:K55"/>
    <mergeCell ref="B56:K56"/>
    <mergeCell ref="B103:K103"/>
    <mergeCell ref="B107:K107"/>
    <mergeCell ref="B98:K98"/>
    <mergeCell ref="B102:K102"/>
    <mergeCell ref="B105:K105"/>
    <mergeCell ref="B109:K109"/>
    <mergeCell ref="B111:K111"/>
    <mergeCell ref="A3:K3"/>
    <mergeCell ref="B8:K8"/>
    <mergeCell ref="B49:K49"/>
    <mergeCell ref="B16:K16"/>
    <mergeCell ref="B19:K19"/>
    <mergeCell ref="B20:K20"/>
    <mergeCell ref="B21:K21"/>
    <mergeCell ref="B22:K22"/>
    <mergeCell ref="B33:K33"/>
    <mergeCell ref="B35:K35"/>
    <mergeCell ref="B36:K36"/>
    <mergeCell ref="B10:K10"/>
    <mergeCell ref="B23:K23"/>
    <mergeCell ref="B40:K40"/>
    <mergeCell ref="B41:K41"/>
    <mergeCell ref="B43:K43"/>
    <mergeCell ref="B44:K44"/>
    <mergeCell ref="B46:K46"/>
    <mergeCell ref="B47:K47"/>
    <mergeCell ref="B27:K27"/>
    <mergeCell ref="B30:K30"/>
    <mergeCell ref="D39:F39"/>
    <mergeCell ref="B113:K113"/>
    <mergeCell ref="B115:K115"/>
    <mergeCell ref="B117:K117"/>
    <mergeCell ref="B63:K63"/>
    <mergeCell ref="B66:K66"/>
    <mergeCell ref="B70:K70"/>
    <mergeCell ref="B74:K74"/>
    <mergeCell ref="B80:K80"/>
    <mergeCell ref="B84:K84"/>
    <mergeCell ref="B88:K88"/>
    <mergeCell ref="B92:K92"/>
    <mergeCell ref="B94:K94"/>
    <mergeCell ref="B137:K137"/>
    <mergeCell ref="B139:K139"/>
    <mergeCell ref="B146:K146"/>
    <mergeCell ref="B161:K161"/>
    <mergeCell ref="B166:K166"/>
    <mergeCell ref="B174:K174"/>
    <mergeCell ref="B180:K180"/>
    <mergeCell ref="B182:K182"/>
    <mergeCell ref="B143:K143"/>
    <mergeCell ref="B144:K144"/>
    <mergeCell ref="B147:K147"/>
    <mergeCell ref="B148:K148"/>
    <mergeCell ref="B149:K149"/>
    <mergeCell ref="B150:K150"/>
    <mergeCell ref="B152:K152"/>
    <mergeCell ref="B153:K153"/>
    <mergeCell ref="B154:K154"/>
    <mergeCell ref="B155:K155"/>
    <mergeCell ref="B156:K156"/>
    <mergeCell ref="B158:K158"/>
    <mergeCell ref="B186:K186"/>
    <mergeCell ref="B191:K191"/>
    <mergeCell ref="B195:K195"/>
    <mergeCell ref="B200:K200"/>
    <mergeCell ref="B204:K204"/>
    <mergeCell ref="B206:K206"/>
    <mergeCell ref="B209:K209"/>
    <mergeCell ref="B212:K212"/>
    <mergeCell ref="B214:K214"/>
    <mergeCell ref="B202:K202"/>
    <mergeCell ref="B220:K220"/>
    <mergeCell ref="B223:K223"/>
    <mergeCell ref="B235:K235"/>
    <mergeCell ref="B237:K237"/>
    <mergeCell ref="B241:K241"/>
    <mergeCell ref="B243:K243"/>
    <mergeCell ref="B249:K249"/>
    <mergeCell ref="B253:K253"/>
    <mergeCell ref="B257:K257"/>
    <mergeCell ref="B231:K231"/>
    <mergeCell ref="B288:K288"/>
    <mergeCell ref="B295:K295"/>
    <mergeCell ref="B299:K299"/>
    <mergeCell ref="B300:J300"/>
    <mergeCell ref="B302:J302"/>
    <mergeCell ref="B303:J303"/>
    <mergeCell ref="B304:J304"/>
    <mergeCell ref="B261:K261"/>
    <mergeCell ref="B265:K265"/>
    <mergeCell ref="B268:K268"/>
    <mergeCell ref="B272:K272"/>
    <mergeCell ref="B274:K274"/>
    <mergeCell ref="B278:K278"/>
    <mergeCell ref="B280:K280"/>
    <mergeCell ref="B282:K282"/>
    <mergeCell ref="B284:K284"/>
    <mergeCell ref="B293:K293"/>
    <mergeCell ref="B301:K301"/>
    <mergeCell ref="B297:K297"/>
  </mergeCells>
  <pageMargins left="0.70866141732283472" right="0.70866141732283472" top="0.74803149606299213" bottom="0.74803149606299213" header="0.31496062992125984" footer="0.31496062992125984"/>
  <pageSetup paperSize="9" scale="70" firstPageNumber="15" fitToWidth="0" fitToHeight="0" orientation="portrait" useFirstPageNumber="1" r:id="rId1"/>
  <headerFooter>
    <oddFooter>&amp;C&amp;P</oddFooter>
  </headerFooter>
  <rowBreaks count="6" manualBreakCount="6">
    <brk id="33" max="10" man="1"/>
    <brk id="67" max="10" man="1"/>
    <brk id="128" max="10" man="1"/>
    <brk id="158" max="10" man="1"/>
    <brk id="197" max="10" man="1"/>
    <brk id="223" max="10"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88"/>
  <sheetViews>
    <sheetView showGridLines="0" view="pageBreakPreview" topLeftCell="A71" zoomScale="96" zoomScaleNormal="100" zoomScaleSheetLayoutView="124" workbookViewId="0">
      <selection activeCell="J66" sqref="J66"/>
    </sheetView>
  </sheetViews>
  <sheetFormatPr defaultColWidth="9.21875" defaultRowHeight="13.2"/>
  <cols>
    <col min="1" max="1" width="5.77734375" style="684" customWidth="1"/>
    <col min="2" max="2" width="39.88671875" style="699" customWidth="1"/>
    <col min="3" max="3" width="25.5546875" style="699" customWidth="1"/>
    <col min="4" max="4" width="13.5546875" style="699" hidden="1" customWidth="1"/>
    <col min="5" max="5" width="12" style="699" customWidth="1"/>
    <col min="6" max="6" width="13" style="699" customWidth="1"/>
    <col min="7" max="7" width="12.77734375" style="699" customWidth="1"/>
    <col min="8" max="8" width="13.5546875" style="699" customWidth="1"/>
    <col min="9" max="9" width="13.77734375" style="699" customWidth="1"/>
    <col min="10" max="10" width="13.77734375" style="700" bestFit="1" customWidth="1"/>
    <col min="11" max="11" width="1.44140625" style="699" customWidth="1"/>
    <col min="12" max="12" width="9.21875" style="699"/>
    <col min="13" max="13" width="12.33203125" style="699" bestFit="1" customWidth="1"/>
    <col min="14" max="14" width="9.21875" style="699"/>
    <col min="15" max="15" width="11.77734375" style="699" bestFit="1" customWidth="1"/>
    <col min="16" max="16" width="9.77734375" style="699" bestFit="1" customWidth="1"/>
    <col min="17" max="16384" width="9.21875" style="699"/>
  </cols>
  <sheetData>
    <row r="1" spans="1:10">
      <c r="A1" s="689" t="str">
        <f>+Master!B2</f>
        <v>Syntel Solutions (India) Private Limited</v>
      </c>
      <c r="B1" s="681"/>
    </row>
    <row r="2" spans="1:10">
      <c r="A2" s="754"/>
      <c r="E2" s="702"/>
    </row>
    <row r="3" spans="1:10">
      <c r="A3" s="1033" t="s">
        <v>2919</v>
      </c>
    </row>
    <row r="4" spans="1:10">
      <c r="A4" s="754" t="str">
        <f>'Statement of Equity '!A4</f>
        <v>(Amounts are stated in ₹ Lakhs unless otherwise stated)</v>
      </c>
      <c r="B4" s="754"/>
      <c r="C4" s="754"/>
      <c r="D4" s="754"/>
      <c r="E4" s="754"/>
    </row>
    <row r="5" spans="1:10" ht="11.1" customHeight="1">
      <c r="A5" s="737"/>
      <c r="B5" s="754"/>
      <c r="C5" s="754"/>
      <c r="D5" s="754"/>
    </row>
    <row r="6" spans="1:10" ht="9.6" customHeight="1">
      <c r="B6" s="689"/>
      <c r="C6" s="681"/>
      <c r="H6" s="710"/>
      <c r="I6" s="710"/>
    </row>
    <row r="7" spans="1:10" ht="13.5" customHeight="1">
      <c r="A7" s="684">
        <v>3</v>
      </c>
      <c r="B7" s="689" t="s">
        <v>1831</v>
      </c>
      <c r="C7" s="681"/>
      <c r="H7" s="710"/>
      <c r="I7" s="710"/>
    </row>
    <row r="8" spans="1:10" ht="5.0999999999999996" customHeight="1">
      <c r="B8" s="887"/>
      <c r="C8" s="711"/>
      <c r="D8" s="711"/>
      <c r="E8" s="711"/>
      <c r="F8" s="711"/>
    </row>
    <row r="9" spans="1:10">
      <c r="B9" s="1833"/>
      <c r="C9" s="1833"/>
      <c r="D9" s="681"/>
      <c r="E9" s="681"/>
      <c r="F9" s="1744" t="s">
        <v>171</v>
      </c>
      <c r="G9" s="1832"/>
      <c r="H9" s="1832"/>
      <c r="I9" s="1030" t="s">
        <v>172</v>
      </c>
      <c r="J9" s="1032"/>
    </row>
    <row r="10" spans="1:10" ht="39.6" customHeight="1">
      <c r="B10" s="1833"/>
      <c r="C10" s="1833"/>
      <c r="D10" s="858"/>
      <c r="E10" s="858"/>
      <c r="F10" s="1031" t="s">
        <v>148</v>
      </c>
      <c r="G10" s="1031" t="s">
        <v>149</v>
      </c>
      <c r="H10" s="1031" t="s">
        <v>173</v>
      </c>
      <c r="I10" s="1031" t="s">
        <v>147</v>
      </c>
      <c r="J10" s="1031" t="s">
        <v>173</v>
      </c>
    </row>
    <row r="11" spans="1:10" ht="5.0999999999999996" customHeight="1">
      <c r="B11" s="710"/>
      <c r="C11" s="710"/>
      <c r="D11" s="858"/>
      <c r="E11" s="858"/>
      <c r="F11" s="858"/>
      <c r="G11" s="858"/>
      <c r="H11" s="858"/>
      <c r="I11" s="858"/>
    </row>
    <row r="12" spans="1:10" ht="15" customHeight="1">
      <c r="B12" s="681" t="s">
        <v>1930</v>
      </c>
    </row>
    <row r="13" spans="1:10" ht="8.25" customHeight="1">
      <c r="B13" s="681"/>
    </row>
    <row r="14" spans="1:10" ht="15" customHeight="1">
      <c r="B14" s="681" t="s">
        <v>2996</v>
      </c>
      <c r="D14" s="764"/>
      <c r="E14" s="764"/>
      <c r="F14" s="764">
        <f>+'Sch - FA'!D6</f>
        <v>13485280</v>
      </c>
      <c r="G14" s="764">
        <f>+'Sch - FA'!F6</f>
        <v>72924</v>
      </c>
      <c r="H14" s="763">
        <f>SUM(D14:G14)</f>
        <v>13558204</v>
      </c>
      <c r="I14" s="764">
        <f>+'Sch - FA'!J6</f>
        <v>6846731</v>
      </c>
      <c r="J14" s="1156">
        <f>SUM(I14)</f>
        <v>6846731</v>
      </c>
    </row>
    <row r="15" spans="1:10" ht="15" customHeight="1">
      <c r="B15" s="699" t="s">
        <v>174</v>
      </c>
      <c r="D15" s="764"/>
      <c r="E15" s="764"/>
      <c r="F15" s="764">
        <f>+'Sch - FA'!D7</f>
        <v>0</v>
      </c>
      <c r="G15" s="764">
        <f>+'Sch - FA'!F7</f>
        <v>0</v>
      </c>
      <c r="H15" s="763">
        <f>SUM(D15:G15)</f>
        <v>0</v>
      </c>
      <c r="I15" s="764">
        <f>+'Sch - FA'!J7</f>
        <v>0</v>
      </c>
      <c r="J15" s="1156">
        <f t="shared" ref="J15:J24" si="0">SUM(I15)</f>
        <v>0</v>
      </c>
    </row>
    <row r="16" spans="1:10" ht="15" customHeight="1">
      <c r="B16" s="699" t="s">
        <v>175</v>
      </c>
      <c r="D16" s="764"/>
      <c r="E16" s="764"/>
      <c r="F16" s="764">
        <f>+'Sch - FA'!D8</f>
        <v>0</v>
      </c>
      <c r="G16" s="764">
        <f>+'Sch - FA'!F8</f>
        <v>0</v>
      </c>
      <c r="H16" s="763">
        <f>SUM(D16:G16)</f>
        <v>0</v>
      </c>
      <c r="I16" s="764">
        <f>+'Sch - FA'!J8</f>
        <v>0</v>
      </c>
      <c r="J16" s="1156">
        <f t="shared" si="0"/>
        <v>0</v>
      </c>
    </row>
    <row r="17" spans="2:10" ht="18" hidden="1" customHeight="1">
      <c r="B17" s="699" t="s">
        <v>176</v>
      </c>
      <c r="D17" s="764"/>
      <c r="E17" s="764"/>
      <c r="F17" s="764">
        <f>+'Sch - FA'!F9</f>
        <v>0</v>
      </c>
      <c r="G17" s="764">
        <f>+'Sch - FA'!G9</f>
        <v>0</v>
      </c>
      <c r="H17" s="763">
        <f>+'Sch - FA'!I9</f>
        <v>0</v>
      </c>
      <c r="I17" s="764">
        <f>+'Sch - FA'!J9</f>
        <v>0</v>
      </c>
      <c r="J17" s="1156">
        <f t="shared" si="0"/>
        <v>0</v>
      </c>
    </row>
    <row r="18" spans="2:10" ht="18" hidden="1" customHeight="1">
      <c r="B18" s="699" t="s">
        <v>177</v>
      </c>
      <c r="D18" s="764"/>
      <c r="E18" s="764"/>
      <c r="F18" s="764">
        <f>+'Sch - FA'!D10</f>
        <v>0</v>
      </c>
      <c r="G18" s="764">
        <f>+'Sch - FA'!F10</f>
        <v>0</v>
      </c>
      <c r="H18" s="763">
        <f>+'Sch - FA'!I10</f>
        <v>0</v>
      </c>
      <c r="I18" s="764">
        <f>+'Sch - FA'!J10</f>
        <v>0</v>
      </c>
      <c r="J18" s="1156">
        <f t="shared" si="0"/>
        <v>0</v>
      </c>
    </row>
    <row r="19" spans="2:10" ht="15" customHeight="1">
      <c r="B19" s="681" t="s">
        <v>2840</v>
      </c>
      <c r="D19" s="764"/>
      <c r="E19" s="764"/>
      <c r="F19" s="766">
        <f>SUM(F14:F18)</f>
        <v>13485280</v>
      </c>
      <c r="G19" s="766">
        <f>SUM(G14:G18)</f>
        <v>72924</v>
      </c>
      <c r="H19" s="765">
        <f>SUM(H14:H18)</f>
        <v>13558204</v>
      </c>
      <c r="I19" s="766">
        <f>SUM(I14:I18)</f>
        <v>6846731</v>
      </c>
      <c r="J19" s="765">
        <f t="shared" si="0"/>
        <v>6846731</v>
      </c>
    </row>
    <row r="20" spans="2:10" ht="15" customHeight="1">
      <c r="B20" s="699" t="s">
        <v>174</v>
      </c>
      <c r="D20" s="763"/>
      <c r="E20" s="763"/>
      <c r="F20" s="763">
        <f>+'Sch - FA'!D13</f>
        <v>0</v>
      </c>
      <c r="G20" s="763">
        <f>+'Sch - FA'!F13</f>
        <v>0</v>
      </c>
      <c r="H20" s="763">
        <f>SUM(D20:G20)</f>
        <v>0</v>
      </c>
      <c r="I20" s="763">
        <f>+'Sch - FA'!J13</f>
        <v>0</v>
      </c>
      <c r="J20" s="1156">
        <f t="shared" si="0"/>
        <v>0</v>
      </c>
    </row>
    <row r="21" spans="2:10" ht="15" customHeight="1">
      <c r="B21" s="699" t="s">
        <v>175</v>
      </c>
      <c r="D21" s="763"/>
      <c r="E21" s="763"/>
      <c r="F21" s="763">
        <f>+'Sch - FA'!D14</f>
        <v>0</v>
      </c>
      <c r="G21" s="763">
        <f>+'Sch - FA'!F14</f>
        <v>0</v>
      </c>
      <c r="H21" s="763">
        <f>SUM(D21:G21)</f>
        <v>0</v>
      </c>
      <c r="I21" s="763">
        <f>+'Sch - FA'!J14</f>
        <v>0</v>
      </c>
      <c r="J21" s="1156">
        <f t="shared" si="0"/>
        <v>0</v>
      </c>
    </row>
    <row r="22" spans="2:10" ht="18" hidden="1" customHeight="1">
      <c r="B22" s="699" t="s">
        <v>176</v>
      </c>
      <c r="D22" s="763"/>
      <c r="E22" s="763"/>
      <c r="F22" s="763">
        <f>+'Sch - FA'!F15</f>
        <v>0</v>
      </c>
      <c r="G22" s="763">
        <f>+'Sch - FA'!G15</f>
        <v>0</v>
      </c>
      <c r="H22" s="763">
        <f>SUM(D22:G22)</f>
        <v>0</v>
      </c>
      <c r="I22" s="763">
        <f>+'Sch - FA'!J15</f>
        <v>0</v>
      </c>
      <c r="J22" s="1156">
        <f t="shared" si="0"/>
        <v>0</v>
      </c>
    </row>
    <row r="23" spans="2:10" ht="15" hidden="1" customHeight="1">
      <c r="B23" s="699" t="s">
        <v>177</v>
      </c>
      <c r="D23" s="763"/>
      <c r="E23" s="763"/>
      <c r="F23" s="763">
        <f>+'Sch - FA'!F16</f>
        <v>0</v>
      </c>
      <c r="G23" s="763">
        <f>+'Sch - FA'!G16</f>
        <v>0</v>
      </c>
      <c r="H23" s="763">
        <f>SUM(D23:G23)</f>
        <v>0</v>
      </c>
      <c r="I23" s="763">
        <f>+'Sch - FA'!J16</f>
        <v>0</v>
      </c>
      <c r="J23" s="1156">
        <f t="shared" si="0"/>
        <v>0</v>
      </c>
    </row>
    <row r="24" spans="2:10" ht="15" customHeight="1">
      <c r="B24" s="681" t="s">
        <v>2997</v>
      </c>
      <c r="C24" s="681"/>
      <c r="D24" s="763"/>
      <c r="E24" s="763"/>
      <c r="F24" s="765">
        <f>SUM(F19:F23)</f>
        <v>13485280</v>
      </c>
      <c r="G24" s="765">
        <f>SUM(G19:G23)</f>
        <v>72924</v>
      </c>
      <c r="H24" s="765">
        <f>SUM(H19:H23)</f>
        <v>13558204</v>
      </c>
      <c r="I24" s="765">
        <f>SUM(I19:I23)</f>
        <v>6846731</v>
      </c>
      <c r="J24" s="765">
        <f t="shared" si="0"/>
        <v>6846731</v>
      </c>
    </row>
    <row r="25" spans="2:10" ht="10.050000000000001" customHeight="1">
      <c r="C25" s="710"/>
      <c r="D25" s="710"/>
      <c r="E25" s="710"/>
      <c r="F25" s="710" t="str">
        <f>IF(F24-'Sch - FA'!D18=0,"","False")</f>
        <v/>
      </c>
      <c r="G25" s="710" t="str">
        <f>IF(G24-'Sch - FA'!F18=0,"","False")</f>
        <v/>
      </c>
      <c r="H25" s="710" t="str">
        <f>IF(H24-'Sch - FA'!H18=0,"","False")</f>
        <v/>
      </c>
      <c r="I25" s="710" t="str">
        <f>IF(I24-'Sch - FA'!I18=0,"","False")</f>
        <v/>
      </c>
      <c r="J25" s="1133"/>
    </row>
    <row r="26" spans="2:10" ht="15" customHeight="1">
      <c r="B26" s="681" t="s">
        <v>1931</v>
      </c>
      <c r="J26" s="1133"/>
    </row>
    <row r="27" spans="2:10" ht="9.75" customHeight="1">
      <c r="B27" s="681"/>
      <c r="J27" s="1133"/>
    </row>
    <row r="28" spans="2:10" ht="15" customHeight="1">
      <c r="B28" s="681" t="str">
        <f>+B14</f>
        <v>Balance as at 01 April 2023</v>
      </c>
      <c r="D28" s="764"/>
      <c r="E28" s="764"/>
      <c r="F28" s="764">
        <f>+'Sch - FA'!D24</f>
        <v>13485281</v>
      </c>
      <c r="G28" s="764">
        <f>+'Sch - FA'!F24</f>
        <v>72924</v>
      </c>
      <c r="H28" s="764">
        <f>SUM(D28:G28)</f>
        <v>13558205</v>
      </c>
      <c r="I28" s="764">
        <f>+'Sch - FA'!J24</f>
        <v>6846731</v>
      </c>
      <c r="J28" s="1156">
        <f t="shared" ref="J28:J40" si="1">SUM(I28)</f>
        <v>6846731</v>
      </c>
    </row>
    <row r="29" spans="2:10" ht="15" customHeight="1">
      <c r="B29" s="1159" t="s">
        <v>178</v>
      </c>
      <c r="D29" s="764"/>
      <c r="E29" s="764"/>
      <c r="F29" s="764">
        <f>+'Sch - FA'!D25</f>
        <v>0</v>
      </c>
      <c r="G29" s="882">
        <f>+'Sch - FA'!F25</f>
        <v>0</v>
      </c>
      <c r="H29" s="882">
        <f>SUM(D29:G29)</f>
        <v>0</v>
      </c>
      <c r="I29" s="764">
        <f>+'Sch - FA'!J25</f>
        <v>0</v>
      </c>
      <c r="J29" s="1156">
        <f t="shared" si="1"/>
        <v>0</v>
      </c>
    </row>
    <row r="30" spans="2:10" ht="15" customHeight="1">
      <c r="B30" s="699" t="s">
        <v>175</v>
      </c>
      <c r="D30" s="764"/>
      <c r="E30" s="764"/>
      <c r="F30" s="764">
        <f>+'Sch - FA'!D26</f>
        <v>0</v>
      </c>
      <c r="G30" s="764">
        <f>+'Sch - FA'!F26</f>
        <v>0</v>
      </c>
      <c r="H30" s="764">
        <f>SUM(D30:G30)</f>
        <v>0</v>
      </c>
      <c r="I30" s="764">
        <f>+'Sch - FA'!J26</f>
        <v>0</v>
      </c>
      <c r="J30" s="1156">
        <f t="shared" si="1"/>
        <v>0</v>
      </c>
    </row>
    <row r="31" spans="2:10" ht="18" hidden="1" customHeight="1">
      <c r="B31" s="699" t="s">
        <v>176</v>
      </c>
      <c r="D31" s="764"/>
      <c r="E31" s="764"/>
      <c r="F31" s="764">
        <f>+'Sch - FA'!F27</f>
        <v>0</v>
      </c>
      <c r="G31" s="764">
        <f>+'Sch - FA'!G27</f>
        <v>0</v>
      </c>
      <c r="H31" s="764">
        <f>+'Sch - FA'!I27</f>
        <v>0</v>
      </c>
      <c r="I31" s="764">
        <f>+'Sch - FA'!J27</f>
        <v>0</v>
      </c>
      <c r="J31" s="1156">
        <f t="shared" si="1"/>
        <v>0</v>
      </c>
    </row>
    <row r="32" spans="2:10" ht="18" hidden="1" customHeight="1">
      <c r="B32" s="699" t="s">
        <v>177</v>
      </c>
      <c r="D32" s="764"/>
      <c r="E32" s="764"/>
      <c r="F32" s="764">
        <f>+'Sch - FA'!F28</f>
        <v>0</v>
      </c>
      <c r="G32" s="764">
        <f>+'Sch - FA'!G28</f>
        <v>0</v>
      </c>
      <c r="H32" s="764">
        <f>+'Sch - FA'!H28</f>
        <v>0</v>
      </c>
      <c r="I32" s="764">
        <f>+'Sch - FA'!I28</f>
        <v>0</v>
      </c>
      <c r="J32" s="1156">
        <f t="shared" si="1"/>
        <v>0</v>
      </c>
    </row>
    <row r="33" spans="1:11" ht="15" customHeight="1">
      <c r="B33" s="681" t="str">
        <f>B19</f>
        <v>Balance as at 31 March 2024</v>
      </c>
      <c r="C33" s="681"/>
      <c r="D33" s="763"/>
      <c r="E33" s="763"/>
      <c r="F33" s="765">
        <f>SUM(F26:F32)</f>
        <v>13485281</v>
      </c>
      <c r="G33" s="765">
        <f>SUM(G26:G32)</f>
        <v>72924</v>
      </c>
      <c r="H33" s="765">
        <f>SUM(H26:H32)</f>
        <v>13558205</v>
      </c>
      <c r="I33" s="765">
        <f>SUM(I26:I32)</f>
        <v>6846731</v>
      </c>
      <c r="J33" s="765">
        <f t="shared" si="1"/>
        <v>6846731</v>
      </c>
    </row>
    <row r="34" spans="1:11" ht="15" customHeight="1">
      <c r="B34" s="1159" t="s">
        <v>178</v>
      </c>
      <c r="D34" s="763"/>
      <c r="E34" s="763"/>
      <c r="F34" s="763">
        <f>+'Sch - FA'!D31</f>
        <v>0</v>
      </c>
      <c r="G34" s="882">
        <f>+'Sch - FA'!F31</f>
        <v>0</v>
      </c>
      <c r="H34" s="882">
        <f>SUM(D34:G34)</f>
        <v>0</v>
      </c>
      <c r="I34" s="763">
        <f>+'Sch - FA'!J31</f>
        <v>0</v>
      </c>
      <c r="J34" s="1156">
        <f t="shared" si="1"/>
        <v>0</v>
      </c>
    </row>
    <row r="35" spans="1:11" ht="15" customHeight="1">
      <c r="B35" s="699" t="s">
        <v>175</v>
      </c>
      <c r="D35" s="763"/>
      <c r="E35" s="763"/>
      <c r="F35" s="763">
        <f>+'Sch - FA'!D32</f>
        <v>0</v>
      </c>
      <c r="G35" s="763">
        <f>+'Sch - FA'!F32</f>
        <v>0</v>
      </c>
      <c r="H35" s="763">
        <f>SUM(D35:G35)</f>
        <v>0</v>
      </c>
      <c r="I35" s="763">
        <f>+'Sch - FA'!J32</f>
        <v>0</v>
      </c>
      <c r="J35" s="1156">
        <f t="shared" si="1"/>
        <v>0</v>
      </c>
    </row>
    <row r="36" spans="1:11" ht="18" hidden="1" customHeight="1">
      <c r="B36" s="699" t="s">
        <v>176</v>
      </c>
      <c r="D36" s="763"/>
      <c r="E36" s="763"/>
      <c r="F36" s="763">
        <f>+'Sch - FA'!F33</f>
        <v>0</v>
      </c>
      <c r="G36" s="763">
        <f>+'Sch - FA'!G33</f>
        <v>0</v>
      </c>
      <c r="H36" s="763">
        <f>SUM(D36:G36)</f>
        <v>0</v>
      </c>
      <c r="I36" s="763">
        <f>+'Sch - FA'!G74</f>
        <v>0</v>
      </c>
      <c r="J36" s="1156">
        <f t="shared" si="1"/>
        <v>0</v>
      </c>
    </row>
    <row r="37" spans="1:11" ht="15" hidden="1" customHeight="1">
      <c r="B37" s="699" t="s">
        <v>177</v>
      </c>
      <c r="D37" s="763"/>
      <c r="E37" s="763"/>
      <c r="F37" s="763">
        <f>+'Sch - FA'!F34</f>
        <v>0</v>
      </c>
      <c r="G37" s="763">
        <f>+'Sch - FA'!G34</f>
        <v>0</v>
      </c>
      <c r="H37" s="763">
        <f>SUM(D37:G37)</f>
        <v>0</v>
      </c>
      <c r="I37" s="763">
        <f>+'Sch - FA'!G75</f>
        <v>0</v>
      </c>
      <c r="J37" s="1156">
        <f t="shared" si="1"/>
        <v>0</v>
      </c>
    </row>
    <row r="38" spans="1:11" ht="15" customHeight="1">
      <c r="B38" s="681" t="str">
        <f>B24</f>
        <v>Balance as at 31 March 2025</v>
      </c>
      <c r="D38" s="763"/>
      <c r="E38" s="763"/>
      <c r="F38" s="765">
        <f>SUM(F33:F37)</f>
        <v>13485281</v>
      </c>
      <c r="G38" s="765">
        <f>SUM(G33:G37)</f>
        <v>72924</v>
      </c>
      <c r="H38" s="765">
        <f>SUM(H33:H37)</f>
        <v>13558205</v>
      </c>
      <c r="I38" s="765">
        <f>SUM(I33:I37)</f>
        <v>6846731</v>
      </c>
      <c r="J38" s="765">
        <f t="shared" si="1"/>
        <v>6846731</v>
      </c>
    </row>
    <row r="39" spans="1:11" ht="3" customHeight="1">
      <c r="D39" s="764"/>
      <c r="E39" s="764"/>
      <c r="F39" s="764"/>
      <c r="G39" s="764"/>
      <c r="H39" s="764"/>
      <c r="I39" s="764"/>
      <c r="J39" s="1156">
        <f t="shared" si="1"/>
        <v>0</v>
      </c>
    </row>
    <row r="40" spans="1:11" ht="15" customHeight="1">
      <c r="B40" s="681" t="s">
        <v>1932</v>
      </c>
      <c r="D40" s="764"/>
      <c r="E40" s="764"/>
      <c r="F40" s="764"/>
      <c r="G40" s="764"/>
      <c r="H40" s="764"/>
      <c r="I40" s="764"/>
      <c r="J40" s="1156">
        <f t="shared" si="1"/>
        <v>0</v>
      </c>
    </row>
    <row r="41" spans="1:11" ht="15" customHeight="1">
      <c r="B41" s="681" t="str">
        <f>B24</f>
        <v>Balance as at 31 March 2025</v>
      </c>
      <c r="C41" s="681"/>
      <c r="D41" s="763"/>
      <c r="E41" s="763"/>
      <c r="F41" s="765">
        <f>+F24-F38</f>
        <v>-1</v>
      </c>
      <c r="G41" s="765">
        <f>+G24-G38</f>
        <v>0</v>
      </c>
      <c r="H41" s="765">
        <f>+H24-H38</f>
        <v>-1</v>
      </c>
      <c r="I41" s="765">
        <f>+I24-I38</f>
        <v>0</v>
      </c>
      <c r="J41" s="765">
        <f>+J24-J38</f>
        <v>0</v>
      </c>
      <c r="K41" s="872"/>
    </row>
    <row r="42" spans="1:11" ht="15" customHeight="1">
      <c r="B42" s="1159" t="str">
        <f>+B19</f>
        <v>Balance as at 31 March 2024</v>
      </c>
      <c r="C42" s="1098"/>
      <c r="D42" s="1099"/>
      <c r="E42" s="1099"/>
      <c r="F42" s="1100">
        <f>+F19-F33</f>
        <v>-1</v>
      </c>
      <c r="G42" s="1270">
        <f>+G19-G33</f>
        <v>0</v>
      </c>
      <c r="H42" s="1100">
        <f>+H19-H33</f>
        <v>-1</v>
      </c>
      <c r="I42" s="1100">
        <f>+I19-I33</f>
        <v>0</v>
      </c>
      <c r="J42" s="765">
        <f>+J19-J33</f>
        <v>0</v>
      </c>
    </row>
    <row r="43" spans="1:11" ht="15" customHeight="1">
      <c r="B43" s="1159"/>
      <c r="C43" s="1098"/>
      <c r="D43" s="1099"/>
      <c r="E43" s="1099"/>
      <c r="F43" s="1100"/>
      <c r="G43" s="1270"/>
      <c r="H43" s="1100"/>
      <c r="I43" s="1100"/>
      <c r="J43" s="765"/>
    </row>
    <row r="44" spans="1:11" ht="64.5" hidden="1" customHeight="1">
      <c r="B44" s="1729" t="s">
        <v>2291</v>
      </c>
      <c r="C44" s="1729"/>
      <c r="D44" s="1729"/>
      <c r="E44" s="1729"/>
      <c r="F44" s="1729"/>
      <c r="G44" s="1729"/>
      <c r="H44" s="1729"/>
      <c r="I44" s="1729"/>
      <c r="J44" s="1729"/>
    </row>
    <row r="45" spans="1:11" hidden="1">
      <c r="B45" s="681"/>
    </row>
    <row r="46" spans="1:11" ht="6" customHeight="1">
      <c r="B46" s="681"/>
    </row>
    <row r="47" spans="1:11">
      <c r="A47" s="684" t="s">
        <v>2307</v>
      </c>
      <c r="B47" s="689" t="s">
        <v>2305</v>
      </c>
      <c r="C47" s="681"/>
      <c r="H47" s="710"/>
      <c r="I47" s="710"/>
    </row>
    <row r="48" spans="1:11">
      <c r="B48" s="689"/>
      <c r="C48" s="681"/>
      <c r="H48" s="710"/>
      <c r="I48" s="710"/>
    </row>
    <row r="49" spans="2:16" ht="14.55" customHeight="1">
      <c r="B49" s="1830"/>
      <c r="C49" s="1830"/>
      <c r="D49" s="680"/>
      <c r="E49" s="680"/>
      <c r="F49" s="1832"/>
      <c r="G49" s="1832"/>
      <c r="H49" s="1832"/>
      <c r="I49" s="1345"/>
      <c r="J49" s="1345" t="s">
        <v>2308</v>
      </c>
    </row>
    <row r="50" spans="2:16">
      <c r="B50" s="1831"/>
      <c r="C50" s="1831"/>
      <c r="D50" s="1055"/>
      <c r="E50" s="1055"/>
      <c r="F50" s="1055"/>
      <c r="G50" s="1055"/>
      <c r="H50" s="1055"/>
      <c r="I50" s="1342" t="s">
        <v>2309</v>
      </c>
      <c r="J50" s="1031" t="s">
        <v>173</v>
      </c>
    </row>
    <row r="51" spans="2:16">
      <c r="B51" s="710"/>
      <c r="C51" s="710"/>
      <c r="D51" s="858"/>
      <c r="E51" s="858"/>
      <c r="F51" s="858"/>
      <c r="G51" s="858"/>
      <c r="H51" s="858"/>
      <c r="I51" s="1343"/>
    </row>
    <row r="52" spans="2:16">
      <c r="B52" s="681" t="s">
        <v>2310</v>
      </c>
      <c r="I52" s="900"/>
    </row>
    <row r="53" spans="2:16">
      <c r="B53" s="681"/>
      <c r="I53" s="900"/>
    </row>
    <row r="54" spans="2:16">
      <c r="B54" s="681" t="s">
        <v>2996</v>
      </c>
      <c r="D54" s="764"/>
      <c r="E54" s="764"/>
      <c r="F54" s="764"/>
      <c r="G54" s="764"/>
      <c r="H54" s="763"/>
      <c r="I54" s="777"/>
      <c r="J54" s="1156">
        <f>ROUND((15509458+827641+40512+36105)/Master!$B$23,0)-100000</f>
        <v>16313716</v>
      </c>
      <c r="M54" s="1156">
        <f>(15509458+827641+40512)</f>
        <v>16377611</v>
      </c>
      <c r="N54" s="1590"/>
      <c r="O54" s="1590"/>
    </row>
    <row r="55" spans="2:16">
      <c r="B55" s="1159" t="s">
        <v>2613</v>
      </c>
      <c r="D55" s="764"/>
      <c r="E55" s="764"/>
      <c r="F55" s="764"/>
      <c r="G55" s="764"/>
      <c r="H55" s="763"/>
      <c r="I55" s="777"/>
      <c r="J55" s="1341">
        <f>ROUND(0/Master!$B$23,0)</f>
        <v>0</v>
      </c>
      <c r="M55" s="699">
        <v>36105</v>
      </c>
    </row>
    <row r="56" spans="2:16">
      <c r="B56" s="681" t="s">
        <v>2840</v>
      </c>
      <c r="D56" s="764"/>
      <c r="E56" s="764"/>
      <c r="F56" s="764"/>
      <c r="G56" s="764"/>
      <c r="H56" s="763"/>
      <c r="I56" s="777"/>
      <c r="J56" s="765">
        <f>+J54+J55</f>
        <v>16313716</v>
      </c>
      <c r="M56" s="872">
        <f>SUM(M54:M55)</f>
        <v>16413716</v>
      </c>
      <c r="O56" s="872"/>
    </row>
    <row r="57" spans="2:16">
      <c r="B57" s="1159" t="s">
        <v>2613</v>
      </c>
      <c r="D57" s="763"/>
      <c r="E57" s="763"/>
      <c r="F57" s="763"/>
      <c r="G57" s="763"/>
      <c r="H57" s="763"/>
      <c r="I57" s="777"/>
      <c r="J57" s="1156">
        <f>ROUND((139985+23383)/Master!$B$23,0)</f>
        <v>163368</v>
      </c>
      <c r="M57" s="699">
        <v>36105</v>
      </c>
    </row>
    <row r="58" spans="2:16">
      <c r="B58" s="681" t="s">
        <v>2997</v>
      </c>
      <c r="C58" s="681"/>
      <c r="D58" s="763"/>
      <c r="E58" s="763"/>
      <c r="F58" s="763"/>
      <c r="G58" s="763"/>
      <c r="H58" s="763"/>
      <c r="I58" s="775"/>
      <c r="J58" s="765">
        <f>+J56+J57</f>
        <v>16477084</v>
      </c>
      <c r="M58" s="872">
        <f>M56+M57</f>
        <v>16449821</v>
      </c>
      <c r="O58" s="872">
        <f>'BS Gr'!D601</f>
        <v>16477084.412697202</v>
      </c>
      <c r="P58" s="872">
        <f>J58-O58</f>
        <v>-0.41269720159471035</v>
      </c>
    </row>
    <row r="59" spans="2:16">
      <c r="C59" s="710"/>
      <c r="D59" s="710"/>
      <c r="E59" s="710"/>
      <c r="F59" s="710"/>
      <c r="G59" s="710"/>
      <c r="H59" s="710"/>
      <c r="I59" s="1344"/>
      <c r="J59" s="1133"/>
    </row>
    <row r="60" spans="2:16">
      <c r="B60" s="681" t="s">
        <v>1931</v>
      </c>
      <c r="I60" s="900"/>
      <c r="J60" s="1133"/>
    </row>
    <row r="61" spans="2:16">
      <c r="B61" s="681"/>
      <c r="I61" s="900"/>
      <c r="J61" s="1133"/>
    </row>
    <row r="62" spans="2:16">
      <c r="B62" s="681" t="str">
        <f>+B54</f>
        <v>Balance as at 01 April 2023</v>
      </c>
      <c r="D62" s="764"/>
      <c r="E62" s="764"/>
      <c r="F62" s="764"/>
      <c r="G62" s="764"/>
      <c r="H62" s="764"/>
      <c r="I62" s="777"/>
      <c r="J62" s="1156">
        <f>ROUND((527003+3173732+3173732)/Master!$B$23,0)</f>
        <v>6874467</v>
      </c>
    </row>
    <row r="63" spans="2:16">
      <c r="B63" s="1159" t="s">
        <v>178</v>
      </c>
      <c r="D63" s="764"/>
      <c r="E63" s="764"/>
      <c r="F63" s="764"/>
      <c r="G63" s="1151"/>
      <c r="H63" s="1151"/>
      <c r="I63" s="777"/>
      <c r="J63" s="1341">
        <f>ROUND('PL Gr'!G440/Master!$B$23,0)</f>
        <v>3180953</v>
      </c>
    </row>
    <row r="64" spans="2:16">
      <c r="B64" s="681" t="str">
        <f>B56</f>
        <v>Balance as at 31 March 2024</v>
      </c>
      <c r="C64" s="681"/>
      <c r="D64" s="763"/>
      <c r="E64" s="763"/>
      <c r="F64" s="763"/>
      <c r="G64" s="763"/>
      <c r="H64" s="763"/>
      <c r="I64" s="775"/>
      <c r="J64" s="765">
        <f>+J62+J63</f>
        <v>10055420</v>
      </c>
      <c r="L64" s="872"/>
      <c r="M64" s="872">
        <f>'BS Gr'!F602</f>
        <v>-10051810.022772595</v>
      </c>
      <c r="N64" s="872">
        <f>J64+M64</f>
        <v>3609.9772274047136</v>
      </c>
    </row>
    <row r="65" spans="1:16">
      <c r="B65" s="1159" t="s">
        <v>178</v>
      </c>
      <c r="D65" s="763"/>
      <c r="E65" s="763"/>
      <c r="F65" s="763"/>
      <c r="G65" s="882"/>
      <c r="H65" s="882"/>
      <c r="I65" s="777"/>
      <c r="J65" s="1341">
        <f>ROUND('PL Gr'!E440-3610/Master!$B$23,0)</f>
        <v>3203064</v>
      </c>
    </row>
    <row r="66" spans="1:16">
      <c r="B66" s="681" t="str">
        <f>B58</f>
        <v>Balance as at 31 March 2025</v>
      </c>
      <c r="D66" s="763"/>
      <c r="E66" s="763"/>
      <c r="F66" s="763"/>
      <c r="G66" s="763"/>
      <c r="H66" s="763"/>
      <c r="I66" s="775"/>
      <c r="J66" s="765">
        <f>+J64+J65</f>
        <v>13258484</v>
      </c>
      <c r="M66" s="699">
        <f>'BS Gr'!D602</f>
        <v>-13258483.754158892</v>
      </c>
      <c r="N66" s="872">
        <f>J66+M66</f>
        <v>0.24584110826253891</v>
      </c>
    </row>
    <row r="67" spans="1:16">
      <c r="D67" s="764"/>
      <c r="E67" s="764"/>
      <c r="F67" s="764"/>
      <c r="G67" s="764"/>
      <c r="H67" s="764"/>
      <c r="I67" s="777"/>
      <c r="J67" s="1156"/>
    </row>
    <row r="68" spans="1:16">
      <c r="B68" s="681" t="s">
        <v>1932</v>
      </c>
      <c r="D68" s="764"/>
      <c r="E68" s="764"/>
      <c r="F68" s="764"/>
      <c r="G68" s="764"/>
      <c r="H68" s="764"/>
      <c r="I68" s="777"/>
      <c r="J68" s="1156"/>
    </row>
    <row r="69" spans="1:16">
      <c r="B69" s="681" t="str">
        <f>CONCATENATE(B58," (*) ")</f>
        <v xml:space="preserve">Balance as at 31 March 2025 (*) </v>
      </c>
      <c r="C69" s="681"/>
      <c r="D69" s="763"/>
      <c r="E69" s="763"/>
      <c r="F69" s="763"/>
      <c r="G69" s="763"/>
      <c r="H69" s="763"/>
      <c r="I69" s="775" t="str">
        <f>IF(J69=BS!G14," ",FALSE)</f>
        <v xml:space="preserve"> </v>
      </c>
      <c r="J69" s="765">
        <f>+J58-J66+0.4</f>
        <v>3218600.4</v>
      </c>
      <c r="L69" s="699">
        <f>'BS Gr'!D604</f>
        <v>3218600.6585383099</v>
      </c>
      <c r="M69" s="872">
        <f>J69-L69</f>
        <v>-0.25853830995038152</v>
      </c>
      <c r="P69" s="872">
        <f>P58-M69</f>
        <v>-0.15415889164432883</v>
      </c>
    </row>
    <row r="70" spans="1:16">
      <c r="B70" s="1159" t="s">
        <v>2840</v>
      </c>
      <c r="C70" s="1098"/>
      <c r="D70" s="1099"/>
      <c r="E70" s="1099"/>
      <c r="F70" s="1099"/>
      <c r="G70" s="1300"/>
      <c r="H70" s="1300"/>
      <c r="I70" s="777" t="str">
        <f>IF(J70=BS!I14," ",FALSE)</f>
        <v xml:space="preserve"> </v>
      </c>
      <c r="J70" s="765">
        <f>+J56-J64</f>
        <v>6258296</v>
      </c>
      <c r="M70" s="872"/>
    </row>
    <row r="71" spans="1:16">
      <c r="B71" s="1735" t="s">
        <v>3003</v>
      </c>
      <c r="C71" s="1735"/>
      <c r="D71" s="1735"/>
      <c r="E71" s="1735"/>
      <c r="F71" s="1735"/>
      <c r="G71" s="1735"/>
      <c r="H71" s="1735"/>
      <c r="I71" s="1735"/>
      <c r="J71" s="1735"/>
    </row>
    <row r="72" spans="1:16">
      <c r="B72" s="1735" t="s">
        <v>2751</v>
      </c>
      <c r="C72" s="1735"/>
      <c r="D72" s="1735"/>
      <c r="E72" s="1735"/>
      <c r="F72" s="1735"/>
      <c r="G72" s="1735"/>
      <c r="H72" s="1735"/>
      <c r="I72" s="1735"/>
      <c r="J72" s="1735"/>
    </row>
    <row r="73" spans="1:16">
      <c r="B73" s="681"/>
    </row>
    <row r="74" spans="1:16" ht="15.75" customHeight="1">
      <c r="A74" s="684">
        <f>A7+1</f>
        <v>4</v>
      </c>
      <c r="B74" s="681" t="s">
        <v>1863</v>
      </c>
      <c r="I74" s="684" t="s">
        <v>490</v>
      </c>
      <c r="J74" s="684" t="s">
        <v>490</v>
      </c>
    </row>
    <row r="75" spans="1:16" ht="12.75" hidden="1" customHeight="1">
      <c r="B75" s="681" t="s">
        <v>180</v>
      </c>
      <c r="J75" s="882"/>
    </row>
    <row r="76" spans="1:16" ht="12.75" hidden="1" customHeight="1">
      <c r="B76" s="699" t="s">
        <v>181</v>
      </c>
      <c r="J76" s="882"/>
    </row>
    <row r="77" spans="1:16" ht="12.75" hidden="1" customHeight="1">
      <c r="B77" s="699" t="s">
        <v>182</v>
      </c>
      <c r="I77" s="873">
        <f>'Sch - BS'!G38+'Sch - BS'!G40</f>
        <v>0</v>
      </c>
      <c r="J77" s="764">
        <f>'Sch - BS'!I38+'Sch - BS'!I40</f>
        <v>0</v>
      </c>
    </row>
    <row r="78" spans="1:16" hidden="1">
      <c r="B78" s="699" t="s">
        <v>183</v>
      </c>
      <c r="I78" s="873">
        <f>'Sch - BS'!G42</f>
        <v>0</v>
      </c>
      <c r="J78" s="764">
        <f>'Sch - BS'!I42</f>
        <v>0</v>
      </c>
    </row>
    <row r="79" spans="1:16" hidden="1">
      <c r="I79" s="873">
        <f>SUM(I77:I78)</f>
        <v>0</v>
      </c>
      <c r="J79" s="764">
        <f>SUM(J77:J78)</f>
        <v>0</v>
      </c>
    </row>
    <row r="80" spans="1:16" hidden="1">
      <c r="B80" s="699" t="s">
        <v>184</v>
      </c>
      <c r="I80" s="873">
        <f>'Sch - BS'!G44</f>
        <v>0</v>
      </c>
      <c r="J80" s="764">
        <f>'Sch - BS'!I44</f>
        <v>0</v>
      </c>
    </row>
    <row r="81" spans="2:10" hidden="1">
      <c r="I81" s="873">
        <f>SUM(I79:I80)</f>
        <v>0</v>
      </c>
      <c r="J81" s="764">
        <f>SUM(J79:J80)</f>
        <v>0</v>
      </c>
    </row>
    <row r="82" spans="2:10" hidden="1">
      <c r="J82" s="882"/>
    </row>
    <row r="83" spans="2:10">
      <c r="B83" s="711"/>
      <c r="C83" s="711"/>
      <c r="D83" s="711"/>
      <c r="E83" s="711"/>
      <c r="F83" s="711"/>
      <c r="G83" s="711"/>
      <c r="H83" s="711"/>
      <c r="I83" s="758">
        <f>BS!$G$7</f>
        <v>45747</v>
      </c>
      <c r="J83" s="758">
        <f>BS!$I$7</f>
        <v>45382</v>
      </c>
    </row>
    <row r="84" spans="2:10">
      <c r="B84" s="681" t="s">
        <v>2753</v>
      </c>
      <c r="J84" s="882"/>
    </row>
    <row r="85" spans="2:10">
      <c r="B85" s="1159" t="s">
        <v>2335</v>
      </c>
      <c r="I85" s="873">
        <f>'Sch - BS'!G41</f>
        <v>0</v>
      </c>
      <c r="J85" s="873">
        <f>'Sch - BS'!I41</f>
        <v>2602786</v>
      </c>
    </row>
    <row r="86" spans="2:10">
      <c r="I86" s="681"/>
      <c r="J86" s="882"/>
    </row>
    <row r="87" spans="2:10">
      <c r="B87" s="1034" t="s">
        <v>173</v>
      </c>
      <c r="C87" s="1035"/>
      <c r="D87" s="1035"/>
      <c r="E87" s="1035"/>
      <c r="F87" s="1035"/>
      <c r="G87" s="1035"/>
      <c r="H87" s="1035"/>
      <c r="I87" s="1036">
        <f>I85</f>
        <v>0</v>
      </c>
      <c r="J87" s="1036">
        <f>J85</f>
        <v>2602786</v>
      </c>
    </row>
    <row r="88" spans="2:10">
      <c r="H88" s="699" t="str">
        <f>IF(I87=BS!G18," ",FALSE)</f>
        <v xml:space="preserve"> </v>
      </c>
      <c r="I88" s="699" t="str">
        <f>IF(J87=BS!I18," ",FALSE)</f>
        <v xml:space="preserve"> </v>
      </c>
    </row>
  </sheetData>
  <mergeCells count="7">
    <mergeCell ref="B72:J72"/>
    <mergeCell ref="B71:J71"/>
    <mergeCell ref="B49:C50"/>
    <mergeCell ref="F49:H49"/>
    <mergeCell ref="B9:C10"/>
    <mergeCell ref="F9:H9"/>
    <mergeCell ref="B44:J44"/>
  </mergeCells>
  <conditionalFormatting sqref="H88:I88">
    <cfRule type="cellIs" dxfId="48" priority="8" operator="equal">
      <formula>FALSE</formula>
    </cfRule>
  </conditionalFormatting>
  <conditionalFormatting sqref="I69:I70">
    <cfRule type="cellIs" dxfId="47" priority="1" operator="equal">
      <formula>FALSE</formula>
    </cfRule>
  </conditionalFormatting>
  <pageMargins left="0.74803149606299213" right="0.23622047244094491" top="0.74803149606299213" bottom="0.23622047244094491" header="0.31496062992125984" footer="0.31496062992125984"/>
  <pageSetup paperSize="9" scale="75" firstPageNumber="22" orientation="portrait" useFirstPageNumber="1" r:id="rId1"/>
  <headerFooter>
    <oddFooter>&amp;C&amp;P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15"/>
  <sheetViews>
    <sheetView showGridLines="0" view="pageBreakPreview" topLeftCell="A184" zoomScale="104" zoomScaleNormal="100" zoomScaleSheetLayoutView="104" workbookViewId="0">
      <selection activeCell="J183" sqref="J183"/>
    </sheetView>
  </sheetViews>
  <sheetFormatPr defaultColWidth="9.21875" defaultRowHeight="13.2"/>
  <cols>
    <col min="1" max="1" width="5.77734375" style="683" customWidth="1"/>
    <col min="2" max="2" width="13.44140625" style="699" customWidth="1"/>
    <col min="3" max="3" width="15.77734375" style="699" customWidth="1"/>
    <col min="4" max="4" width="11.77734375" style="699" customWidth="1"/>
    <col min="5" max="5" width="12" style="699" customWidth="1"/>
    <col min="6" max="6" width="5" style="699" customWidth="1"/>
    <col min="7" max="7" width="0.44140625" style="699" customWidth="1"/>
    <col min="8" max="8" width="12.109375" style="699" bestFit="1" customWidth="1"/>
    <col min="9" max="9" width="14.5546875" style="699" customWidth="1"/>
    <col min="10" max="10" width="15.21875" style="699" customWidth="1"/>
    <col min="11" max="11" width="15" style="699" customWidth="1"/>
    <col min="12" max="12" width="1.77734375" style="700" customWidth="1"/>
    <col min="13" max="13" width="14" style="699" hidden="1" customWidth="1"/>
    <col min="14" max="14" width="11.44140625" style="699" hidden="1" customWidth="1"/>
    <col min="15" max="16" width="11.21875" style="699" hidden="1" customWidth="1"/>
    <col min="17" max="24" width="0" style="699" hidden="1" customWidth="1"/>
    <col min="25" max="25" width="12" style="699" bestFit="1" customWidth="1"/>
    <col min="26" max="26" width="11.21875" style="699" bestFit="1" customWidth="1"/>
    <col min="27" max="16384" width="9.21875" style="699"/>
  </cols>
  <sheetData>
    <row r="1" spans="1:26">
      <c r="A1" s="689"/>
      <c r="B1" s="681"/>
    </row>
    <row r="2" spans="1:26">
      <c r="A2" s="754"/>
      <c r="E2" s="702"/>
    </row>
    <row r="3" spans="1:26">
      <c r="A3" s="683" t="str">
        <f>'3-4'!A3</f>
        <v>Summary of material accounting policies and other explanatory information</v>
      </c>
    </row>
    <row r="4" spans="1:26">
      <c r="A4" s="1040" t="str">
        <f>'3-4'!A4</f>
        <v>(Amounts are stated in ₹ Lakhs unless otherwise stated)</v>
      </c>
      <c r="B4" s="728"/>
      <c r="C4" s="728"/>
      <c r="D4" s="728"/>
      <c r="E4" s="728"/>
    </row>
    <row r="5" spans="1:26">
      <c r="A5" s="754"/>
      <c r="B5" s="686"/>
    </row>
    <row r="6" spans="1:26" ht="5.0999999999999996" customHeight="1">
      <c r="A6" s="684"/>
    </row>
    <row r="7" spans="1:26" ht="15" hidden="1" customHeight="1">
      <c r="A7" s="684">
        <f>+'3-4'!A74+1</f>
        <v>5</v>
      </c>
      <c r="B7" s="681" t="s">
        <v>20</v>
      </c>
      <c r="C7" s="701"/>
      <c r="D7" s="701"/>
      <c r="E7" s="701"/>
      <c r="F7" s="701"/>
      <c r="I7" s="735"/>
      <c r="J7" s="684" t="s">
        <v>490</v>
      </c>
      <c r="K7" s="684" t="s">
        <v>490</v>
      </c>
    </row>
    <row r="8" spans="1:26" hidden="1">
      <c r="A8" s="684"/>
      <c r="C8" s="701"/>
      <c r="D8" s="701"/>
      <c r="E8" s="701"/>
      <c r="F8" s="701"/>
      <c r="I8" s="681"/>
      <c r="J8" s="976">
        <f>BS!$G$7</f>
        <v>45747</v>
      </c>
      <c r="K8" s="976">
        <f>BS!$I$7</f>
        <v>45382</v>
      </c>
    </row>
    <row r="9" spans="1:26" ht="14.1" hidden="1" customHeight="1">
      <c r="A9" s="684"/>
      <c r="B9" s="978" t="s">
        <v>186</v>
      </c>
      <c r="C9" s="707"/>
      <c r="D9" s="876"/>
      <c r="E9" s="876"/>
      <c r="F9" s="876"/>
      <c r="G9" s="707"/>
      <c r="H9" s="707"/>
      <c r="I9" s="765"/>
      <c r="J9" s="766"/>
      <c r="K9" s="707"/>
      <c r="L9" s="881"/>
    </row>
    <row r="10" spans="1:26" ht="14.1" hidden="1" customHeight="1">
      <c r="A10" s="684"/>
      <c r="B10" s="1039" t="s">
        <v>1933</v>
      </c>
      <c r="D10" s="701"/>
      <c r="E10" s="701"/>
      <c r="F10" s="701"/>
      <c r="I10" s="867"/>
      <c r="J10" s="873">
        <f>ROUND((1024772-249228)/Master!$B$23,0)</f>
        <v>775544</v>
      </c>
      <c r="K10" s="873">
        <f>ROUND((1011109-255753)/Master!$B$23,0)-1</f>
        <v>755355</v>
      </c>
      <c r="M10" s="873">
        <f>+J10-K10</f>
        <v>20189</v>
      </c>
      <c r="Y10" s="873">
        <f>+J10-K10</f>
        <v>20189</v>
      </c>
    </row>
    <row r="11" spans="1:26" ht="14.1" hidden="1" customHeight="1">
      <c r="A11" s="684"/>
      <c r="B11" s="701" t="s">
        <v>187</v>
      </c>
      <c r="D11" s="701"/>
      <c r="E11" s="701"/>
      <c r="F11" s="701"/>
      <c r="I11" s="867">
        <f>ROUND(0/Master!$B$23,0)</f>
        <v>0</v>
      </c>
      <c r="J11" s="873">
        <f>ROUND(0/Master!$B$23,0)</f>
        <v>0</v>
      </c>
      <c r="K11" s="873">
        <f>ROUND(0/Master!$B$23,0)</f>
        <v>0</v>
      </c>
    </row>
    <row r="12" spans="1:26" ht="14.1" hidden="1" customHeight="1">
      <c r="A12" s="684"/>
      <c r="B12" s="701" t="s">
        <v>72</v>
      </c>
      <c r="D12" s="701"/>
      <c r="E12" s="701"/>
      <c r="F12" s="701"/>
      <c r="I12" s="867"/>
      <c r="J12" s="873">
        <f>-ROUND(('BS Gr'!I875+1)/Master!$B$23,0)</f>
        <v>-1</v>
      </c>
      <c r="K12" s="873">
        <f>-ROUND(('BS Gr'!M875+1)/Master!$B$23,0)</f>
        <v>-1</v>
      </c>
      <c r="M12" s="873">
        <f>+J12-K12</f>
        <v>0</v>
      </c>
      <c r="N12" s="873"/>
      <c r="O12" s="873" t="e">
        <f>+J12-#REF!</f>
        <v>#REF!</v>
      </c>
      <c r="P12" s="873" t="e">
        <f>+K12-#REF!</f>
        <v>#REF!</v>
      </c>
      <c r="Y12" s="873">
        <f>+J12-K12</f>
        <v>0</v>
      </c>
      <c r="Z12" s="873" t="e">
        <f>J12+#REF!</f>
        <v>#REF!</v>
      </c>
    </row>
    <row r="13" spans="1:26" ht="14.1" hidden="1" customHeight="1">
      <c r="A13" s="684"/>
      <c r="B13" s="1039" t="s">
        <v>1934</v>
      </c>
      <c r="D13" s="701"/>
      <c r="E13" s="701"/>
      <c r="F13" s="701"/>
      <c r="I13" s="867"/>
      <c r="J13" s="1145">
        <f>ROUND((9989)/Master!$B$23,0)</f>
        <v>9989</v>
      </c>
      <c r="K13" s="1145">
        <f>ROUND((12624)/Master!$B$23,0)</f>
        <v>12624</v>
      </c>
      <c r="M13" s="873">
        <f>+J13-K13</f>
        <v>-2635</v>
      </c>
      <c r="Y13" s="873">
        <f>+J13-K13</f>
        <v>-2635</v>
      </c>
    </row>
    <row r="14" spans="1:26" hidden="1">
      <c r="A14" s="684"/>
      <c r="B14" s="701" t="s">
        <v>188</v>
      </c>
      <c r="D14" s="878"/>
      <c r="E14" s="701"/>
      <c r="F14" s="701"/>
      <c r="I14" s="867">
        <f>ROUND(0/Master!$B$23,0)</f>
        <v>0</v>
      </c>
      <c r="J14" s="867">
        <f>ROUND(0/Master!$B$23,0)</f>
        <v>0</v>
      </c>
      <c r="K14" s="873">
        <f>ROUND(0/Master!$B$23,0)</f>
        <v>0</v>
      </c>
    </row>
    <row r="15" spans="1:26" ht="14.1" hidden="1" customHeight="1">
      <c r="A15" s="684"/>
      <c r="B15" s="701" t="s">
        <v>189</v>
      </c>
      <c r="D15" s="701"/>
      <c r="E15" s="701"/>
      <c r="F15" s="701"/>
      <c r="I15" s="867">
        <f>ROUND(0/Master!$B$23,0)</f>
        <v>0</v>
      </c>
      <c r="J15" s="867">
        <f>ROUND(0/Master!$B$23,0)</f>
        <v>0</v>
      </c>
      <c r="K15" s="873">
        <f>ROUND(0/Master!$B$23,0)</f>
        <v>0</v>
      </c>
    </row>
    <row r="16" spans="1:26" ht="14.1" hidden="1" customHeight="1">
      <c r="A16" s="684"/>
      <c r="B16" s="701" t="s">
        <v>190</v>
      </c>
      <c r="D16" s="701"/>
      <c r="E16" s="701"/>
      <c r="F16" s="701"/>
      <c r="I16" s="867">
        <f>ROUND(0/Master!$B$23,0)</f>
        <v>0</v>
      </c>
      <c r="J16" s="867">
        <f>ROUND(0/Master!$B$23,0)</f>
        <v>0</v>
      </c>
      <c r="K16" s="873">
        <f>ROUND(0/Master!$B$23,0)</f>
        <v>0</v>
      </c>
    </row>
    <row r="17" spans="1:25" ht="3" hidden="1" customHeight="1">
      <c r="A17" s="684"/>
      <c r="C17" s="701"/>
      <c r="D17" s="701"/>
      <c r="E17" s="701"/>
      <c r="F17" s="701"/>
      <c r="I17" s="763"/>
      <c r="J17" s="763"/>
      <c r="K17" s="764"/>
    </row>
    <row r="18" spans="1:25" s="681" customFormat="1" ht="14.1" hidden="1" customHeight="1">
      <c r="A18" s="684"/>
      <c r="B18" s="683" t="s">
        <v>191</v>
      </c>
      <c r="D18" s="683"/>
      <c r="E18" s="683"/>
      <c r="F18" s="683"/>
      <c r="I18" s="867"/>
      <c r="J18" s="763">
        <f>SUM(J10:J17)</f>
        <v>785532</v>
      </c>
      <c r="K18" s="763">
        <f>SUM(K10:K17)</f>
        <v>767978</v>
      </c>
      <c r="L18" s="879"/>
      <c r="Y18" s="863">
        <f>SUM(Y10:Y17)</f>
        <v>17554</v>
      </c>
    </row>
    <row r="19" spans="1:25" s="700" customFormat="1" ht="3" hidden="1" customHeight="1">
      <c r="A19" s="684"/>
      <c r="B19" s="699"/>
      <c r="C19" s="701"/>
      <c r="D19" s="701"/>
      <c r="E19" s="701"/>
      <c r="F19" s="701"/>
      <c r="G19" s="699"/>
      <c r="H19" s="699"/>
      <c r="I19" s="763"/>
      <c r="J19" s="763"/>
      <c r="K19" s="764"/>
    </row>
    <row r="20" spans="1:25" s="700" customFormat="1" ht="14.1" hidden="1" customHeight="1">
      <c r="A20" s="684"/>
      <c r="B20" s="683" t="s">
        <v>192</v>
      </c>
      <c r="C20" s="699"/>
      <c r="D20" s="701"/>
      <c r="E20" s="701"/>
      <c r="F20" s="701"/>
      <c r="G20" s="699"/>
      <c r="H20" s="699"/>
      <c r="I20" s="763"/>
      <c r="J20" s="763"/>
      <c r="K20" s="764"/>
    </row>
    <row r="21" spans="1:25" s="700" customFormat="1" ht="14.1" hidden="1" customHeight="1">
      <c r="A21" s="684"/>
      <c r="B21" s="701" t="s">
        <v>193</v>
      </c>
      <c r="C21" s="699"/>
      <c r="D21" s="701"/>
      <c r="E21" s="701"/>
      <c r="F21" s="701"/>
      <c r="G21" s="699"/>
      <c r="H21" s="699"/>
      <c r="I21" s="867"/>
      <c r="J21" s="873">
        <f>ROUND(0/Master!$B$23,0)</f>
        <v>0</v>
      </c>
      <c r="K21" s="873">
        <f>ROUND(1915167/Master!$B$23,0)</f>
        <v>1915167</v>
      </c>
      <c r="M21" s="873">
        <f>+J21-K21</f>
        <v>-1915167</v>
      </c>
      <c r="Y21" s="873">
        <f>+J21-K21</f>
        <v>-1915167</v>
      </c>
    </row>
    <row r="22" spans="1:25" s="700" customFormat="1" ht="14.1" hidden="1" customHeight="1">
      <c r="A22" s="684"/>
      <c r="B22" s="701" t="s">
        <v>194</v>
      </c>
      <c r="C22" s="699"/>
      <c r="D22" s="701"/>
      <c r="E22" s="701"/>
      <c r="F22" s="701"/>
      <c r="G22" s="699"/>
      <c r="H22" s="699"/>
      <c r="I22" s="867">
        <f>ROUND(0/Master!$B$23,0)</f>
        <v>0</v>
      </c>
      <c r="J22" s="867">
        <f>ROUND(0/Master!$B$23,0)</f>
        <v>0</v>
      </c>
      <c r="K22" s="873">
        <f>ROUND(0/Master!$B$23,0)</f>
        <v>0</v>
      </c>
    </row>
    <row r="23" spans="1:25" s="700" customFormat="1" hidden="1">
      <c r="A23" s="684"/>
      <c r="B23" s="820" t="s">
        <v>2037</v>
      </c>
      <c r="C23" s="1035"/>
      <c r="D23" s="1035"/>
      <c r="E23" s="1035"/>
      <c r="F23" s="1035"/>
      <c r="G23" s="1035"/>
      <c r="H23" s="820"/>
      <c r="I23" s="1036"/>
      <c r="J23" s="971">
        <f>+J18-J21</f>
        <v>785532</v>
      </c>
      <c r="K23" s="971">
        <f>+K18-K21</f>
        <v>-1147189</v>
      </c>
      <c r="M23" s="700">
        <f>+BS!G19</f>
        <v>3328863</v>
      </c>
      <c r="N23" s="700">
        <f>+J23-M23</f>
        <v>-2543331</v>
      </c>
      <c r="Y23" s="1042">
        <f>BS!G19</f>
        <v>3328863</v>
      </c>
    </row>
    <row r="24" spans="1:25" s="700" customFormat="1" ht="5.0999999999999996" hidden="1" customHeight="1">
      <c r="A24" s="684"/>
      <c r="B24" s="699"/>
      <c r="C24" s="699"/>
      <c r="D24" s="699"/>
      <c r="E24" s="699"/>
      <c r="F24" s="699"/>
      <c r="G24" s="699"/>
      <c r="H24" s="699"/>
      <c r="I24" s="764"/>
      <c r="J24" s="764"/>
      <c r="K24" s="882"/>
    </row>
    <row r="25" spans="1:25" s="700" customFormat="1" ht="10.050000000000001" hidden="1" customHeight="1">
      <c r="A25" s="684"/>
      <c r="B25" s="699"/>
      <c r="C25" s="699"/>
      <c r="D25" s="699"/>
      <c r="E25" s="699"/>
      <c r="F25" s="699"/>
      <c r="G25" s="699"/>
      <c r="H25" s="699"/>
      <c r="I25" s="699"/>
      <c r="J25" s="710" t="str">
        <f>IF(J23-BS!G19=0,"","False")</f>
        <v>False</v>
      </c>
      <c r="K25" s="710" t="str">
        <f>IF(K23-BS!I19=0,"","False")</f>
        <v>False</v>
      </c>
    </row>
    <row r="26" spans="1:25" s="700" customFormat="1" ht="15" hidden="1" customHeight="1">
      <c r="A26" s="684"/>
      <c r="B26" s="681"/>
      <c r="C26" s="699"/>
      <c r="D26" s="699"/>
      <c r="E26" s="699"/>
      <c r="F26" s="699"/>
      <c r="G26" s="699"/>
      <c r="H26" s="699"/>
      <c r="I26" s="882"/>
      <c r="J26" s="882"/>
      <c r="K26" s="882"/>
    </row>
    <row r="27" spans="1:25" s="700" customFormat="1" ht="15" hidden="1" customHeight="1">
      <c r="A27" s="684"/>
      <c r="B27" s="699"/>
      <c r="C27" s="699"/>
      <c r="D27" s="699"/>
      <c r="E27" s="699"/>
      <c r="F27" s="699"/>
      <c r="G27" s="699"/>
      <c r="H27" s="699"/>
      <c r="I27" s="882"/>
      <c r="J27" s="684" t="s">
        <v>490</v>
      </c>
      <c r="K27" s="684" t="s">
        <v>490</v>
      </c>
    </row>
    <row r="28" spans="1:25" s="700" customFormat="1" ht="15" hidden="1" customHeight="1">
      <c r="A28" s="684"/>
      <c r="B28" s="887" t="s">
        <v>195</v>
      </c>
      <c r="C28" s="711"/>
      <c r="D28" s="711"/>
      <c r="E28" s="711"/>
      <c r="F28" s="711"/>
      <c r="G28" s="711"/>
      <c r="H28" s="711"/>
      <c r="I28" s="883"/>
      <c r="J28" s="758">
        <f>BS!$G$7</f>
        <v>45747</v>
      </c>
      <c r="K28" s="758">
        <f>BS!$I$7</f>
        <v>45382</v>
      </c>
    </row>
    <row r="29" spans="1:25" s="700" customFormat="1" ht="15" hidden="1" customHeight="1">
      <c r="A29" s="684"/>
      <c r="B29" s="699" t="s">
        <v>196</v>
      </c>
      <c r="C29" s="699"/>
      <c r="D29" s="699"/>
      <c r="E29" s="699"/>
      <c r="F29" s="699"/>
      <c r="G29" s="699"/>
      <c r="H29" s="699"/>
      <c r="I29" s="882"/>
      <c r="J29" s="764">
        <f>K34</f>
        <v>16105369</v>
      </c>
      <c r="K29" s="764">
        <f>ROUND((19589982)/Master!$B$23,0)</f>
        <v>19589982</v>
      </c>
    </row>
    <row r="30" spans="1:25" s="700" customFormat="1" ht="15" hidden="1" customHeight="1">
      <c r="A30" s="684"/>
      <c r="B30" s="699" t="s">
        <v>197</v>
      </c>
      <c r="C30" s="699"/>
      <c r="D30" s="699"/>
      <c r="E30" s="699"/>
      <c r="F30" s="699"/>
      <c r="G30" s="699"/>
      <c r="H30" s="699"/>
      <c r="I30" s="882"/>
      <c r="J30" s="764">
        <f>+J10-K10-J21+K21</f>
        <v>1935356</v>
      </c>
      <c r="K30" s="764">
        <f>ROUND((276222-2636+175739)/Master!$B$23,0)</f>
        <v>449325</v>
      </c>
    </row>
    <row r="31" spans="1:25" s="700" customFormat="1" ht="15" hidden="1" customHeight="1">
      <c r="A31" s="684"/>
      <c r="B31" s="699" t="s">
        <v>198</v>
      </c>
      <c r="C31" s="699"/>
      <c r="D31" s="699"/>
      <c r="E31" s="699"/>
      <c r="F31" s="699"/>
      <c r="G31" s="699"/>
      <c r="H31" s="699"/>
      <c r="I31" s="882"/>
      <c r="J31" s="882">
        <f>+J12*0-K12*0-J32*0</f>
        <v>0</v>
      </c>
      <c r="K31" s="764">
        <f>ROUND((0)/Master!$B$23,0)-K32*0</f>
        <v>0</v>
      </c>
    </row>
    <row r="32" spans="1:25" s="700" customFormat="1" ht="15" hidden="1" customHeight="1">
      <c r="A32" s="684"/>
      <c r="B32" s="699" t="s">
        <v>199</v>
      </c>
      <c r="C32" s="699"/>
      <c r="D32" s="699"/>
      <c r="E32" s="699"/>
      <c r="F32" s="699"/>
      <c r="G32" s="699"/>
      <c r="H32" s="699"/>
      <c r="I32" s="882"/>
      <c r="J32" s="764">
        <f>+J12-K12</f>
        <v>0</v>
      </c>
      <c r="K32" s="764">
        <f>-ROUND(3942333/Master!$B$23,0)</f>
        <v>-3942333</v>
      </c>
    </row>
    <row r="33" spans="1:13" s="700" customFormat="1" ht="15" hidden="1" customHeight="1">
      <c r="A33" s="684"/>
      <c r="B33" s="1134" t="s">
        <v>2024</v>
      </c>
      <c r="C33" s="699"/>
      <c r="D33" s="699"/>
      <c r="E33" s="699"/>
      <c r="F33" s="699"/>
      <c r="G33" s="699"/>
      <c r="H33" s="699"/>
      <c r="I33" s="882"/>
      <c r="J33" s="1151">
        <f>+PL!F42</f>
        <v>13010</v>
      </c>
      <c r="K33" s="1226">
        <f>+PL!H42</f>
        <v>8395</v>
      </c>
    </row>
    <row r="34" spans="1:13" s="700" customFormat="1" ht="15" hidden="1" customHeight="1">
      <c r="A34" s="684"/>
      <c r="B34" s="820" t="s">
        <v>200</v>
      </c>
      <c r="C34" s="1035"/>
      <c r="D34" s="1035"/>
      <c r="E34" s="1035"/>
      <c r="F34" s="1035"/>
      <c r="G34" s="1035"/>
      <c r="H34" s="1035"/>
      <c r="I34" s="1032"/>
      <c r="J34" s="971">
        <f>SUM(J29:J33)</f>
        <v>18053735</v>
      </c>
      <c r="K34" s="971">
        <f>SUM(K29:K33)</f>
        <v>16105369</v>
      </c>
    </row>
    <row r="35" spans="1:13" s="700" customFormat="1" ht="15" hidden="1" customHeight="1">
      <c r="A35" s="684"/>
      <c r="B35" s="1134" t="s">
        <v>2023</v>
      </c>
      <c r="C35" s="699"/>
      <c r="D35" s="699"/>
      <c r="E35" s="699"/>
      <c r="F35" s="699"/>
      <c r="G35" s="699"/>
      <c r="H35" s="699"/>
      <c r="I35" s="882"/>
      <c r="J35" s="763"/>
      <c r="K35" s="763"/>
    </row>
    <row r="36" spans="1:13" s="700" customFormat="1" ht="5.0999999999999996" hidden="1" customHeight="1">
      <c r="A36" s="684"/>
      <c r="B36" s="699"/>
      <c r="C36" s="699"/>
      <c r="D36" s="699"/>
      <c r="E36" s="699"/>
      <c r="F36" s="699"/>
      <c r="G36" s="699"/>
      <c r="H36" s="699"/>
      <c r="I36" s="882"/>
      <c r="J36" s="882"/>
      <c r="K36" s="882"/>
    </row>
    <row r="37" spans="1:13" s="700" customFormat="1" ht="15" hidden="1" customHeight="1">
      <c r="A37" s="684"/>
      <c r="B37" s="699"/>
      <c r="C37" s="699"/>
      <c r="D37" s="699"/>
      <c r="E37" s="699"/>
      <c r="F37" s="699"/>
      <c r="G37" s="699"/>
      <c r="H37" s="699"/>
      <c r="I37" s="699"/>
      <c r="J37" s="882" t="b">
        <f>IF(-(J30+J31)=PL!F32," ",FALSE)</f>
        <v>0</v>
      </c>
      <c r="K37" s="882" t="b">
        <f>IF(-(K30+K31)=PL!H32," ",FALSE)</f>
        <v>0</v>
      </c>
    </row>
    <row r="38" spans="1:13" s="700" customFormat="1" ht="15" hidden="1" customHeight="1">
      <c r="A38" s="684"/>
      <c r="B38" s="699"/>
      <c r="C38" s="699"/>
      <c r="D38" s="699"/>
      <c r="E38" s="699"/>
      <c r="F38" s="699"/>
      <c r="G38" s="699"/>
      <c r="H38" s="699"/>
      <c r="I38" s="882" t="b">
        <f>IF(J34=J23," ",FALSE)</f>
        <v>0</v>
      </c>
      <c r="J38" s="882" t="b">
        <f>IF(K34=K23," ",FALSE)</f>
        <v>0</v>
      </c>
      <c r="K38" s="882"/>
    </row>
    <row r="39" spans="1:13" s="700" customFormat="1" hidden="1">
      <c r="A39" s="684"/>
      <c r="B39" s="699"/>
      <c r="C39" s="699"/>
      <c r="D39" s="699"/>
      <c r="E39" s="699"/>
      <c r="F39" s="699"/>
      <c r="G39" s="699"/>
      <c r="H39" s="699"/>
      <c r="I39" s="699"/>
      <c r="J39" s="699"/>
      <c r="K39" s="699"/>
    </row>
    <row r="40" spans="1:13" s="700" customFormat="1" ht="14.1" customHeight="1">
      <c r="A40" s="684">
        <f>+'3-4'!A74+1</f>
        <v>5</v>
      </c>
      <c r="B40" s="681" t="s">
        <v>201</v>
      </c>
      <c r="C40" s="710"/>
      <c r="D40" s="710"/>
      <c r="E40" s="710"/>
      <c r="F40" s="710"/>
      <c r="G40" s="710"/>
      <c r="H40" s="710"/>
      <c r="I40" s="735"/>
      <c r="J40" s="684" t="s">
        <v>490</v>
      </c>
      <c r="K40" s="684" t="s">
        <v>490</v>
      </c>
    </row>
    <row r="41" spans="1:13" s="700" customFormat="1" ht="14.1" customHeight="1">
      <c r="A41" s="684"/>
      <c r="B41" s="712"/>
      <c r="C41" s="712"/>
      <c r="D41" s="712"/>
      <c r="E41" s="712"/>
      <c r="F41" s="712"/>
      <c r="G41" s="712"/>
      <c r="H41" s="712"/>
      <c r="I41" s="758"/>
      <c r="J41" s="758">
        <f>BS!$G$7</f>
        <v>45747</v>
      </c>
      <c r="K41" s="758">
        <f>BS!$I$7</f>
        <v>45382</v>
      </c>
    </row>
    <row r="42" spans="1:13" s="700" customFormat="1" ht="3" customHeight="1">
      <c r="A42" s="684"/>
      <c r="B42" s="699"/>
      <c r="C42" s="699"/>
      <c r="D42" s="699"/>
      <c r="E42" s="699"/>
      <c r="F42" s="699"/>
      <c r="G42" s="699"/>
      <c r="H42" s="699"/>
      <c r="I42" s="681"/>
      <c r="J42" s="699"/>
      <c r="K42" s="882"/>
    </row>
    <row r="43" spans="1:13" s="700" customFormat="1" ht="15" hidden="1" customHeight="1">
      <c r="A43" s="684"/>
      <c r="B43" s="739" t="s">
        <v>202</v>
      </c>
      <c r="C43" s="699"/>
      <c r="D43" s="739"/>
      <c r="E43" s="699"/>
      <c r="F43" s="699"/>
      <c r="G43" s="699"/>
      <c r="H43" s="699"/>
      <c r="I43" s="867"/>
      <c r="J43" s="867">
        <v>0</v>
      </c>
      <c r="K43" s="882"/>
    </row>
    <row r="44" spans="1:13" ht="14.1" hidden="1" customHeight="1">
      <c r="A44" s="684"/>
      <c r="B44" s="1148" t="s">
        <v>675</v>
      </c>
      <c r="C44" s="849"/>
      <c r="D44" s="846"/>
      <c r="E44" s="849"/>
      <c r="F44" s="849"/>
      <c r="I44" s="884"/>
      <c r="J44" s="873">
        <f>+'Sch - BS'!G69</f>
        <v>0</v>
      </c>
      <c r="K44" s="873">
        <f>+'Sch - BS'!I69</f>
        <v>0</v>
      </c>
      <c r="M44" s="873" t="s">
        <v>204</v>
      </c>
    </row>
    <row r="45" spans="1:13" ht="14.1" customHeight="1">
      <c r="A45" s="684"/>
      <c r="B45" s="1165" t="s">
        <v>2819</v>
      </c>
      <c r="D45" s="739"/>
      <c r="I45" s="867"/>
      <c r="J45" s="874">
        <f>+'Sch - BS'!G66</f>
        <v>11703040</v>
      </c>
      <c r="K45" s="874">
        <f>+'Sch - BS'!I66</f>
        <v>11703040</v>
      </c>
      <c r="M45" s="699" t="s">
        <v>205</v>
      </c>
    </row>
    <row r="46" spans="1:13" s="700" customFormat="1" ht="14.1" hidden="1" customHeight="1">
      <c r="A46" s="684"/>
      <c r="B46" s="739" t="s">
        <v>206</v>
      </c>
      <c r="C46" s="699"/>
      <c r="D46" s="739"/>
      <c r="E46" s="699"/>
      <c r="F46" s="699"/>
      <c r="G46" s="699"/>
      <c r="H46" s="699"/>
      <c r="I46" s="867"/>
      <c r="J46" s="867">
        <f>+'Sch - BS'!G58</f>
        <v>0</v>
      </c>
      <c r="K46" s="873">
        <f>+'Sch - BS'!I58</f>
        <v>0</v>
      </c>
    </row>
    <row r="47" spans="1:13" ht="14.1" hidden="1" customHeight="1">
      <c r="A47" s="684"/>
      <c r="B47" s="739" t="s">
        <v>203</v>
      </c>
      <c r="D47" s="739"/>
      <c r="I47" s="867"/>
      <c r="J47" s="867">
        <f>+'Sch - BS'!G64</f>
        <v>0</v>
      </c>
      <c r="K47" s="873">
        <f>+'Sch - BS'!I64</f>
        <v>0</v>
      </c>
    </row>
    <row r="48" spans="1:13" ht="14.1" hidden="1" customHeight="1">
      <c r="A48" s="684"/>
      <c r="B48" s="739" t="s">
        <v>207</v>
      </c>
      <c r="D48" s="739"/>
      <c r="I48" s="867"/>
      <c r="J48" s="867">
        <f>'Sch - BS'!G71</f>
        <v>0</v>
      </c>
      <c r="K48" s="873">
        <f>'Sch - BS'!I71</f>
        <v>0</v>
      </c>
    </row>
    <row r="49" spans="1:11" s="700" customFormat="1">
      <c r="A49" s="684"/>
      <c r="B49" s="739"/>
      <c r="C49" s="699"/>
      <c r="D49" s="739"/>
      <c r="E49" s="699"/>
      <c r="F49" s="699"/>
      <c r="G49" s="699"/>
      <c r="H49" s="699"/>
      <c r="I49" s="867"/>
      <c r="J49" s="867">
        <f>SUM(J43:J48)</f>
        <v>11703040</v>
      </c>
      <c r="K49" s="763">
        <f>SUM(K44:K48)</f>
        <v>11703040</v>
      </c>
    </row>
    <row r="50" spans="1:11" s="700" customFormat="1">
      <c r="A50" s="684"/>
      <c r="B50" s="739" t="s">
        <v>208</v>
      </c>
      <c r="C50" s="699"/>
      <c r="D50" s="739"/>
      <c r="E50" s="699"/>
      <c r="F50" s="699"/>
      <c r="G50" s="699"/>
      <c r="H50" s="699"/>
      <c r="I50" s="867"/>
      <c r="J50" s="873">
        <f>'Sch - BS'!G73</f>
        <v>-399960</v>
      </c>
      <c r="K50" s="764">
        <f>'Sch - BS'!I73</f>
        <v>-399960</v>
      </c>
    </row>
    <row r="51" spans="1:11" ht="14.1" customHeight="1">
      <c r="A51" s="684"/>
      <c r="B51" s="1046" t="s">
        <v>173</v>
      </c>
      <c r="C51" s="1035"/>
      <c r="D51" s="1050"/>
      <c r="E51" s="1035"/>
      <c r="F51" s="1035"/>
      <c r="G51" s="1035"/>
      <c r="H51" s="1035"/>
      <c r="I51" s="1036"/>
      <c r="J51" s="1036">
        <f>J49+J50</f>
        <v>11303080</v>
      </c>
      <c r="K51" s="1036">
        <f>K49+K50</f>
        <v>11303080</v>
      </c>
    </row>
    <row r="52" spans="1:11" ht="5.0999999999999996" hidden="1" customHeight="1">
      <c r="A52" s="684"/>
      <c r="B52" s="748"/>
      <c r="D52" s="739"/>
      <c r="J52" s="867" t="str">
        <f>IF(J51=BS!G20," ",FALSE)</f>
        <v xml:space="preserve"> </v>
      </c>
      <c r="K52" s="867" t="str">
        <f>IF(K51=BS!I20," ",FALSE)</f>
        <v xml:space="preserve"> </v>
      </c>
    </row>
    <row r="53" spans="1:11" ht="14.1" hidden="1" customHeight="1">
      <c r="A53" s="684"/>
      <c r="B53" s="748"/>
      <c r="D53" s="739"/>
      <c r="I53" s="867"/>
      <c r="J53" s="867"/>
    </row>
    <row r="54" spans="1:11" ht="14.1" hidden="1" customHeight="1">
      <c r="A54" s="684"/>
      <c r="B54" s="748"/>
      <c r="D54" s="739"/>
      <c r="I54" s="867"/>
      <c r="J54" s="867"/>
    </row>
    <row r="55" spans="1:11" hidden="1">
      <c r="A55" s="684" t="e">
        <f>#REF!+0</f>
        <v>#REF!</v>
      </c>
      <c r="B55" s="681" t="s">
        <v>22</v>
      </c>
      <c r="D55" s="739"/>
      <c r="I55" s="867"/>
      <c r="J55" s="867"/>
    </row>
    <row r="56" spans="1:11" ht="14.1" hidden="1" customHeight="1">
      <c r="A56" s="684"/>
      <c r="B56" s="748"/>
      <c r="D56" s="739"/>
      <c r="I56" s="735">
        <f>BS!$E$7</f>
        <v>0</v>
      </c>
      <c r="J56" s="735">
        <f>BS!$G$7</f>
        <v>45747</v>
      </c>
      <c r="K56" s="735">
        <f>BS!$I$7</f>
        <v>45382</v>
      </c>
    </row>
    <row r="57" spans="1:11" ht="14.1" hidden="1" customHeight="1">
      <c r="A57" s="684"/>
      <c r="B57" s="748"/>
      <c r="D57" s="739"/>
      <c r="I57" s="735"/>
      <c r="J57" s="735"/>
      <c r="K57" s="735"/>
    </row>
    <row r="58" spans="1:11" ht="27" hidden="1" customHeight="1">
      <c r="A58" s="684"/>
      <c r="B58" s="1834" t="s">
        <v>209</v>
      </c>
      <c r="C58" s="1834"/>
      <c r="D58" s="1834"/>
      <c r="E58" s="1834"/>
      <c r="F58" s="1834"/>
      <c r="G58" s="1834"/>
      <c r="H58" s="1834"/>
      <c r="I58" s="867">
        <f>+'Sch - BS'!E80</f>
        <v>0</v>
      </c>
      <c r="J58" s="867">
        <f>+'Sch - BS'!G80</f>
        <v>-839640</v>
      </c>
      <c r="K58" s="873">
        <f>+'Sch - BS'!I80</f>
        <v>40668266</v>
      </c>
    </row>
    <row r="59" spans="1:11" ht="14.1" hidden="1" customHeight="1">
      <c r="A59" s="684"/>
      <c r="B59" s="748"/>
      <c r="D59" s="739"/>
      <c r="I59" s="867"/>
      <c r="J59" s="867"/>
    </row>
    <row r="60" spans="1:11" ht="14.1" customHeight="1">
      <c r="A60" s="684"/>
      <c r="B60" s="1840" t="s">
        <v>2820</v>
      </c>
      <c r="C60" s="1840"/>
      <c r="D60" s="1840"/>
      <c r="E60" s="1840"/>
      <c r="F60" s="1840"/>
      <c r="G60" s="1840"/>
      <c r="H60" s="1840"/>
      <c r="I60" s="1840"/>
      <c r="J60" s="1840"/>
      <c r="K60" s="1840"/>
    </row>
    <row r="61" spans="1:11" ht="5.0999999999999996" hidden="1" customHeight="1">
      <c r="A61" s="684"/>
    </row>
    <row r="62" spans="1:11" s="700" customFormat="1" hidden="1">
      <c r="A62" s="684">
        <f>$A$40+1</f>
        <v>6</v>
      </c>
      <c r="B62" s="681" t="s">
        <v>17</v>
      </c>
      <c r="C62" s="710"/>
      <c r="D62" s="710"/>
      <c r="E62" s="710"/>
      <c r="F62" s="710"/>
      <c r="G62" s="710"/>
      <c r="H62" s="710"/>
      <c r="I62" s="735"/>
      <c r="J62" s="684" t="s">
        <v>490</v>
      </c>
      <c r="K62" s="684" t="s">
        <v>490</v>
      </c>
    </row>
    <row r="63" spans="1:11" s="700" customFormat="1" hidden="1">
      <c r="A63" s="684"/>
      <c r="B63" s="712"/>
      <c r="C63" s="712"/>
      <c r="D63" s="712"/>
      <c r="E63" s="712"/>
      <c r="F63" s="712"/>
      <c r="G63" s="712"/>
      <c r="H63" s="712"/>
      <c r="I63" s="758"/>
      <c r="J63" s="758">
        <f>BS!$G$7</f>
        <v>45747</v>
      </c>
      <c r="K63" s="758">
        <f>BS!$I$7</f>
        <v>45382</v>
      </c>
    </row>
    <row r="64" spans="1:11" s="700" customFormat="1" hidden="1">
      <c r="A64" s="684"/>
      <c r="B64" s="683" t="s">
        <v>210</v>
      </c>
      <c r="C64" s="710"/>
      <c r="D64" s="710"/>
      <c r="E64" s="710"/>
      <c r="F64" s="710"/>
      <c r="G64" s="710"/>
      <c r="H64" s="710"/>
      <c r="I64" s="735"/>
      <c r="J64" s="735"/>
      <c r="K64" s="735"/>
    </row>
    <row r="65" spans="1:12" s="700" customFormat="1" ht="3" hidden="1" customHeight="1">
      <c r="A65" s="684"/>
      <c r="B65" s="699"/>
      <c r="C65" s="699"/>
      <c r="D65" s="699"/>
      <c r="E65" s="699"/>
      <c r="F65" s="699"/>
      <c r="G65" s="699"/>
      <c r="H65" s="699"/>
      <c r="I65" s="681"/>
      <c r="J65" s="699"/>
      <c r="K65" s="882"/>
    </row>
    <row r="66" spans="1:12" s="700" customFormat="1" ht="27" hidden="1" customHeight="1">
      <c r="A66" s="684"/>
      <c r="B66" s="1733" t="s">
        <v>1864</v>
      </c>
      <c r="C66" s="1733"/>
      <c r="D66" s="1733"/>
      <c r="E66" s="1733"/>
      <c r="F66" s="1733"/>
      <c r="G66" s="1733"/>
      <c r="H66" s="1733"/>
      <c r="I66" s="884"/>
      <c r="J66" s="873">
        <f>+'Sch - BS'!G87</f>
        <v>-10</v>
      </c>
      <c r="K66" s="764">
        <f>+'Sch - BS'!I87</f>
        <v>-10</v>
      </c>
    </row>
    <row r="67" spans="1:12" s="700" customFormat="1" ht="3" hidden="1" customHeight="1">
      <c r="A67" s="684"/>
      <c r="B67" s="699"/>
      <c r="C67" s="699"/>
      <c r="D67" s="699"/>
      <c r="E67" s="699"/>
      <c r="F67" s="699"/>
      <c r="G67" s="699"/>
      <c r="H67" s="699"/>
      <c r="I67" s="867"/>
      <c r="J67" s="867"/>
      <c r="K67" s="882"/>
    </row>
    <row r="68" spans="1:12" s="700" customFormat="1" hidden="1">
      <c r="A68" s="684"/>
      <c r="B68" s="1046" t="s">
        <v>173</v>
      </c>
      <c r="C68" s="820"/>
      <c r="D68" s="820"/>
      <c r="E68" s="820"/>
      <c r="F68" s="820"/>
      <c r="G68" s="1035"/>
      <c r="H68" s="1035"/>
      <c r="I68" s="1036"/>
      <c r="J68" s="1036">
        <f>SUM(J66:J66)</f>
        <v>-10</v>
      </c>
      <c r="K68" s="1036">
        <f>SUM(K66:K66)</f>
        <v>-10</v>
      </c>
      <c r="L68" s="882"/>
    </row>
    <row r="69" spans="1:12" hidden="1">
      <c r="A69" s="684"/>
      <c r="B69" s="695"/>
      <c r="C69" s="695"/>
      <c r="D69" s="695"/>
      <c r="E69" s="695"/>
      <c r="F69" s="695"/>
      <c r="G69" s="695"/>
      <c r="H69" s="695"/>
      <c r="I69" s="695"/>
      <c r="J69" s="695" t="str">
        <f>IF(J68=BS!G26," ",FALSE)</f>
        <v xml:space="preserve"> </v>
      </c>
      <c r="K69" s="695" t="str">
        <f>IF(K68=BS!I26," ",FALSE)</f>
        <v xml:space="preserve"> </v>
      </c>
    </row>
    <row r="70" spans="1:12" s="700" customFormat="1" hidden="1">
      <c r="A70" s="1037"/>
      <c r="B70" s="882"/>
      <c r="C70" s="688"/>
      <c r="D70" s="688"/>
      <c r="E70" s="688"/>
      <c r="F70" s="849"/>
      <c r="G70" s="849"/>
      <c r="H70" s="849"/>
      <c r="I70" s="849"/>
      <c r="J70" s="849"/>
      <c r="K70" s="849"/>
    </row>
    <row r="71" spans="1:12" s="700" customFormat="1" hidden="1">
      <c r="A71" s="1037"/>
      <c r="B71" s="688" t="s">
        <v>242</v>
      </c>
      <c r="C71" s="727"/>
      <c r="D71" s="727"/>
      <c r="E71" s="727"/>
      <c r="F71" s="727"/>
      <c r="G71" s="727"/>
      <c r="H71" s="727"/>
      <c r="I71" s="727"/>
      <c r="J71" s="849"/>
      <c r="K71" s="849"/>
    </row>
    <row r="72" spans="1:12" s="700" customFormat="1" hidden="1">
      <c r="A72" s="1037"/>
      <c r="B72" s="688"/>
      <c r="C72" s="727"/>
      <c r="D72" s="727"/>
      <c r="E72" s="727"/>
      <c r="F72" s="727"/>
      <c r="G72" s="727"/>
      <c r="H72" s="727"/>
      <c r="I72" s="727"/>
      <c r="J72" s="849"/>
      <c r="K72" s="849"/>
    </row>
    <row r="73" spans="1:12" s="700" customFormat="1" hidden="1">
      <c r="A73" s="1037"/>
      <c r="B73" s="727"/>
      <c r="C73" s="727"/>
      <c r="D73" s="727"/>
      <c r="E73" s="727"/>
      <c r="F73" s="727"/>
      <c r="G73" s="727"/>
      <c r="H73" s="1770" t="s">
        <v>960</v>
      </c>
      <c r="I73" s="1770"/>
      <c r="J73" s="1837" t="s">
        <v>490</v>
      </c>
      <c r="K73" s="1837"/>
    </row>
    <row r="74" spans="1:12" s="700" customFormat="1" hidden="1">
      <c r="A74" s="1037"/>
      <c r="B74" s="688" t="s">
        <v>243</v>
      </c>
      <c r="C74" s="882"/>
      <c r="D74" s="882"/>
      <c r="E74" s="1835" t="s">
        <v>2008</v>
      </c>
      <c r="F74" s="882"/>
      <c r="G74" s="882"/>
      <c r="H74" s="1748">
        <f>BS!G7</f>
        <v>45747</v>
      </c>
      <c r="I74" s="1748"/>
      <c r="J74" s="1748">
        <f>BS!I7</f>
        <v>45382</v>
      </c>
      <c r="K74" s="1748"/>
    </row>
    <row r="75" spans="1:12" s="700" customFormat="1" hidden="1">
      <c r="A75" s="1037"/>
      <c r="B75" s="895"/>
      <c r="C75" s="883"/>
      <c r="D75" s="883"/>
      <c r="E75" s="1836"/>
      <c r="F75" s="883"/>
      <c r="G75" s="883"/>
      <c r="H75" s="1045" t="s">
        <v>2221</v>
      </c>
      <c r="I75" s="1045" t="s">
        <v>244</v>
      </c>
      <c r="J75" s="1045" t="s">
        <v>2221</v>
      </c>
      <c r="K75" s="1045" t="s">
        <v>244</v>
      </c>
    </row>
    <row r="76" spans="1:12" s="700" customFormat="1" hidden="1">
      <c r="A76" s="1037"/>
      <c r="B76" s="688"/>
      <c r="C76" s="882"/>
      <c r="D76" s="882"/>
      <c r="E76" s="977"/>
      <c r="F76" s="882"/>
      <c r="G76" s="882"/>
      <c r="H76" s="925"/>
      <c r="I76" s="925"/>
      <c r="J76" s="727"/>
      <c r="K76" s="727"/>
    </row>
    <row r="77" spans="1:12" s="700" customFormat="1" hidden="1">
      <c r="A77" s="1037"/>
      <c r="B77" s="849"/>
      <c r="C77" s="882"/>
      <c r="D77" s="882"/>
      <c r="E77" s="839"/>
      <c r="F77" s="882"/>
      <c r="G77" s="882"/>
      <c r="H77" s="972">
        <v>0</v>
      </c>
      <c r="I77" s="972">
        <f>ROUND(0/Master!$B$23,0)</f>
        <v>0</v>
      </c>
      <c r="J77" s="972">
        <v>0</v>
      </c>
      <c r="K77" s="972">
        <f>ROUND(0/Master!$B$23,0)</f>
        <v>0</v>
      </c>
    </row>
    <row r="78" spans="1:12" s="700" customFormat="1" hidden="1">
      <c r="A78" s="1037"/>
      <c r="B78" s="849"/>
      <c r="C78" s="882"/>
      <c r="D78" s="882"/>
      <c r="E78" s="839"/>
      <c r="F78" s="882"/>
      <c r="G78" s="882"/>
      <c r="H78" s="972">
        <v>0</v>
      </c>
      <c r="I78" s="972">
        <f>ROUND(0/Master!$B$23,0)</f>
        <v>0</v>
      </c>
      <c r="J78" s="972">
        <v>0</v>
      </c>
      <c r="K78" s="972">
        <f>ROUND((0)/Master!$B$23,0)</f>
        <v>0</v>
      </c>
    </row>
    <row r="79" spans="1:12" s="700" customFormat="1" hidden="1">
      <c r="A79" s="1037"/>
      <c r="B79" s="849"/>
      <c r="C79" s="882"/>
      <c r="D79" s="882"/>
      <c r="E79" s="839"/>
      <c r="F79" s="882"/>
      <c r="G79" s="882"/>
      <c r="H79" s="973"/>
      <c r="I79" s="973"/>
      <c r="J79" s="727"/>
      <c r="K79" s="727"/>
    </row>
    <row r="80" spans="1:12" s="700" customFormat="1" hidden="1">
      <c r="A80" s="1037"/>
      <c r="B80" s="1046" t="s">
        <v>173</v>
      </c>
      <c r="C80" s="1032"/>
      <c r="D80" s="1032"/>
      <c r="E80" s="1047"/>
      <c r="F80" s="1032"/>
      <c r="G80" s="1032"/>
      <c r="H80" s="1048"/>
      <c r="I80" s="1048">
        <f>SUM(I77:I78)</f>
        <v>0</v>
      </c>
      <c r="J80" s="1049"/>
      <c r="K80" s="1048">
        <f>SUM(K77:K78)</f>
        <v>0</v>
      </c>
    </row>
    <row r="81" spans="1:11" s="700" customFormat="1" hidden="1">
      <c r="A81" s="1037"/>
      <c r="B81" s="849" t="s">
        <v>2222</v>
      </c>
      <c r="C81" s="882"/>
      <c r="D81" s="882"/>
      <c r="E81" s="839"/>
      <c r="F81" s="882"/>
      <c r="G81" s="882"/>
      <c r="H81" s="973"/>
      <c r="I81" s="973"/>
      <c r="J81" s="727"/>
      <c r="K81" s="973"/>
    </row>
    <row r="82" spans="1:11" ht="5.0999999999999996" hidden="1" customHeight="1">
      <c r="A82" s="684"/>
    </row>
    <row r="83" spans="1:11">
      <c r="A83" s="684"/>
      <c r="B83" s="710"/>
      <c r="C83" s="710"/>
      <c r="D83" s="710"/>
      <c r="E83" s="710"/>
      <c r="F83" s="710"/>
      <c r="G83" s="710"/>
      <c r="H83" s="710"/>
      <c r="I83" s="735"/>
      <c r="J83" s="684" t="s">
        <v>490</v>
      </c>
      <c r="K83" s="684" t="s">
        <v>490</v>
      </c>
    </row>
    <row r="84" spans="1:11">
      <c r="A84" s="684">
        <f>$A$40+1</f>
        <v>6</v>
      </c>
      <c r="B84" s="887" t="s">
        <v>25</v>
      </c>
      <c r="C84" s="712"/>
      <c r="D84" s="712"/>
      <c r="E84" s="712"/>
      <c r="F84" s="712"/>
      <c r="G84" s="712"/>
      <c r="H84" s="712"/>
      <c r="I84" s="758"/>
      <c r="J84" s="758">
        <f>BS!$G$7</f>
        <v>45747</v>
      </c>
      <c r="K84" s="758">
        <f>BS!$I$7</f>
        <v>45382</v>
      </c>
    </row>
    <row r="85" spans="1:11" ht="5.0999999999999996" customHeight="1">
      <c r="A85" s="684"/>
      <c r="I85" s="681"/>
    </row>
    <row r="86" spans="1:11" hidden="1">
      <c r="A86" s="684"/>
      <c r="B86" s="689" t="s">
        <v>211</v>
      </c>
      <c r="D86" s="689"/>
      <c r="I86" s="867"/>
      <c r="J86" s="873"/>
    </row>
    <row r="87" spans="1:11" hidden="1">
      <c r="A87" s="684"/>
      <c r="B87" s="724" t="s">
        <v>212</v>
      </c>
      <c r="D87" s="724"/>
      <c r="E87" s="724"/>
      <c r="F87" s="724"/>
      <c r="G87" s="724"/>
      <c r="H87" s="724"/>
      <c r="I87" s="867"/>
      <c r="J87" s="873"/>
    </row>
    <row r="88" spans="1:11" hidden="1">
      <c r="A88" s="684"/>
      <c r="B88" s="748" t="s">
        <v>213</v>
      </c>
      <c r="D88" s="739"/>
      <c r="I88" s="867"/>
      <c r="J88" s="867">
        <f>+'Sch - BS'!G100</f>
        <v>0</v>
      </c>
      <c r="K88" s="764">
        <f>+'Sch - BS'!I100</f>
        <v>0</v>
      </c>
    </row>
    <row r="89" spans="1:11" hidden="1">
      <c r="A89" s="684"/>
      <c r="B89" s="748" t="s">
        <v>214</v>
      </c>
      <c r="D89" s="739"/>
      <c r="I89" s="867"/>
      <c r="J89" s="867">
        <f>+'Sch - BS'!G101</f>
        <v>0</v>
      </c>
      <c r="K89" s="764">
        <f>+'Sch - BS'!I101</f>
        <v>0</v>
      </c>
    </row>
    <row r="90" spans="1:11" hidden="1">
      <c r="A90" s="684"/>
      <c r="B90" s="681"/>
      <c r="C90" s="739"/>
      <c r="D90" s="739"/>
      <c r="I90" s="867"/>
      <c r="J90" s="867">
        <f>SUM(J88:J89)</f>
        <v>0</v>
      </c>
      <c r="K90" s="764">
        <f>SUM(K88:K89)</f>
        <v>0</v>
      </c>
    </row>
    <row r="91" spans="1:11" hidden="1">
      <c r="A91" s="684"/>
      <c r="B91" s="739" t="s">
        <v>215</v>
      </c>
      <c r="D91" s="739"/>
      <c r="I91" s="867"/>
      <c r="J91" s="867">
        <f>+'Sch - BS'!G103</f>
        <v>0</v>
      </c>
      <c r="K91" s="764">
        <f>+'Sch - BS'!I103</f>
        <v>0</v>
      </c>
    </row>
    <row r="92" spans="1:11" hidden="1">
      <c r="A92" s="684"/>
      <c r="B92" s="681"/>
      <c r="C92" s="739"/>
      <c r="D92" s="739"/>
      <c r="I92" s="867"/>
      <c r="J92" s="867">
        <f>SUM(J90:J91)</f>
        <v>0</v>
      </c>
      <c r="K92" s="764">
        <f>SUM(K90:K91)</f>
        <v>0</v>
      </c>
    </row>
    <row r="93" spans="1:11" ht="3" customHeight="1">
      <c r="A93" s="684"/>
      <c r="B93" s="681"/>
      <c r="C93" s="739"/>
      <c r="D93" s="739"/>
      <c r="I93" s="867"/>
      <c r="J93" s="867"/>
      <c r="K93" s="764"/>
    </row>
    <row r="94" spans="1:11" hidden="1">
      <c r="A94" s="684"/>
      <c r="C94" s="739"/>
      <c r="D94" s="739"/>
      <c r="I94" s="867"/>
      <c r="J94" s="867"/>
      <c r="K94" s="764"/>
    </row>
    <row r="95" spans="1:11">
      <c r="A95" s="684"/>
      <c r="B95" s="689" t="s">
        <v>182</v>
      </c>
      <c r="D95" s="739"/>
      <c r="I95" s="867"/>
      <c r="J95" s="867">
        <f>+'Sch - BS'!G107</f>
        <v>8393535</v>
      </c>
      <c r="K95" s="763">
        <f>+'Sch - BS'!I107</f>
        <v>1953218</v>
      </c>
    </row>
    <row r="96" spans="1:11" hidden="1">
      <c r="A96" s="684"/>
      <c r="B96" s="701" t="s">
        <v>183</v>
      </c>
      <c r="C96" s="739"/>
      <c r="D96" s="739"/>
      <c r="I96" s="867"/>
      <c r="J96" s="867">
        <f>+'Sch - BS'!G109</f>
        <v>0</v>
      </c>
      <c r="K96" s="763">
        <f>+'Sch - BS'!H109</f>
        <v>0</v>
      </c>
    </row>
    <row r="97" spans="1:26" hidden="1">
      <c r="A97" s="684"/>
      <c r="B97" s="681"/>
      <c r="C97" s="739"/>
      <c r="D97" s="739"/>
      <c r="G97" s="873"/>
      <c r="H97" s="873"/>
      <c r="I97" s="867"/>
      <c r="J97" s="867">
        <f>SUM(J95:J96)</f>
        <v>8393535</v>
      </c>
      <c r="K97" s="763">
        <f>SUM(K95:K96)</f>
        <v>1953218</v>
      </c>
    </row>
    <row r="98" spans="1:26" hidden="1">
      <c r="A98" s="684"/>
      <c r="B98" s="739" t="s">
        <v>216</v>
      </c>
      <c r="D98" s="739"/>
      <c r="I98" s="867"/>
      <c r="J98" s="867">
        <f>+'Sch - BS'!G111</f>
        <v>0</v>
      </c>
      <c r="K98" s="763">
        <f>+'Sch - BS'!H111</f>
        <v>0</v>
      </c>
    </row>
    <row r="99" spans="1:26">
      <c r="A99" s="684"/>
      <c r="B99" s="1166" t="s">
        <v>2336</v>
      </c>
      <c r="C99" s="739"/>
      <c r="D99" s="739"/>
      <c r="I99" s="867"/>
      <c r="J99" s="1043">
        <f>SUM(J97:J98)</f>
        <v>8393535</v>
      </c>
      <c r="K99" s="1044">
        <f>SUM(K97:K98)</f>
        <v>1953218</v>
      </c>
    </row>
    <row r="100" spans="1:26" s="713" customFormat="1">
      <c r="A100" s="684"/>
      <c r="B100" s="1159" t="s">
        <v>2952</v>
      </c>
      <c r="C100" s="699"/>
      <c r="D100" s="699"/>
      <c r="E100" s="699"/>
      <c r="F100" s="699"/>
      <c r="G100" s="699"/>
      <c r="H100" s="699"/>
      <c r="I100" s="867"/>
      <c r="J100" s="1162">
        <f>'Sch - BS'!G108</f>
        <v>213964</v>
      </c>
      <c r="K100" s="1038">
        <f>'Sch - BS'!I108</f>
        <v>59269</v>
      </c>
      <c r="L100" s="891"/>
    </row>
    <row r="101" spans="1:26">
      <c r="A101" s="684"/>
      <c r="B101" s="1046" t="s">
        <v>173</v>
      </c>
      <c r="C101" s="820"/>
      <c r="D101" s="820"/>
      <c r="E101" s="820"/>
      <c r="F101" s="820"/>
      <c r="G101" s="1035"/>
      <c r="H101" s="1035"/>
      <c r="I101" s="971"/>
      <c r="J101" s="1036">
        <f>+J92+J99+J100+0.12</f>
        <v>8607499.1199999992</v>
      </c>
      <c r="K101" s="971">
        <f>+K92+K99+K100</f>
        <v>2012487</v>
      </c>
      <c r="Z101" s="1682"/>
    </row>
    <row r="102" spans="1:26">
      <c r="A102" s="684"/>
      <c r="C102" s="681"/>
      <c r="D102" s="681"/>
      <c r="E102" s="681"/>
      <c r="F102" s="681"/>
      <c r="I102" s="710" t="str">
        <f>IF(I101-BS!E27=0,"","False")</f>
        <v>False</v>
      </c>
      <c r="J102" s="710" t="str">
        <f>IF(J101-BS!G27=0,"","False")</f>
        <v/>
      </c>
      <c r="K102" s="710" t="str">
        <f>IF(K101-BS!I27=0,"","False")</f>
        <v/>
      </c>
    </row>
    <row r="103" spans="1:26">
      <c r="A103" s="684"/>
      <c r="B103" s="1392" t="s">
        <v>2564</v>
      </c>
      <c r="C103" s="681"/>
      <c r="D103" s="681"/>
      <c r="E103" s="681"/>
      <c r="F103" s="681"/>
    </row>
    <row r="104" spans="1:26">
      <c r="A104" s="684"/>
      <c r="C104" s="681"/>
      <c r="D104" s="681"/>
      <c r="E104" s="681"/>
      <c r="F104" s="681"/>
    </row>
    <row r="105" spans="1:26">
      <c r="A105" s="684"/>
      <c r="B105" s="1392" t="s">
        <v>3004</v>
      </c>
      <c r="C105" s="681"/>
      <c r="D105" s="681"/>
      <c r="E105" s="681"/>
      <c r="F105" s="681"/>
    </row>
    <row r="106" spans="1:26">
      <c r="A106" s="684"/>
      <c r="C106" s="681"/>
      <c r="D106" s="681"/>
      <c r="E106" s="681"/>
      <c r="F106" s="1838" t="s">
        <v>2565</v>
      </c>
      <c r="G106" s="1838"/>
      <c r="H106" s="1838"/>
      <c r="I106" s="1838"/>
      <c r="J106" s="1838"/>
      <c r="K106" s="1838"/>
    </row>
    <row r="107" spans="1:26" ht="26.4">
      <c r="A107" s="684"/>
      <c r="C107" s="681"/>
      <c r="D107" s="681"/>
      <c r="E107" s="1839" t="s">
        <v>2566</v>
      </c>
      <c r="F107" s="1839"/>
      <c r="G107" s="711"/>
      <c r="H107" s="1393" t="s">
        <v>508</v>
      </c>
      <c r="I107" s="1393" t="s">
        <v>2567</v>
      </c>
      <c r="J107" s="1394" t="s">
        <v>2568</v>
      </c>
      <c r="K107" s="1393" t="s">
        <v>173</v>
      </c>
    </row>
    <row r="108" spans="1:26">
      <c r="A108" s="684"/>
      <c r="B108" s="1395" t="s">
        <v>2569</v>
      </c>
      <c r="C108" s="681"/>
      <c r="D108" s="681"/>
      <c r="E108" s="1163">
        <f>J100*0</f>
        <v>0</v>
      </c>
      <c r="F108" s="681"/>
      <c r="H108" s="873">
        <f>J99-I108</f>
        <v>8057138</v>
      </c>
      <c r="I108" s="764">
        <v>336397</v>
      </c>
      <c r="J108" s="882">
        <v>0</v>
      </c>
      <c r="K108" s="763">
        <f>SUM(E108:J108)</f>
        <v>8393535</v>
      </c>
    </row>
    <row r="109" spans="1:26" ht="6" customHeight="1">
      <c r="A109" s="684"/>
      <c r="B109" s="1395"/>
      <c r="C109" s="681"/>
      <c r="D109" s="681"/>
      <c r="E109" s="681"/>
      <c r="F109" s="681"/>
    </row>
    <row r="110" spans="1:26">
      <c r="A110" s="684"/>
      <c r="C110" s="681"/>
      <c r="D110" s="681"/>
      <c r="E110" s="971">
        <f>SUM(E108:E109)</f>
        <v>0</v>
      </c>
      <c r="F110" s="971"/>
      <c r="G110" s="971">
        <f>SUM(G108:G109)</f>
        <v>0</v>
      </c>
      <c r="H110" s="971">
        <f>SUM(H108:H109)</f>
        <v>8057138</v>
      </c>
      <c r="I110" s="971">
        <f>SUM(I108:I109)</f>
        <v>336397</v>
      </c>
      <c r="J110" s="971">
        <f>SUM(J108:J109)</f>
        <v>0</v>
      </c>
      <c r="K110" s="971">
        <f>SUM(K108:K109)</f>
        <v>8393535</v>
      </c>
    </row>
    <row r="111" spans="1:26">
      <c r="A111" s="684"/>
      <c r="B111" s="1159" t="s">
        <v>2952</v>
      </c>
      <c r="C111" s="681"/>
      <c r="D111" s="681"/>
      <c r="E111" s="971"/>
      <c r="F111" s="971"/>
      <c r="G111" s="971"/>
      <c r="H111" s="971"/>
      <c r="I111" s="971"/>
      <c r="J111" s="971"/>
      <c r="K111" s="971">
        <f>J100</f>
        <v>213964</v>
      </c>
    </row>
    <row r="112" spans="1:26">
      <c r="A112" s="684"/>
      <c r="B112" s="681" t="s">
        <v>173</v>
      </c>
      <c r="C112" s="681"/>
      <c r="D112" s="681"/>
      <c r="E112" s="971"/>
      <c r="F112" s="971"/>
      <c r="G112" s="971"/>
      <c r="H112" s="971"/>
      <c r="I112" s="971"/>
      <c r="J112" s="971"/>
      <c r="K112" s="971">
        <f>K110+K111</f>
        <v>8607499</v>
      </c>
    </row>
    <row r="113" spans="1:11">
      <c r="A113" s="684"/>
      <c r="C113" s="681"/>
      <c r="D113" s="681"/>
      <c r="E113" s="681"/>
      <c r="F113" s="681"/>
    </row>
    <row r="114" spans="1:11">
      <c r="A114" s="684"/>
      <c r="B114" s="1392" t="s">
        <v>2829</v>
      </c>
      <c r="C114" s="681"/>
      <c r="D114" s="681"/>
      <c r="E114" s="681"/>
      <c r="F114" s="681"/>
    </row>
    <row r="115" spans="1:11">
      <c r="A115" s="684"/>
      <c r="C115" s="681"/>
      <c r="D115" s="681"/>
      <c r="E115" s="681"/>
      <c r="F115" s="1838" t="s">
        <v>2565</v>
      </c>
      <c r="G115" s="1838"/>
      <c r="H115" s="1838"/>
      <c r="I115" s="1838"/>
      <c r="J115" s="1838"/>
      <c r="K115" s="1838"/>
    </row>
    <row r="116" spans="1:11" ht="26.4">
      <c r="A116" s="684"/>
      <c r="C116" s="681"/>
      <c r="D116" s="681"/>
      <c r="E116" s="1839" t="s">
        <v>2566</v>
      </c>
      <c r="F116" s="1839"/>
      <c r="G116" s="711"/>
      <c r="H116" s="1393" t="s">
        <v>508</v>
      </c>
      <c r="I116" s="1393" t="s">
        <v>2567</v>
      </c>
      <c r="J116" s="1394" t="s">
        <v>2568</v>
      </c>
      <c r="K116" s="1393" t="s">
        <v>173</v>
      </c>
    </row>
    <row r="117" spans="1:11">
      <c r="A117" s="684"/>
      <c r="B117" s="1395" t="s">
        <v>2569</v>
      </c>
      <c r="C117" s="681"/>
      <c r="D117" s="681"/>
      <c r="E117" s="1163">
        <f>+K100*0</f>
        <v>0</v>
      </c>
      <c r="F117" s="681"/>
      <c r="H117" s="872">
        <f>K99-I117</f>
        <v>1553218</v>
      </c>
      <c r="I117" s="764">
        <v>400000</v>
      </c>
      <c r="J117" s="882">
        <v>0</v>
      </c>
      <c r="K117" s="763">
        <f>SUM(E117:J117)</f>
        <v>1953218</v>
      </c>
    </row>
    <row r="118" spans="1:11">
      <c r="A118" s="684"/>
      <c r="B118" s="1395"/>
      <c r="C118" s="681"/>
      <c r="D118" s="681"/>
      <c r="E118" s="681"/>
      <c r="F118" s="681"/>
    </row>
    <row r="119" spans="1:11">
      <c r="A119" s="684"/>
      <c r="C119" s="681"/>
      <c r="D119" s="681"/>
      <c r="E119" s="971">
        <f t="shared" ref="E119:K119" si="0">SUM(E117:E118)</f>
        <v>0</v>
      </c>
      <c r="F119" s="971"/>
      <c r="G119" s="971">
        <f t="shared" si="0"/>
        <v>0</v>
      </c>
      <c r="H119" s="971">
        <f t="shared" si="0"/>
        <v>1553218</v>
      </c>
      <c r="I119" s="971">
        <f t="shared" si="0"/>
        <v>400000</v>
      </c>
      <c r="J119" s="971">
        <f t="shared" si="0"/>
        <v>0</v>
      </c>
      <c r="K119" s="971">
        <f t="shared" si="0"/>
        <v>1953218</v>
      </c>
    </row>
    <row r="120" spans="1:11">
      <c r="A120" s="684"/>
      <c r="B120" s="1159" t="s">
        <v>2942</v>
      </c>
      <c r="C120" s="681"/>
      <c r="D120" s="681"/>
      <c r="E120" s="971"/>
      <c r="F120" s="971"/>
      <c r="G120" s="971"/>
      <c r="H120" s="971"/>
      <c r="I120" s="971"/>
      <c r="J120" s="971"/>
      <c r="K120" s="971">
        <f>K100</f>
        <v>59269</v>
      </c>
    </row>
    <row r="121" spans="1:11">
      <c r="A121" s="684"/>
      <c r="B121" s="681" t="s">
        <v>173</v>
      </c>
      <c r="C121" s="681"/>
      <c r="D121" s="681"/>
      <c r="E121" s="971"/>
      <c r="F121" s="971"/>
      <c r="G121" s="971"/>
      <c r="H121" s="971"/>
      <c r="I121" s="971"/>
      <c r="J121" s="971"/>
      <c r="K121" s="971">
        <f>SUM(K119:K120)</f>
        <v>2012487</v>
      </c>
    </row>
    <row r="122" spans="1:11">
      <c r="A122" s="684"/>
      <c r="C122" s="681"/>
      <c r="D122" s="681"/>
      <c r="E122" s="681"/>
      <c r="F122" s="681"/>
    </row>
    <row r="123" spans="1:11" ht="12" hidden="1" customHeight="1">
      <c r="A123" s="683" t="str">
        <f>'3-4'!A3</f>
        <v>Summary of material accounting policies and other explanatory information</v>
      </c>
    </row>
    <row r="124" spans="1:11" ht="12" hidden="1" customHeight="1">
      <c r="A124" s="1040" t="str">
        <f>'3-4'!A4</f>
        <v>(Amounts are stated in ₹ Lakhs unless otherwise stated)</v>
      </c>
    </row>
    <row r="125" spans="1:11" ht="12" hidden="1" customHeight="1">
      <c r="A125" s="684"/>
    </row>
    <row r="126" spans="1:11" hidden="1">
      <c r="A126" s="699"/>
      <c r="C126" s="681"/>
    </row>
    <row r="127" spans="1:11">
      <c r="A127" s="684">
        <f>A84+1</f>
        <v>7</v>
      </c>
      <c r="B127" s="681" t="s">
        <v>26</v>
      </c>
      <c r="C127" s="710"/>
      <c r="D127" s="710"/>
      <c r="E127" s="710"/>
      <c r="F127" s="710"/>
      <c r="G127" s="710"/>
      <c r="H127" s="710"/>
      <c r="I127" s="735"/>
      <c r="J127" s="684" t="s">
        <v>490</v>
      </c>
      <c r="K127" s="684" t="s">
        <v>490</v>
      </c>
    </row>
    <row r="128" spans="1:11">
      <c r="A128" s="684"/>
      <c r="B128" s="712"/>
      <c r="C128" s="712"/>
      <c r="D128" s="712"/>
      <c r="E128" s="712"/>
      <c r="F128" s="712"/>
      <c r="G128" s="712"/>
      <c r="H128" s="712"/>
      <c r="I128" s="758"/>
      <c r="J128" s="758">
        <f>BS!$G$7</f>
        <v>45747</v>
      </c>
      <c r="K128" s="758">
        <f>BS!$I$7</f>
        <v>45382</v>
      </c>
    </row>
    <row r="129" spans="1:12">
      <c r="A129" s="684"/>
      <c r="B129" s="1098" t="s">
        <v>1957</v>
      </c>
      <c r="D129" s="681"/>
      <c r="I129" s="763"/>
      <c r="J129" s="764"/>
    </row>
    <row r="130" spans="1:12">
      <c r="A130" s="684"/>
      <c r="B130" s="701" t="s">
        <v>1865</v>
      </c>
      <c r="I130" s="763"/>
      <c r="J130" s="764">
        <f>+'Sch - BS'!G118</f>
        <v>409518</v>
      </c>
      <c r="K130" s="873">
        <f>+'Sch - BS'!I118</f>
        <v>605184</v>
      </c>
    </row>
    <row r="131" spans="1:12">
      <c r="A131" s="684"/>
      <c r="B131" s="1051" t="s">
        <v>1937</v>
      </c>
      <c r="I131" s="763"/>
      <c r="J131" s="764">
        <f>+'Sch - BS'!G119</f>
        <v>243250000</v>
      </c>
      <c r="K131" s="873">
        <f>+'Sch - BS'!I119</f>
        <v>243200000</v>
      </c>
    </row>
    <row r="132" spans="1:12" hidden="1">
      <c r="A132" s="684"/>
      <c r="B132" s="699" t="s">
        <v>219</v>
      </c>
      <c r="I132" s="763"/>
      <c r="J132" s="764"/>
    </row>
    <row r="133" spans="1:12" hidden="1">
      <c r="A133" s="684"/>
      <c r="B133" s="699" t="s">
        <v>220</v>
      </c>
      <c r="I133" s="763"/>
      <c r="J133" s="764"/>
    </row>
    <row r="134" spans="1:12" hidden="1">
      <c r="A134" s="684"/>
      <c r="B134" s="1134" t="s">
        <v>2025</v>
      </c>
      <c r="I134" s="763"/>
      <c r="J134" s="764">
        <f>+'Sch - BS'!G117</f>
        <v>0</v>
      </c>
      <c r="K134" s="882">
        <f>+'Sch - BS'!I117</f>
        <v>0</v>
      </c>
    </row>
    <row r="135" spans="1:12" ht="3" customHeight="1">
      <c r="A135" s="684"/>
      <c r="I135" s="763"/>
      <c r="J135" s="764"/>
      <c r="K135" s="764"/>
    </row>
    <row r="136" spans="1:12" s="681" customFormat="1">
      <c r="A136" s="684"/>
      <c r="B136" s="1046" t="s">
        <v>173</v>
      </c>
      <c r="C136" s="820"/>
      <c r="D136" s="820"/>
      <c r="E136" s="820"/>
      <c r="F136" s="820"/>
      <c r="G136" s="820"/>
      <c r="H136" s="820"/>
      <c r="I136" s="971"/>
      <c r="J136" s="971">
        <f>SUM(J130:J134)</f>
        <v>243659518</v>
      </c>
      <c r="K136" s="971">
        <f>SUM(K130:K134)</f>
        <v>243805184</v>
      </c>
      <c r="L136" s="879"/>
    </row>
    <row r="137" spans="1:12" s="681" customFormat="1" hidden="1">
      <c r="A137" s="684"/>
      <c r="B137" s="1149" t="s">
        <v>2023</v>
      </c>
      <c r="I137" s="763"/>
      <c r="J137" s="763"/>
      <c r="K137" s="763"/>
      <c r="L137" s="879"/>
    </row>
    <row r="138" spans="1:12" ht="29.55" customHeight="1">
      <c r="A138" s="684"/>
      <c r="B138" s="1735" t="s">
        <v>3005</v>
      </c>
      <c r="C138" s="1735"/>
      <c r="D138" s="1735"/>
      <c r="E138" s="1735"/>
      <c r="F138" s="1735"/>
      <c r="G138" s="1735"/>
      <c r="H138" s="1735"/>
      <c r="I138" s="1735"/>
      <c r="J138" s="1735"/>
      <c r="K138" s="1735"/>
    </row>
    <row r="139" spans="1:12" ht="15" hidden="1" customHeight="1">
      <c r="A139" s="684">
        <f>A127+1</f>
        <v>8</v>
      </c>
      <c r="B139" s="681" t="s">
        <v>27</v>
      </c>
      <c r="I139" s="763"/>
      <c r="J139" s="764"/>
    </row>
    <row r="140" spans="1:12" ht="15" hidden="1" customHeight="1">
      <c r="A140" s="684"/>
      <c r="B140" s="681"/>
      <c r="I140" s="763"/>
      <c r="J140" s="764"/>
    </row>
    <row r="141" spans="1:12" ht="15" hidden="1" customHeight="1">
      <c r="A141" s="684"/>
      <c r="B141" s="710"/>
      <c r="C141" s="710"/>
      <c r="D141" s="710"/>
      <c r="E141" s="710"/>
      <c r="F141" s="710"/>
      <c r="G141" s="710"/>
      <c r="H141" s="710"/>
      <c r="I141" s="735"/>
      <c r="J141" s="735">
        <f>BS!$G$7</f>
        <v>45747</v>
      </c>
      <c r="K141" s="735">
        <f>BS!$I$7</f>
        <v>45382</v>
      </c>
    </row>
    <row r="142" spans="1:12" ht="4.5" hidden="1" customHeight="1">
      <c r="A142" s="684"/>
      <c r="B142" s="701"/>
      <c r="I142" s="763"/>
      <c r="J142" s="764"/>
    </row>
    <row r="143" spans="1:12" ht="24.75" hidden="1" customHeight="1">
      <c r="A143" s="684"/>
      <c r="B143" s="1734" t="s">
        <v>222</v>
      </c>
      <c r="C143" s="1734"/>
      <c r="D143" s="1734"/>
      <c r="E143" s="1734"/>
      <c r="F143" s="1734"/>
      <c r="G143" s="1734"/>
      <c r="H143" s="1734"/>
      <c r="I143" s="763"/>
      <c r="J143" s="763">
        <f>+'Sch - BS'!G128</f>
        <v>2</v>
      </c>
      <c r="K143" s="873">
        <f>+'Sch - BS'!I128</f>
        <v>2</v>
      </c>
    </row>
    <row r="144" spans="1:12" ht="4.5" hidden="1" customHeight="1">
      <c r="A144" s="684"/>
      <c r="I144" s="763"/>
      <c r="J144" s="763"/>
      <c r="K144" s="764"/>
    </row>
    <row r="145" spans="1:11" ht="15" hidden="1" customHeight="1" thickBot="1">
      <c r="A145" s="684"/>
      <c r="B145" s="681"/>
      <c r="C145" s="681"/>
      <c r="D145" s="681"/>
      <c r="E145" s="681"/>
      <c r="F145" s="681"/>
      <c r="G145" s="681"/>
      <c r="H145" s="681"/>
      <c r="I145" s="763"/>
      <c r="J145" s="763">
        <f>SUM(J142:J144)</f>
        <v>2</v>
      </c>
      <c r="K145" s="764">
        <f>SUM(K142:K144)</f>
        <v>2</v>
      </c>
    </row>
    <row r="146" spans="1:11" ht="6" hidden="1" customHeight="1" thickTop="1">
      <c r="A146" s="684"/>
      <c r="J146" s="763" t="b">
        <f>IF(J145=BS!G29," ",FALSE)</f>
        <v>0</v>
      </c>
      <c r="K146" s="763" t="b">
        <f>IF(K145=BS!I29," ",FALSE)</f>
        <v>0</v>
      </c>
    </row>
    <row r="147" spans="1:11" ht="15" hidden="1" customHeight="1">
      <c r="A147" s="684"/>
      <c r="I147" s="763"/>
      <c r="J147" s="764"/>
    </row>
    <row r="148" spans="1:11" ht="15" hidden="1" customHeight="1">
      <c r="A148" s="684">
        <f>A139+1</f>
        <v>9</v>
      </c>
      <c r="B148" s="681" t="s">
        <v>223</v>
      </c>
      <c r="J148" s="710"/>
      <c r="K148" s="710"/>
    </row>
    <row r="149" spans="1:11" ht="15" hidden="1" customHeight="1">
      <c r="A149" s="684"/>
      <c r="J149" s="710"/>
      <c r="K149" s="710"/>
    </row>
    <row r="150" spans="1:11" ht="15" hidden="1" customHeight="1">
      <c r="A150" s="684"/>
      <c r="B150" s="710"/>
      <c r="C150" s="710"/>
      <c r="D150" s="710"/>
      <c r="E150" s="710"/>
      <c r="F150" s="710"/>
      <c r="G150" s="710"/>
      <c r="H150" s="710"/>
      <c r="I150" s="735">
        <f>BS!$E$7</f>
        <v>0</v>
      </c>
      <c r="J150" s="735">
        <f>BS!$G$7</f>
        <v>45747</v>
      </c>
      <c r="K150" s="735">
        <f>BS!$I$7</f>
        <v>45382</v>
      </c>
    </row>
    <row r="151" spans="1:11" ht="4.5" hidden="1" customHeight="1">
      <c r="A151" s="684"/>
      <c r="B151" s="710"/>
      <c r="C151" s="710"/>
      <c r="D151" s="710"/>
      <c r="E151" s="710"/>
      <c r="F151" s="710"/>
      <c r="G151" s="710"/>
      <c r="H151" s="710"/>
      <c r="I151" s="735"/>
      <c r="J151" s="735"/>
      <c r="K151" s="735"/>
    </row>
    <row r="152" spans="1:11" ht="15" hidden="1" customHeight="1">
      <c r="A152" s="684"/>
      <c r="B152" s="683" t="s">
        <v>224</v>
      </c>
      <c r="C152" s="889"/>
      <c r="D152" s="889"/>
      <c r="E152" s="889"/>
      <c r="F152" s="889"/>
      <c r="G152" s="889"/>
      <c r="H152" s="889"/>
      <c r="I152" s="763"/>
      <c r="J152" s="764"/>
    </row>
    <row r="153" spans="1:11" ht="15" hidden="1" customHeight="1">
      <c r="A153" s="684"/>
      <c r="B153" s="701" t="s">
        <v>182</v>
      </c>
      <c r="C153" s="713"/>
      <c r="D153" s="713"/>
      <c r="E153" s="713"/>
      <c r="F153" s="713"/>
      <c r="G153" s="713"/>
      <c r="H153" s="713"/>
      <c r="I153" s="763">
        <f>'Sch - BS'!E132</f>
        <v>0</v>
      </c>
      <c r="J153" s="763">
        <f>'Sch - BS'!G132</f>
        <v>0</v>
      </c>
      <c r="K153" s="873">
        <f>'Sch - BS'!I132*0</f>
        <v>0</v>
      </c>
    </row>
    <row r="154" spans="1:11" ht="4.5" hidden="1" customHeight="1">
      <c r="A154" s="684"/>
      <c r="I154" s="763"/>
      <c r="J154" s="764"/>
      <c r="K154" s="764"/>
    </row>
    <row r="155" spans="1:11" ht="15" hidden="1" customHeight="1" thickBot="1">
      <c r="A155" s="684"/>
      <c r="B155" s="681"/>
      <c r="C155" s="681"/>
      <c r="D155" s="681"/>
      <c r="E155" s="681"/>
      <c r="F155" s="681"/>
      <c r="G155" s="681"/>
      <c r="H155" s="681"/>
      <c r="I155" s="763">
        <f>SUM(I152:I154)</f>
        <v>0</v>
      </c>
      <c r="J155" s="764">
        <f>SUM(J152:J154)</f>
        <v>0</v>
      </c>
      <c r="K155" s="764">
        <f>SUM(K152:K154)</f>
        <v>0</v>
      </c>
    </row>
    <row r="156" spans="1:11" ht="6" hidden="1" customHeight="1" thickTop="1">
      <c r="A156" s="684"/>
      <c r="I156" s="763" t="str">
        <f>IF(I155=BS!E30," ",FALSE)</f>
        <v xml:space="preserve"> </v>
      </c>
      <c r="J156" s="763" t="str">
        <f>IF(J155=BS!G30," ",FALSE)</f>
        <v xml:space="preserve"> </v>
      </c>
      <c r="K156" s="763" t="str">
        <f>IF(K155=BS!I30," ",FALSE)</f>
        <v xml:space="preserve"> </v>
      </c>
    </row>
    <row r="157" spans="1:11" ht="15" hidden="1" customHeight="1">
      <c r="A157" s="684"/>
      <c r="J157" s="710"/>
      <c r="K157" s="710"/>
    </row>
    <row r="158" spans="1:11" ht="15" hidden="1" customHeight="1">
      <c r="A158" s="684"/>
      <c r="J158" s="710"/>
      <c r="K158" s="710"/>
    </row>
    <row r="159" spans="1:11" ht="15" hidden="1" customHeight="1">
      <c r="A159" s="684"/>
      <c r="J159" s="710"/>
      <c r="K159" s="710"/>
    </row>
    <row r="160" spans="1:11" ht="13.5" hidden="1" customHeight="1">
      <c r="A160" s="699"/>
      <c r="C160" s="681"/>
      <c r="D160" s="699" t="s">
        <v>2278</v>
      </c>
    </row>
    <row r="161" spans="1:26" ht="5.0999999999999996" customHeight="1">
      <c r="A161" s="684"/>
    </row>
    <row r="162" spans="1:26">
      <c r="A162" s="684">
        <f>A127+1</f>
        <v>8</v>
      </c>
      <c r="B162" s="681" t="s">
        <v>1866</v>
      </c>
      <c r="C162" s="710"/>
      <c r="D162" s="710"/>
      <c r="E162" s="710"/>
      <c r="F162" s="710"/>
      <c r="G162" s="710"/>
      <c r="H162" s="710"/>
      <c r="I162" s="735"/>
      <c r="J162" s="684" t="s">
        <v>490</v>
      </c>
      <c r="K162" s="684" t="s">
        <v>490</v>
      </c>
    </row>
    <row r="163" spans="1:26" ht="3" hidden="1" customHeight="1">
      <c r="A163" s="684"/>
      <c r="I163" s="681"/>
      <c r="J163" s="735">
        <f>BS!$G$7</f>
        <v>45747</v>
      </c>
      <c r="K163" s="735">
        <f>BS!$I$7</f>
        <v>45382</v>
      </c>
    </row>
    <row r="164" spans="1:26" ht="15" hidden="1" customHeight="1">
      <c r="A164" s="684"/>
      <c r="B164" s="681"/>
      <c r="C164" s="689" t="s">
        <v>225</v>
      </c>
      <c r="D164" s="689"/>
      <c r="I164" s="867"/>
      <c r="J164" s="873"/>
    </row>
    <row r="165" spans="1:26" ht="15" hidden="1" customHeight="1">
      <c r="A165" s="684"/>
      <c r="B165" s="681"/>
      <c r="C165" s="739" t="s">
        <v>202</v>
      </c>
      <c r="D165" s="739"/>
      <c r="I165" s="867"/>
      <c r="J165" s="873"/>
    </row>
    <row r="166" spans="1:26" ht="15" hidden="1" customHeight="1">
      <c r="A166" s="684"/>
      <c r="B166" s="681"/>
      <c r="C166" s="739" t="s">
        <v>182</v>
      </c>
      <c r="D166" s="739"/>
      <c r="I166" s="867"/>
      <c r="J166" s="873">
        <f>+'Sch - BS'!G322</f>
        <v>0</v>
      </c>
    </row>
    <row r="167" spans="1:26" ht="15" hidden="1" customHeight="1">
      <c r="A167" s="684"/>
      <c r="B167" s="681"/>
      <c r="C167" s="739" t="s">
        <v>226</v>
      </c>
      <c r="D167" s="739"/>
      <c r="I167" s="867"/>
      <c r="J167" s="873">
        <v>0</v>
      </c>
    </row>
    <row r="168" spans="1:26" ht="15" hidden="1" customHeight="1">
      <c r="A168" s="684"/>
      <c r="B168" s="681"/>
      <c r="C168" s="739"/>
      <c r="D168" s="739"/>
      <c r="I168" s="867"/>
      <c r="J168" s="873">
        <f>SUM(J166:J167)</f>
        <v>0</v>
      </c>
    </row>
    <row r="169" spans="1:26" ht="15" hidden="1" customHeight="1">
      <c r="A169" s="684"/>
      <c r="B169" s="681"/>
      <c r="C169" s="739" t="s">
        <v>227</v>
      </c>
      <c r="D169" s="739"/>
      <c r="I169" s="867"/>
      <c r="J169" s="873">
        <f>+'Sch - BS'!G325</f>
        <v>0</v>
      </c>
    </row>
    <row r="170" spans="1:26" ht="15" hidden="1" customHeight="1">
      <c r="A170" s="684"/>
      <c r="B170" s="681"/>
      <c r="C170" s="739"/>
      <c r="D170" s="739"/>
      <c r="I170" s="867"/>
      <c r="J170" s="873">
        <f>SUM(J168:J169)</f>
        <v>0</v>
      </c>
    </row>
    <row r="171" spans="1:26" ht="15" customHeight="1">
      <c r="B171" s="711"/>
      <c r="C171" s="816"/>
      <c r="D171" s="816"/>
      <c r="E171" s="711"/>
      <c r="F171" s="711"/>
      <c r="G171" s="711"/>
      <c r="H171" s="711"/>
      <c r="I171" s="871"/>
      <c r="J171" s="758">
        <f>BS!$G$7</f>
        <v>45747</v>
      </c>
      <c r="K171" s="758">
        <f>BS!$I$7</f>
        <v>45382</v>
      </c>
      <c r="Z171" s="699">
        <f>93+57</f>
        <v>150</v>
      </c>
    </row>
    <row r="172" spans="1:26" ht="5.0999999999999996" customHeight="1">
      <c r="A172" s="684"/>
      <c r="B172" s="681"/>
      <c r="C172" s="739"/>
      <c r="D172" s="739"/>
      <c r="I172" s="867"/>
      <c r="J172" s="873"/>
    </row>
    <row r="173" spans="1:26" ht="15" hidden="1" customHeight="1">
      <c r="A173" s="684"/>
      <c r="B173" s="739" t="s">
        <v>202</v>
      </c>
      <c r="D173" s="739"/>
      <c r="I173" s="867"/>
      <c r="J173" s="873" t="e">
        <f>+'Sch - BS'!#REF!</f>
        <v>#REF!</v>
      </c>
    </row>
    <row r="174" spans="1:26" ht="15" hidden="1" customHeight="1">
      <c r="A174" s="684"/>
      <c r="B174" s="739" t="s">
        <v>182</v>
      </c>
      <c r="D174" s="739"/>
      <c r="I174" s="867"/>
      <c r="J174" s="873"/>
    </row>
    <row r="175" spans="1:26" ht="15" customHeight="1">
      <c r="A175" s="684"/>
      <c r="B175" s="689" t="s">
        <v>2753</v>
      </c>
      <c r="D175" s="739"/>
      <c r="I175" s="867"/>
      <c r="J175" s="873"/>
    </row>
    <row r="176" spans="1:26">
      <c r="A176" s="684"/>
      <c r="B176" s="1165" t="s">
        <v>2345</v>
      </c>
      <c r="D176" s="739"/>
      <c r="I176" s="867"/>
      <c r="J176" s="764">
        <f>'Sch - BS'!G136</f>
        <v>709509</v>
      </c>
      <c r="K176" s="873">
        <f>'Sch - BS'!I136</f>
        <v>693309</v>
      </c>
    </row>
    <row r="177" spans="1:11">
      <c r="A177" s="684"/>
      <c r="B177" s="1165" t="s">
        <v>2346</v>
      </c>
      <c r="D177" s="739"/>
      <c r="I177" s="867"/>
      <c r="J177" s="764">
        <f>+'Sch - BS'!G137</f>
        <v>2944463</v>
      </c>
      <c r="K177" s="873">
        <f>+'Sch - BS'!I137</f>
        <v>0</v>
      </c>
    </row>
    <row r="178" spans="1:11" ht="13.05" customHeight="1">
      <c r="A178" s="684"/>
      <c r="B178" s="1165" t="s">
        <v>224</v>
      </c>
      <c r="D178" s="739"/>
      <c r="E178" s="713"/>
      <c r="F178" s="713"/>
      <c r="G178" s="713"/>
      <c r="H178" s="713"/>
      <c r="I178" s="867"/>
      <c r="J178" s="764">
        <f>'Sch - BS'!G142</f>
        <v>0</v>
      </c>
      <c r="K178" s="873">
        <f>'Sch - BS'!I142</f>
        <v>216669</v>
      </c>
    </row>
    <row r="179" spans="1:11" ht="13.05" hidden="1" customHeight="1">
      <c r="A179" s="684"/>
      <c r="B179" s="739" t="s">
        <v>229</v>
      </c>
      <c r="D179" s="739"/>
      <c r="E179" s="713"/>
      <c r="F179" s="713"/>
      <c r="G179" s="713"/>
      <c r="H179" s="713"/>
      <c r="I179" s="867"/>
      <c r="J179" s="1145">
        <f>'Sch - BS'!G143*0</f>
        <v>0</v>
      </c>
      <c r="K179" s="1145">
        <f>'Sch - BS'!I143*0</f>
        <v>0</v>
      </c>
    </row>
    <row r="180" spans="1:11" ht="13.05" hidden="1" customHeight="1">
      <c r="A180" s="684"/>
      <c r="B180" s="739" t="s">
        <v>230</v>
      </c>
      <c r="D180" s="739"/>
      <c r="E180" s="713"/>
      <c r="F180" s="713"/>
      <c r="G180" s="713"/>
      <c r="H180" s="713"/>
      <c r="I180" s="867"/>
      <c r="J180" s="1145">
        <f>'Sch - BS'!G144*0</f>
        <v>0</v>
      </c>
      <c r="K180" s="873">
        <f>'Sch - BS'!I144*0</f>
        <v>0</v>
      </c>
    </row>
    <row r="181" spans="1:11" ht="13.05" hidden="1" customHeight="1">
      <c r="A181" s="684"/>
      <c r="B181" s="1165" t="s">
        <v>228</v>
      </c>
      <c r="D181" s="739"/>
      <c r="E181" s="713"/>
      <c r="F181" s="713"/>
      <c r="G181" s="713"/>
      <c r="H181" s="713"/>
      <c r="I181" s="867"/>
      <c r="J181" s="882">
        <f>+'Sch - BS'!G139</f>
        <v>0</v>
      </c>
      <c r="K181" s="873">
        <f>+'Sch - BS'!I139</f>
        <v>0</v>
      </c>
    </row>
    <row r="182" spans="1:11" ht="13.05" customHeight="1">
      <c r="A182" s="684"/>
      <c r="B182" s="739" t="s">
        <v>231</v>
      </c>
      <c r="D182" s="739"/>
      <c r="E182" s="713"/>
      <c r="F182" s="713"/>
      <c r="G182" s="713"/>
      <c r="H182" s="713"/>
      <c r="I182" s="867"/>
      <c r="J182" s="764">
        <f>'Sch - BS'!G141</f>
        <v>1868359</v>
      </c>
      <c r="K182" s="873">
        <f>'Sch - BS'!I141</f>
        <v>1580011</v>
      </c>
    </row>
    <row r="183" spans="1:11" ht="13.05" customHeight="1">
      <c r="A183" s="684"/>
      <c r="B183" s="739" t="s">
        <v>190</v>
      </c>
      <c r="D183" s="739"/>
      <c r="E183" s="713"/>
      <c r="F183" s="713"/>
      <c r="G183" s="713"/>
      <c r="H183" s="713"/>
      <c r="I183" s="867"/>
      <c r="J183" s="764">
        <f>'Sch - BS'!G140+'Sch - BS'!G135+'Sch - BS'!G143+'Sch - BS'!G144</f>
        <v>4160</v>
      </c>
      <c r="K183" s="873">
        <f>'Sch - BS'!I140+'Sch - BS'!I135+'Sch - BS'!I143+'Sch - BS'!I144</f>
        <v>188939</v>
      </c>
    </row>
    <row r="184" spans="1:11" ht="13.05" customHeight="1">
      <c r="A184" s="684"/>
      <c r="B184" s="1046" t="s">
        <v>173</v>
      </c>
      <c r="C184" s="820"/>
      <c r="D184" s="820"/>
      <c r="E184" s="820"/>
      <c r="F184" s="820"/>
      <c r="G184" s="820"/>
      <c r="H184" s="820"/>
      <c r="I184" s="1036"/>
      <c r="J184" s="1036">
        <f>J176+J179+J180+J182+J183+J178+J177+J181</f>
        <v>5526491</v>
      </c>
      <c r="K184" s="1036">
        <f>K176+K179+K180+K182+K183+K178+K177+K181</f>
        <v>2678928</v>
      </c>
    </row>
    <row r="185" spans="1:11" ht="6" hidden="1" customHeight="1" thickTop="1">
      <c r="A185" s="684"/>
      <c r="C185" s="681"/>
      <c r="D185" s="681"/>
      <c r="E185" s="681"/>
      <c r="F185" s="681"/>
      <c r="G185" s="681"/>
      <c r="H185" s="681"/>
      <c r="I185" s="867"/>
      <c r="J185" s="867"/>
      <c r="K185" s="867"/>
    </row>
    <row r="186" spans="1:11" ht="13.05" hidden="1" customHeight="1">
      <c r="A186" s="684"/>
      <c r="C186" s="681"/>
      <c r="D186" s="681"/>
      <c r="E186" s="681"/>
      <c r="F186" s="681"/>
      <c r="G186" s="681"/>
      <c r="H186" s="681"/>
      <c r="I186" s="867"/>
      <c r="J186" s="867"/>
      <c r="K186" s="867"/>
    </row>
    <row r="187" spans="1:11" ht="13.05" hidden="1" customHeight="1">
      <c r="A187" s="684"/>
      <c r="B187" s="699" t="s">
        <v>217</v>
      </c>
      <c r="C187" s="681"/>
      <c r="D187" s="681"/>
      <c r="E187" s="681"/>
      <c r="F187" s="681"/>
      <c r="G187" s="681"/>
      <c r="H187" s="681"/>
      <c r="I187" s="867"/>
      <c r="J187" s="873"/>
    </row>
    <row r="188" spans="1:11" ht="13.05" hidden="1" customHeight="1">
      <c r="A188" s="684"/>
      <c r="B188" s="701" t="s">
        <v>3139</v>
      </c>
      <c r="D188" s="681"/>
      <c r="E188" s="681"/>
      <c r="F188" s="681"/>
      <c r="G188" s="681"/>
      <c r="H188" s="681"/>
      <c r="I188" s="888"/>
      <c r="J188" s="873">
        <f>ROUND(4471250.13/Master!$B$23,0)</f>
        <v>4471250</v>
      </c>
      <c r="K188" s="873">
        <f>ROUND(10107074/Master!$B$23,0)</f>
        <v>10107074</v>
      </c>
    </row>
    <row r="189" spans="1:11" ht="13.05" hidden="1" customHeight="1">
      <c r="A189" s="684"/>
      <c r="B189" s="701" t="s">
        <v>232</v>
      </c>
      <c r="D189" s="681"/>
      <c r="E189" s="681"/>
      <c r="F189" s="681"/>
      <c r="G189" s="681"/>
      <c r="H189" s="681"/>
      <c r="I189" s="888"/>
      <c r="J189" s="873">
        <f>ROUND(11416/Master!$B$23,0)</f>
        <v>11416</v>
      </c>
      <c r="K189" s="873">
        <f>ROUND(335927/Master!$B$23,0)</f>
        <v>335927</v>
      </c>
    </row>
    <row r="190" spans="1:11" ht="13.05" hidden="1" customHeight="1">
      <c r="A190" s="684"/>
      <c r="B190" s="701" t="s">
        <v>218</v>
      </c>
      <c r="D190" s="681"/>
      <c r="E190" s="681"/>
      <c r="F190" s="681"/>
      <c r="G190" s="681"/>
      <c r="H190" s="681"/>
      <c r="I190" s="888"/>
      <c r="J190" s="873">
        <f>ROUND(78609/Master!$B$23,0)</f>
        <v>78609</v>
      </c>
      <c r="K190" s="873">
        <f>ROUND(301734/Master!$B$23,0)</f>
        <v>301734</v>
      </c>
    </row>
    <row r="191" spans="1:11" ht="5.0999999999999996" hidden="1" customHeight="1">
      <c r="A191" s="684"/>
      <c r="D191" s="681"/>
      <c r="E191" s="681"/>
      <c r="F191" s="681"/>
      <c r="G191" s="681"/>
      <c r="H191" s="681"/>
      <c r="I191" s="867"/>
      <c r="J191" s="873"/>
    </row>
    <row r="192" spans="1:11" hidden="1">
      <c r="A192" s="684"/>
      <c r="C192" s="681"/>
      <c r="D192" s="681"/>
      <c r="E192" s="681"/>
      <c r="F192" s="681"/>
      <c r="G192" s="681"/>
      <c r="H192" s="681"/>
      <c r="I192" s="867"/>
      <c r="J192" s="873">
        <f>SUM(J188:J191)</f>
        <v>4561275</v>
      </c>
      <c r="K192" s="699">
        <f>SUM(K188:K191)</f>
        <v>10744735</v>
      </c>
    </row>
    <row r="193" spans="1:13" hidden="1">
      <c r="A193" s="684"/>
      <c r="B193" s="1149" t="s">
        <v>2023</v>
      </c>
      <c r="I193" s="681"/>
    </row>
    <row r="194" spans="1:13">
      <c r="A194" s="684"/>
      <c r="G194" s="710"/>
      <c r="H194" s="710"/>
      <c r="I194" s="710"/>
      <c r="J194" s="710" t="str">
        <f>IF(J184-BS!G31=0,"","False")</f>
        <v/>
      </c>
      <c r="K194" s="710" t="str">
        <f>IF(K184-BS!I31=0,"","False")</f>
        <v/>
      </c>
      <c r="L194" s="882"/>
    </row>
    <row r="195" spans="1:13" ht="5.0999999999999996" customHeight="1"/>
    <row r="196" spans="1:13" ht="13.05" customHeight="1">
      <c r="A196" s="684">
        <f>+A162+1</f>
        <v>9</v>
      </c>
      <c r="B196" s="681" t="s">
        <v>28</v>
      </c>
      <c r="C196" s="710"/>
      <c r="D196" s="710"/>
      <c r="E196" s="710"/>
      <c r="F196" s="710"/>
      <c r="G196" s="710"/>
      <c r="H196" s="710"/>
      <c r="I196" s="735"/>
      <c r="J196" s="684" t="s">
        <v>490</v>
      </c>
      <c r="K196" s="684" t="s">
        <v>490</v>
      </c>
    </row>
    <row r="197" spans="1:13">
      <c r="B197" s="711"/>
      <c r="C197" s="711"/>
      <c r="D197" s="711"/>
      <c r="E197" s="711"/>
      <c r="F197" s="711"/>
      <c r="G197" s="711"/>
      <c r="H197" s="711"/>
      <c r="I197" s="887"/>
      <c r="J197" s="758">
        <f>BS!$G$7</f>
        <v>45747</v>
      </c>
      <c r="K197" s="758">
        <f>BS!$I$7</f>
        <v>45382</v>
      </c>
    </row>
    <row r="198" spans="1:13" ht="5.0999999999999996" customHeight="1">
      <c r="I198" s="681"/>
    </row>
    <row r="199" spans="1:13" ht="15" customHeight="1">
      <c r="B199" s="689" t="s">
        <v>182</v>
      </c>
      <c r="I199" s="681"/>
    </row>
    <row r="200" spans="1:13" ht="15" hidden="1" customHeight="1">
      <c r="B200" s="739" t="s">
        <v>233</v>
      </c>
      <c r="I200" s="867"/>
      <c r="J200" s="764">
        <f>'Sch - BS'!G151</f>
        <v>0</v>
      </c>
      <c r="K200" s="764">
        <f>'Sch - BS'!I151</f>
        <v>0</v>
      </c>
    </row>
    <row r="201" spans="1:13">
      <c r="B201" s="1165" t="s">
        <v>2223</v>
      </c>
      <c r="I201" s="867"/>
      <c r="J201" s="1151">
        <f>'Sch - BS'!G152</f>
        <v>416592</v>
      </c>
      <c r="K201" s="1151">
        <f>'Sch - BS'!I152</f>
        <v>265115</v>
      </c>
    </row>
    <row r="202" spans="1:13" hidden="1">
      <c r="B202" s="1131" t="s">
        <v>675</v>
      </c>
      <c r="I202" s="867"/>
      <c r="J202" s="764">
        <f>+'Sch - BS'!G157</f>
        <v>1</v>
      </c>
      <c r="K202" s="764">
        <f>+'Sch - BS'!I157</f>
        <v>1</v>
      </c>
    </row>
    <row r="203" spans="1:13" ht="12.75" customHeight="1">
      <c r="B203" s="1165" t="s">
        <v>1936</v>
      </c>
      <c r="I203" s="867"/>
      <c r="J203" s="1151">
        <f>'Sch - BS'!G153</f>
        <v>90314</v>
      </c>
      <c r="K203" s="1151">
        <f>'Sch - BS'!I153</f>
        <v>80294</v>
      </c>
      <c r="M203" s="699" t="s">
        <v>235</v>
      </c>
    </row>
    <row r="204" spans="1:13" ht="15" hidden="1" customHeight="1">
      <c r="B204" s="739" t="s">
        <v>236</v>
      </c>
      <c r="I204" s="867"/>
      <c r="J204" s="764">
        <f>'Sch - BS'!G154</f>
        <v>0</v>
      </c>
      <c r="K204" s="764">
        <f>'Sch - BS'!I154</f>
        <v>0</v>
      </c>
    </row>
    <row r="205" spans="1:13" ht="15" hidden="1" customHeight="1">
      <c r="B205" s="739" t="s">
        <v>237</v>
      </c>
      <c r="I205" s="867"/>
      <c r="J205" s="764">
        <f>'Sch - BS'!G155+'Sch - BS'!G156+'Sch - BS'!G158+'Sch - BS'!G159</f>
        <v>0</v>
      </c>
      <c r="K205" s="764">
        <f>'Sch - BS'!I155+'Sch - BS'!I156+'Sch - BS'!I158+'Sch - BS'!I159</f>
        <v>0</v>
      </c>
    </row>
    <row r="206" spans="1:13" ht="2.25" customHeight="1">
      <c r="B206" s="739" t="s">
        <v>238</v>
      </c>
      <c r="I206" s="867"/>
      <c r="J206" s="764">
        <f>'Sch - BS'!G157*0</f>
        <v>0</v>
      </c>
      <c r="K206" s="764">
        <f>'Sch - BS'!I157*0</f>
        <v>0</v>
      </c>
    </row>
    <row r="207" spans="1:13">
      <c r="B207" s="689" t="s">
        <v>183</v>
      </c>
      <c r="I207" s="681"/>
      <c r="J207" s="764"/>
      <c r="K207" s="764"/>
      <c r="M207" s="872"/>
    </row>
    <row r="208" spans="1:13" ht="15" hidden="1" customHeight="1">
      <c r="B208" s="739" t="s">
        <v>230</v>
      </c>
      <c r="I208" s="867"/>
      <c r="J208" s="764">
        <f>'Sch - BS'!G161</f>
        <v>0</v>
      </c>
      <c r="K208" s="764">
        <f>'Sch - BS'!I161</f>
        <v>0</v>
      </c>
    </row>
    <row r="209" spans="2:11" ht="14.25" customHeight="1">
      <c r="B209" s="739" t="s">
        <v>1936</v>
      </c>
      <c r="I209" s="867"/>
      <c r="J209" s="772">
        <f>'Sch - BS'!G160+'Sch - BS'!G162+'Sch - BS'!G163+'Sch - BS'!G161</f>
        <v>1539511</v>
      </c>
      <c r="K209" s="772">
        <f>'Sch - BS'!I160+'Sch - BS'!I162+'Sch - BS'!I163+'Sch - BS'!I161</f>
        <v>1539511</v>
      </c>
    </row>
    <row r="210" spans="2:11">
      <c r="I210" s="867"/>
      <c r="J210" s="763">
        <f>SUM(J200:J209)</f>
        <v>2046418</v>
      </c>
      <c r="K210" s="763">
        <f>SUM(K200:K209)</f>
        <v>1884921</v>
      </c>
    </row>
    <row r="211" spans="2:11">
      <c r="B211" s="699" t="s">
        <v>239</v>
      </c>
      <c r="I211" s="867"/>
      <c r="J211" s="764">
        <f>'Sch - BS'!G165+'Sch - BS'!G166+'Sch - BS'!G167</f>
        <v>-1539511</v>
      </c>
      <c r="K211" s="764">
        <f>'Sch - BS'!I165+'Sch - BS'!I166+'Sch - BS'!I167</f>
        <v>-1539511</v>
      </c>
    </row>
    <row r="212" spans="2:11" ht="15" customHeight="1">
      <c r="B212" s="1046" t="s">
        <v>173</v>
      </c>
      <c r="C212" s="1035"/>
      <c r="D212" s="1035"/>
      <c r="E212" s="1035"/>
      <c r="F212" s="1035"/>
      <c r="G212" s="1035"/>
      <c r="H212" s="1035"/>
      <c r="I212" s="1036"/>
      <c r="J212" s="971">
        <f>SUM(J210:J211)</f>
        <v>506907</v>
      </c>
      <c r="K212" s="971">
        <f>SUM(K210:K211)</f>
        <v>345410</v>
      </c>
    </row>
    <row r="213" spans="2:11" ht="5.0999999999999996" customHeight="1"/>
    <row r="214" spans="2:11" hidden="1">
      <c r="J214" s="699" t="e">
        <f>IF(#REF!-BS!G32=0,"","False")</f>
        <v>#REF!</v>
      </c>
    </row>
    <row r="215" spans="2:11">
      <c r="B215" s="1166" t="s">
        <v>2752</v>
      </c>
      <c r="J215" s="873" t="str">
        <f>IF(J212=BS!G32," ",FALSE)</f>
        <v xml:space="preserve"> </v>
      </c>
      <c r="K215" s="699" t="str">
        <f>IF(K212=BS!I32," ",FALSE)</f>
        <v xml:space="preserve"> </v>
      </c>
    </row>
  </sheetData>
  <mergeCells count="14">
    <mergeCell ref="B58:H58"/>
    <mergeCell ref="B66:H66"/>
    <mergeCell ref="B143:H143"/>
    <mergeCell ref="J74:K74"/>
    <mergeCell ref="E74:E75"/>
    <mergeCell ref="H74:I74"/>
    <mergeCell ref="H73:I73"/>
    <mergeCell ref="J73:K73"/>
    <mergeCell ref="F106:K106"/>
    <mergeCell ref="E107:F107"/>
    <mergeCell ref="F115:K115"/>
    <mergeCell ref="E116:F116"/>
    <mergeCell ref="B60:K60"/>
    <mergeCell ref="B138:K138"/>
  </mergeCells>
  <conditionalFormatting sqref="I102:K102">
    <cfRule type="containsText" dxfId="46" priority="17" operator="containsText" text="False">
      <formula>NOT(ISERROR(SEARCH("False",I102)))</formula>
    </cfRule>
    <cfRule type="cellIs" dxfId="45" priority="18" operator="equal">
      <formula>FALSE</formula>
    </cfRule>
  </conditionalFormatting>
  <conditionalFormatting sqref="J25:K25">
    <cfRule type="containsText" dxfId="44" priority="13" operator="containsText" text="False">
      <formula>NOT(ISERROR(SEARCH("False",J25)))</formula>
    </cfRule>
    <cfRule type="cellIs" dxfId="43" priority="14" operator="equal">
      <formula>FALSE</formula>
    </cfRule>
  </conditionalFormatting>
  <conditionalFormatting sqref="J194:K194">
    <cfRule type="containsText" dxfId="42" priority="25" operator="containsText" text="False">
      <formula>NOT(ISERROR(SEARCH("False",J194)))</formula>
    </cfRule>
    <cfRule type="cellIs" dxfId="41" priority="26" operator="equal">
      <formula>FALSE</formula>
    </cfRule>
  </conditionalFormatting>
  <pageMargins left="0.74803149606299213" right="0.23622047244094491" top="0.74803149606299213" bottom="0.23622047244094491" header="0.31496062992125984" footer="0.31496062992125984"/>
  <pageSetup paperSize="9" scale="75" firstPageNumber="23" orientation="portrait" useFirstPageNumber="1" r:id="rId1"/>
  <headerFooter>
    <oddFooter>&amp;C&amp;P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33CC33"/>
  </sheetPr>
  <dimension ref="A1:I75"/>
  <sheetViews>
    <sheetView showGridLines="0" view="pageBreakPreview" zoomScaleNormal="100" zoomScaleSheetLayoutView="100" workbookViewId="0">
      <selection activeCell="A8" sqref="A8"/>
    </sheetView>
  </sheetViews>
  <sheetFormatPr defaultRowHeight="14.4"/>
  <cols>
    <col min="1" max="1" width="3.77734375" customWidth="1"/>
    <col min="2" max="2" width="55.44140625" bestFit="1" customWidth="1"/>
    <col min="4" max="4" width="10" bestFit="1" customWidth="1"/>
    <col min="5" max="5" width="8.21875" customWidth="1"/>
    <col min="6" max="6" width="9.77734375" bestFit="1" customWidth="1"/>
    <col min="7" max="7" width="12" bestFit="1" customWidth="1"/>
    <col min="8" max="8" width="9.77734375" bestFit="1" customWidth="1"/>
    <col min="9" max="9" width="12.21875" customWidth="1"/>
    <col min="10" max="10" width="2.21875" customWidth="1"/>
  </cols>
  <sheetData>
    <row r="1" spans="1:5" ht="22.8">
      <c r="A1" s="27" t="s">
        <v>1</v>
      </c>
      <c r="B1" s="28"/>
      <c r="C1" s="29"/>
      <c r="D1" s="29"/>
      <c r="E1" s="29"/>
    </row>
    <row r="2" spans="1:5">
      <c r="A2" s="30"/>
      <c r="B2" s="29"/>
      <c r="C2" s="29"/>
      <c r="D2" s="29"/>
      <c r="E2" s="31"/>
    </row>
    <row r="3" spans="1:5" ht="18">
      <c r="A3" s="32" t="s">
        <v>240</v>
      </c>
      <c r="B3" s="29"/>
      <c r="C3" s="29"/>
      <c r="D3" s="29"/>
      <c r="E3" s="29"/>
    </row>
    <row r="4" spans="1:5" ht="15.6">
      <c r="A4" s="1843" t="str">
        <f>"for the year ended "&amp;TEXT(Master!B6,"DD")&amp;" March "&amp;TEXT(Master!B6,"YYYY ")</f>
        <v>for the year ended March 31, 2025 March March 31, 2025</v>
      </c>
      <c r="B4" s="1843"/>
      <c r="C4" s="1843"/>
      <c r="D4" s="1843"/>
      <c r="E4" s="1843"/>
    </row>
    <row r="5" spans="1:5">
      <c r="A5" s="34"/>
      <c r="B5" s="35"/>
      <c r="C5" s="29"/>
      <c r="D5" s="29"/>
      <c r="E5" s="29"/>
    </row>
    <row r="8" spans="1:5" ht="16.8">
      <c r="A8" s="33" t="e">
        <f>'5-9'!#REF!</f>
        <v>#REF!</v>
      </c>
      <c r="B8" s="33" t="s">
        <v>241</v>
      </c>
    </row>
    <row r="9" spans="1:5" ht="13.5" customHeight="1"/>
    <row r="11" spans="1:5" ht="4.5" customHeight="1"/>
    <row r="14" spans="1:5" ht="6" customHeight="1"/>
    <row r="20" spans="2:9" ht="3" customHeight="1"/>
    <row r="23" spans="2:9">
      <c r="B23" s="29"/>
      <c r="C23" s="36"/>
      <c r="D23" s="29"/>
      <c r="E23" s="36"/>
      <c r="F23" s="36"/>
      <c r="G23" s="36" t="b">
        <f>IF('5-9'!I80-'Sch - BS'!G87=0," ",FALSE)</f>
        <v>0</v>
      </c>
      <c r="I23" s="36" t="b">
        <f>IF('5-9'!K80-'Sch - BS'!I87=0," ",FALSE)</f>
        <v>0</v>
      </c>
    </row>
    <row r="24" spans="2:9" hidden="1">
      <c r="B24" s="29" t="s">
        <v>245</v>
      </c>
      <c r="C24" s="36"/>
      <c r="D24" s="29"/>
      <c r="E24" s="38" t="e">
        <f>'5-9'!#REF!</f>
        <v>#REF!</v>
      </c>
      <c r="F24" s="39"/>
      <c r="G24" s="38">
        <f>'5-9'!I80</f>
        <v>0</v>
      </c>
      <c r="H24" s="40"/>
      <c r="I24" s="38">
        <f>'5-9'!K80</f>
        <v>0</v>
      </c>
    </row>
    <row r="25" spans="2:9">
      <c r="B25" s="29"/>
      <c r="C25" s="36"/>
      <c r="D25" s="29"/>
      <c r="E25" s="36"/>
      <c r="F25" s="36"/>
      <c r="G25" s="36"/>
    </row>
    <row r="26" spans="2:9">
      <c r="B26" s="29"/>
      <c r="C26" s="36"/>
      <c r="D26" s="29"/>
      <c r="E26" s="36"/>
      <c r="F26" s="36"/>
      <c r="G26" s="36"/>
    </row>
    <row r="27" spans="2:9">
      <c r="B27" s="29"/>
      <c r="C27" s="36"/>
      <c r="D27" s="29"/>
      <c r="E27" s="36"/>
      <c r="F27" s="36"/>
      <c r="G27" s="41"/>
    </row>
    <row r="28" spans="2:9">
      <c r="B28" s="29"/>
      <c r="C28" s="36"/>
      <c r="D28" s="29"/>
      <c r="E28" s="36"/>
      <c r="F28" s="36"/>
      <c r="G28" s="36"/>
    </row>
    <row r="29" spans="2:9">
      <c r="B29" s="29"/>
      <c r="C29" s="36"/>
      <c r="D29" s="29"/>
      <c r="E29" s="36"/>
      <c r="F29" s="36"/>
      <c r="G29" s="36"/>
    </row>
    <row r="30" spans="2:9">
      <c r="B30" s="29"/>
      <c r="C30" s="36"/>
      <c r="D30" s="29"/>
      <c r="E30" s="36"/>
      <c r="F30" s="36"/>
      <c r="G30" s="36"/>
    </row>
    <row r="31" spans="2:9">
      <c r="B31" s="29"/>
      <c r="C31" s="36"/>
      <c r="D31" s="29"/>
      <c r="E31" s="36"/>
      <c r="F31" s="36"/>
      <c r="G31" s="36"/>
    </row>
    <row r="32" spans="2:9">
      <c r="B32" s="29"/>
      <c r="C32" s="36"/>
      <c r="D32" s="29"/>
      <c r="E32" s="36"/>
      <c r="F32" s="36"/>
      <c r="G32" s="36"/>
    </row>
    <row r="33" spans="2:7">
      <c r="B33" s="29"/>
      <c r="C33" s="36"/>
      <c r="D33" s="29"/>
      <c r="E33" s="36"/>
      <c r="F33" s="36"/>
      <c r="G33" s="36"/>
    </row>
    <row r="34" spans="2:7">
      <c r="B34" s="29"/>
      <c r="C34" s="36"/>
      <c r="D34" s="29"/>
      <c r="E34" s="36"/>
      <c r="F34" s="36"/>
      <c r="G34" s="36"/>
    </row>
    <row r="35" spans="2:7">
      <c r="B35" s="29"/>
      <c r="C35" s="36"/>
      <c r="D35" s="29"/>
      <c r="E35" s="36"/>
      <c r="F35" s="36"/>
      <c r="G35" s="36"/>
    </row>
    <row r="36" spans="2:7">
      <c r="B36" s="29"/>
      <c r="C36" s="36"/>
      <c r="D36" s="29"/>
      <c r="E36" s="36"/>
      <c r="F36" s="36"/>
      <c r="G36" s="36"/>
    </row>
    <row r="37" spans="2:7">
      <c r="B37" s="29"/>
      <c r="C37" s="36"/>
      <c r="D37" s="29"/>
      <c r="E37" s="36"/>
      <c r="F37" s="36"/>
      <c r="G37" s="36"/>
    </row>
    <row r="38" spans="2:7">
      <c r="B38" s="29"/>
      <c r="C38" s="36"/>
      <c r="D38" s="29"/>
      <c r="E38" s="36"/>
      <c r="F38" s="36"/>
      <c r="G38" s="36"/>
    </row>
    <row r="39" spans="2:7">
      <c r="B39" s="29"/>
      <c r="C39" s="36"/>
      <c r="D39" s="29"/>
      <c r="E39" s="36"/>
      <c r="F39" s="36"/>
      <c r="G39" s="36"/>
    </row>
    <row r="40" spans="2:7">
      <c r="B40" s="29"/>
      <c r="C40" s="36"/>
      <c r="D40" s="29"/>
      <c r="E40" s="36"/>
      <c r="F40" s="36"/>
      <c r="G40" s="36"/>
    </row>
    <row r="41" spans="2:7">
      <c r="B41" s="29"/>
      <c r="C41" s="36"/>
      <c r="D41" s="29"/>
      <c r="E41" s="36"/>
      <c r="F41" s="36"/>
      <c r="G41" s="36"/>
    </row>
    <row r="42" spans="2:7">
      <c r="B42" s="29"/>
      <c r="C42" s="36"/>
      <c r="D42" s="29"/>
      <c r="E42" s="36"/>
      <c r="F42" s="36"/>
      <c r="G42" s="36"/>
    </row>
    <row r="43" spans="2:7">
      <c r="B43" s="29"/>
      <c r="C43" s="36"/>
      <c r="D43" s="29"/>
      <c r="E43" s="36"/>
      <c r="F43" s="36"/>
      <c r="G43" s="36"/>
    </row>
    <row r="44" spans="2:7">
      <c r="B44" s="29"/>
      <c r="C44" s="36"/>
      <c r="D44" s="29"/>
      <c r="E44" s="36"/>
      <c r="F44" s="36"/>
      <c r="G44" s="36"/>
    </row>
    <row r="45" spans="2:7">
      <c r="B45" s="29"/>
      <c r="C45" s="36"/>
      <c r="D45" s="29"/>
      <c r="E45" s="36"/>
      <c r="F45" s="36"/>
      <c r="G45" s="36"/>
    </row>
    <row r="46" spans="2:7">
      <c r="B46" s="29"/>
      <c r="C46" s="36"/>
      <c r="D46" s="29"/>
      <c r="E46" s="36"/>
      <c r="F46" s="36"/>
      <c r="G46" s="36"/>
    </row>
    <row r="47" spans="2:7">
      <c r="B47" s="29"/>
      <c r="C47" s="36"/>
      <c r="D47" s="29"/>
      <c r="E47" s="36"/>
      <c r="F47" s="36"/>
      <c r="G47" s="36"/>
    </row>
    <row r="48" spans="2:7">
      <c r="B48" s="29"/>
      <c r="C48" s="36"/>
      <c r="D48" s="29"/>
      <c r="E48" s="36"/>
      <c r="F48" s="36"/>
      <c r="G48" s="36"/>
    </row>
    <row r="49" spans="2:9">
      <c r="B49" s="29"/>
      <c r="C49" s="36"/>
      <c r="D49" s="29"/>
      <c r="E49" s="36"/>
      <c r="F49" s="36"/>
      <c r="G49" s="36"/>
    </row>
    <row r="50" spans="2:9">
      <c r="B50" s="29"/>
      <c r="C50" s="36"/>
      <c r="D50" s="29"/>
      <c r="E50" s="36"/>
      <c r="F50" s="36"/>
      <c r="G50" s="36"/>
    </row>
    <row r="51" spans="2:9">
      <c r="B51" s="29"/>
      <c r="C51" s="36"/>
      <c r="D51" s="29"/>
      <c r="E51" s="36"/>
      <c r="F51" s="36"/>
      <c r="G51" s="36"/>
    </row>
    <row r="52" spans="2:9">
      <c r="B52" s="29"/>
      <c r="C52" s="36"/>
      <c r="D52" s="29"/>
      <c r="E52" s="36"/>
      <c r="F52" s="36"/>
      <c r="G52" s="36"/>
    </row>
    <row r="53" spans="2:9">
      <c r="B53" s="29"/>
      <c r="C53" s="36"/>
      <c r="D53" s="29"/>
      <c r="E53" s="36"/>
      <c r="F53" s="36"/>
      <c r="G53" s="36"/>
    </row>
    <row r="54" spans="2:9">
      <c r="B54" s="37" t="s">
        <v>246</v>
      </c>
      <c r="C54" s="36"/>
      <c r="D54" s="29"/>
      <c r="E54" s="36"/>
      <c r="F54" s="36"/>
      <c r="G54" s="36"/>
    </row>
    <row r="55" spans="2:9">
      <c r="B55" s="29" t="s">
        <v>247</v>
      </c>
      <c r="C55" s="36"/>
      <c r="D55" s="29"/>
      <c r="E55" s="36"/>
      <c r="F55" s="36"/>
      <c r="G55" s="36"/>
    </row>
    <row r="56" spans="2:9">
      <c r="B56" s="29" t="s">
        <v>248</v>
      </c>
      <c r="C56" s="36"/>
      <c r="D56" s="29"/>
      <c r="E56" s="36"/>
      <c r="F56" s="36"/>
      <c r="G56" s="36"/>
    </row>
    <row r="57" spans="2:9" ht="27.6">
      <c r="B57" s="29"/>
      <c r="C57" s="36"/>
      <c r="D57" s="29"/>
      <c r="E57" s="42" t="s">
        <v>249</v>
      </c>
      <c r="F57" s="1841" t="s">
        <v>250</v>
      </c>
      <c r="G57" s="1841"/>
      <c r="H57" s="1841"/>
      <c r="I57" s="1841"/>
    </row>
    <row r="58" spans="2:9" ht="82.8">
      <c r="B58" s="29"/>
      <c r="C58" s="36"/>
      <c r="D58" s="29"/>
      <c r="E58" s="42"/>
      <c r="F58" s="43" t="s">
        <v>173</v>
      </c>
      <c r="G58" s="44" t="s">
        <v>251</v>
      </c>
      <c r="H58" s="44" t="s">
        <v>252</v>
      </c>
      <c r="I58" s="44" t="s">
        <v>253</v>
      </c>
    </row>
    <row r="59" spans="2:9">
      <c r="B59" s="29" t="s">
        <v>254</v>
      </c>
      <c r="C59" s="36"/>
      <c r="D59" s="29"/>
      <c r="E59" s="42"/>
      <c r="F59" s="43"/>
      <c r="G59" s="43"/>
      <c r="H59" s="43"/>
      <c r="I59" s="43"/>
    </row>
    <row r="60" spans="2:9">
      <c r="B60" s="29"/>
      <c r="C60" s="36"/>
      <c r="D60" s="29"/>
      <c r="E60" s="42"/>
      <c r="F60" s="36"/>
      <c r="G60" s="36"/>
      <c r="H60" s="36"/>
      <c r="I60" s="36"/>
    </row>
    <row r="61" spans="2:9">
      <c r="B61" s="29"/>
      <c r="C61" s="36"/>
      <c r="D61" s="29"/>
      <c r="E61" s="42"/>
      <c r="F61" s="36"/>
      <c r="G61" s="36"/>
      <c r="H61" s="36"/>
      <c r="I61" s="36"/>
    </row>
    <row r="62" spans="2:9">
      <c r="B62" s="29"/>
      <c r="C62" s="36"/>
      <c r="D62" s="29"/>
      <c r="E62" s="42"/>
      <c r="F62" s="36"/>
      <c r="G62" s="36"/>
      <c r="H62" s="36"/>
      <c r="I62" s="36"/>
    </row>
    <row r="63" spans="2:9">
      <c r="B63" s="29"/>
      <c r="C63" s="36"/>
      <c r="D63" s="29"/>
      <c r="E63" s="42"/>
      <c r="F63" s="36"/>
      <c r="G63" s="36"/>
      <c r="H63" s="36"/>
      <c r="I63" s="36"/>
    </row>
    <row r="64" spans="2:9">
      <c r="B64" s="29"/>
      <c r="C64" s="36"/>
      <c r="D64" s="29"/>
      <c r="E64" s="42"/>
      <c r="F64" s="36"/>
      <c r="G64" s="36"/>
      <c r="H64" s="36"/>
      <c r="I64" s="36"/>
    </row>
    <row r="65" spans="2:9">
      <c r="B65" s="29"/>
      <c r="C65" s="36"/>
      <c r="D65" s="29"/>
      <c r="E65" s="42"/>
      <c r="F65" s="36"/>
      <c r="G65" s="36"/>
      <c r="H65" s="36"/>
      <c r="I65" s="36"/>
    </row>
    <row r="66" spans="2:9">
      <c r="B66" s="29"/>
      <c r="C66" s="36"/>
      <c r="D66" s="29"/>
      <c r="E66" s="42"/>
      <c r="F66" s="36"/>
      <c r="G66" s="36"/>
      <c r="H66" s="36"/>
      <c r="I66" s="36"/>
    </row>
    <row r="67" spans="2:9">
      <c r="B67" s="29"/>
      <c r="C67" s="36"/>
      <c r="D67" s="29"/>
      <c r="E67" s="42"/>
      <c r="F67" s="36"/>
      <c r="G67" s="36"/>
      <c r="H67" s="36"/>
      <c r="I67" s="36"/>
    </row>
    <row r="68" spans="2:9">
      <c r="B68" s="29"/>
      <c r="C68" s="36"/>
      <c r="D68" s="29"/>
      <c r="E68" s="42"/>
      <c r="F68" s="36"/>
      <c r="G68" s="36"/>
      <c r="H68" s="36"/>
      <c r="I68" s="36"/>
    </row>
    <row r="69" spans="2:9">
      <c r="B69" s="29"/>
      <c r="C69" s="36"/>
      <c r="D69" s="29"/>
      <c r="E69" s="42"/>
      <c r="F69" s="36"/>
      <c r="G69" s="36"/>
      <c r="H69" s="36"/>
      <c r="I69" s="36"/>
    </row>
    <row r="70" spans="2:9">
      <c r="B70" s="29"/>
      <c r="C70" s="36"/>
      <c r="D70" s="29"/>
      <c r="E70" s="42"/>
      <c r="F70" s="36"/>
      <c r="G70" s="36"/>
      <c r="H70" s="36"/>
      <c r="I70" s="36"/>
    </row>
    <row r="71" spans="2:9">
      <c r="B71" s="29"/>
      <c r="C71" s="36"/>
      <c r="D71" s="29"/>
      <c r="E71" s="42"/>
      <c r="F71" s="36"/>
      <c r="G71" s="36"/>
      <c r="H71" s="36"/>
      <c r="I71" s="36"/>
    </row>
    <row r="72" spans="2:9">
      <c r="B72" s="29"/>
      <c r="C72" s="36"/>
      <c r="D72" s="29"/>
      <c r="E72" s="42"/>
      <c r="F72" s="36"/>
      <c r="G72" s="36"/>
      <c r="H72" s="36"/>
      <c r="I72" s="36"/>
    </row>
    <row r="73" spans="2:9">
      <c r="B73" s="29"/>
      <c r="C73" s="36"/>
      <c r="D73" s="29"/>
      <c r="E73" s="42"/>
      <c r="F73" s="36"/>
      <c r="G73" s="36"/>
      <c r="H73" s="36"/>
      <c r="I73" s="36"/>
    </row>
    <row r="74" spans="2:9">
      <c r="B74" s="29"/>
      <c r="C74" s="36"/>
      <c r="D74" s="29"/>
      <c r="E74" s="36"/>
      <c r="F74" s="36"/>
      <c r="G74" s="36"/>
    </row>
    <row r="75" spans="2:9">
      <c r="B75" s="1842"/>
      <c r="C75" s="1842"/>
      <c r="D75" s="1842"/>
      <c r="E75" s="1842"/>
      <c r="F75" s="1842"/>
      <c r="G75" s="1842"/>
    </row>
  </sheetData>
  <mergeCells count="3">
    <mergeCell ref="F57:I57"/>
    <mergeCell ref="B75:G75"/>
    <mergeCell ref="A4:E4"/>
  </mergeCells>
  <conditionalFormatting sqref="G23">
    <cfRule type="cellIs" dxfId="40" priority="2" operator="equal">
      <formula>FALSE</formula>
    </cfRule>
  </conditionalFormatting>
  <conditionalFormatting sqref="I23">
    <cfRule type="cellIs" dxfId="39" priority="1" operator="equal">
      <formula>FALSE</formula>
    </cfRule>
  </conditionalFormatting>
  <pageMargins left="0.7" right="0.7" top="0.75" bottom="0.75" header="0.3" footer="0.3"/>
  <pageSetup scale="69" firstPageNumber="20" orientation="portrait" useFirstPageNumber="1" r:id="rId1"/>
  <headerFooter>
    <oddFooter>&amp;C&amp;P</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380"/>
  <sheetViews>
    <sheetView showGridLines="0" view="pageBreakPreview" topLeftCell="A334" zoomScaleNormal="100" zoomScaleSheetLayoutView="100" workbookViewId="0">
      <selection activeCell="J339" sqref="J339"/>
    </sheetView>
  </sheetViews>
  <sheetFormatPr defaultColWidth="9.21875" defaultRowHeight="13.2"/>
  <cols>
    <col min="1" max="1" width="3.77734375" style="683" customWidth="1"/>
    <col min="2" max="2" width="3.21875" style="699" customWidth="1"/>
    <col min="3" max="3" width="14.77734375" style="699" customWidth="1"/>
    <col min="4" max="4" width="8.5546875" style="699" customWidth="1"/>
    <col min="5" max="5" width="11.77734375" style="699" customWidth="1"/>
    <col min="6" max="6" width="9.44140625" style="699" customWidth="1"/>
    <col min="7" max="7" width="19.44140625" style="699" customWidth="1"/>
    <col min="8" max="8" width="14" style="699" customWidth="1"/>
    <col min="9" max="9" width="13.44140625" style="699" customWidth="1"/>
    <col min="10" max="10" width="13.5546875" style="699" customWidth="1"/>
    <col min="11" max="11" width="13.77734375" style="700" customWidth="1"/>
    <col min="12" max="12" width="1.21875" style="699" customWidth="1"/>
    <col min="13" max="13" width="14.33203125" style="699" hidden="1" customWidth="1"/>
    <col min="14" max="14" width="10.77734375" style="699" hidden="1" customWidth="1"/>
    <col min="15" max="15" width="15.33203125" style="699" bestFit="1" customWidth="1"/>
    <col min="16" max="16" width="14.33203125" style="699" bestFit="1" customWidth="1"/>
    <col min="17" max="19" width="15.33203125" style="699" bestFit="1" customWidth="1"/>
    <col min="20" max="16384" width="9.21875" style="699"/>
  </cols>
  <sheetData>
    <row r="1" spans="1:12">
      <c r="A1" s="689" t="str">
        <f>+Master!B2</f>
        <v>Syntel Solutions (India) Private Limited</v>
      </c>
      <c r="B1" s="681"/>
    </row>
    <row r="2" spans="1:12">
      <c r="A2" s="682"/>
      <c r="D2" s="702"/>
      <c r="G2" s="900"/>
      <c r="H2" s="900"/>
      <c r="I2" s="900"/>
      <c r="J2" s="900"/>
    </row>
    <row r="3" spans="1:12">
      <c r="A3" s="683" t="str">
        <f>'3-4'!A3</f>
        <v>Summary of material accounting policies and other explanatory information</v>
      </c>
      <c r="G3" s="900"/>
      <c r="H3" s="900"/>
      <c r="I3" s="900"/>
      <c r="J3" s="900"/>
    </row>
    <row r="4" spans="1:12">
      <c r="A4" s="1040" t="str">
        <f>'3-4'!A4</f>
        <v>(Amounts are stated in ₹ Lakhs unless otherwise stated)</v>
      </c>
      <c r="G4" s="900"/>
      <c r="H4" s="900"/>
      <c r="I4" s="900"/>
      <c r="J4" s="900"/>
    </row>
    <row r="5" spans="1:12" hidden="1">
      <c r="A5" s="754"/>
      <c r="G5" s="900"/>
      <c r="H5" s="900"/>
      <c r="I5" s="900"/>
      <c r="J5" s="900"/>
    </row>
    <row r="6" spans="1:12" hidden="1">
      <c r="G6" s="900"/>
      <c r="H6" s="900"/>
      <c r="I6" s="900"/>
      <c r="J6" s="900"/>
    </row>
    <row r="7" spans="1:12">
      <c r="B7" s="701"/>
      <c r="C7" s="703"/>
      <c r="D7" s="703"/>
      <c r="E7" s="703"/>
      <c r="F7" s="703"/>
      <c r="G7" s="703"/>
      <c r="H7" s="703"/>
      <c r="I7" s="703"/>
      <c r="J7" s="703"/>
      <c r="K7" s="699"/>
    </row>
    <row r="8" spans="1:12">
      <c r="A8" s="683">
        <f>'5-9'!A196+1</f>
        <v>10</v>
      </c>
      <c r="B8" s="688" t="s">
        <v>623</v>
      </c>
      <c r="C8" s="849"/>
      <c r="D8" s="849"/>
      <c r="E8" s="849"/>
      <c r="F8" s="849"/>
      <c r="G8" s="849"/>
      <c r="H8" s="849"/>
      <c r="I8" s="849"/>
      <c r="J8" s="849"/>
      <c r="K8" s="699"/>
    </row>
    <row r="9" spans="1:12">
      <c r="B9" s="695"/>
      <c r="C9" s="695"/>
      <c r="D9" s="695"/>
      <c r="E9" s="695"/>
      <c r="F9" s="695"/>
      <c r="G9" s="695"/>
      <c r="H9" s="695"/>
      <c r="I9" s="695"/>
      <c r="J9" s="684" t="s">
        <v>490</v>
      </c>
      <c r="K9" s="684" t="s">
        <v>490</v>
      </c>
    </row>
    <row r="10" spans="1:12">
      <c r="B10" s="1053"/>
      <c r="C10" s="1053"/>
      <c r="D10" s="1053"/>
      <c r="E10" s="1053"/>
      <c r="F10" s="1053"/>
      <c r="G10" s="1053"/>
      <c r="H10" s="1053"/>
      <c r="I10" s="758"/>
      <c r="J10" s="758">
        <f>BS!$G$7</f>
        <v>45747</v>
      </c>
      <c r="K10" s="758">
        <f>BS!$I$7</f>
        <v>45382</v>
      </c>
      <c r="L10" s="711"/>
    </row>
    <row r="11" spans="1:12" ht="3" customHeight="1">
      <c r="B11" s="849"/>
      <c r="C11" s="849"/>
      <c r="D11" s="849"/>
      <c r="E11" s="849"/>
      <c r="F11" s="849"/>
      <c r="G11" s="849"/>
      <c r="H11" s="849"/>
      <c r="I11" s="688"/>
      <c r="J11" s="849"/>
      <c r="K11" s="699"/>
    </row>
    <row r="12" spans="1:12">
      <c r="B12" s="688" t="s">
        <v>1938</v>
      </c>
      <c r="C12" s="849"/>
      <c r="D12" s="688"/>
      <c r="E12" s="688"/>
      <c r="F12" s="849"/>
      <c r="G12" s="849"/>
      <c r="H12" s="849"/>
      <c r="I12" s="884"/>
      <c r="J12" s="892"/>
      <c r="K12" s="699"/>
    </row>
    <row r="13" spans="1:12">
      <c r="B13" s="1752" t="str">
        <f>'Sch - BS'!A174</f>
        <v>10,000 Equity Shares of ₹ 10 each</v>
      </c>
      <c r="C13" s="1752"/>
      <c r="D13" s="1752"/>
      <c r="E13" s="1752"/>
      <c r="F13" s="1752"/>
      <c r="G13" s="1752"/>
      <c r="H13" s="849"/>
      <c r="I13" s="884"/>
      <c r="J13" s="892">
        <f>+'Sch - BS'!G174</f>
        <v>100000</v>
      </c>
      <c r="K13" s="892">
        <f>+'Sch - BS'!I174</f>
        <v>100000</v>
      </c>
    </row>
    <row r="14" spans="1:12">
      <c r="B14" s="1752" t="s">
        <v>1989</v>
      </c>
      <c r="C14" s="1752"/>
      <c r="D14" s="1752"/>
      <c r="E14" s="1752"/>
      <c r="F14" s="1752"/>
      <c r="G14" s="1752"/>
      <c r="H14" s="1752"/>
      <c r="I14" s="884"/>
      <c r="J14" s="892">
        <f>ROUND(400000/Master!$B$23,0)</f>
        <v>400000</v>
      </c>
      <c r="K14" s="892">
        <f>ROUND(400000/Master!$B$23,0)</f>
        <v>400000</v>
      </c>
    </row>
    <row r="15" spans="1:12" ht="3" customHeight="1">
      <c r="B15" s="849"/>
      <c r="C15" s="849"/>
      <c r="D15" s="849"/>
      <c r="E15" s="849"/>
      <c r="F15" s="849"/>
      <c r="G15" s="849"/>
      <c r="H15" s="849"/>
      <c r="I15" s="688"/>
      <c r="J15" s="688"/>
      <c r="K15" s="699"/>
    </row>
    <row r="16" spans="1:12">
      <c r="B16" s="688" t="s">
        <v>1939</v>
      </c>
      <c r="C16" s="849"/>
      <c r="D16" s="688"/>
      <c r="E16" s="688"/>
      <c r="F16" s="849"/>
      <c r="G16" s="849"/>
      <c r="H16" s="849"/>
      <c r="I16" s="688"/>
      <c r="J16" s="688"/>
      <c r="K16" s="699"/>
    </row>
    <row r="17" spans="1:12">
      <c r="B17" s="1752" t="str">
        <f>'Sch - BS'!A177</f>
        <v>10,000 Equity Shares of  ₹ 10 each fully paid up</v>
      </c>
      <c r="C17" s="1752"/>
      <c r="D17" s="1752"/>
      <c r="E17" s="1752"/>
      <c r="F17" s="1752"/>
      <c r="G17" s="1752"/>
      <c r="H17" s="849"/>
      <c r="I17" s="884"/>
      <c r="J17" s="892">
        <f>+'Sch - BS'!G177</f>
        <v>100000</v>
      </c>
      <c r="K17" s="873">
        <f>+'Sch - BS'!I177</f>
        <v>100000</v>
      </c>
    </row>
    <row r="18" spans="1:12">
      <c r="B18" s="1056" t="s">
        <v>173</v>
      </c>
      <c r="C18" s="1058"/>
      <c r="D18" s="1058"/>
      <c r="E18" s="1058"/>
      <c r="F18" s="1058"/>
      <c r="G18" s="1058"/>
      <c r="H18" s="1058"/>
      <c r="I18" s="1057"/>
      <c r="J18" s="1059">
        <f>SUM(J17)</f>
        <v>100000</v>
      </c>
      <c r="K18" s="971">
        <f>SUM(K17)</f>
        <v>100000</v>
      </c>
    </row>
    <row r="19" spans="1:12" ht="6" customHeight="1">
      <c r="B19" s="849"/>
      <c r="C19" s="849"/>
      <c r="D19" s="849"/>
      <c r="E19" s="849"/>
      <c r="F19" s="849"/>
      <c r="G19" s="849"/>
      <c r="H19" s="849"/>
      <c r="I19" s="884"/>
      <c r="J19" s="839"/>
      <c r="K19" s="699"/>
    </row>
    <row r="20" spans="1:12" ht="12" customHeight="1">
      <c r="B20" s="849"/>
      <c r="C20" s="849"/>
      <c r="D20" s="849"/>
      <c r="E20" s="849"/>
      <c r="F20" s="849"/>
      <c r="G20" s="849"/>
      <c r="H20" s="849"/>
      <c r="I20" s="849"/>
      <c r="J20" s="849"/>
      <c r="K20" s="882"/>
    </row>
    <row r="21" spans="1:12">
      <c r="B21" s="849" t="s">
        <v>2332</v>
      </c>
      <c r="C21" s="849"/>
      <c r="D21" s="849"/>
      <c r="E21" s="849"/>
      <c r="F21" s="849"/>
      <c r="G21" s="849"/>
      <c r="H21" s="849"/>
      <c r="I21" s="849"/>
      <c r="J21" s="849"/>
      <c r="K21" s="882"/>
    </row>
    <row r="22" spans="1:12">
      <c r="B22" s="849"/>
      <c r="C22" s="849"/>
      <c r="D22" s="849"/>
      <c r="E22" s="849"/>
      <c r="F22" s="849"/>
      <c r="G22" s="849"/>
      <c r="H22" s="849"/>
      <c r="I22" s="849"/>
      <c r="J22" s="849"/>
      <c r="K22" s="882"/>
    </row>
    <row r="23" spans="1:12">
      <c r="B23" s="688" t="s">
        <v>131</v>
      </c>
      <c r="C23" s="688" t="s">
        <v>257</v>
      </c>
      <c r="D23" s="849"/>
      <c r="E23" s="849"/>
      <c r="F23" s="849"/>
      <c r="G23" s="849"/>
      <c r="H23" s="849"/>
      <c r="I23" s="849"/>
      <c r="J23" s="849"/>
      <c r="K23" s="882"/>
    </row>
    <row r="24" spans="1:12" ht="5.0999999999999996" customHeight="1">
      <c r="B24" s="849"/>
      <c r="C24" s="849"/>
      <c r="D24" s="849"/>
      <c r="E24" s="849"/>
      <c r="F24" s="849"/>
      <c r="G24" s="849"/>
      <c r="H24" s="849"/>
      <c r="I24" s="849"/>
      <c r="J24" s="849"/>
      <c r="K24" s="882"/>
    </row>
    <row r="25" spans="1:12">
      <c r="B25" s="894"/>
      <c r="C25" s="894"/>
      <c r="D25" s="894"/>
      <c r="E25" s="894"/>
      <c r="F25" s="1748"/>
      <c r="G25" s="1748"/>
      <c r="H25" s="1748" t="s">
        <v>2998</v>
      </c>
      <c r="I25" s="1748"/>
      <c r="J25" s="1748" t="s">
        <v>2829</v>
      </c>
      <c r="K25" s="1748"/>
      <c r="L25" s="781"/>
    </row>
    <row r="26" spans="1:12" ht="26.4">
      <c r="B26" s="894"/>
      <c r="C26" s="1053"/>
      <c r="D26" s="1053"/>
      <c r="E26" s="1053"/>
      <c r="F26" s="1054"/>
      <c r="G26" s="1045"/>
      <c r="H26" s="1054" t="s">
        <v>2224</v>
      </c>
      <c r="I26" s="1045" t="s">
        <v>258</v>
      </c>
      <c r="J26" s="1054" t="s">
        <v>2224</v>
      </c>
      <c r="K26" s="1045" t="s">
        <v>258</v>
      </c>
    </row>
    <row r="27" spans="1:12" ht="3" customHeight="1">
      <c r="B27" s="849"/>
      <c r="C27" s="849"/>
      <c r="D27" s="849"/>
      <c r="E27" s="849"/>
      <c r="F27" s="849"/>
      <c r="G27" s="849"/>
      <c r="H27" s="688"/>
      <c r="I27" s="688"/>
      <c r="J27" s="849"/>
      <c r="K27" s="849"/>
    </row>
    <row r="28" spans="1:12">
      <c r="C28" s="849" t="s">
        <v>1812</v>
      </c>
      <c r="D28" s="688"/>
      <c r="E28" s="688"/>
      <c r="F28" s="884"/>
      <c r="G28" s="884"/>
      <c r="H28" s="892">
        <v>10000</v>
      </c>
      <c r="I28" s="892">
        <f>ROUND(BS!G40,0)</f>
        <v>100000</v>
      </c>
      <c r="J28" s="892">
        <v>10000</v>
      </c>
      <c r="K28" s="892">
        <f>ROUND(BS!I40,0)</f>
        <v>100000</v>
      </c>
    </row>
    <row r="29" spans="1:12">
      <c r="C29" s="849" t="s">
        <v>259</v>
      </c>
      <c r="D29" s="688"/>
      <c r="E29" s="688"/>
      <c r="F29" s="884"/>
      <c r="G29" s="884"/>
      <c r="H29" s="892">
        <v>0</v>
      </c>
      <c r="I29" s="892">
        <v>0</v>
      </c>
      <c r="J29" s="892">
        <v>0</v>
      </c>
      <c r="K29" s="892">
        <v>0</v>
      </c>
    </row>
    <row r="30" spans="1:12" s="681" customFormat="1">
      <c r="A30" s="683"/>
      <c r="C30" s="1056" t="s">
        <v>260</v>
      </c>
      <c r="D30" s="1056"/>
      <c r="E30" s="1056"/>
      <c r="F30" s="1057"/>
      <c r="G30" s="1057"/>
      <c r="H30" s="1057">
        <f>SUM(H28:H29)</f>
        <v>10000</v>
      </c>
      <c r="I30" s="1057">
        <f>SUM(I28:I29)</f>
        <v>100000</v>
      </c>
      <c r="J30" s="1057">
        <f>SUM(J28:J29)</f>
        <v>10000</v>
      </c>
      <c r="K30" s="1057">
        <f>SUM(K28:K29)</f>
        <v>100000</v>
      </c>
    </row>
    <row r="31" spans="1:12" s="681" customFormat="1">
      <c r="A31" s="683"/>
      <c r="C31" s="849" t="s">
        <v>2225</v>
      </c>
      <c r="D31" s="688"/>
      <c r="E31" s="688"/>
      <c r="F31" s="884"/>
      <c r="G31" s="884"/>
      <c r="H31" s="884"/>
      <c r="I31" s="884"/>
      <c r="J31" s="884"/>
      <c r="K31" s="884"/>
    </row>
    <row r="32" spans="1:12">
      <c r="B32" s="849"/>
      <c r="C32" s="849"/>
      <c r="D32" s="849"/>
      <c r="E32" s="849"/>
      <c r="F32" s="849"/>
      <c r="G32" s="849"/>
      <c r="H32" s="849"/>
      <c r="I32" s="849"/>
      <c r="J32" s="849"/>
      <c r="K32" s="882"/>
    </row>
    <row r="33" spans="2:11" ht="15" customHeight="1">
      <c r="B33" s="681" t="s">
        <v>133</v>
      </c>
      <c r="C33" s="681" t="s">
        <v>261</v>
      </c>
      <c r="K33" s="882"/>
    </row>
    <row r="34" spans="2:11" ht="5.0999999999999996" customHeight="1">
      <c r="B34" s="681"/>
      <c r="C34" s="681"/>
      <c r="K34" s="882"/>
    </row>
    <row r="35" spans="2:11" ht="66" customHeight="1">
      <c r="C35" s="1853" t="s">
        <v>1990</v>
      </c>
      <c r="D35" s="1854"/>
      <c r="E35" s="1854"/>
      <c r="F35" s="1854"/>
      <c r="G35" s="1854"/>
      <c r="H35" s="1854"/>
      <c r="I35" s="1854"/>
      <c r="J35" s="1854"/>
      <c r="K35" s="1854"/>
    </row>
    <row r="36" spans="2:11" ht="12" customHeight="1">
      <c r="K36" s="882"/>
    </row>
    <row r="37" spans="2:11" hidden="1">
      <c r="K37" s="882"/>
    </row>
    <row r="38" spans="2:11">
      <c r="B38" s="688" t="s">
        <v>134</v>
      </c>
      <c r="C38" s="688" t="s">
        <v>1941</v>
      </c>
      <c r="D38" s="849"/>
      <c r="E38" s="849"/>
      <c r="F38" s="849"/>
      <c r="G38" s="849"/>
      <c r="H38" s="894"/>
      <c r="I38" s="849"/>
      <c r="J38" s="894"/>
      <c r="K38" s="882"/>
    </row>
    <row r="39" spans="2:11" ht="5.0999999999999996" customHeight="1">
      <c r="B39" s="688"/>
      <c r="C39" s="688"/>
      <c r="D39" s="849"/>
      <c r="E39" s="849"/>
      <c r="F39" s="849"/>
      <c r="G39" s="849"/>
      <c r="H39" s="894"/>
      <c r="I39" s="849"/>
      <c r="J39" s="894"/>
      <c r="K39" s="882"/>
    </row>
    <row r="40" spans="2:11">
      <c r="C40" s="849"/>
      <c r="D40" s="849"/>
      <c r="E40" s="849"/>
      <c r="F40" s="1748"/>
      <c r="G40" s="1748"/>
      <c r="H40" s="1748" t="str">
        <f>+$H$25</f>
        <v>As at 31 March 2025</v>
      </c>
      <c r="I40" s="1748"/>
      <c r="J40" s="1748" t="str">
        <f>+$J$25</f>
        <v>As at 31 March 2024</v>
      </c>
      <c r="K40" s="1748"/>
    </row>
    <row r="41" spans="2:11" ht="26.4">
      <c r="C41" s="893"/>
      <c r="D41" s="893"/>
      <c r="E41" s="893"/>
      <c r="F41" s="1054"/>
      <c r="G41" s="1045"/>
      <c r="H41" s="1054" t="s">
        <v>2226</v>
      </c>
      <c r="I41" s="1045" t="s">
        <v>1940</v>
      </c>
      <c r="J41" s="1054" t="s">
        <v>2226</v>
      </c>
      <c r="K41" s="1045" t="s">
        <v>1940</v>
      </c>
    </row>
    <row r="42" spans="2:11">
      <c r="C42" s="849"/>
      <c r="D42" s="849"/>
      <c r="E42" s="849"/>
      <c r="F42" s="849"/>
      <c r="G42" s="849"/>
      <c r="H42" s="688"/>
      <c r="I42" s="688"/>
      <c r="J42" s="849"/>
      <c r="K42" s="849"/>
    </row>
    <row r="43" spans="2:11">
      <c r="C43" s="878" t="s">
        <v>2042</v>
      </c>
      <c r="D43" s="878"/>
      <c r="E43" s="878"/>
      <c r="F43" s="878"/>
      <c r="G43" s="896"/>
      <c r="H43" s="892">
        <f>H30</f>
        <v>10000</v>
      </c>
      <c r="I43" s="902">
        <v>100</v>
      </c>
      <c r="J43" s="892">
        <f>J30</f>
        <v>10000</v>
      </c>
      <c r="K43" s="902">
        <v>100</v>
      </c>
    </row>
    <row r="44" spans="2:11" ht="1.5" customHeight="1">
      <c r="C44" s="878"/>
      <c r="D44" s="878"/>
      <c r="E44" s="878"/>
      <c r="F44" s="878"/>
      <c r="G44" s="896"/>
      <c r="H44" s="892"/>
      <c r="I44" s="902"/>
      <c r="J44" s="892"/>
      <c r="K44" s="902"/>
    </row>
    <row r="45" spans="2:11">
      <c r="C45" s="849" t="s">
        <v>2225</v>
      </c>
      <c r="D45" s="878"/>
      <c r="E45" s="878"/>
      <c r="F45" s="878"/>
      <c r="G45" s="896"/>
      <c r="H45" s="892"/>
      <c r="I45" s="902"/>
      <c r="J45" s="892"/>
      <c r="K45" s="902"/>
    </row>
    <row r="46" spans="2:11" ht="5.0999999999999996" customHeight="1">
      <c r="C46" s="849"/>
      <c r="D46" s="849"/>
      <c r="E46" s="849"/>
      <c r="F46" s="849"/>
      <c r="G46" s="884"/>
      <c r="H46" s="1052"/>
      <c r="I46" s="892"/>
      <c r="J46" s="1052"/>
      <c r="K46" s="699"/>
    </row>
    <row r="47" spans="2:11" hidden="1">
      <c r="K47" s="882"/>
    </row>
    <row r="48" spans="2:11" hidden="1">
      <c r="K48" s="882"/>
    </row>
    <row r="49" spans="2:11" ht="15" customHeight="1">
      <c r="K49" s="882"/>
    </row>
    <row r="50" spans="2:11">
      <c r="B50" s="688" t="s">
        <v>138</v>
      </c>
      <c r="C50" s="688" t="s">
        <v>1960</v>
      </c>
      <c r="D50" s="849"/>
      <c r="E50" s="849"/>
      <c r="F50" s="849"/>
      <c r="G50" s="849"/>
      <c r="H50" s="894"/>
      <c r="I50" s="849"/>
      <c r="J50" s="894"/>
      <c r="K50" s="882"/>
    </row>
    <row r="51" spans="2:11" ht="5.0999999999999996" customHeight="1">
      <c r="B51" s="688"/>
      <c r="C51" s="688"/>
      <c r="D51" s="849"/>
      <c r="E51" s="849"/>
      <c r="F51" s="849"/>
      <c r="G51" s="849"/>
      <c r="H51" s="894"/>
      <c r="I51" s="849"/>
      <c r="J51" s="894"/>
      <c r="K51" s="882"/>
    </row>
    <row r="52" spans="2:11">
      <c r="C52" s="849"/>
      <c r="D52" s="849"/>
      <c r="E52" s="849"/>
      <c r="F52" s="1748"/>
      <c r="G52" s="1748"/>
      <c r="H52" s="1748" t="str">
        <f>+$H$25</f>
        <v>As at 31 March 2025</v>
      </c>
      <c r="I52" s="1748"/>
      <c r="J52" s="1748" t="str">
        <f>+$J$25</f>
        <v>As at 31 March 2024</v>
      </c>
      <c r="K52" s="1748"/>
    </row>
    <row r="53" spans="2:11" ht="26.4">
      <c r="C53" s="893"/>
      <c r="D53" s="893"/>
      <c r="E53" s="893"/>
      <c r="F53" s="1054"/>
      <c r="G53" s="1045"/>
      <c r="H53" s="1054" t="s">
        <v>2226</v>
      </c>
      <c r="I53" s="1045" t="s">
        <v>1940</v>
      </c>
      <c r="J53" s="1054" t="s">
        <v>2226</v>
      </c>
      <c r="K53" s="1045" t="s">
        <v>1940</v>
      </c>
    </row>
    <row r="54" spans="2:11" ht="3" customHeight="1">
      <c r="C54" s="849"/>
      <c r="D54" s="849"/>
      <c r="E54" s="849"/>
      <c r="F54" s="849"/>
      <c r="G54" s="849"/>
      <c r="H54" s="688"/>
      <c r="I54" s="688"/>
      <c r="J54" s="849"/>
      <c r="K54" s="849"/>
    </row>
    <row r="55" spans="2:11" ht="12.75" customHeight="1">
      <c r="C55" s="878" t="s">
        <v>2042</v>
      </c>
      <c r="D55" s="878"/>
      <c r="E55" s="878"/>
      <c r="F55" s="878"/>
      <c r="G55" s="896"/>
      <c r="H55" s="892">
        <f>H30</f>
        <v>10000</v>
      </c>
      <c r="I55" s="902">
        <v>100</v>
      </c>
      <c r="J55" s="892">
        <f>J30</f>
        <v>10000</v>
      </c>
      <c r="K55" s="902">
        <v>100</v>
      </c>
    </row>
    <row r="56" spans="2:11" ht="1.5" customHeight="1">
      <c r="C56" s="878"/>
      <c r="D56" s="878"/>
      <c r="E56" s="878"/>
      <c r="F56" s="878"/>
      <c r="G56" s="896"/>
      <c r="H56" s="892"/>
      <c r="I56" s="902"/>
      <c r="J56" s="892"/>
      <c r="K56" s="902"/>
    </row>
    <row r="57" spans="2:11" ht="12.75" customHeight="1">
      <c r="C57" s="849" t="s">
        <v>2225</v>
      </c>
      <c r="D57" s="878"/>
      <c r="E57" s="878"/>
      <c r="F57" s="878"/>
      <c r="G57" s="896"/>
      <c r="H57" s="892"/>
      <c r="I57" s="902"/>
      <c r="J57" s="892"/>
      <c r="K57" s="902"/>
    </row>
    <row r="58" spans="2:11" ht="5.0999999999999996" customHeight="1">
      <c r="C58" s="849"/>
      <c r="D58" s="849"/>
      <c r="E58" s="849"/>
      <c r="F58" s="849"/>
      <c r="G58" s="884"/>
      <c r="H58" s="1052"/>
      <c r="I58" s="892"/>
      <c r="J58" s="1052"/>
      <c r="K58" s="699"/>
    </row>
    <row r="59" spans="2:11" ht="1.95" customHeight="1">
      <c r="B59" s="681"/>
      <c r="K59" s="699"/>
    </row>
    <row r="60" spans="2:11">
      <c r="B60" s="688" t="s">
        <v>2176</v>
      </c>
      <c r="C60" s="688" t="s">
        <v>2762</v>
      </c>
      <c r="K60" s="699"/>
    </row>
    <row r="61" spans="2:11">
      <c r="B61" s="681"/>
      <c r="K61" s="699"/>
    </row>
    <row r="62" spans="2:11" hidden="1">
      <c r="B62" s="681"/>
      <c r="K62" s="699"/>
    </row>
    <row r="63" spans="2:11">
      <c r="B63" s="681"/>
      <c r="H63" s="1848" t="s">
        <v>2998</v>
      </c>
      <c r="I63" s="1848"/>
      <c r="J63" s="1848"/>
      <c r="K63" s="1848"/>
    </row>
    <row r="64" spans="2:11" ht="38.25" customHeight="1">
      <c r="B64" s="681"/>
      <c r="C64" s="711"/>
      <c r="D64" s="711"/>
      <c r="E64" s="711"/>
      <c r="F64" s="711"/>
      <c r="G64" s="711"/>
      <c r="H64" s="1412" t="s">
        <v>2615</v>
      </c>
      <c r="I64" s="1412" t="s">
        <v>2604</v>
      </c>
      <c r="J64" s="1849" t="s">
        <v>2605</v>
      </c>
      <c r="K64" s="1849"/>
    </row>
    <row r="65" spans="1:11">
      <c r="B65" s="681"/>
      <c r="C65" s="1159" t="s">
        <v>2606</v>
      </c>
      <c r="H65" s="764">
        <v>9994</v>
      </c>
      <c r="I65" s="882">
        <f>+H65/$H$43*100</f>
        <v>99.94</v>
      </c>
      <c r="K65" s="882">
        <v>0</v>
      </c>
    </row>
    <row r="66" spans="1:11">
      <c r="B66" s="681"/>
      <c r="C66" s="1159" t="s">
        <v>2614</v>
      </c>
      <c r="H66" s="764">
        <v>6</v>
      </c>
      <c r="I66" s="882">
        <f>+H66/$H$43*100</f>
        <v>0.06</v>
      </c>
      <c r="K66" s="882">
        <v>0</v>
      </c>
    </row>
    <row r="67" spans="1:11">
      <c r="B67" s="681"/>
      <c r="K67" s="699"/>
    </row>
    <row r="68" spans="1:11">
      <c r="B68" s="681"/>
      <c r="H68" s="1848" t="s">
        <v>2829</v>
      </c>
      <c r="I68" s="1848"/>
      <c r="J68" s="1848"/>
      <c r="K68" s="1848"/>
    </row>
    <row r="69" spans="1:11" ht="39.6">
      <c r="B69" s="681"/>
      <c r="C69" s="711"/>
      <c r="D69" s="711"/>
      <c r="E69" s="711"/>
      <c r="F69" s="711"/>
      <c r="G69" s="711"/>
      <c r="H69" s="1412" t="s">
        <v>2615</v>
      </c>
      <c r="I69" s="1412" t="s">
        <v>2604</v>
      </c>
      <c r="J69" s="1849" t="s">
        <v>2605</v>
      </c>
      <c r="K69" s="1849"/>
    </row>
    <row r="70" spans="1:11">
      <c r="B70" s="681"/>
      <c r="C70" s="1159" t="s">
        <v>2606</v>
      </c>
      <c r="H70" s="764">
        <v>9994</v>
      </c>
      <c r="I70" s="882">
        <f>+H70/$H$43*100</f>
        <v>99.94</v>
      </c>
      <c r="K70" s="882">
        <v>0</v>
      </c>
    </row>
    <row r="71" spans="1:11">
      <c r="B71" s="681"/>
      <c r="C71" s="1159" t="s">
        <v>2614</v>
      </c>
      <c r="H71" s="764">
        <v>6</v>
      </c>
      <c r="I71" s="882">
        <f>+H71/$H$43*100</f>
        <v>0.06</v>
      </c>
      <c r="K71" s="882">
        <v>0</v>
      </c>
    </row>
    <row r="72" spans="1:11">
      <c r="B72" s="681"/>
      <c r="C72" s="849" t="s">
        <v>2225</v>
      </c>
      <c r="K72" s="699"/>
    </row>
    <row r="73" spans="1:11">
      <c r="B73" s="681"/>
      <c r="C73" s="849"/>
      <c r="K73" s="699"/>
    </row>
    <row r="74" spans="1:11" ht="27.45" customHeight="1">
      <c r="B74" s="688" t="s">
        <v>2177</v>
      </c>
      <c r="C74" s="1752" t="s">
        <v>3006</v>
      </c>
      <c r="D74" s="1752"/>
      <c r="E74" s="1752"/>
      <c r="F74" s="1752"/>
      <c r="G74" s="1752"/>
      <c r="H74" s="1752"/>
      <c r="I74" s="1752"/>
      <c r="J74" s="1752"/>
      <c r="K74" s="1752"/>
    </row>
    <row r="75" spans="1:11">
      <c r="B75" s="681"/>
      <c r="C75" s="849"/>
      <c r="K75" s="699"/>
    </row>
    <row r="76" spans="1:11">
      <c r="A76" s="683">
        <f>+A8+1</f>
        <v>11</v>
      </c>
      <c r="B76" s="681" t="s">
        <v>39</v>
      </c>
      <c r="C76" s="681"/>
      <c r="D76" s="681"/>
      <c r="E76" s="681"/>
      <c r="F76" s="681"/>
      <c r="G76" s="681"/>
      <c r="H76" s="681"/>
      <c r="I76" s="681"/>
      <c r="J76" s="681"/>
      <c r="K76" s="681"/>
    </row>
    <row r="77" spans="1:11" ht="39.75" customHeight="1">
      <c r="A77" s="701"/>
      <c r="B77" s="1859" t="s">
        <v>2616</v>
      </c>
      <c r="C77" s="1803"/>
      <c r="D77" s="1803"/>
      <c r="E77" s="1803"/>
      <c r="F77" s="1803"/>
      <c r="G77" s="1803"/>
      <c r="H77" s="1803"/>
      <c r="I77" s="1803"/>
      <c r="J77" s="1803"/>
      <c r="K77" s="1803"/>
    </row>
    <row r="78" spans="1:11" hidden="1">
      <c r="A78" s="701"/>
      <c r="I78" s="710"/>
      <c r="J78" s="710"/>
      <c r="K78" s="699"/>
    </row>
    <row r="79" spans="1:11" ht="26.4" hidden="1">
      <c r="A79" s="701"/>
      <c r="B79" s="1844" t="s">
        <v>262</v>
      </c>
      <c r="C79" s="1844"/>
      <c r="D79" s="1844" t="s">
        <v>263</v>
      </c>
      <c r="E79" s="1844"/>
      <c r="F79" s="1844"/>
      <c r="G79" s="905" t="s">
        <v>264</v>
      </c>
      <c r="H79" s="905" t="s">
        <v>265</v>
      </c>
      <c r="I79" s="905" t="s">
        <v>266</v>
      </c>
      <c r="J79" s="1844" t="s">
        <v>267</v>
      </c>
      <c r="K79" s="1844"/>
    </row>
    <row r="80" spans="1:11" hidden="1">
      <c r="A80" s="701"/>
      <c r="I80" s="681"/>
      <c r="J80" s="681"/>
      <c r="K80" s="681"/>
    </row>
    <row r="81" spans="1:14" ht="28.5" hidden="1" customHeight="1">
      <c r="A81" s="701"/>
      <c r="C81" s="975" t="s">
        <v>268</v>
      </c>
      <c r="E81" s="764">
        <v>11200</v>
      </c>
      <c r="F81" s="764"/>
      <c r="G81" s="764">
        <v>10</v>
      </c>
      <c r="H81" s="764">
        <v>11520</v>
      </c>
      <c r="I81" s="897">
        <v>16210</v>
      </c>
      <c r="J81" s="1852" t="s">
        <v>269</v>
      </c>
      <c r="K81" s="1852"/>
    </row>
    <row r="82" spans="1:14" hidden="1">
      <c r="A82" s="701"/>
      <c r="C82" s="713"/>
      <c r="E82" s="764"/>
      <c r="F82" s="764"/>
      <c r="G82" s="764"/>
      <c r="H82" s="764"/>
      <c r="I82" s="897"/>
      <c r="J82" s="1852"/>
      <c r="K82" s="1852"/>
    </row>
    <row r="83" spans="1:14" hidden="1">
      <c r="A83" s="701"/>
      <c r="I83" s="710"/>
      <c r="J83" s="710"/>
      <c r="K83" s="699"/>
    </row>
    <row r="84" spans="1:14" ht="4.5" customHeight="1">
      <c r="A84" s="701"/>
      <c r="I84" s="681"/>
      <c r="J84" s="681"/>
      <c r="K84" s="681"/>
    </row>
    <row r="85" spans="1:14">
      <c r="A85" s="1102" t="s">
        <v>1971</v>
      </c>
      <c r="B85" s="1103" t="s">
        <v>1972</v>
      </c>
      <c r="I85" s="681"/>
      <c r="J85" s="681"/>
      <c r="K85" s="681"/>
    </row>
    <row r="86" spans="1:14">
      <c r="B86" s="1850" t="s">
        <v>268</v>
      </c>
      <c r="C86" s="1850"/>
      <c r="D86" s="1850"/>
      <c r="E86" s="1850"/>
      <c r="F86" s="1850"/>
      <c r="G86" s="1850"/>
      <c r="H86" s="1748" t="str">
        <f>+$H$25</f>
        <v>As at 31 March 2025</v>
      </c>
      <c r="I86" s="1748"/>
      <c r="J86" s="1748" t="str">
        <f>+$J$25</f>
        <v>As at 31 March 2024</v>
      </c>
      <c r="K86" s="1748"/>
    </row>
    <row r="87" spans="1:14" ht="16.5" customHeight="1">
      <c r="A87" s="701"/>
      <c r="B87" s="1851"/>
      <c r="C87" s="1851"/>
      <c r="D87" s="1851"/>
      <c r="E87" s="1851"/>
      <c r="F87" s="1851"/>
      <c r="G87" s="1851"/>
      <c r="H87" s="1055" t="s">
        <v>2227</v>
      </c>
      <c r="I87" s="821" t="s">
        <v>258</v>
      </c>
      <c r="J87" s="1055" t="s">
        <v>2227</v>
      </c>
      <c r="K87" s="821" t="s">
        <v>258</v>
      </c>
    </row>
    <row r="88" spans="1:14">
      <c r="A88" s="701"/>
      <c r="B88" s="1103" t="s">
        <v>1962</v>
      </c>
      <c r="G88" s="867"/>
      <c r="H88" s="764">
        <v>11200</v>
      </c>
      <c r="I88" s="873">
        <f>H88*10/Master!$B$23</f>
        <v>112000</v>
      </c>
      <c r="J88" s="764">
        <v>11200</v>
      </c>
      <c r="K88" s="873">
        <f>J88*10/Master!$B$23</f>
        <v>112000</v>
      </c>
    </row>
    <row r="89" spans="1:14">
      <c r="A89" s="701"/>
      <c r="B89" s="1103" t="s">
        <v>1963</v>
      </c>
      <c r="F89" s="763"/>
      <c r="G89" s="867"/>
      <c r="H89" s="764">
        <v>0</v>
      </c>
      <c r="I89" s="873">
        <v>0</v>
      </c>
      <c r="J89" s="764">
        <v>0</v>
      </c>
      <c r="K89" s="873">
        <v>0</v>
      </c>
      <c r="N89" s="873"/>
    </row>
    <row r="90" spans="1:14">
      <c r="A90" s="701"/>
      <c r="B90" s="820" t="s">
        <v>1964</v>
      </c>
      <c r="C90" s="1035"/>
      <c r="D90" s="1035"/>
      <c r="E90" s="1035"/>
      <c r="F90" s="1035"/>
      <c r="G90" s="1036"/>
      <c r="H90" s="971">
        <f>SUM(H88:H89)</f>
        <v>11200</v>
      </c>
      <c r="I90" s="1036">
        <f>SUM(I88:I89)</f>
        <v>112000</v>
      </c>
      <c r="J90" s="971">
        <f>SUM(J88:J89)</f>
        <v>11200</v>
      </c>
      <c r="K90" s="971">
        <f>SUM(K88:K89)</f>
        <v>112000</v>
      </c>
    </row>
    <row r="91" spans="1:14" ht="2.25" customHeight="1">
      <c r="A91" s="701"/>
      <c r="B91" s="681"/>
      <c r="G91" s="867"/>
      <c r="H91" s="763"/>
      <c r="I91" s="867"/>
      <c r="J91" s="763"/>
      <c r="K91" s="763"/>
    </row>
    <row r="92" spans="1:14">
      <c r="A92" s="701"/>
      <c r="B92" s="849" t="s">
        <v>2225</v>
      </c>
      <c r="G92" s="867"/>
      <c r="H92" s="681"/>
      <c r="I92" s="867"/>
      <c r="J92" s="681"/>
      <c r="K92" s="763"/>
    </row>
    <row r="93" spans="1:14">
      <c r="A93" s="701"/>
      <c r="B93" s="681"/>
      <c r="C93" s="849"/>
      <c r="G93" s="867"/>
      <c r="H93" s="681"/>
      <c r="I93" s="867"/>
      <c r="J93" s="681"/>
      <c r="K93" s="763"/>
    </row>
    <row r="94" spans="1:14">
      <c r="A94" s="1102" t="s">
        <v>79</v>
      </c>
      <c r="B94" s="1103" t="s">
        <v>1973</v>
      </c>
      <c r="I94" s="681"/>
      <c r="J94" s="681"/>
      <c r="K94" s="681"/>
    </row>
    <row r="95" spans="1:14">
      <c r="B95" s="1850" t="s">
        <v>268</v>
      </c>
      <c r="C95" s="1850"/>
      <c r="D95" s="1850"/>
      <c r="E95" s="1850"/>
      <c r="F95" s="1850"/>
      <c r="G95" s="1850"/>
      <c r="H95" s="1748" t="str">
        <f>+$H$25</f>
        <v>As at 31 March 2025</v>
      </c>
      <c r="I95" s="1748"/>
      <c r="J95" s="1748" t="str">
        <f>+$J$25</f>
        <v>As at 31 March 2024</v>
      </c>
      <c r="K95" s="1748"/>
    </row>
    <row r="96" spans="1:14" ht="14.25" customHeight="1">
      <c r="A96" s="701"/>
      <c r="B96" s="1851"/>
      <c r="C96" s="1851"/>
      <c r="D96" s="1851"/>
      <c r="E96" s="1851"/>
      <c r="F96" s="1851"/>
      <c r="G96" s="1851"/>
      <c r="H96" s="1055" t="s">
        <v>2227</v>
      </c>
      <c r="I96" s="821" t="s">
        <v>258</v>
      </c>
      <c r="J96" s="1055" t="s">
        <v>2227</v>
      </c>
      <c r="K96" s="821" t="s">
        <v>258</v>
      </c>
    </row>
    <row r="97" spans="1:19">
      <c r="A97" s="701"/>
      <c r="B97" s="1103" t="s">
        <v>1974</v>
      </c>
      <c r="G97" s="867"/>
      <c r="H97" s="872">
        <f>H90</f>
        <v>11200</v>
      </c>
      <c r="I97" s="873">
        <f>(H97*11510)/Master!$B$23+Q112</f>
        <v>118626594.77511984</v>
      </c>
      <c r="J97" s="872">
        <f>J90</f>
        <v>11200</v>
      </c>
      <c r="K97" s="873">
        <f>J97*11510/Master!$B$23</f>
        <v>128912000</v>
      </c>
      <c r="M97" s="872"/>
    </row>
    <row r="98" spans="1:19">
      <c r="A98" s="701"/>
      <c r="B98" s="1103" t="s">
        <v>1963</v>
      </c>
      <c r="F98" s="763"/>
      <c r="G98" s="867"/>
      <c r="H98" s="764">
        <v>0</v>
      </c>
      <c r="I98" s="873">
        <v>0</v>
      </c>
      <c r="J98" s="764">
        <v>0</v>
      </c>
      <c r="K98" s="873">
        <v>0</v>
      </c>
    </row>
    <row r="99" spans="1:19">
      <c r="A99" s="701"/>
      <c r="B99" s="820" t="s">
        <v>1964</v>
      </c>
      <c r="C99" s="1035"/>
      <c r="D99" s="1035"/>
      <c r="E99" s="1035"/>
      <c r="F99" s="1035"/>
      <c r="G99" s="1036"/>
      <c r="H99" s="1140">
        <f>SUM(H97:H98)</f>
        <v>11200</v>
      </c>
      <c r="I99" s="1036">
        <f>SUM(I97:I98)</f>
        <v>118626594.77511984</v>
      </c>
      <c r="J99" s="1140">
        <f>SUM(J97:J98)</f>
        <v>11200</v>
      </c>
      <c r="K99" s="971">
        <f>SUM(K97:K98)</f>
        <v>128912000</v>
      </c>
    </row>
    <row r="100" spans="1:19">
      <c r="A100" s="701"/>
      <c r="B100" s="849" t="s">
        <v>2225</v>
      </c>
      <c r="G100" s="867"/>
      <c r="H100" s="1157"/>
      <c r="I100" s="867"/>
      <c r="J100" s="1157"/>
      <c r="K100" s="763"/>
    </row>
    <row r="101" spans="1:19">
      <c r="A101" s="701"/>
      <c r="B101" s="681"/>
      <c r="C101" s="849"/>
      <c r="G101" s="867"/>
      <c r="H101" s="1157"/>
      <c r="I101" s="867"/>
      <c r="J101" s="1157"/>
      <c r="K101" s="763"/>
    </row>
    <row r="102" spans="1:19" s="1159" customFormat="1">
      <c r="A102" s="1158" t="s">
        <v>2038</v>
      </c>
      <c r="B102" s="1159" t="s">
        <v>2039</v>
      </c>
      <c r="I102" s="681"/>
      <c r="J102" s="681"/>
      <c r="K102" s="681"/>
    </row>
    <row r="103" spans="1:19" s="1159" customFormat="1">
      <c r="A103" s="683"/>
      <c r="B103" s="1850" t="s">
        <v>268</v>
      </c>
      <c r="C103" s="1850"/>
      <c r="D103" s="1850"/>
      <c r="E103" s="1850"/>
      <c r="F103" s="1850"/>
      <c r="G103" s="1850"/>
      <c r="H103" s="1748" t="str">
        <f>+$H$25</f>
        <v>As at 31 March 2025</v>
      </c>
      <c r="I103" s="1748"/>
      <c r="J103" s="1748" t="str">
        <f>+$J$25</f>
        <v>As at 31 March 2024</v>
      </c>
      <c r="K103" s="1748"/>
    </row>
    <row r="104" spans="1:19" s="1159" customFormat="1" ht="13.5" customHeight="1">
      <c r="A104" s="1160"/>
      <c r="B104" s="1851"/>
      <c r="C104" s="1851"/>
      <c r="D104" s="1851"/>
      <c r="E104" s="1851"/>
      <c r="F104" s="1851"/>
      <c r="G104" s="1851"/>
      <c r="H104" s="1055" t="s">
        <v>2227</v>
      </c>
      <c r="I104" s="821" t="s">
        <v>258</v>
      </c>
      <c r="J104" s="1055" t="s">
        <v>2227</v>
      </c>
      <c r="K104" s="821" t="s">
        <v>258</v>
      </c>
    </row>
    <row r="105" spans="1:19" s="1159" customFormat="1">
      <c r="A105" s="1160"/>
      <c r="B105" s="1159" t="s">
        <v>1974</v>
      </c>
      <c r="G105" s="867"/>
      <c r="H105" s="1161">
        <f>H99</f>
        <v>11200</v>
      </c>
      <c r="I105" s="1162">
        <f>K108+R112</f>
        <v>116586562.79322906</v>
      </c>
      <c r="J105" s="1161">
        <f>J99</f>
        <v>11200</v>
      </c>
      <c r="K105" s="1162">
        <f>ROUND(113301762/Master!$B$23,0)</f>
        <v>113301762</v>
      </c>
      <c r="M105" s="1481">
        <v>84151870</v>
      </c>
      <c r="N105" s="1162">
        <f>+M105-K105</f>
        <v>-29149892</v>
      </c>
    </row>
    <row r="106" spans="1:19" s="1159" customFormat="1">
      <c r="A106" s="1160"/>
      <c r="B106" s="1159" t="s">
        <v>1963</v>
      </c>
      <c r="F106" s="763"/>
      <c r="G106" s="867"/>
      <c r="H106" s="1163">
        <v>0</v>
      </c>
      <c r="I106" s="1162">
        <v>0</v>
      </c>
      <c r="J106" s="1163">
        <v>0</v>
      </c>
      <c r="K106" s="1162">
        <v>0</v>
      </c>
    </row>
    <row r="107" spans="1:19" s="1159" customFormat="1">
      <c r="A107" s="1160"/>
      <c r="B107" s="1159" t="s">
        <v>2344</v>
      </c>
      <c r="F107" s="763"/>
      <c r="G107" s="867"/>
      <c r="H107" s="1163">
        <v>0</v>
      </c>
      <c r="I107" s="1162">
        <f>'18-26'!I70</f>
        <v>11355849</v>
      </c>
      <c r="J107" s="1163">
        <v>0</v>
      </c>
      <c r="K107" s="1162">
        <f>'18-26'!J70+'18-26'!J71</f>
        <v>13393327</v>
      </c>
    </row>
    <row r="108" spans="1:19" s="1159" customFormat="1">
      <c r="A108" s="1160"/>
      <c r="B108" s="820" t="s">
        <v>1964</v>
      </c>
      <c r="C108" s="1164"/>
      <c r="D108" s="1164"/>
      <c r="E108" s="1164"/>
      <c r="F108" s="1164"/>
      <c r="G108" s="1036"/>
      <c r="H108" s="1140">
        <f>SUM(H105:H107)</f>
        <v>11200</v>
      </c>
      <c r="I108" s="1036">
        <f>SUM(I105:I107)-0.1</f>
        <v>127942411.69322906</v>
      </c>
      <c r="J108" s="1140">
        <f>SUM(J105:J107)</f>
        <v>11200</v>
      </c>
      <c r="K108" s="971">
        <f>SUM(K105:K107)</f>
        <v>126695089</v>
      </c>
    </row>
    <row r="109" spans="1:19" s="1159" customFormat="1">
      <c r="A109" s="1160"/>
      <c r="B109" s="681"/>
      <c r="G109" s="867"/>
      <c r="H109" s="1157"/>
      <c r="I109" s="867"/>
      <c r="J109" s="1157"/>
      <c r="K109" s="763"/>
    </row>
    <row r="110" spans="1:19" s="1159" customFormat="1">
      <c r="A110" s="1160"/>
      <c r="B110" s="1159" t="s">
        <v>2943</v>
      </c>
      <c r="G110" s="867"/>
      <c r="H110" s="1157"/>
      <c r="I110" s="1162">
        <f>0/Master!B23</f>
        <v>0</v>
      </c>
      <c r="J110" s="1157"/>
      <c r="K110" s="763">
        <f>-20393930.9316511/Master!B23-0.5</f>
        <v>-20393931.431651101</v>
      </c>
    </row>
    <row r="111" spans="1:19" s="1159" customFormat="1">
      <c r="A111" s="1160"/>
      <c r="B111" s="681"/>
      <c r="G111" s="867"/>
      <c r="H111" s="1157"/>
      <c r="I111" s="867"/>
      <c r="J111" s="1157"/>
      <c r="K111" s="763"/>
      <c r="Q111" s="786">
        <v>128912000</v>
      </c>
      <c r="R111" s="1688">
        <v>126695089</v>
      </c>
      <c r="S111" s="1688">
        <f>Q111+R111</f>
        <v>255607089</v>
      </c>
    </row>
    <row r="112" spans="1:19">
      <c r="A112" s="701"/>
      <c r="B112" s="820" t="s">
        <v>1966</v>
      </c>
      <c r="C112" s="1035"/>
      <c r="D112" s="1035"/>
      <c r="E112" s="1035"/>
      <c r="F112" s="1035"/>
      <c r="G112" s="1036"/>
      <c r="H112" s="1140">
        <f>H90</f>
        <v>11200</v>
      </c>
      <c r="I112" s="1036">
        <f>I90+I99+I108+I110+0.05</f>
        <v>246681006.51834893</v>
      </c>
      <c r="J112" s="1140">
        <f>J90</f>
        <v>11200</v>
      </c>
      <c r="K112" s="1036">
        <f>K90+K99+K108+K110+0.05</f>
        <v>235325157.6183489</v>
      </c>
      <c r="O112" s="786">
        <f>BS!G56</f>
        <v>246681006.39768004</v>
      </c>
      <c r="P112" s="786">
        <f>I112-O112</f>
        <v>0.12066888809204102</v>
      </c>
      <c r="Q112" s="786">
        <f>Q111/S111*S112</f>
        <v>-10285405.224880153</v>
      </c>
      <c r="R112" s="786">
        <f>R111/S111*S112</f>
        <v>-10108526.206770945</v>
      </c>
      <c r="S112" s="786">
        <f>K110</f>
        <v>-20393931.431651101</v>
      </c>
    </row>
    <row r="113" spans="1:13">
      <c r="A113" s="701"/>
      <c r="B113" s="849" t="s">
        <v>2225</v>
      </c>
      <c r="G113" s="867"/>
      <c r="H113" s="681"/>
      <c r="I113" s="681"/>
      <c r="J113" s="681"/>
      <c r="K113" s="867" t="str">
        <f>IF(K112=BS!I47," ",FALSE)</f>
        <v xml:space="preserve"> </v>
      </c>
      <c r="M113" s="1133">
        <f>+I112-BS!G47</f>
        <v>246681006.51834893</v>
      </c>
    </row>
    <row r="114" spans="1:13">
      <c r="A114" s="701"/>
      <c r="B114" s="849"/>
      <c r="G114" s="867"/>
      <c r="H114" s="681"/>
      <c r="I114" s="867"/>
      <c r="J114" s="681"/>
      <c r="K114" s="763"/>
    </row>
    <row r="115" spans="1:13">
      <c r="A115" s="701"/>
      <c r="B115" s="681"/>
      <c r="G115" s="867"/>
      <c r="H115" s="681"/>
      <c r="I115" s="867"/>
      <c r="J115" s="681"/>
      <c r="K115" s="763"/>
    </row>
    <row r="116" spans="1:13">
      <c r="A116" s="1102" t="s">
        <v>1965</v>
      </c>
      <c r="B116" s="681" t="s">
        <v>1975</v>
      </c>
      <c r="G116" s="867"/>
      <c r="H116" s="681"/>
      <c r="I116" s="867"/>
      <c r="J116" s="681"/>
      <c r="K116" s="763"/>
    </row>
    <row r="117" spans="1:13">
      <c r="A117" s="699"/>
      <c r="B117" s="1850" t="s">
        <v>268</v>
      </c>
      <c r="C117" s="1850"/>
      <c r="D117" s="1850"/>
      <c r="E117" s="1850"/>
      <c r="F117" s="1850"/>
      <c r="G117" s="1850"/>
      <c r="H117" s="1748" t="str">
        <f>+$H$25</f>
        <v>As at 31 March 2025</v>
      </c>
      <c r="I117" s="1748"/>
      <c r="J117" s="1748" t="str">
        <f>+$J$25</f>
        <v>As at 31 March 2024</v>
      </c>
      <c r="K117" s="1748"/>
    </row>
    <row r="118" spans="1:13" ht="15" customHeight="1">
      <c r="A118" s="701"/>
      <c r="B118" s="1851"/>
      <c r="C118" s="1851"/>
      <c r="D118" s="1851"/>
      <c r="E118" s="1851"/>
      <c r="F118" s="1851"/>
      <c r="G118" s="1851"/>
      <c r="H118" s="1055" t="s">
        <v>2227</v>
      </c>
      <c r="I118" s="821" t="s">
        <v>258</v>
      </c>
      <c r="J118" s="1055" t="s">
        <v>2227</v>
      </c>
      <c r="K118" s="821" t="s">
        <v>258</v>
      </c>
    </row>
    <row r="119" spans="1:13">
      <c r="A119" s="701"/>
      <c r="B119" s="1103" t="s">
        <v>402</v>
      </c>
      <c r="G119" s="867"/>
      <c r="H119" s="872">
        <v>11200</v>
      </c>
      <c r="I119" s="873">
        <f>H119*11510/Master!$B$23</f>
        <v>128912000</v>
      </c>
      <c r="J119" s="872">
        <v>11200</v>
      </c>
      <c r="K119" s="873">
        <f>J119*11510/Master!$B$23</f>
        <v>128912000</v>
      </c>
    </row>
    <row r="120" spans="1:13">
      <c r="A120" s="701"/>
      <c r="B120" s="820" t="s">
        <v>1964</v>
      </c>
      <c r="C120" s="1035"/>
      <c r="D120" s="1035"/>
      <c r="E120" s="1035"/>
      <c r="F120" s="1035"/>
      <c r="G120" s="1036"/>
      <c r="H120" s="1140">
        <f>SUM(H119:H119)</f>
        <v>11200</v>
      </c>
      <c r="I120" s="1036">
        <f>SUM(I119:I119)</f>
        <v>128912000</v>
      </c>
      <c r="J120" s="1140">
        <f>SUM(J119:J119)</f>
        <v>11200</v>
      </c>
      <c r="K120" s="971">
        <f>SUM(K119:K119)</f>
        <v>128912000</v>
      </c>
    </row>
    <row r="121" spans="1:13">
      <c r="A121" s="701"/>
      <c r="B121" s="849" t="s">
        <v>2225</v>
      </c>
      <c r="G121" s="867"/>
      <c r="H121" s="681"/>
      <c r="I121" s="867"/>
      <c r="J121" s="681"/>
      <c r="K121" s="763"/>
    </row>
    <row r="122" spans="1:13">
      <c r="A122" s="701"/>
      <c r="B122" s="849"/>
      <c r="G122" s="867"/>
      <c r="H122" s="681"/>
      <c r="I122" s="867"/>
      <c r="J122" s="681"/>
      <c r="K122" s="763"/>
    </row>
    <row r="123" spans="1:13">
      <c r="A123" s="1102" t="s">
        <v>1967</v>
      </c>
      <c r="B123" s="681" t="s">
        <v>1968</v>
      </c>
      <c r="I123" s="681"/>
      <c r="J123" s="681"/>
      <c r="K123" s="681"/>
    </row>
    <row r="124" spans="1:13">
      <c r="A124" s="701"/>
      <c r="B124" s="1159" t="s">
        <v>2767</v>
      </c>
      <c r="I124" s="681"/>
      <c r="J124" s="681"/>
      <c r="K124" s="681"/>
    </row>
    <row r="125" spans="1:13">
      <c r="A125" s="701"/>
      <c r="I125" s="681"/>
      <c r="J125" s="681"/>
      <c r="K125" s="681"/>
    </row>
    <row r="126" spans="1:13">
      <c r="A126" s="1102" t="s">
        <v>1969</v>
      </c>
      <c r="B126" s="681" t="s">
        <v>1970</v>
      </c>
      <c r="I126" s="681"/>
      <c r="J126" s="681"/>
      <c r="K126" s="681"/>
    </row>
    <row r="127" spans="1:13" ht="12.75" customHeight="1">
      <c r="A127" s="701"/>
      <c r="B127" s="1856" t="s">
        <v>2654</v>
      </c>
      <c r="C127" s="1857"/>
      <c r="D127" s="1857"/>
      <c r="E127" s="1857"/>
      <c r="F127" s="1857"/>
      <c r="G127" s="1857"/>
      <c r="H127" s="1857"/>
      <c r="I127" s="1857"/>
      <c r="J127" s="1857"/>
      <c r="K127" s="1857"/>
      <c r="M127" s="1159" t="s">
        <v>2001</v>
      </c>
    </row>
    <row r="128" spans="1:13">
      <c r="A128" s="701"/>
      <c r="B128" s="1857"/>
      <c r="C128" s="1857"/>
      <c r="D128" s="1857"/>
      <c r="E128" s="1857"/>
      <c r="F128" s="1857"/>
      <c r="G128" s="1857"/>
      <c r="H128" s="1857"/>
      <c r="I128" s="1857"/>
      <c r="J128" s="1857"/>
      <c r="K128" s="1857"/>
      <c r="M128" s="1159" t="s">
        <v>2654</v>
      </c>
    </row>
    <row r="129" spans="1:11">
      <c r="A129" s="701"/>
      <c r="B129" s="1857"/>
      <c r="C129" s="1857"/>
      <c r="D129" s="1857"/>
      <c r="E129" s="1857"/>
      <c r="F129" s="1857"/>
      <c r="G129" s="1857"/>
      <c r="H129" s="1857"/>
      <c r="I129" s="1857"/>
      <c r="J129" s="1857"/>
      <c r="K129" s="1857"/>
    </row>
    <row r="130" spans="1:11">
      <c r="A130" s="701"/>
      <c r="B130" s="1857"/>
      <c r="C130" s="1857"/>
      <c r="D130" s="1857"/>
      <c r="E130" s="1857"/>
      <c r="F130" s="1857"/>
      <c r="G130" s="1857"/>
      <c r="H130" s="1857"/>
      <c r="I130" s="1857"/>
      <c r="J130" s="1857"/>
      <c r="K130" s="1857"/>
    </row>
    <row r="131" spans="1:11" hidden="1">
      <c r="A131" s="701"/>
      <c r="B131" s="681"/>
      <c r="G131" s="867"/>
      <c r="H131" s="681"/>
      <c r="I131" s="867"/>
      <c r="J131" s="681"/>
      <c r="K131" s="763"/>
    </row>
    <row r="132" spans="1:11" hidden="1">
      <c r="A132" s="701"/>
      <c r="I132" s="710"/>
      <c r="J132" s="710"/>
      <c r="K132" s="699"/>
    </row>
    <row r="133" spans="1:11" hidden="1">
      <c r="A133" s="683">
        <f>A76+1</f>
        <v>12</v>
      </c>
      <c r="B133" s="681" t="s">
        <v>270</v>
      </c>
      <c r="C133" s="681"/>
      <c r="K133" s="882"/>
    </row>
    <row r="134" spans="1:11" ht="5.0999999999999996" hidden="1" customHeight="1">
      <c r="B134" s="681"/>
      <c r="K134" s="882"/>
    </row>
    <row r="135" spans="1:11" hidden="1">
      <c r="B135" s="710"/>
      <c r="C135" s="710"/>
      <c r="D135" s="710"/>
      <c r="E135" s="710"/>
      <c r="F135" s="710"/>
      <c r="G135" s="710"/>
      <c r="H135" s="710"/>
      <c r="I135" s="735"/>
      <c r="J135" s="735">
        <f>BS!$G$7</f>
        <v>45747</v>
      </c>
      <c r="K135" s="735">
        <f>BS!$I$7</f>
        <v>45382</v>
      </c>
    </row>
    <row r="136" spans="1:11" ht="5.0999999999999996" hidden="1" customHeight="1">
      <c r="I136" s="867"/>
      <c r="K136" s="882"/>
    </row>
    <row r="137" spans="1:11" ht="15" hidden="1" customHeight="1">
      <c r="B137" s="699" t="s">
        <v>271</v>
      </c>
      <c r="I137" s="867"/>
      <c r="J137" s="873">
        <f>'Sch - BS'!G233</f>
        <v>0</v>
      </c>
      <c r="K137" s="764">
        <f>'Sch - BS'!I233</f>
        <v>0</v>
      </c>
    </row>
    <row r="138" spans="1:11" ht="15" hidden="1" customHeight="1">
      <c r="B138" s="699" t="s">
        <v>272</v>
      </c>
      <c r="I138" s="867"/>
      <c r="J138" s="873">
        <f>'Sch - BS'!G231</f>
        <v>0</v>
      </c>
      <c r="K138" s="764">
        <f>'Sch - BS'!I231</f>
        <v>0</v>
      </c>
    </row>
    <row r="139" spans="1:11" ht="15" hidden="1" customHeight="1">
      <c r="B139" s="699" t="s">
        <v>273</v>
      </c>
      <c r="I139" s="867"/>
      <c r="J139" s="873">
        <f>'Sch - BS'!G235</f>
        <v>0</v>
      </c>
      <c r="K139" s="764">
        <f>'Sch - BS'!I235</f>
        <v>0</v>
      </c>
    </row>
    <row r="140" spans="1:11" ht="15" hidden="1" customHeight="1">
      <c r="B140" s="699" t="s">
        <v>274</v>
      </c>
      <c r="I140" s="867"/>
      <c r="J140" s="867">
        <f>'Sch - BS'!G238</f>
        <v>0</v>
      </c>
      <c r="K140" s="764">
        <f>'Sch - BS'!I238</f>
        <v>0</v>
      </c>
    </row>
    <row r="141" spans="1:11" ht="5.0999999999999996" hidden="1" customHeight="1">
      <c r="I141" s="867"/>
      <c r="J141" s="867"/>
      <c r="K141" s="764"/>
    </row>
    <row r="142" spans="1:11" hidden="1">
      <c r="I142" s="867"/>
      <c r="J142" s="867">
        <f>SUM(J137:J141)</f>
        <v>0</v>
      </c>
      <c r="K142" s="764">
        <f>SUM(K137:K141)</f>
        <v>0</v>
      </c>
    </row>
    <row r="143" spans="1:11" ht="7.95" hidden="1" customHeight="1">
      <c r="K143" s="699"/>
    </row>
    <row r="144" spans="1:11" ht="10.050000000000001" hidden="1" customHeight="1">
      <c r="I144" s="710" t="str">
        <f>IF(I142-BS!E48=0,"","False")</f>
        <v/>
      </c>
      <c r="J144" s="710" t="str">
        <f>IF(J142-BS!G48=0,"","False")</f>
        <v/>
      </c>
      <c r="K144" s="710" t="str">
        <f>IF(K142-BS!I48=0,"","False")</f>
        <v>False</v>
      </c>
    </row>
    <row r="145" spans="1:12" hidden="1">
      <c r="A145" s="689" t="str">
        <f>+Master!B2</f>
        <v>Syntel Solutions (India) Private Limited</v>
      </c>
      <c r="I145" s="681"/>
      <c r="J145" s="681"/>
      <c r="K145" s="681"/>
    </row>
    <row r="146" spans="1:12" hidden="1">
      <c r="A146" s="682"/>
      <c r="I146" s="681"/>
      <c r="J146" s="681"/>
      <c r="K146" s="681"/>
    </row>
    <row r="147" spans="1:12" hidden="1">
      <c r="A147" s="683" t="str">
        <f>'3-4'!A3</f>
        <v>Summary of material accounting policies and other explanatory information</v>
      </c>
      <c r="I147" s="681"/>
      <c r="J147" s="681"/>
      <c r="K147" s="681"/>
    </row>
    <row r="148" spans="1:12" hidden="1">
      <c r="A148" s="1040" t="str">
        <f>'3-4'!A4</f>
        <v>(Amounts are stated in ₹ Lakhs unless otherwise stated)</v>
      </c>
      <c r="I148" s="681"/>
      <c r="J148" s="681"/>
      <c r="K148" s="681"/>
    </row>
    <row r="149" spans="1:12" hidden="1">
      <c r="A149" s="1040"/>
      <c r="I149" s="681"/>
      <c r="J149" s="681"/>
      <c r="K149" s="681"/>
    </row>
    <row r="150" spans="1:12">
      <c r="A150" s="1040"/>
      <c r="I150" s="681"/>
      <c r="J150" s="681"/>
      <c r="K150" s="681"/>
    </row>
    <row r="151" spans="1:12">
      <c r="A151" s="1102" t="s">
        <v>2929</v>
      </c>
      <c r="B151" s="683" t="s">
        <v>2930</v>
      </c>
      <c r="I151" s="681"/>
      <c r="J151" s="681"/>
      <c r="K151" s="681"/>
    </row>
    <row r="152" spans="1:12" ht="65.55" customHeight="1">
      <c r="A152" s="1160"/>
      <c r="B152" s="1729" t="s">
        <v>3108</v>
      </c>
      <c r="C152" s="1734"/>
      <c r="D152" s="1734"/>
      <c r="E152" s="1734"/>
      <c r="F152" s="1734"/>
      <c r="G152" s="1734"/>
      <c r="H152" s="1734"/>
      <c r="I152" s="1734"/>
      <c r="J152" s="1734"/>
      <c r="K152" s="1734"/>
    </row>
    <row r="153" spans="1:12">
      <c r="A153" s="683">
        <f>A76+1</f>
        <v>12</v>
      </c>
      <c r="B153" s="681" t="s">
        <v>2325</v>
      </c>
      <c r="I153" s="681"/>
      <c r="J153" s="681"/>
      <c r="K153" s="681"/>
    </row>
    <row r="154" spans="1:12">
      <c r="A154" s="1040"/>
      <c r="I154" s="681"/>
      <c r="J154" s="681"/>
      <c r="K154" s="681"/>
    </row>
    <row r="155" spans="1:12" ht="12.75" customHeight="1">
      <c r="A155" s="1040"/>
      <c r="B155" s="1301"/>
      <c r="C155" s="1302"/>
      <c r="D155" s="707"/>
      <c r="E155" s="707"/>
      <c r="F155" s="707"/>
      <c r="G155" s="707"/>
      <c r="H155" s="1318"/>
      <c r="I155" s="1318"/>
      <c r="J155" s="1847" t="s">
        <v>2308</v>
      </c>
      <c r="K155" s="1847"/>
      <c r="L155" s="1847"/>
    </row>
    <row r="156" spans="1:12">
      <c r="A156" s="1040"/>
      <c r="B156" s="1303"/>
      <c r="C156" s="1304"/>
      <c r="D156" s="711"/>
      <c r="E156" s="711"/>
      <c r="F156" s="711"/>
      <c r="G156" s="711"/>
      <c r="H156" s="1305"/>
      <c r="I156" s="1305"/>
      <c r="J156" s="1305"/>
      <c r="K156" s="1305"/>
      <c r="L156" s="1306" t="s">
        <v>173</v>
      </c>
    </row>
    <row r="157" spans="1:12">
      <c r="A157" s="1040"/>
      <c r="B157" s="840"/>
      <c r="C157" s="1307"/>
      <c r="H157" s="1308"/>
      <c r="I157" s="1308"/>
      <c r="J157" s="1308"/>
      <c r="K157" s="1308"/>
      <c r="L157" s="1309"/>
    </row>
    <row r="158" spans="1:12">
      <c r="A158" s="1040"/>
      <c r="B158" s="1310" t="s">
        <v>3007</v>
      </c>
      <c r="C158" s="1311"/>
      <c r="H158" s="1312"/>
      <c r="I158" s="1312"/>
      <c r="J158" s="1312"/>
      <c r="K158" s="1312">
        <f>ROUND(10286659/Master!$B$23,0)</f>
        <v>10286659</v>
      </c>
      <c r="L158" s="1312">
        <f>SUM(H158:J158)</f>
        <v>0</v>
      </c>
    </row>
    <row r="159" spans="1:12" hidden="1">
      <c r="A159" s="1040"/>
      <c r="B159" s="1310" t="s">
        <v>2311</v>
      </c>
      <c r="C159" s="1307"/>
      <c r="H159" s="1312"/>
      <c r="I159" s="1312"/>
      <c r="J159" s="1312"/>
      <c r="K159" s="1312">
        <f>ROUND(0/Master!$B$23,0)</f>
        <v>0</v>
      </c>
      <c r="L159" s="1312"/>
    </row>
    <row r="160" spans="1:12">
      <c r="A160" s="1040"/>
      <c r="B160" s="1310" t="s">
        <v>924</v>
      </c>
      <c r="C160" s="1307"/>
      <c r="H160" s="1313"/>
      <c r="I160" s="1312"/>
      <c r="J160" s="1312"/>
      <c r="K160" s="1312">
        <f>ROUND('PL Gr'!G44/Master!$B$23,0)</f>
        <v>638522</v>
      </c>
      <c r="L160" s="1312">
        <f>SUM(H160:J160)</f>
        <v>0</v>
      </c>
    </row>
    <row r="161" spans="1:14">
      <c r="A161" s="1040"/>
      <c r="B161" s="1310" t="s">
        <v>2313</v>
      </c>
      <c r="C161" s="1307"/>
      <c r="H161" s="1313"/>
      <c r="I161" s="1312"/>
      <c r="J161" s="1312"/>
      <c r="K161" s="1509">
        <f>-ROUND(3634957/Master!$B$23,0)-K162+1</f>
        <v>-2996434</v>
      </c>
      <c r="L161" s="1312">
        <f>SUM(H161:J161)</f>
        <v>0</v>
      </c>
    </row>
    <row r="162" spans="1:14">
      <c r="A162" s="1040"/>
      <c r="B162" s="1310" t="s">
        <v>2312</v>
      </c>
      <c r="C162" s="1307"/>
      <c r="H162" s="1312"/>
      <c r="I162" s="1312"/>
      <c r="J162" s="1312"/>
      <c r="K162" s="1509">
        <f>-K160</f>
        <v>-638522</v>
      </c>
      <c r="L162" s="1312">
        <f>SUM(H162:J162)</f>
        <v>0</v>
      </c>
    </row>
    <row r="163" spans="1:14">
      <c r="A163" s="1040"/>
      <c r="B163" s="1314" t="s">
        <v>2890</v>
      </c>
      <c r="C163" s="1315"/>
      <c r="D163" s="1035"/>
      <c r="E163" s="1035"/>
      <c r="F163" s="1035"/>
      <c r="G163" s="1035"/>
      <c r="H163" s="1316"/>
      <c r="I163" s="1316"/>
      <c r="J163" s="1316"/>
      <c r="K163" s="1316">
        <f>K158+K159+K160+K161+K162-1</f>
        <v>7290224</v>
      </c>
      <c r="L163" s="1316">
        <f>L158+L160-L161-L162</f>
        <v>0</v>
      </c>
    </row>
    <row r="164" spans="1:14" hidden="1">
      <c r="A164" s="1040"/>
      <c r="B164" s="1310" t="s">
        <v>2311</v>
      </c>
      <c r="C164" s="1307"/>
      <c r="H164" s="1312"/>
      <c r="I164" s="1312"/>
      <c r="J164" s="1312"/>
      <c r="K164" s="1312">
        <f>ROUND(0/Master!$B$23,0)</f>
        <v>0</v>
      </c>
      <c r="L164" s="1312">
        <f>SUM(H164:J164)</f>
        <v>0</v>
      </c>
    </row>
    <row r="165" spans="1:14">
      <c r="A165" s="1040"/>
      <c r="B165" s="1310" t="s">
        <v>2333</v>
      </c>
      <c r="C165" s="1307"/>
      <c r="H165" s="1312"/>
      <c r="I165" s="1312"/>
      <c r="J165" s="1312"/>
      <c r="K165" s="1312">
        <f>ROUND('PL Gr'!E44/Master!$B$23,0)</f>
        <v>401656</v>
      </c>
      <c r="L165" s="1312">
        <f>SUM(H165:J165)</f>
        <v>0</v>
      </c>
    </row>
    <row r="166" spans="1:14">
      <c r="A166" s="1040"/>
      <c r="B166" s="1310" t="s">
        <v>2314</v>
      </c>
      <c r="C166" s="1307"/>
      <c r="H166" s="1312"/>
      <c r="I166" s="1312"/>
      <c r="J166" s="1312"/>
      <c r="K166" s="1509">
        <f>-ROUND(3634957/Master!$B$23,0)-K167</f>
        <v>-3233301</v>
      </c>
      <c r="L166" s="1312">
        <f>SUM(H166:J166)</f>
        <v>0</v>
      </c>
      <c r="N166" s="1339">
        <f>+J166-J167</f>
        <v>0</v>
      </c>
    </row>
    <row r="167" spans="1:14">
      <c r="A167" s="1040"/>
      <c r="B167" s="1310" t="s">
        <v>2315</v>
      </c>
      <c r="C167" s="1307"/>
      <c r="H167" s="1312"/>
      <c r="I167" s="1312"/>
      <c r="J167" s="1312"/>
      <c r="K167" s="1509">
        <f>-K165</f>
        <v>-401656</v>
      </c>
      <c r="L167" s="1312">
        <f>SUM(H167:J167)</f>
        <v>0</v>
      </c>
    </row>
    <row r="168" spans="1:14">
      <c r="A168" s="1040"/>
      <c r="B168" s="1314" t="s">
        <v>3008</v>
      </c>
      <c r="C168" s="1315"/>
      <c r="D168" s="1035"/>
      <c r="E168" s="1035"/>
      <c r="F168" s="1035"/>
      <c r="G168" s="1035"/>
      <c r="H168" s="1316"/>
      <c r="I168" s="1316"/>
      <c r="J168" s="1316"/>
      <c r="K168" s="1316">
        <f>K163+K165+K166+K167</f>
        <v>4056923</v>
      </c>
      <c r="L168" s="1316">
        <f>L163+L165-L166-L167+L164</f>
        <v>0</v>
      </c>
    </row>
    <row r="169" spans="1:14">
      <c r="A169" s="1040"/>
      <c r="I169" s="681"/>
      <c r="J169" s="681"/>
      <c r="K169" s="681"/>
    </row>
    <row r="170" spans="1:14">
      <c r="A170" s="1040"/>
      <c r="B170" s="1319" t="s">
        <v>3109</v>
      </c>
      <c r="C170" s="1320"/>
      <c r="D170" s="1307"/>
      <c r="E170" s="1320"/>
      <c r="F170" s="1320"/>
      <c r="G170" s="1321"/>
      <c r="I170" s="681"/>
      <c r="J170" s="681"/>
      <c r="K170" s="681"/>
    </row>
    <row r="171" spans="1:14" ht="12.75" customHeight="1">
      <c r="A171" s="1040"/>
      <c r="B171" s="1319" t="s">
        <v>3110</v>
      </c>
      <c r="C171" s="1319"/>
      <c r="D171" s="1319"/>
      <c r="E171" s="1319"/>
      <c r="F171" s="1319"/>
      <c r="G171" s="1319"/>
      <c r="I171" s="681"/>
      <c r="J171" s="681"/>
      <c r="K171" s="681"/>
    </row>
    <row r="172" spans="1:14" ht="12.75" customHeight="1">
      <c r="A172" s="1040"/>
      <c r="B172" s="1319" t="s">
        <v>3111</v>
      </c>
      <c r="C172" s="1322"/>
      <c r="D172" s="1322"/>
      <c r="E172" s="1322"/>
      <c r="F172" s="1322"/>
      <c r="G172" s="1322"/>
      <c r="I172" s="681"/>
      <c r="J172" s="681"/>
      <c r="K172" s="681"/>
    </row>
    <row r="173" spans="1:14">
      <c r="A173" s="1040"/>
      <c r="I173" s="681"/>
      <c r="J173" s="681"/>
      <c r="K173" s="681"/>
    </row>
    <row r="174" spans="1:14" hidden="1">
      <c r="A174" s="1040"/>
      <c r="I174" s="681"/>
      <c r="J174" s="681"/>
      <c r="K174" s="681"/>
    </row>
    <row r="175" spans="1:14">
      <c r="A175" s="1040"/>
      <c r="B175" s="1255"/>
      <c r="C175" s="1307"/>
      <c r="D175" s="1307"/>
      <c r="E175" s="1309"/>
      <c r="F175" s="1309"/>
      <c r="G175" s="1309"/>
      <c r="I175" s="681"/>
      <c r="J175" s="1309" t="s">
        <v>2316</v>
      </c>
      <c r="K175" s="1309" t="s">
        <v>2316</v>
      </c>
    </row>
    <row r="176" spans="1:14">
      <c r="A176" s="1040"/>
      <c r="B176" s="1255"/>
      <c r="C176" s="1307"/>
      <c r="D176" s="1307"/>
      <c r="E176" s="1309"/>
      <c r="F176" s="1309"/>
      <c r="G176" s="1309"/>
      <c r="I176" s="681"/>
      <c r="J176" s="758">
        <f>J10</f>
        <v>45747</v>
      </c>
      <c r="K176" s="758">
        <f>K10</f>
        <v>45382</v>
      </c>
    </row>
    <row r="177" spans="1:12">
      <c r="A177" s="1040"/>
      <c r="B177" s="1310" t="s">
        <v>2317</v>
      </c>
      <c r="C177" s="1307"/>
      <c r="D177" s="1307"/>
      <c r="E177" s="1325"/>
      <c r="F177" s="1312"/>
      <c r="G177" s="1312"/>
      <c r="I177" s="681"/>
      <c r="J177" s="1313">
        <f>J186</f>
        <v>0</v>
      </c>
      <c r="K177" s="1323">
        <f>J191</f>
        <v>3875173</v>
      </c>
    </row>
    <row r="178" spans="1:12">
      <c r="A178" s="1040"/>
      <c r="B178" s="1310" t="s">
        <v>521</v>
      </c>
      <c r="C178" s="1307"/>
      <c r="D178" s="1307"/>
      <c r="E178" s="1325"/>
      <c r="F178" s="1312"/>
      <c r="G178" s="1312"/>
      <c r="I178" s="681"/>
      <c r="J178" s="1313">
        <f>I186</f>
        <v>3875173</v>
      </c>
      <c r="K178" s="1323">
        <f>I191</f>
        <v>3414449</v>
      </c>
    </row>
    <row r="179" spans="1:12">
      <c r="A179" s="1040"/>
      <c r="B179" s="1324" t="s">
        <v>173</v>
      </c>
      <c r="C179" s="1307"/>
      <c r="D179" s="1307"/>
      <c r="E179" s="1317"/>
      <c r="F179" s="1312"/>
      <c r="G179" s="1317"/>
      <c r="I179" s="681"/>
      <c r="J179" s="1316">
        <f>J177+J178</f>
        <v>3875173</v>
      </c>
      <c r="K179" s="1316">
        <f>K177+K178</f>
        <v>7289622</v>
      </c>
    </row>
    <row r="180" spans="1:12">
      <c r="A180" s="1040"/>
      <c r="I180" s="681"/>
      <c r="J180" s="681"/>
      <c r="K180" s="681"/>
    </row>
    <row r="181" spans="1:12">
      <c r="A181" s="1040"/>
      <c r="B181" s="1326" t="s">
        <v>2318</v>
      </c>
      <c r="C181" s="1307"/>
      <c r="D181" s="1307"/>
      <c r="E181" s="1320"/>
      <c r="F181" s="1320"/>
      <c r="G181" s="1327"/>
      <c r="I181" s="681"/>
      <c r="J181" s="681"/>
      <c r="K181" s="681"/>
    </row>
    <row r="182" spans="1:12" hidden="1">
      <c r="A182" s="1040"/>
      <c r="B182" s="1255"/>
      <c r="C182" s="1307"/>
      <c r="D182" s="1307"/>
      <c r="E182" s="1320"/>
      <c r="F182" s="1320"/>
      <c r="G182" s="1327"/>
      <c r="I182" s="681"/>
      <c r="J182" s="681"/>
      <c r="K182" s="681"/>
    </row>
    <row r="183" spans="1:12">
      <c r="A183" s="1040"/>
      <c r="B183" s="1255"/>
      <c r="C183" s="1307"/>
      <c r="D183" s="1845"/>
      <c r="E183" s="1846"/>
      <c r="F183" s="1846"/>
      <c r="G183" s="1846"/>
      <c r="I183" s="1845" t="s">
        <v>2316</v>
      </c>
      <c r="J183" s="1846"/>
      <c r="K183" s="1846"/>
      <c r="L183" s="1846"/>
    </row>
    <row r="184" spans="1:12">
      <c r="A184" s="1040"/>
      <c r="B184" s="1255"/>
      <c r="C184" s="1307"/>
      <c r="D184" s="1845"/>
      <c r="E184" s="1846"/>
      <c r="F184" s="1846"/>
      <c r="G184" s="1846"/>
      <c r="I184" s="1743">
        <f>J176</f>
        <v>45747</v>
      </c>
      <c r="J184" s="1743"/>
      <c r="K184" s="1743"/>
      <c r="L184" s="1743"/>
    </row>
    <row r="185" spans="1:12">
      <c r="A185" s="1040"/>
      <c r="B185" s="1328"/>
      <c r="C185" s="1329"/>
      <c r="D185" s="1329"/>
      <c r="E185" s="1329"/>
      <c r="F185" s="1329"/>
      <c r="G185" s="1329"/>
      <c r="I185" s="1338" t="s">
        <v>377</v>
      </c>
      <c r="J185" s="1338" t="s">
        <v>2334</v>
      </c>
      <c r="K185" s="1330" t="s">
        <v>173</v>
      </c>
      <c r="L185" s="1330"/>
    </row>
    <row r="186" spans="1:12">
      <c r="A186" s="1040"/>
      <c r="B186" s="1331" t="s">
        <v>2319</v>
      </c>
      <c r="C186" s="1332"/>
      <c r="D186" s="1333"/>
      <c r="E186" s="1333"/>
      <c r="F186" s="1312"/>
      <c r="G186" s="1312"/>
      <c r="I186" s="1333">
        <f>I200</f>
        <v>3875173</v>
      </c>
      <c r="J186" s="1333">
        <f>J200</f>
        <v>0</v>
      </c>
      <c r="K186" s="1323">
        <f>+I186+J186</f>
        <v>3875173</v>
      </c>
      <c r="L186" s="1312">
        <f>I186+J186</f>
        <v>3875173</v>
      </c>
    </row>
    <row r="187" spans="1:12">
      <c r="A187" s="1040"/>
      <c r="B187" s="1255"/>
      <c r="C187" s="1307"/>
      <c r="D187" s="1307"/>
      <c r="E187" s="1320"/>
      <c r="F187" s="1320"/>
      <c r="G187" s="1327"/>
      <c r="I187" s="1307"/>
      <c r="J187" s="1320"/>
      <c r="K187" s="1320"/>
      <c r="L187" s="1327"/>
    </row>
    <row r="188" spans="1:12">
      <c r="A188" s="1040"/>
      <c r="B188" s="1255"/>
      <c r="C188" s="1307"/>
      <c r="D188" s="1845"/>
      <c r="E188" s="1846"/>
      <c r="F188" s="1846"/>
      <c r="G188" s="1846"/>
      <c r="I188" s="1845" t="s">
        <v>2316</v>
      </c>
      <c r="J188" s="1846"/>
      <c r="K188" s="1846"/>
      <c r="L188" s="1846"/>
    </row>
    <row r="189" spans="1:12" ht="12.75" customHeight="1">
      <c r="A189" s="1040"/>
      <c r="B189" s="1255"/>
      <c r="C189" s="1307"/>
      <c r="D189" s="1845"/>
      <c r="E189" s="1846"/>
      <c r="F189" s="1846"/>
      <c r="G189" s="1846"/>
      <c r="I189" s="1743">
        <f>K176</f>
        <v>45382</v>
      </c>
      <c r="J189" s="1743"/>
      <c r="K189" s="1743"/>
      <c r="L189" s="1743"/>
    </row>
    <row r="190" spans="1:12">
      <c r="A190" s="1040"/>
      <c r="B190" s="1328"/>
      <c r="C190" s="1329"/>
      <c r="D190" s="1329"/>
      <c r="E190" s="1329"/>
      <c r="F190" s="1329"/>
      <c r="G190" s="1329"/>
      <c r="I190" s="1338" t="s">
        <v>377</v>
      </c>
      <c r="J190" s="1338" t="s">
        <v>2334</v>
      </c>
      <c r="K190" s="1330" t="s">
        <v>173</v>
      </c>
      <c r="L190" s="1330"/>
    </row>
    <row r="191" spans="1:12">
      <c r="A191" s="1040"/>
      <c r="B191" s="1331" t="s">
        <v>2319</v>
      </c>
      <c r="C191" s="1332"/>
      <c r="D191" s="1333"/>
      <c r="E191" s="1312"/>
      <c r="F191" s="1312"/>
      <c r="G191" s="1312"/>
      <c r="I191" s="1333">
        <f>+I208</f>
        <v>3414449</v>
      </c>
      <c r="J191" s="1323">
        <f>+J208</f>
        <v>3875173</v>
      </c>
      <c r="K191" s="1323">
        <f>+I191+J191</f>
        <v>7289622</v>
      </c>
      <c r="L191" s="1312">
        <f>I191+J191</f>
        <v>7289622</v>
      </c>
    </row>
    <row r="192" spans="1:12">
      <c r="A192" s="1040"/>
      <c r="B192" s="1255"/>
      <c r="C192" s="1307"/>
      <c r="D192" s="1307"/>
      <c r="E192" s="1320"/>
      <c r="F192" s="1320"/>
      <c r="G192" s="1327"/>
      <c r="I192" s="1307"/>
      <c r="J192" s="1320"/>
      <c r="K192" s="1320"/>
      <c r="L192" s="1327"/>
    </row>
    <row r="193" spans="1:12">
      <c r="A193" s="1040"/>
      <c r="B193" s="1334" t="s">
        <v>2320</v>
      </c>
      <c r="C193" s="1307"/>
      <c r="D193" s="1307"/>
      <c r="E193" s="1320"/>
      <c r="F193" s="1320"/>
      <c r="G193" s="1327"/>
      <c r="I193" s="1307"/>
      <c r="J193" s="1320"/>
      <c r="K193" s="1320"/>
      <c r="L193" s="1327"/>
    </row>
    <row r="194" spans="1:12">
      <c r="A194" s="1040"/>
      <c r="B194" s="1334"/>
      <c r="C194" s="1307"/>
      <c r="D194" s="1307"/>
      <c r="E194" s="1320"/>
      <c r="F194" s="1320"/>
      <c r="G194" s="1327"/>
      <c r="I194" s="1845" t="s">
        <v>2316</v>
      </c>
      <c r="J194" s="1846"/>
      <c r="K194" s="1846"/>
      <c r="L194" s="1846"/>
    </row>
    <row r="195" spans="1:12">
      <c r="A195" s="1040"/>
      <c r="B195" s="1255"/>
      <c r="C195" s="1307"/>
      <c r="D195" s="1845"/>
      <c r="E195" s="1846"/>
      <c r="F195" s="1846"/>
      <c r="G195" s="1846"/>
      <c r="I195" s="1743">
        <f>+I184</f>
        <v>45747</v>
      </c>
      <c r="J195" s="1743"/>
      <c r="K195" s="1743"/>
      <c r="L195" s="1743"/>
    </row>
    <row r="196" spans="1:12">
      <c r="A196" s="1040"/>
      <c r="B196" s="1255"/>
      <c r="C196" s="1307"/>
      <c r="D196" s="1329"/>
      <c r="E196" s="1329"/>
      <c r="F196" s="1329"/>
      <c r="G196" s="1329"/>
      <c r="I196" s="1338" t="s">
        <v>377</v>
      </c>
      <c r="J196" s="1338" t="str">
        <f>J190</f>
        <v>Over 1 year</v>
      </c>
      <c r="K196" s="1330" t="s">
        <v>173</v>
      </c>
      <c r="L196" s="1330"/>
    </row>
    <row r="197" spans="1:12">
      <c r="A197" s="1040"/>
      <c r="B197" s="1255"/>
      <c r="C197" s="1307"/>
      <c r="D197" s="1307"/>
      <c r="E197" s="1307"/>
      <c r="F197" s="1307"/>
      <c r="G197" s="1320"/>
      <c r="I197" s="1307"/>
      <c r="J197" s="1307"/>
      <c r="K197" s="1307"/>
      <c r="L197" s="1320"/>
    </row>
    <row r="198" spans="1:12">
      <c r="A198" s="1040"/>
      <c r="B198" s="1331" t="s">
        <v>2321</v>
      </c>
      <c r="C198" s="1307"/>
      <c r="D198" s="1312"/>
      <c r="E198" s="1312"/>
      <c r="F198" s="1312"/>
      <c r="G198" s="1312"/>
      <c r="I198" s="1312">
        <f>ROUND(4007540/Master!$B$23,0)</f>
        <v>4007540</v>
      </c>
      <c r="J198" s="1312">
        <f>ROUND(0/Master!$B$23,0)</f>
        <v>0</v>
      </c>
      <c r="K198" s="1312">
        <f>SUM(I198:J198)</f>
        <v>4007540</v>
      </c>
      <c r="L198" s="1312">
        <f>I198+J198</f>
        <v>4007540</v>
      </c>
    </row>
    <row r="199" spans="1:12">
      <c r="A199" s="1040"/>
      <c r="B199" s="1331" t="s">
        <v>319</v>
      </c>
      <c r="C199" s="1307"/>
      <c r="D199" s="1335"/>
      <c r="E199" s="1335"/>
      <c r="F199" s="1335"/>
      <c r="G199" s="1335"/>
      <c r="I199" s="1335">
        <f>ROUND(-132367/Master!$B$23,0)</f>
        <v>-132367</v>
      </c>
      <c r="J199" s="1335">
        <f>ROUND((0)/Master!$B$23,0)</f>
        <v>0</v>
      </c>
      <c r="K199" s="1335">
        <f>SUM(I199:J199)</f>
        <v>-132367</v>
      </c>
      <c r="L199" s="1335">
        <f>I199+J199</f>
        <v>-132367</v>
      </c>
    </row>
    <row r="200" spans="1:12">
      <c r="A200" s="1040"/>
      <c r="B200" s="1336" t="s">
        <v>2322</v>
      </c>
      <c r="C200" s="1315"/>
      <c r="D200" s="1316"/>
      <c r="E200" s="1316"/>
      <c r="F200" s="1316"/>
      <c r="G200" s="1316"/>
      <c r="H200" s="1035"/>
      <c r="I200" s="1316">
        <f>I198+I199</f>
        <v>3875173</v>
      </c>
      <c r="J200" s="1316">
        <f>J198+J199</f>
        <v>0</v>
      </c>
      <c r="K200" s="1316">
        <f>K198+K199</f>
        <v>3875173</v>
      </c>
      <c r="L200" s="1316">
        <f>L198+L199</f>
        <v>3875173</v>
      </c>
    </row>
    <row r="201" spans="1:12">
      <c r="A201" s="1040"/>
      <c r="B201" s="1334"/>
      <c r="C201" s="1307"/>
      <c r="D201" s="1307"/>
      <c r="E201" s="1320"/>
      <c r="F201" s="1320"/>
      <c r="G201" s="1327"/>
      <c r="I201" s="1307"/>
      <c r="J201" s="1320"/>
      <c r="K201" s="1320"/>
      <c r="L201" s="1327"/>
    </row>
    <row r="202" spans="1:12">
      <c r="A202" s="1040"/>
      <c r="B202" s="1255"/>
      <c r="C202" s="1307"/>
      <c r="D202" s="1845"/>
      <c r="E202" s="1846"/>
      <c r="F202" s="1846"/>
      <c r="G202" s="1846"/>
      <c r="I202" s="1845" t="s">
        <v>2316</v>
      </c>
      <c r="J202" s="1846"/>
      <c r="K202" s="1846"/>
      <c r="L202" s="1846"/>
    </row>
    <row r="203" spans="1:12">
      <c r="A203" s="1040"/>
      <c r="B203" s="1255"/>
      <c r="C203" s="1307"/>
      <c r="D203" s="1845"/>
      <c r="E203" s="1846"/>
      <c r="F203" s="1846"/>
      <c r="G203" s="1846"/>
      <c r="I203" s="1743">
        <f>+I189</f>
        <v>45382</v>
      </c>
      <c r="J203" s="1743"/>
      <c r="K203" s="1743"/>
      <c r="L203" s="1743"/>
    </row>
    <row r="204" spans="1:12">
      <c r="A204" s="1040"/>
      <c r="B204" s="1255"/>
      <c r="C204" s="1307"/>
      <c r="D204" s="1329"/>
      <c r="E204" s="1329"/>
      <c r="F204" s="1329"/>
      <c r="G204" s="1329"/>
      <c r="I204" s="1338" t="s">
        <v>377</v>
      </c>
      <c r="J204" s="1338" t="str">
        <f>J196</f>
        <v>Over 1 year</v>
      </c>
      <c r="K204" s="1330" t="s">
        <v>173</v>
      </c>
      <c r="L204" s="1330"/>
    </row>
    <row r="205" spans="1:12">
      <c r="A205" s="1040"/>
      <c r="B205" s="1255"/>
      <c r="C205" s="1307"/>
      <c r="D205" s="1307"/>
      <c r="E205" s="1307"/>
      <c r="F205" s="1307"/>
      <c r="G205" s="1320"/>
      <c r="I205" s="1307"/>
      <c r="J205" s="1307"/>
      <c r="K205" s="1307"/>
      <c r="L205" s="1320"/>
    </row>
    <row r="206" spans="1:12">
      <c r="A206" s="1040"/>
      <c r="B206" s="1331" t="s">
        <v>2321</v>
      </c>
      <c r="C206" s="1307"/>
      <c r="D206" s="1312"/>
      <c r="E206" s="1312"/>
      <c r="F206" s="1312"/>
      <c r="G206" s="1312"/>
      <c r="I206" s="1312">
        <f>ROUND(3816105/Master!$B$23,0)</f>
        <v>3816105</v>
      </c>
      <c r="J206" s="1312">
        <f>ROUND(4007540/Master!$B$23,0)</f>
        <v>4007540</v>
      </c>
      <c r="K206" s="1312">
        <f>SUM(I206:J206)</f>
        <v>7823645</v>
      </c>
      <c r="L206" s="1312">
        <f>I206+J206</f>
        <v>7823645</v>
      </c>
    </row>
    <row r="207" spans="1:12">
      <c r="A207" s="1040"/>
      <c r="B207" s="1331" t="s">
        <v>319</v>
      </c>
      <c r="C207" s="1307"/>
      <c r="D207" s="1335"/>
      <c r="E207" s="1337"/>
      <c r="F207" s="1335"/>
      <c r="G207" s="1335"/>
      <c r="I207" s="1335">
        <f>ROUND(-401656/Master!$B$23,0)</f>
        <v>-401656</v>
      </c>
      <c r="J207" s="1335">
        <f>ROUND((-132367)/Master!$B$23,0)</f>
        <v>-132367</v>
      </c>
      <c r="K207" s="1337">
        <f>SUM(I207:J207)</f>
        <v>-534023</v>
      </c>
      <c r="L207" s="1335">
        <f>I207+J207</f>
        <v>-534023</v>
      </c>
    </row>
    <row r="208" spans="1:12">
      <c r="A208" s="1040"/>
      <c r="B208" s="1336" t="s">
        <v>2322</v>
      </c>
      <c r="C208" s="1315"/>
      <c r="D208" s="1316"/>
      <c r="E208" s="1316"/>
      <c r="F208" s="1316"/>
      <c r="G208" s="1316"/>
      <c r="H208" s="1035"/>
      <c r="I208" s="1316">
        <f>I206+I207</f>
        <v>3414449</v>
      </c>
      <c r="J208" s="1316">
        <f>J206+J207</f>
        <v>3875173</v>
      </c>
      <c r="K208" s="1316">
        <f>K206+K207</f>
        <v>7289622</v>
      </c>
      <c r="L208" s="1316">
        <f>L206+L207</f>
        <v>7289622</v>
      </c>
    </row>
    <row r="209" spans="1:11">
      <c r="A209" s="1040"/>
      <c r="I209" s="681"/>
      <c r="J209" s="681"/>
      <c r="K209" s="681"/>
    </row>
    <row r="210" spans="1:11">
      <c r="A210" s="683">
        <f>+A153+1</f>
        <v>13</v>
      </c>
      <c r="B210" s="681" t="s">
        <v>41</v>
      </c>
      <c r="I210" s="681"/>
      <c r="J210" s="681"/>
      <c r="K210" s="681"/>
    </row>
    <row r="211" spans="1:11">
      <c r="I211" s="681"/>
      <c r="J211" s="681"/>
      <c r="K211" s="681"/>
    </row>
    <row r="212" spans="1:11">
      <c r="B212" s="681" t="s">
        <v>1868</v>
      </c>
      <c r="C212" s="710"/>
      <c r="D212" s="710"/>
      <c r="E212" s="710"/>
      <c r="F212" s="710"/>
      <c r="G212" s="710"/>
      <c r="H212" s="710"/>
      <c r="I212" s="735"/>
      <c r="J212" s="684" t="s">
        <v>490</v>
      </c>
      <c r="K212" s="684" t="s">
        <v>490</v>
      </c>
    </row>
    <row r="213" spans="1:11">
      <c r="B213" s="712"/>
      <c r="C213" s="712"/>
      <c r="D213" s="712"/>
      <c r="E213" s="712"/>
      <c r="F213" s="712"/>
      <c r="G213" s="712"/>
      <c r="H213" s="712"/>
      <c r="I213" s="758"/>
      <c r="J213" s="758">
        <f>BS!$G$7</f>
        <v>45747</v>
      </c>
      <c r="K213" s="758">
        <f>BS!$I$7</f>
        <v>45382</v>
      </c>
    </row>
    <row r="214" spans="1:11" ht="5.0999999999999996" customHeight="1">
      <c r="I214" s="681"/>
      <c r="K214" s="882"/>
    </row>
    <row r="215" spans="1:11" ht="15" customHeight="1">
      <c r="B215" s="1159" t="s">
        <v>2337</v>
      </c>
      <c r="I215" s="867"/>
      <c r="J215" s="873">
        <f>'Sch - BS'!G245</f>
        <v>1222499</v>
      </c>
      <c r="K215" s="764">
        <f>'Sch - BS'!I245</f>
        <v>1484197</v>
      </c>
    </row>
    <row r="216" spans="1:11" ht="15" hidden="1" customHeight="1">
      <c r="B216" s="1098" t="s">
        <v>1959</v>
      </c>
      <c r="I216" s="867"/>
      <c r="J216" s="873">
        <f>'Sch - BS'!G246</f>
        <v>0</v>
      </c>
      <c r="K216" s="764">
        <f>'Sch - BS'!I246</f>
        <v>0</v>
      </c>
    </row>
    <row r="217" spans="1:11" ht="15" hidden="1" customHeight="1">
      <c r="B217" s="1159" t="s">
        <v>2078</v>
      </c>
      <c r="I217" s="867"/>
      <c r="J217" s="873">
        <f>'Sch - BS'!G247</f>
        <v>0</v>
      </c>
      <c r="K217" s="764">
        <f>'Sch - BS'!I247</f>
        <v>0</v>
      </c>
    </row>
    <row r="218" spans="1:11" ht="5.0999999999999996" customHeight="1">
      <c r="I218" s="867"/>
      <c r="J218" s="867"/>
      <c r="K218" s="764"/>
    </row>
    <row r="219" spans="1:11">
      <c r="B219" s="1056" t="s">
        <v>173</v>
      </c>
      <c r="C219" s="1035"/>
      <c r="D219" s="1035"/>
      <c r="E219" s="1035"/>
      <c r="F219" s="1035"/>
      <c r="G219" s="1035"/>
      <c r="H219" s="1035"/>
      <c r="I219" s="1036"/>
      <c r="J219" s="1036">
        <f>SUM(J215:J218)</f>
        <v>1222499</v>
      </c>
      <c r="K219" s="971">
        <f>SUM(K215:K218)</f>
        <v>1484197</v>
      </c>
    </row>
    <row r="220" spans="1:11" ht="7.95" customHeight="1">
      <c r="J220" s="699" t="str">
        <f>IF(J219-BS!G49=0," ","FALSE")</f>
        <v xml:space="preserve"> </v>
      </c>
      <c r="K220" s="699" t="str">
        <f>IF(K219-BS!I49=0," ","FALSE")</f>
        <v xml:space="preserve"> </v>
      </c>
    </row>
    <row r="221" spans="1:11" ht="7.95" customHeight="1">
      <c r="K221" s="699"/>
    </row>
    <row r="222" spans="1:11">
      <c r="B222" s="681" t="s">
        <v>521</v>
      </c>
      <c r="C222" s="710"/>
      <c r="D222" s="710"/>
      <c r="E222" s="710"/>
      <c r="F222" s="710"/>
      <c r="G222" s="710"/>
      <c r="H222" s="710"/>
      <c r="I222" s="735"/>
      <c r="J222" s="684" t="s">
        <v>490</v>
      </c>
      <c r="K222" s="684" t="s">
        <v>490</v>
      </c>
    </row>
    <row r="223" spans="1:11">
      <c r="B223" s="712"/>
      <c r="C223" s="712"/>
      <c r="D223" s="712"/>
      <c r="E223" s="712"/>
      <c r="F223" s="712"/>
      <c r="G223" s="712"/>
      <c r="H223" s="712"/>
      <c r="I223" s="758"/>
      <c r="J223" s="758">
        <f>BS!$G$7</f>
        <v>45747</v>
      </c>
      <c r="K223" s="758">
        <f>BS!$I$7</f>
        <v>45382</v>
      </c>
    </row>
    <row r="224" spans="1:11" ht="6" customHeight="1">
      <c r="I224" s="681"/>
      <c r="K224" s="882"/>
    </row>
    <row r="225" spans="1:13">
      <c r="B225" s="1159" t="s">
        <v>2337</v>
      </c>
      <c r="I225" s="867"/>
      <c r="J225" s="873">
        <f>'Sch - BS'!G305+'Sch - BS'!G307</f>
        <v>285026</v>
      </c>
      <c r="K225" s="764">
        <f>'Sch - BS'!I305+'Sch - BS'!I307</f>
        <v>683656</v>
      </c>
    </row>
    <row r="226" spans="1:13">
      <c r="B226" s="1159" t="s">
        <v>2338</v>
      </c>
      <c r="I226" s="867"/>
      <c r="J226" s="873">
        <f>'Sch - BS'!G306</f>
        <v>185065</v>
      </c>
      <c r="K226" s="764">
        <f>'Sch - BS'!I306</f>
        <v>248339</v>
      </c>
    </row>
    <row r="227" spans="1:13" hidden="1">
      <c r="B227" s="1159" t="s">
        <v>2078</v>
      </c>
      <c r="I227" s="867"/>
      <c r="J227" s="873">
        <f>'Sch - BS'!G307*0</f>
        <v>0</v>
      </c>
      <c r="K227" s="764">
        <f>'Sch - BS'!I307*0</f>
        <v>0</v>
      </c>
    </row>
    <row r="228" spans="1:13" ht="4.5" customHeight="1">
      <c r="I228" s="867"/>
      <c r="J228" s="867"/>
      <c r="K228" s="764"/>
    </row>
    <row r="229" spans="1:13">
      <c r="B229" s="1056" t="s">
        <v>173</v>
      </c>
      <c r="C229" s="1035"/>
      <c r="D229" s="1035"/>
      <c r="E229" s="1035"/>
      <c r="F229" s="1035"/>
      <c r="G229" s="1035"/>
      <c r="H229" s="1035"/>
      <c r="I229" s="1035"/>
      <c r="J229" s="1036">
        <f>SUM(J225:J228)</f>
        <v>470091</v>
      </c>
      <c r="K229" s="971">
        <f>SUM(K225:K228)</f>
        <v>931995</v>
      </c>
    </row>
    <row r="230" spans="1:13" ht="6.75" hidden="1" customHeight="1">
      <c r="B230" s="681"/>
      <c r="C230" s="681" t="s">
        <v>286</v>
      </c>
      <c r="D230" s="681"/>
      <c r="E230" s="681"/>
      <c r="F230" s="681"/>
      <c r="G230" s="681"/>
      <c r="H230" s="681"/>
      <c r="I230" s="681"/>
      <c r="J230" s="681" t="str">
        <f>IF(J229=BS!G64," ","FALSE")</f>
        <v xml:space="preserve"> </v>
      </c>
      <c r="K230" s="681" t="str">
        <f>IF(K229=BS!I64," ","FALSE")</f>
        <v xml:space="preserve"> </v>
      </c>
    </row>
    <row r="231" spans="1:13" ht="7.05" customHeight="1">
      <c r="B231" s="681"/>
      <c r="C231" s="681"/>
      <c r="D231" s="681"/>
      <c r="E231" s="681"/>
      <c r="F231" s="681"/>
      <c r="G231" s="681"/>
      <c r="H231" s="681"/>
      <c r="I231" s="681"/>
      <c r="J231" s="681"/>
      <c r="K231" s="681"/>
    </row>
    <row r="232" spans="1:13">
      <c r="A232" s="684">
        <f>+A210+1</f>
        <v>14</v>
      </c>
      <c r="B232" s="681" t="s">
        <v>2970</v>
      </c>
      <c r="C232" s="701"/>
      <c r="D232" s="701"/>
      <c r="E232" s="701"/>
      <c r="H232" s="735"/>
      <c r="J232" s="684" t="s">
        <v>490</v>
      </c>
      <c r="K232" s="684" t="s">
        <v>490</v>
      </c>
    </row>
    <row r="233" spans="1:13">
      <c r="A233" s="684"/>
      <c r="C233" s="701"/>
      <c r="D233" s="701"/>
      <c r="E233" s="701"/>
      <c r="H233" s="681"/>
      <c r="I233" s="711"/>
      <c r="J233" s="976">
        <f>BS!$G$7</f>
        <v>45747</v>
      </c>
      <c r="K233" s="976">
        <f>BS!$I$7</f>
        <v>45382</v>
      </c>
    </row>
    <row r="234" spans="1:13">
      <c r="A234" s="684"/>
      <c r="B234" s="978" t="s">
        <v>2234</v>
      </c>
      <c r="C234" s="707"/>
      <c r="D234" s="876"/>
      <c r="E234" s="876"/>
      <c r="F234" s="707"/>
      <c r="G234" s="707"/>
      <c r="H234" s="765"/>
      <c r="J234" s="766"/>
      <c r="K234" s="707"/>
    </row>
    <row r="235" spans="1:13" hidden="1">
      <c r="A235" s="684"/>
      <c r="B235" s="701" t="s">
        <v>193</v>
      </c>
      <c r="D235" s="701"/>
      <c r="E235" s="701"/>
      <c r="H235" s="867"/>
      <c r="J235" s="873">
        <f>ROUND(0/Master!$B$23,0)</f>
        <v>0</v>
      </c>
      <c r="K235" s="873">
        <f>ROUND(0/Master!$B$23,0)</f>
        <v>0</v>
      </c>
    </row>
    <row r="236" spans="1:13" hidden="1">
      <c r="A236" s="684"/>
      <c r="B236" s="701" t="s">
        <v>194</v>
      </c>
      <c r="D236" s="701"/>
      <c r="E236" s="701"/>
      <c r="H236" s="867"/>
      <c r="J236" s="867">
        <f>ROUND(0/Master!$B$23,0)</f>
        <v>0</v>
      </c>
      <c r="K236" s="873">
        <f>ROUND(0/Master!$B$23,0)</f>
        <v>0</v>
      </c>
    </row>
    <row r="237" spans="1:13">
      <c r="A237" s="684"/>
      <c r="B237" s="1160" t="s">
        <v>2244</v>
      </c>
      <c r="D237" s="701"/>
      <c r="E237" s="701"/>
      <c r="H237" s="867"/>
      <c r="J237" s="1163">
        <f>'Sch - BS'!G51+J245*0</f>
        <v>0</v>
      </c>
      <c r="K237" s="873">
        <f>'Sch - BS'!I51+K245*0</f>
        <v>0</v>
      </c>
      <c r="M237" s="873">
        <f>J237-K237</f>
        <v>0</v>
      </c>
    </row>
    <row r="238" spans="1:13">
      <c r="A238" s="684"/>
      <c r="B238" s="683" t="s">
        <v>2235</v>
      </c>
      <c r="C238" s="681"/>
      <c r="D238" s="683"/>
      <c r="E238" s="683"/>
      <c r="F238" s="681"/>
      <c r="G238" s="681"/>
      <c r="H238" s="867"/>
      <c r="J238" s="763">
        <f>SUM(J235:J237)</f>
        <v>0</v>
      </c>
      <c r="K238" s="763">
        <f>SUM(K235:K237)</f>
        <v>0</v>
      </c>
    </row>
    <row r="239" spans="1:13">
      <c r="A239" s="684"/>
      <c r="C239" s="701"/>
      <c r="D239" s="701"/>
      <c r="E239" s="701"/>
      <c r="H239" s="763"/>
      <c r="J239" s="763"/>
      <c r="K239" s="764"/>
    </row>
    <row r="240" spans="1:13">
      <c r="A240" s="684"/>
      <c r="B240" s="683" t="s">
        <v>186</v>
      </c>
      <c r="D240" s="701"/>
      <c r="E240" s="701"/>
      <c r="H240" s="763"/>
      <c r="J240" s="763"/>
      <c r="K240" s="764"/>
    </row>
    <row r="241" spans="1:15">
      <c r="A241" s="684"/>
      <c r="B241" s="701" t="s">
        <v>1933</v>
      </c>
      <c r="D241" s="701"/>
      <c r="E241" s="701"/>
      <c r="H241" s="867"/>
      <c r="J241" s="873">
        <f>ROUND((510863)/Master!$B$23,0)</f>
        <v>510863</v>
      </c>
      <c r="K241" s="873">
        <f>ROUND((697189)/Master!$B$23,0)</f>
        <v>697189</v>
      </c>
      <c r="N241" s="699">
        <f>1096506+8530</f>
        <v>1105036</v>
      </c>
    </row>
    <row r="242" spans="1:15" hidden="1">
      <c r="A242" s="684"/>
      <c r="B242" s="1160" t="s">
        <v>2350</v>
      </c>
      <c r="D242" s="701"/>
      <c r="E242" s="701"/>
      <c r="H242" s="867"/>
      <c r="J242" s="1162">
        <f>ROUND((0)/Master!$B$23,0)</f>
        <v>0</v>
      </c>
      <c r="K242" s="882">
        <f>ROUND((0)/Master!$B$23,0)</f>
        <v>0</v>
      </c>
    </row>
    <row r="243" spans="1:15">
      <c r="A243" s="684"/>
      <c r="B243" s="701" t="s">
        <v>72</v>
      </c>
      <c r="D243" s="701"/>
      <c r="E243" s="701"/>
      <c r="H243" s="867"/>
      <c r="J243" s="1162">
        <f>-ROUND(('BS Gr'!I875+'BS Gr'!I878+1)/Master!$B$23,0)</f>
        <v>2635385</v>
      </c>
      <c r="K243" s="873">
        <f>-ROUND(('BS Gr'!M875+'BS Gr'!M878)/Master!$B$23,0)</f>
        <v>5812473</v>
      </c>
      <c r="M243" s="873"/>
    </row>
    <row r="244" spans="1:15">
      <c r="A244" s="684"/>
      <c r="B244" s="1160" t="s">
        <v>2323</v>
      </c>
      <c r="D244" s="701"/>
      <c r="E244" s="701"/>
      <c r="H244" s="867"/>
      <c r="J244" s="873">
        <f>ROUND((182614)/Master!$B$23,0)</f>
        <v>182614</v>
      </c>
      <c r="K244" s="873">
        <f>ROUND((258213)/Master!$B$23,0)</f>
        <v>258213</v>
      </c>
    </row>
    <row r="245" spans="1:15">
      <c r="A245" s="684"/>
      <c r="B245" s="1160" t="s">
        <v>2748</v>
      </c>
      <c r="D245" s="701"/>
      <c r="E245" s="701"/>
      <c r="H245" s="867"/>
      <c r="J245" s="699">
        <f>ROUND((0)/Master!$B$23,0)</f>
        <v>0</v>
      </c>
      <c r="K245" s="699">
        <f>ROUND((0)/Master!$B$23,0)</f>
        <v>0</v>
      </c>
    </row>
    <row r="246" spans="1:15">
      <c r="A246" s="684"/>
      <c r="B246" s="683" t="s">
        <v>2922</v>
      </c>
      <c r="D246" s="701"/>
      <c r="E246" s="701"/>
      <c r="H246" s="867"/>
      <c r="I246" s="711"/>
      <c r="J246" s="867">
        <f>SUM(J241:J245)</f>
        <v>3328862</v>
      </c>
      <c r="K246" s="867">
        <f>SUM(K241:K245)</f>
        <v>6767875</v>
      </c>
      <c r="N246" s="699">
        <f>+BS!G50</f>
        <v>0</v>
      </c>
    </row>
    <row r="247" spans="1:15">
      <c r="A247" s="684"/>
      <c r="B247" s="820" t="s">
        <v>2923</v>
      </c>
      <c r="C247" s="1035"/>
      <c r="D247" s="1035"/>
      <c r="E247" s="1035"/>
      <c r="F247" s="1035"/>
      <c r="G247" s="820"/>
      <c r="H247" s="1036"/>
      <c r="I247" s="711"/>
      <c r="J247" s="971">
        <f>+J238-J246</f>
        <v>-3328862</v>
      </c>
      <c r="K247" s="971">
        <f>+K238-K246</f>
        <v>-6767875</v>
      </c>
      <c r="N247" s="872">
        <f>+N246-J247</f>
        <v>3328862</v>
      </c>
      <c r="O247" s="872">
        <f>+J247-K247</f>
        <v>3439013</v>
      </c>
    </row>
    <row r="248" spans="1:15">
      <c r="A248" s="684"/>
      <c r="B248" s="1159" t="s">
        <v>2924</v>
      </c>
      <c r="H248" s="764"/>
      <c r="J248" s="764" t="b">
        <f>IF(-BS!G19='10-17'!J247," ",FALSE)</f>
        <v>0</v>
      </c>
      <c r="K248" s="764" t="b">
        <f>IF(BS!I50='10-17'!K247," ",FALSE)</f>
        <v>0</v>
      </c>
    </row>
    <row r="249" spans="1:15">
      <c r="A249" s="684"/>
      <c r="H249" s="882"/>
      <c r="J249" s="684" t="s">
        <v>490</v>
      </c>
      <c r="K249" s="684" t="s">
        <v>490</v>
      </c>
    </row>
    <row r="250" spans="1:15">
      <c r="A250" s="684"/>
      <c r="B250" s="887" t="s">
        <v>2349</v>
      </c>
      <c r="C250" s="711"/>
      <c r="D250" s="711"/>
      <c r="E250" s="711"/>
      <c r="F250" s="711"/>
      <c r="G250" s="711"/>
      <c r="H250" s="883"/>
      <c r="I250" s="711"/>
      <c r="J250" s="758">
        <f>BS!$G$7</f>
        <v>45747</v>
      </c>
      <c r="K250" s="758">
        <f>BS!$I$7</f>
        <v>45382</v>
      </c>
    </row>
    <row r="251" spans="1:15">
      <c r="A251" s="684"/>
      <c r="B251" s="1159" t="s">
        <v>2348</v>
      </c>
      <c r="H251" s="882"/>
      <c r="J251" s="764">
        <f>K257</f>
        <v>-6767876</v>
      </c>
      <c r="K251" s="764">
        <f>ROUND((19271361+20777)/Master!$B$23,0)+0.5</f>
        <v>19292138.5</v>
      </c>
    </row>
    <row r="252" spans="1:15">
      <c r="A252" s="684"/>
      <c r="B252" s="1159" t="s">
        <v>2351</v>
      </c>
      <c r="H252" s="882"/>
      <c r="J252" s="764">
        <f>-ROUND((-274935)/Master!$B$23,0)</f>
        <v>274935</v>
      </c>
      <c r="K252" s="764">
        <f>-ROUND((58566)/Master!$B$23,0)</f>
        <v>-58566</v>
      </c>
      <c r="M252" s="699">
        <f>308117+492933-950220-109249+73715</f>
        <v>-184704</v>
      </c>
      <c r="N252" s="699">
        <f>164575+17449-165610</f>
        <v>16414</v>
      </c>
    </row>
    <row r="253" spans="1:15" hidden="1">
      <c r="A253" s="684"/>
      <c r="B253" s="699" t="s">
        <v>198</v>
      </c>
      <c r="H253" s="882"/>
      <c r="J253" s="882">
        <v>0</v>
      </c>
      <c r="K253" s="764">
        <f>ROUND((0)/Master!$B$23,0)-K255*0</f>
        <v>0</v>
      </c>
    </row>
    <row r="254" spans="1:15">
      <c r="A254" s="684"/>
      <c r="B254" s="1160" t="s">
        <v>2244</v>
      </c>
      <c r="H254" s="882"/>
      <c r="J254" s="764">
        <f>J237-K237-ROUND(86055/Master!$B$23,0)*0</f>
        <v>0</v>
      </c>
      <c r="K254" s="764">
        <f>ROUND(-26397166/Master!$B$23,0)</f>
        <v>-26397166</v>
      </c>
    </row>
    <row r="255" spans="1:15">
      <c r="A255" s="684"/>
      <c r="B255" s="699" t="s">
        <v>199</v>
      </c>
      <c r="H255" s="882"/>
      <c r="J255" s="764">
        <f>-(J243-K243)</f>
        <v>3177088</v>
      </c>
      <c r="K255" s="764">
        <f>ROUND(404113/Master!$B$23,0)</f>
        <v>404113</v>
      </c>
    </row>
    <row r="256" spans="1:15">
      <c r="A256" s="684"/>
      <c r="B256" s="1159" t="s">
        <v>2822</v>
      </c>
      <c r="H256" s="882"/>
      <c r="I256" s="711"/>
      <c r="J256" s="764">
        <f>-PL!F42</f>
        <v>-13010</v>
      </c>
      <c r="K256" s="764">
        <f>-PL!H42</f>
        <v>-8395</v>
      </c>
      <c r="N256" s="699">
        <f>+BS!G50</f>
        <v>0</v>
      </c>
      <c r="O256" s="872">
        <f>+J257-N256</f>
        <v>-3328863</v>
      </c>
    </row>
    <row r="257" spans="1:16">
      <c r="A257" s="684"/>
      <c r="B257" s="820" t="s">
        <v>2347</v>
      </c>
      <c r="C257" s="1035"/>
      <c r="D257" s="1035"/>
      <c r="E257" s="1035"/>
      <c r="F257" s="1035"/>
      <c r="G257" s="1035"/>
      <c r="H257" s="1032"/>
      <c r="I257" s="711"/>
      <c r="J257" s="971">
        <f>SUM(J251:J256)</f>
        <v>-3328863</v>
      </c>
      <c r="K257" s="971">
        <f>SUM(K251:K256)-0.5</f>
        <v>-6767876</v>
      </c>
      <c r="M257" s="872">
        <f>+K257-K247</f>
        <v>-1</v>
      </c>
      <c r="N257" s="872">
        <f>+K247-K257</f>
        <v>1</v>
      </c>
      <c r="O257" s="699">
        <v>-6047310</v>
      </c>
      <c r="P257" s="1161">
        <f>J257-O257</f>
        <v>2718447</v>
      </c>
    </row>
    <row r="258" spans="1:16">
      <c r="A258" s="684"/>
      <c r="B258" s="1159" t="s">
        <v>2752</v>
      </c>
      <c r="H258" s="882"/>
      <c r="I258" s="763"/>
      <c r="J258" s="763" t="b">
        <f>IF(J257=J247," ",FALSE)</f>
        <v>0</v>
      </c>
      <c r="K258" s="763" t="b">
        <f>IF(K257=K247," ",FALSE)</f>
        <v>0</v>
      </c>
      <c r="M258" s="699">
        <v>1</v>
      </c>
      <c r="N258" s="872">
        <f>+J257-J247</f>
        <v>-1</v>
      </c>
    </row>
    <row r="259" spans="1:16" hidden="1">
      <c r="B259" s="681"/>
      <c r="C259" s="681"/>
      <c r="D259" s="681"/>
      <c r="E259" s="681"/>
      <c r="F259" s="681"/>
      <c r="G259" s="681"/>
      <c r="H259" s="681"/>
      <c r="I259" s="681"/>
      <c r="J259" s="681"/>
      <c r="K259" s="681"/>
    </row>
    <row r="260" spans="1:16" hidden="1">
      <c r="A260" s="683">
        <f>+A232+1</f>
        <v>15</v>
      </c>
      <c r="B260" s="681" t="s">
        <v>43</v>
      </c>
      <c r="C260" s="681"/>
      <c r="D260" s="681"/>
      <c r="E260" s="681"/>
      <c r="F260" s="681"/>
      <c r="G260" s="681"/>
      <c r="H260" s="681"/>
      <c r="I260" s="681"/>
      <c r="J260" s="681"/>
      <c r="K260" s="681"/>
    </row>
    <row r="261" spans="1:16" ht="5.0999999999999996" hidden="1" customHeight="1">
      <c r="B261" s="681"/>
      <c r="I261" s="710"/>
      <c r="J261" s="710"/>
      <c r="K261" s="699"/>
    </row>
    <row r="262" spans="1:16" hidden="1">
      <c r="B262" s="710"/>
      <c r="C262" s="710"/>
      <c r="D262" s="710"/>
      <c r="E262" s="710"/>
      <c r="F262" s="710"/>
      <c r="G262" s="710"/>
      <c r="H262" s="710"/>
      <c r="I262" s="735"/>
      <c r="J262" s="684" t="s">
        <v>490</v>
      </c>
      <c r="K262" s="684" t="s">
        <v>490</v>
      </c>
    </row>
    <row r="263" spans="1:16" hidden="1">
      <c r="B263" s="712"/>
      <c r="C263" s="712"/>
      <c r="D263" s="712"/>
      <c r="E263" s="712"/>
      <c r="F263" s="712"/>
      <c r="G263" s="712"/>
      <c r="H263" s="712"/>
      <c r="I263" s="758"/>
      <c r="J263" s="758">
        <f>BS!$G$7</f>
        <v>45747</v>
      </c>
      <c r="K263" s="758">
        <f>BS!$I$7</f>
        <v>45382</v>
      </c>
    </row>
    <row r="264" spans="1:16" ht="3" hidden="1" customHeight="1">
      <c r="I264" s="681"/>
      <c r="K264" s="699"/>
    </row>
    <row r="265" spans="1:16" hidden="1">
      <c r="B265" s="878" t="s">
        <v>695</v>
      </c>
      <c r="I265" s="867"/>
      <c r="J265" s="873">
        <f>'Sch - BS'!G257</f>
        <v>0</v>
      </c>
      <c r="K265" s="764">
        <f>'Sch - BS'!I257</f>
        <v>0</v>
      </c>
    </row>
    <row r="266" spans="1:16" hidden="1">
      <c r="B266" s="878" t="s">
        <v>275</v>
      </c>
      <c r="I266" s="867"/>
      <c r="J266" s="873">
        <f>'Sch - BS'!G252</f>
        <v>0</v>
      </c>
      <c r="K266" s="764">
        <f>'Sch - BS'!I252</f>
        <v>0</v>
      </c>
    </row>
    <row r="267" spans="1:16" ht="4.5" hidden="1" customHeight="1">
      <c r="I267" s="867"/>
      <c r="J267" s="867"/>
      <c r="K267" s="764"/>
    </row>
    <row r="268" spans="1:16" hidden="1">
      <c r="B268" s="1035"/>
      <c r="C268" s="820"/>
      <c r="D268" s="820"/>
      <c r="E268" s="820"/>
      <c r="F268" s="820"/>
      <c r="G268" s="820"/>
      <c r="H268" s="820"/>
      <c r="I268" s="1036"/>
      <c r="J268" s="1036">
        <f>SUM(J265:J267)</f>
        <v>0</v>
      </c>
      <c r="K268" s="971">
        <f>SUM(K265:K267)</f>
        <v>0</v>
      </c>
    </row>
    <row r="269" spans="1:16" ht="6" hidden="1" customHeight="1">
      <c r="K269" s="699"/>
    </row>
    <row r="270" spans="1:16" ht="10.050000000000001" customHeight="1">
      <c r="J270" s="710" t="str">
        <f>IF(J268-BS!G51=0,"","False")</f>
        <v/>
      </c>
      <c r="K270" s="710" t="str">
        <f>IF(K268-BS!I51=0,"","False")</f>
        <v/>
      </c>
    </row>
    <row r="271" spans="1:16" ht="52.05" customHeight="1">
      <c r="B271" s="1729" t="s">
        <v>2977</v>
      </c>
      <c r="C271" s="1782"/>
      <c r="D271" s="1782"/>
      <c r="E271" s="1782"/>
      <c r="F271" s="1782"/>
      <c r="G271" s="1782"/>
      <c r="H271" s="1782"/>
      <c r="I271" s="1782"/>
      <c r="J271" s="1782"/>
      <c r="K271" s="1782"/>
    </row>
    <row r="272" spans="1:16" ht="10.050000000000001" customHeight="1">
      <c r="K272" s="699"/>
    </row>
    <row r="273" spans="1:14">
      <c r="A273" s="683">
        <f>A232+1</f>
        <v>15</v>
      </c>
      <c r="B273" s="681" t="s">
        <v>46</v>
      </c>
      <c r="C273" s="681"/>
      <c r="K273" s="699"/>
      <c r="M273" s="872"/>
    </row>
    <row r="274" spans="1:14">
      <c r="B274" s="710"/>
      <c r="C274" s="710"/>
      <c r="D274" s="710"/>
      <c r="E274" s="710"/>
      <c r="F274" s="710"/>
      <c r="G274" s="710"/>
      <c r="H274" s="710"/>
      <c r="I274" s="735"/>
      <c r="J274" s="684" t="s">
        <v>490</v>
      </c>
      <c r="K274" s="684" t="s">
        <v>490</v>
      </c>
    </row>
    <row r="275" spans="1:14">
      <c r="B275" s="712"/>
      <c r="C275" s="712"/>
      <c r="D275" s="712"/>
      <c r="E275" s="712"/>
      <c r="F275" s="712"/>
      <c r="G275" s="712"/>
      <c r="H275" s="712"/>
      <c r="I275" s="758"/>
      <c r="J275" s="758">
        <f>BS!$G$7</f>
        <v>45747</v>
      </c>
      <c r="K275" s="758">
        <f>BS!$I$7</f>
        <v>45382</v>
      </c>
    </row>
    <row r="276" spans="1:14" ht="15" hidden="1" customHeight="1">
      <c r="B276" s="699" t="s">
        <v>276</v>
      </c>
      <c r="I276" s="763"/>
      <c r="J276" s="764">
        <f>ROUND(5727194/Master!$B$23,0)*0</f>
        <v>0</v>
      </c>
      <c r="K276" s="764">
        <f>ROUND(149167000/Master!$B$23,0)*0</f>
        <v>0</v>
      </c>
    </row>
    <row r="277" spans="1:14" ht="15" customHeight="1">
      <c r="B277" s="1064" t="s">
        <v>1943</v>
      </c>
      <c r="I277" s="763"/>
      <c r="J277" s="763">
        <f>ROUND(0/Master!$B$23,0)</f>
        <v>0</v>
      </c>
      <c r="K277" s="764">
        <f>ROUND(0/Master!$B$23,0)</f>
        <v>0</v>
      </c>
    </row>
    <row r="278" spans="1:14" ht="15" customHeight="1">
      <c r="B278" s="1064" t="s">
        <v>1944</v>
      </c>
      <c r="I278" s="763"/>
      <c r="J278" s="764"/>
      <c r="K278" s="764"/>
    </row>
    <row r="279" spans="1:14" ht="15" customHeight="1">
      <c r="C279" s="1159" t="s">
        <v>2969</v>
      </c>
      <c r="I279" s="763"/>
      <c r="J279" s="1249">
        <f>'Notes 28-35'!J87+'Notes 28-35'!J89+'Notes 28-35'!J88</f>
        <v>2587125</v>
      </c>
      <c r="K279" s="1249">
        <f>'Notes 28-35'!K87+'Notes 28-35'!K89+'Notes 28-35'!K88</f>
        <v>1756719</v>
      </c>
      <c r="N279" s="872"/>
    </row>
    <row r="280" spans="1:14" ht="15" customHeight="1">
      <c r="C280" s="1064" t="s">
        <v>1945</v>
      </c>
      <c r="I280" s="763"/>
      <c r="J280" s="1249">
        <f>'Sch - BS'!G271-J279</f>
        <v>1497305</v>
      </c>
      <c r="K280" s="1249">
        <f>'Sch - BS'!I271-K279</f>
        <v>1329361</v>
      </c>
      <c r="N280" s="872"/>
    </row>
    <row r="281" spans="1:14" ht="4.5" customHeight="1">
      <c r="I281" s="867"/>
      <c r="J281" s="867"/>
      <c r="K281" s="882"/>
    </row>
    <row r="282" spans="1:14">
      <c r="B282" s="1056" t="s">
        <v>173</v>
      </c>
      <c r="C282" s="1035"/>
      <c r="D282" s="1035"/>
      <c r="E282" s="1035"/>
      <c r="F282" s="1035"/>
      <c r="G282" s="1035"/>
      <c r="H282" s="1035"/>
      <c r="I282" s="971"/>
      <c r="J282" s="1036">
        <f>SUM(J276:J281)</f>
        <v>4084430</v>
      </c>
      <c r="K282" s="1036">
        <f>SUM(K276:K281)</f>
        <v>3086080</v>
      </c>
    </row>
    <row r="283" spans="1:14" ht="5.0999999999999996" customHeight="1">
      <c r="K283" s="882"/>
    </row>
    <row r="284" spans="1:14" ht="15" hidden="1" customHeight="1">
      <c r="A284" s="754"/>
      <c r="K284" s="882"/>
    </row>
    <row r="285" spans="1:14" ht="15" hidden="1" customHeight="1">
      <c r="A285" s="754"/>
      <c r="K285" s="882"/>
    </row>
    <row r="286" spans="1:14" ht="15" hidden="1" customHeight="1">
      <c r="A286" s="701"/>
      <c r="K286" s="882"/>
    </row>
    <row r="287" spans="1:14" ht="15" hidden="1" customHeight="1">
      <c r="K287" s="882"/>
    </row>
    <row r="288" spans="1:14" ht="27" hidden="1" customHeight="1">
      <c r="B288" s="1858" t="s">
        <v>277</v>
      </c>
      <c r="C288" s="1858"/>
      <c r="D288" s="1858"/>
      <c r="E288" s="1858"/>
      <c r="F288" s="1858"/>
      <c r="G288" s="1858"/>
      <c r="H288" s="1858"/>
      <c r="I288" s="1858"/>
      <c r="J288" s="1858"/>
      <c r="K288" s="1858"/>
    </row>
    <row r="289" spans="1:12" ht="5.0999999999999996" customHeight="1">
      <c r="J289" s="882"/>
      <c r="K289" s="699"/>
    </row>
    <row r="290" spans="1:12" ht="26.25" hidden="1" customHeight="1">
      <c r="B290" s="1858" t="s">
        <v>278</v>
      </c>
      <c r="C290" s="1858"/>
      <c r="D290" s="1858"/>
      <c r="E290" s="1858"/>
      <c r="F290" s="1858"/>
      <c r="G290" s="1858"/>
      <c r="H290" s="1858"/>
      <c r="I290" s="1858"/>
      <c r="J290" s="1858"/>
      <c r="K290" s="1858"/>
    </row>
    <row r="291" spans="1:12" hidden="1">
      <c r="B291" s="1256"/>
      <c r="C291" s="1256"/>
      <c r="D291" s="1256"/>
      <c r="E291" s="1256"/>
      <c r="F291" s="1256"/>
      <c r="G291" s="1256"/>
      <c r="H291" s="1256"/>
      <c r="I291" s="1256"/>
      <c r="J291" s="1256"/>
      <c r="K291" s="1256"/>
    </row>
    <row r="292" spans="1:12" hidden="1">
      <c r="A292" s="683">
        <f>+A273</f>
        <v>15</v>
      </c>
      <c r="B292" s="681" t="s">
        <v>2258</v>
      </c>
      <c r="C292" s="1256"/>
      <c r="D292" s="1256"/>
      <c r="E292" s="1256"/>
      <c r="F292" s="1256"/>
      <c r="G292" s="1256"/>
      <c r="H292" s="1256"/>
      <c r="I292" s="1256"/>
      <c r="J292" s="1256"/>
      <c r="K292" s="1256"/>
    </row>
    <row r="293" spans="1:12" s="700" customFormat="1" hidden="1">
      <c r="A293" s="683"/>
      <c r="B293" s="712"/>
      <c r="C293" s="712"/>
      <c r="D293" s="712"/>
      <c r="E293" s="712"/>
      <c r="F293" s="712"/>
      <c r="G293" s="712"/>
      <c r="H293" s="758"/>
      <c r="I293" s="758"/>
      <c r="J293" s="758">
        <f>BS!$G$7</f>
        <v>45747</v>
      </c>
      <c r="K293" s="758">
        <f>BS!$I$7</f>
        <v>45382</v>
      </c>
      <c r="L293" s="699"/>
    </row>
    <row r="294" spans="1:12" s="700" customFormat="1" hidden="1">
      <c r="A294" s="683"/>
      <c r="B294" s="699"/>
      <c r="C294" s="699"/>
      <c r="D294" s="699"/>
      <c r="E294" s="699"/>
      <c r="F294" s="699"/>
      <c r="G294" s="699"/>
      <c r="H294" s="699"/>
      <c r="I294" s="699"/>
      <c r="J294" s="882"/>
      <c r="K294" s="699"/>
      <c r="L294" s="699"/>
    </row>
    <row r="295" spans="1:12" s="700" customFormat="1" hidden="1">
      <c r="A295" s="683"/>
      <c r="B295" s="701" t="s">
        <v>279</v>
      </c>
      <c r="C295" s="739"/>
      <c r="D295" s="699"/>
      <c r="E295" s="699"/>
      <c r="F295" s="699"/>
      <c r="G295" s="699"/>
      <c r="H295" s="867"/>
      <c r="I295" s="873"/>
      <c r="J295" s="882"/>
      <c r="K295" s="699"/>
      <c r="L295" s="699"/>
    </row>
    <row r="296" spans="1:12" s="700" customFormat="1" hidden="1">
      <c r="A296" s="683"/>
      <c r="B296" s="699"/>
      <c r="C296" s="1444" t="s">
        <v>280</v>
      </c>
      <c r="D296" s="699"/>
      <c r="E296" s="699"/>
      <c r="F296" s="699"/>
      <c r="G296" s="699"/>
      <c r="H296" s="882"/>
      <c r="I296" s="1445"/>
      <c r="J296" s="1446" t="s">
        <v>282</v>
      </c>
      <c r="K296" s="1447" t="s">
        <v>282</v>
      </c>
      <c r="L296" s="699"/>
    </row>
    <row r="297" spans="1:12" s="700" customFormat="1" hidden="1">
      <c r="A297" s="683"/>
      <c r="B297" s="699"/>
      <c r="C297" s="1444" t="s">
        <v>281</v>
      </c>
      <c r="D297" s="699"/>
      <c r="E297" s="699"/>
      <c r="F297" s="699"/>
      <c r="G297" s="699"/>
      <c r="H297" s="882"/>
      <c r="I297" s="1448"/>
      <c r="J297" s="1446" t="s">
        <v>282</v>
      </c>
      <c r="K297" s="1447" t="s">
        <v>282</v>
      </c>
      <c r="L297" s="699"/>
    </row>
    <row r="298" spans="1:12" s="700" customFormat="1" hidden="1">
      <c r="A298" s="683"/>
      <c r="B298" s="699"/>
      <c r="C298" s="1444"/>
      <c r="D298" s="699"/>
      <c r="E298" s="699"/>
      <c r="F298" s="699"/>
      <c r="G298" s="699"/>
      <c r="H298" s="882"/>
      <c r="I298" s="1449"/>
      <c r="J298" s="1450"/>
      <c r="K298" s="1447"/>
      <c r="L298" s="699"/>
    </row>
    <row r="299" spans="1:12" s="700" customFormat="1" hidden="1">
      <c r="A299" s="683"/>
      <c r="B299" s="701" t="s">
        <v>283</v>
      </c>
      <c r="C299" s="701"/>
      <c r="D299" s="699"/>
      <c r="E299" s="699"/>
      <c r="F299" s="699"/>
      <c r="G299" s="699"/>
      <c r="H299" s="882"/>
      <c r="I299" s="1448"/>
      <c r="J299" s="1446" t="s">
        <v>282</v>
      </c>
      <c r="K299" s="1447" t="s">
        <v>282</v>
      </c>
      <c r="L299" s="699"/>
    </row>
    <row r="300" spans="1:12" s="700" customFormat="1" hidden="1">
      <c r="A300" s="683"/>
      <c r="B300" s="701"/>
      <c r="C300" s="701"/>
      <c r="D300" s="699"/>
      <c r="E300" s="699"/>
      <c r="F300" s="699"/>
      <c r="G300" s="699"/>
      <c r="H300" s="882"/>
      <c r="I300" s="1449"/>
      <c r="J300" s="1450"/>
      <c r="K300" s="1447"/>
      <c r="L300" s="699"/>
    </row>
    <row r="301" spans="1:12" s="700" customFormat="1" hidden="1">
      <c r="A301" s="683"/>
      <c r="B301" s="701" t="s">
        <v>284</v>
      </c>
      <c r="C301" s="701"/>
      <c r="D301" s="699"/>
      <c r="E301" s="699"/>
      <c r="F301" s="699"/>
      <c r="G301" s="699"/>
      <c r="H301" s="882"/>
      <c r="I301" s="1448"/>
      <c r="J301" s="1446" t="s">
        <v>282</v>
      </c>
      <c r="K301" s="1447" t="s">
        <v>282</v>
      </c>
      <c r="L301" s="699"/>
    </row>
    <row r="302" spans="1:12" s="700" customFormat="1" hidden="1">
      <c r="A302" s="683"/>
      <c r="B302" s="701"/>
      <c r="C302" s="701"/>
      <c r="D302" s="699"/>
      <c r="E302" s="699"/>
      <c r="F302" s="699"/>
      <c r="G302" s="699"/>
      <c r="H302" s="882"/>
      <c r="I302" s="1449"/>
      <c r="J302" s="1450"/>
      <c r="K302" s="1447"/>
      <c r="L302" s="699"/>
    </row>
    <row r="303" spans="1:12" s="700" customFormat="1" hidden="1">
      <c r="A303" s="683"/>
      <c r="B303" s="1734" t="s">
        <v>285</v>
      </c>
      <c r="C303" s="1734"/>
      <c r="D303" s="1734"/>
      <c r="E303" s="1734"/>
      <c r="F303" s="1734"/>
      <c r="G303" s="1734"/>
      <c r="H303" s="882"/>
      <c r="I303" s="1448"/>
      <c r="J303" s="1446" t="s">
        <v>282</v>
      </c>
      <c r="K303" s="1447" t="s">
        <v>282</v>
      </c>
      <c r="L303" s="699"/>
    </row>
    <row r="304" spans="1:12" s="700" customFormat="1" hidden="1">
      <c r="A304" s="683"/>
      <c r="B304" s="701"/>
      <c r="C304" s="701"/>
      <c r="D304" s="699"/>
      <c r="E304" s="699"/>
      <c r="F304" s="699"/>
      <c r="G304" s="699"/>
      <c r="H304" s="882"/>
      <c r="I304" s="1449"/>
      <c r="J304" s="1450"/>
      <c r="K304" s="1447"/>
      <c r="L304" s="699"/>
    </row>
    <row r="305" spans="1:16" s="700" customFormat="1" hidden="1">
      <c r="A305" s="683"/>
      <c r="B305" s="701" t="s">
        <v>287</v>
      </c>
      <c r="C305" s="699"/>
      <c r="D305" s="699"/>
      <c r="E305" s="699"/>
      <c r="F305" s="699"/>
      <c r="G305" s="699"/>
      <c r="H305" s="882"/>
      <c r="I305" s="1448"/>
      <c r="J305" s="1446" t="s">
        <v>282</v>
      </c>
      <c r="K305" s="1447" t="s">
        <v>282</v>
      </c>
      <c r="L305" s="699"/>
    </row>
    <row r="306" spans="1:16" s="700" customFormat="1" hidden="1">
      <c r="A306" s="683"/>
      <c r="B306" s="701"/>
      <c r="C306" s="699"/>
      <c r="D306" s="699"/>
      <c r="E306" s="699"/>
      <c r="F306" s="699"/>
      <c r="G306" s="699"/>
      <c r="H306" s="699"/>
      <c r="I306" s="1449"/>
      <c r="J306" s="1450"/>
      <c r="K306" s="1447"/>
      <c r="L306" s="699"/>
    </row>
    <row r="307" spans="1:16" s="700" customFormat="1" hidden="1">
      <c r="A307" s="683"/>
      <c r="B307" s="1734" t="s">
        <v>288</v>
      </c>
      <c r="C307" s="1734"/>
      <c r="D307" s="1734"/>
      <c r="E307" s="1734"/>
      <c r="F307" s="1734"/>
      <c r="G307" s="1734"/>
      <c r="H307" s="699"/>
      <c r="I307" s="1448"/>
      <c r="J307" s="1446" t="s">
        <v>282</v>
      </c>
      <c r="K307" s="1447" t="s">
        <v>282</v>
      </c>
      <c r="L307" s="699"/>
    </row>
    <row r="308" spans="1:16" s="700" customFormat="1" hidden="1">
      <c r="A308" s="683"/>
      <c r="B308" s="699"/>
      <c r="C308" s="699"/>
      <c r="D308" s="699"/>
      <c r="E308" s="699"/>
      <c r="F308" s="699"/>
      <c r="G308" s="699"/>
      <c r="H308" s="699"/>
      <c r="I308" s="699"/>
      <c r="J308" s="882"/>
      <c r="K308" s="699"/>
      <c r="L308" s="699"/>
    </row>
    <row r="309" spans="1:16" s="700" customFormat="1">
      <c r="A309" s="683"/>
      <c r="B309" s="681" t="s">
        <v>2570</v>
      </c>
      <c r="C309" s="699"/>
      <c r="D309" s="699"/>
      <c r="E309" s="699"/>
      <c r="F309" s="699"/>
      <c r="G309" s="699"/>
      <c r="H309" s="699"/>
      <c r="I309" s="699"/>
      <c r="J309" s="882"/>
      <c r="K309" s="699"/>
      <c r="L309" s="699"/>
    </row>
    <row r="310" spans="1:16" s="700" customFormat="1" ht="9.4499999999999993" customHeight="1">
      <c r="A310" s="683"/>
      <c r="B310" s="699"/>
      <c r="C310" s="699"/>
      <c r="D310" s="699"/>
      <c r="E310" s="699"/>
      <c r="F310" s="699"/>
      <c r="G310" s="699"/>
      <c r="H310" s="699"/>
      <c r="I310" s="699"/>
      <c r="J310" s="882"/>
      <c r="K310" s="699"/>
      <c r="L310" s="699"/>
    </row>
    <row r="311" spans="1:16" s="700" customFormat="1">
      <c r="A311" s="683"/>
      <c r="B311" s="681" t="s">
        <v>2998</v>
      </c>
      <c r="C311" s="699"/>
      <c r="D311" s="699"/>
      <c r="E311" s="699"/>
      <c r="F311" s="1838" t="s">
        <v>2565</v>
      </c>
      <c r="G311" s="1838"/>
      <c r="H311" s="1838"/>
      <c r="I311" s="1838"/>
      <c r="J311" s="1838"/>
      <c r="K311" s="1838"/>
      <c r="L311" s="699"/>
    </row>
    <row r="312" spans="1:16" s="700" customFormat="1" ht="26.4">
      <c r="A312" s="683"/>
      <c r="B312" s="711"/>
      <c r="C312" s="711"/>
      <c r="D312" s="711"/>
      <c r="E312" s="711"/>
      <c r="F312" s="883"/>
      <c r="G312" s="1393" t="s">
        <v>2566</v>
      </c>
      <c r="H312" s="1393" t="s">
        <v>2571</v>
      </c>
      <c r="I312" s="1393" t="s">
        <v>2572</v>
      </c>
      <c r="J312" s="1393" t="s">
        <v>2573</v>
      </c>
      <c r="K312" s="1393" t="s">
        <v>173</v>
      </c>
      <c r="L312" s="699"/>
    </row>
    <row r="313" spans="1:16" s="700" customFormat="1" ht="26.1" customHeight="1">
      <c r="A313" s="683"/>
      <c r="B313" s="1860" t="s">
        <v>2574</v>
      </c>
      <c r="C313" s="1861"/>
      <c r="D313" s="1861"/>
      <c r="E313" s="1861"/>
      <c r="F313" s="1861"/>
      <c r="G313" s="1429">
        <f>ROUND(0/Master!$B$23,0)</f>
        <v>0</v>
      </c>
      <c r="H313" s="1429">
        <f>ROUND(0/Master!$B$23,0)</f>
        <v>0</v>
      </c>
      <c r="I313" s="1429">
        <f>ROUND(0/Master!$B$23,0)</f>
        <v>0</v>
      </c>
      <c r="J313" s="1429">
        <f>ROUND(0/Master!$B$23,0)</f>
        <v>0</v>
      </c>
      <c r="K313" s="764">
        <f>SUM(G313:J313)</f>
        <v>0</v>
      </c>
      <c r="L313" s="699"/>
    </row>
    <row r="314" spans="1:16" s="700" customFormat="1" ht="29.25" customHeight="1">
      <c r="A314" s="683"/>
      <c r="B314" s="1862" t="s">
        <v>2575</v>
      </c>
      <c r="C314" s="1862"/>
      <c r="D314" s="1862"/>
      <c r="E314" s="1862"/>
      <c r="F314" s="1862"/>
      <c r="G314" s="1610">
        <f>ROUND(928440*0/Master!$B$23,0)</f>
        <v>0</v>
      </c>
      <c r="H314" s="1612">
        <f>ROUND((0)/Master!$B$23,0)</f>
        <v>0</v>
      </c>
      <c r="I314" s="1610">
        <f>ROUND((0)/Master!$B$23,0)</f>
        <v>0</v>
      </c>
      <c r="J314" s="1611">
        <f>ROUND((0)/Master!$B$23,0)</f>
        <v>0</v>
      </c>
      <c r="K314" s="764">
        <f>SUM(G314:J314)</f>
        <v>0</v>
      </c>
      <c r="L314" s="1396">
        <f>SUM(H314:J314)+G314</f>
        <v>0</v>
      </c>
    </row>
    <row r="315" spans="1:16" s="700" customFormat="1">
      <c r="A315" s="683"/>
      <c r="B315" s="1395" t="s">
        <v>2576</v>
      </c>
      <c r="G315" s="1430">
        <f>ROUND(0/Master!$B$23,0)</f>
        <v>0</v>
      </c>
      <c r="H315" s="1430">
        <f>ROUND((1828602 )/Master!$B$23,0)</f>
        <v>1828602</v>
      </c>
      <c r="I315" s="1429">
        <f>ROUND(0/Master!$B$23,0)</f>
        <v>0</v>
      </c>
      <c r="J315" s="1430">
        <f>ROUND((758523 )/Master!$B$23,0)</f>
        <v>758523</v>
      </c>
      <c r="K315" s="764">
        <f>SUM(G315:J315)</f>
        <v>2587125</v>
      </c>
      <c r="L315" s="1396">
        <f>SUM(H315:J315)+G315</f>
        <v>2587125</v>
      </c>
    </row>
    <row r="316" spans="1:16" s="700" customFormat="1">
      <c r="A316" s="683"/>
      <c r="B316" s="699"/>
      <c r="C316" s="1395"/>
      <c r="G316" s="1493"/>
      <c r="H316" s="1494"/>
      <c r="I316" s="1494"/>
      <c r="J316" s="1396"/>
      <c r="K316" s="1308"/>
      <c r="L316" s="1396"/>
    </row>
    <row r="317" spans="1:16" s="700" customFormat="1">
      <c r="A317" s="683"/>
      <c r="B317" s="1432" t="s">
        <v>173</v>
      </c>
      <c r="C317" s="1032"/>
      <c r="D317" s="1032"/>
      <c r="E317" s="1032"/>
      <c r="F317" s="1032"/>
      <c r="G317" s="1437">
        <f t="shared" ref="G317:L317" si="0">SUM(G313:G316)</f>
        <v>0</v>
      </c>
      <c r="H317" s="1437">
        <f t="shared" si="0"/>
        <v>1828602</v>
      </c>
      <c r="I317" s="1437">
        <f t="shared" si="0"/>
        <v>0</v>
      </c>
      <c r="J317" s="1437">
        <f t="shared" si="0"/>
        <v>758523</v>
      </c>
      <c r="K317" s="1437">
        <f t="shared" si="0"/>
        <v>2587125</v>
      </c>
      <c r="L317" s="1437">
        <f t="shared" si="0"/>
        <v>2587125</v>
      </c>
      <c r="M317" s="700">
        <f>'BS Gr'!D617+'BS Gr'!D618+'BS Gr'!D619+'BS Gr'!D621+'BS Gr'!D622+'BS Gr'!D624</f>
        <v>2339033.6799999895</v>
      </c>
      <c r="N317" s="700">
        <f>K317-M317</f>
        <v>248091.32000001054</v>
      </c>
    </row>
    <row r="318" spans="1:16" s="700" customFormat="1">
      <c r="A318" s="683"/>
      <c r="B318" s="1395" t="s">
        <v>2617</v>
      </c>
      <c r="C318" s="882"/>
      <c r="D318" s="882"/>
      <c r="E318" s="882"/>
      <c r="F318" s="882"/>
      <c r="G318" s="1396"/>
      <c r="H318" s="1396"/>
      <c r="I318" s="1396"/>
      <c r="J318" s="1396"/>
      <c r="K318" s="1494">
        <f>ROUND(1643630-173318/Master!$B$23,0)</f>
        <v>1470312</v>
      </c>
      <c r="L318" s="1396"/>
      <c r="P318" s="700">
        <f>K319-J282</f>
        <v>-26993</v>
      </c>
    </row>
    <row r="319" spans="1:16" s="700" customFormat="1">
      <c r="A319" s="683"/>
      <c r="B319" s="1392" t="s">
        <v>173</v>
      </c>
      <c r="C319" s="882"/>
      <c r="D319" s="882"/>
      <c r="E319" s="882"/>
      <c r="F319" s="882"/>
      <c r="G319" s="1396"/>
      <c r="H319" s="1396"/>
      <c r="I319" s="1396"/>
      <c r="J319" s="1396"/>
      <c r="K319" s="1396">
        <f>K317+K318</f>
        <v>4057437</v>
      </c>
      <c r="L319" s="1396"/>
    </row>
    <row r="320" spans="1:16" s="700" customFormat="1" ht="9.4499999999999993" customHeight="1">
      <c r="A320" s="683"/>
      <c r="B320" s="699"/>
      <c r="C320" s="699"/>
      <c r="G320" s="699"/>
      <c r="H320" s="699"/>
      <c r="I320" s="699"/>
      <c r="J320" s="699"/>
      <c r="K320" s="699" t="b">
        <f>IF(K319=J282," ",FALSE)</f>
        <v>0</v>
      </c>
      <c r="L320" s="699"/>
      <c r="M320" s="700">
        <f>M317-J282</f>
        <v>-1745396.3200000105</v>
      </c>
    </row>
    <row r="321" spans="1:12" s="700" customFormat="1" ht="4.95" customHeight="1">
      <c r="A321" s="683"/>
      <c r="B321" s="699"/>
      <c r="C321" s="699"/>
      <c r="D321" s="699"/>
      <c r="E321" s="699"/>
      <c r="F321" s="699"/>
      <c r="G321" s="699"/>
      <c r="H321" s="699"/>
      <c r="I321" s="699"/>
      <c r="J321" s="882"/>
      <c r="K321" s="699"/>
      <c r="L321" s="699"/>
    </row>
    <row r="322" spans="1:12" s="700" customFormat="1">
      <c r="A322" s="683"/>
      <c r="B322" s="681" t="s">
        <v>2829</v>
      </c>
      <c r="C322" s="699"/>
      <c r="D322" s="699"/>
      <c r="E322" s="699"/>
      <c r="F322" s="1838" t="s">
        <v>2565</v>
      </c>
      <c r="G322" s="1838"/>
      <c r="H322" s="1838"/>
      <c r="I322" s="1838"/>
      <c r="J322" s="1838"/>
      <c r="K322" s="1838"/>
      <c r="L322" s="699"/>
    </row>
    <row r="323" spans="1:12" s="700" customFormat="1" ht="26.4">
      <c r="A323" s="683"/>
      <c r="B323" s="711"/>
      <c r="C323" s="711"/>
      <c r="D323" s="711"/>
      <c r="E323" s="711"/>
      <c r="F323" s="883"/>
      <c r="G323" s="1393" t="s">
        <v>2566</v>
      </c>
      <c r="H323" s="1393" t="s">
        <v>2571</v>
      </c>
      <c r="I323" s="1393" t="s">
        <v>2572</v>
      </c>
      <c r="J323" s="1393" t="s">
        <v>2573</v>
      </c>
      <c r="K323" s="1393" t="s">
        <v>173</v>
      </c>
      <c r="L323" s="699"/>
    </row>
    <row r="324" spans="1:12" s="700" customFormat="1" ht="26.1" customHeight="1">
      <c r="A324" s="683"/>
      <c r="B324" s="1860" t="s">
        <v>2574</v>
      </c>
      <c r="C324" s="1861"/>
      <c r="D324" s="1861"/>
      <c r="E324" s="1861"/>
      <c r="F324" s="1861"/>
      <c r="G324" s="1429">
        <f>ROUND(0/Master!$B$23,0)</f>
        <v>0</v>
      </c>
      <c r="H324" s="1429">
        <f>ROUND(0/Master!$B$23,0)</f>
        <v>0</v>
      </c>
      <c r="I324" s="1429">
        <f>ROUND(0/Master!$B$23,0)</f>
        <v>0</v>
      </c>
      <c r="J324" s="1429">
        <f>ROUND(0/Master!$B$23,0)</f>
        <v>0</v>
      </c>
      <c r="K324" s="764">
        <f>SUM(G324:J324)</f>
        <v>0</v>
      </c>
      <c r="L324" s="699"/>
    </row>
    <row r="325" spans="1:12" s="700" customFormat="1" ht="26.55" customHeight="1">
      <c r="A325" s="683"/>
      <c r="B325" s="1862" t="s">
        <v>2575</v>
      </c>
      <c r="C325" s="1862"/>
      <c r="D325" s="1862"/>
      <c r="E325" s="1862"/>
      <c r="F325" s="1862"/>
      <c r="G325" s="1430">
        <f>ROUND(928440*0/Master!$B$23,0)</f>
        <v>0</v>
      </c>
      <c r="H325" s="1431">
        <f>ROUND(( 83345)/Master!$B$23,0)</f>
        <v>83345</v>
      </c>
      <c r="I325" s="1430">
        <f>ROUND((18475)/Master!$B$23,0)</f>
        <v>18475</v>
      </c>
      <c r="J325" s="1431">
        <f>ROUND((29672)/Master!$B$23,0)</f>
        <v>29672</v>
      </c>
      <c r="K325" s="764">
        <f>SUM(G325:J325)</f>
        <v>131492</v>
      </c>
      <c r="L325" s="1396">
        <f>SUM(H325:J325)+G325</f>
        <v>131492</v>
      </c>
    </row>
    <row r="326" spans="1:12" s="700" customFormat="1">
      <c r="A326" s="683"/>
      <c r="B326" s="1395" t="s">
        <v>2576</v>
      </c>
      <c r="G326" s="1430">
        <f>ROUND(0/Master!$B$23,0)</f>
        <v>0</v>
      </c>
      <c r="H326" s="1430">
        <f>ROUND(( 1000000)/Master!$B$23,0)</f>
        <v>1000000</v>
      </c>
      <c r="I326" s="1429">
        <f>ROUND(0/Master!$B$23,0)</f>
        <v>0</v>
      </c>
      <c r="J326" s="1430">
        <f>ROUND((740912 )/Master!$B$23,0)</f>
        <v>740912</v>
      </c>
      <c r="K326" s="764">
        <f>SUM(G326:J326)</f>
        <v>1740912</v>
      </c>
      <c r="L326" s="1396">
        <f>SUM(H326:J326)+G326</f>
        <v>1740912</v>
      </c>
    </row>
    <row r="327" spans="1:12" s="700" customFormat="1">
      <c r="A327" s="683"/>
      <c r="B327" s="699"/>
      <c r="C327" s="1395"/>
      <c r="G327" s="1433"/>
      <c r="H327" s="1434"/>
      <c r="I327" s="1434"/>
      <c r="J327" s="1435"/>
      <c r="K327" s="1429"/>
      <c r="L327" s="1396"/>
    </row>
    <row r="328" spans="1:12" s="700" customFormat="1">
      <c r="A328" s="683"/>
      <c r="B328" s="1432" t="s">
        <v>173</v>
      </c>
      <c r="C328" s="1032"/>
      <c r="D328" s="1032"/>
      <c r="E328" s="1032"/>
      <c r="F328" s="1032"/>
      <c r="G328" s="1436">
        <f t="shared" ref="G328:L328" si="1">SUM(G324:G327)</f>
        <v>0</v>
      </c>
      <c r="H328" s="1436">
        <f t="shared" si="1"/>
        <v>1083345</v>
      </c>
      <c r="I328" s="1436">
        <f t="shared" si="1"/>
        <v>18475</v>
      </c>
      <c r="J328" s="1436">
        <f t="shared" si="1"/>
        <v>770584</v>
      </c>
      <c r="K328" s="1436">
        <f t="shared" si="1"/>
        <v>1872404</v>
      </c>
      <c r="L328" s="1436">
        <f t="shared" si="1"/>
        <v>1872404</v>
      </c>
    </row>
    <row r="329" spans="1:12" s="700" customFormat="1">
      <c r="A329" s="683"/>
      <c r="B329" s="1395" t="s">
        <v>2617</v>
      </c>
      <c r="C329" s="882"/>
      <c r="D329" s="882"/>
      <c r="E329" s="882"/>
      <c r="F329" s="882"/>
      <c r="G329" s="1435"/>
      <c r="H329" s="1435"/>
      <c r="I329" s="1435"/>
      <c r="J329" s="1435"/>
      <c r="K329" s="1435">
        <f>ROUND((1300000-86324)/Master!$B$23,0)</f>
        <v>1213676</v>
      </c>
      <c r="L329" s="1435"/>
    </row>
    <row r="330" spans="1:12" s="700" customFormat="1">
      <c r="A330" s="683"/>
      <c r="B330" s="1392" t="s">
        <v>173</v>
      </c>
      <c r="C330" s="882"/>
      <c r="D330" s="882"/>
      <c r="E330" s="882"/>
      <c r="F330" s="882"/>
      <c r="G330" s="1435"/>
      <c r="H330" s="1435"/>
      <c r="I330" s="1435"/>
      <c r="J330" s="1435"/>
      <c r="K330" s="1435">
        <f>K328+K329</f>
        <v>3086080</v>
      </c>
      <c r="L330" s="1435"/>
    </row>
    <row r="331" spans="1:12" ht="10.95" customHeight="1">
      <c r="B331" s="701"/>
      <c r="H331" s="681"/>
      <c r="J331" s="882"/>
      <c r="K331" s="699" t="str">
        <f>IF(K330=K282," ",FALSE)</f>
        <v xml:space="preserve"> </v>
      </c>
    </row>
    <row r="332" spans="1:12" ht="22.05" hidden="1" customHeight="1">
      <c r="B332" s="701"/>
      <c r="H332" s="681"/>
      <c r="J332" s="882"/>
      <c r="K332" s="699"/>
    </row>
    <row r="333" spans="1:12" ht="22.05" hidden="1" customHeight="1">
      <c r="B333" s="701"/>
      <c r="H333" s="681"/>
      <c r="J333" s="882"/>
      <c r="K333" s="699"/>
    </row>
    <row r="334" spans="1:12">
      <c r="B334" s="1160" t="s">
        <v>2755</v>
      </c>
      <c r="H334" s="681"/>
      <c r="J334" s="882"/>
      <c r="K334" s="882"/>
    </row>
    <row r="335" spans="1:12" ht="5.0999999999999996" customHeight="1">
      <c r="B335" s="701"/>
      <c r="H335" s="681"/>
      <c r="J335" s="882"/>
      <c r="K335" s="699"/>
    </row>
    <row r="336" spans="1:12">
      <c r="A336" s="683">
        <f>+A273+1</f>
        <v>16</v>
      </c>
      <c r="B336" s="681" t="s">
        <v>1867</v>
      </c>
      <c r="C336" s="681"/>
      <c r="K336" s="882"/>
    </row>
    <row r="337" spans="1:12" ht="12.45" customHeight="1">
      <c r="B337" s="710"/>
      <c r="C337" s="710"/>
      <c r="D337" s="710"/>
      <c r="E337" s="710"/>
      <c r="F337" s="710"/>
      <c r="G337" s="710"/>
      <c r="H337" s="710"/>
      <c r="I337" s="735"/>
      <c r="J337" s="684" t="s">
        <v>490</v>
      </c>
      <c r="K337" s="684" t="s">
        <v>490</v>
      </c>
    </row>
    <row r="338" spans="1:12">
      <c r="B338" s="712"/>
      <c r="C338" s="712"/>
      <c r="D338" s="712"/>
      <c r="E338" s="712"/>
      <c r="F338" s="712"/>
      <c r="G338" s="712"/>
      <c r="H338" s="712"/>
      <c r="I338" s="758"/>
      <c r="J338" s="758">
        <f>BS!$G$7</f>
        <v>45747</v>
      </c>
      <c r="K338" s="758">
        <f>BS!$I$7</f>
        <v>45382</v>
      </c>
    </row>
    <row r="339" spans="1:12" ht="15" customHeight="1">
      <c r="B339" s="699" t="s">
        <v>289</v>
      </c>
      <c r="I339" s="867"/>
      <c r="J339" s="873">
        <f>'Sch - BS'!G274-J340</f>
        <v>574710</v>
      </c>
      <c r="K339" s="873">
        <f>'Sch - BS'!I274-K340</f>
        <v>829849</v>
      </c>
      <c r="L339" s="901"/>
    </row>
    <row r="340" spans="1:12" ht="13.05" hidden="1" customHeight="1">
      <c r="B340" s="1159" t="s">
        <v>2239</v>
      </c>
      <c r="I340" s="867"/>
      <c r="J340" s="873">
        <f>ROUND('BS Gr'!H741/Master!$B$23,0)</f>
        <v>0</v>
      </c>
      <c r="K340" s="873">
        <f>ROUND('BS Gr'!L741/Master!$B$23,0)</f>
        <v>0</v>
      </c>
      <c r="L340" s="901"/>
    </row>
    <row r="341" spans="1:12" ht="13.05" hidden="1" customHeight="1">
      <c r="A341" s="699"/>
      <c r="B341" s="849" t="s">
        <v>290</v>
      </c>
      <c r="I341" s="867"/>
      <c r="J341" s="873">
        <f>'Sch - BS'!G276</f>
        <v>0</v>
      </c>
      <c r="K341" s="873">
        <f>'Sch - BS'!I276</f>
        <v>0</v>
      </c>
      <c r="L341" s="901"/>
    </row>
    <row r="342" spans="1:12" ht="13.05" hidden="1" customHeight="1">
      <c r="A342" s="699"/>
      <c r="B342" s="699" t="s">
        <v>291</v>
      </c>
      <c r="I342" s="867"/>
      <c r="J342" s="873">
        <f>'Sch - BS'!G278</f>
        <v>-1</v>
      </c>
      <c r="K342" s="873">
        <f>'Sch - BS'!I278</f>
        <v>-1</v>
      </c>
      <c r="L342" s="901"/>
    </row>
    <row r="343" spans="1:12" ht="13.05" hidden="1" customHeight="1">
      <c r="A343" s="699"/>
      <c r="B343" s="699" t="s">
        <v>292</v>
      </c>
      <c r="I343" s="867"/>
      <c r="J343" s="873">
        <f>'Sch - BS'!G279</f>
        <v>0</v>
      </c>
      <c r="K343" s="873">
        <f>'Sch - BS'!I279</f>
        <v>0</v>
      </c>
      <c r="L343" s="901"/>
    </row>
    <row r="344" spans="1:12" ht="15" customHeight="1">
      <c r="A344" s="699"/>
      <c r="B344" s="1159" t="s">
        <v>2026</v>
      </c>
      <c r="I344" s="867"/>
      <c r="J344" s="1152">
        <f>'Sch - BS'!G280</f>
        <v>0</v>
      </c>
      <c r="K344" s="1152">
        <f>'Sch - BS'!I280</f>
        <v>0</v>
      </c>
      <c r="L344" s="901"/>
    </row>
    <row r="345" spans="1:12" ht="13.05" hidden="1" customHeight="1">
      <c r="A345" s="699"/>
      <c r="B345" s="1159" t="s">
        <v>2339</v>
      </c>
      <c r="I345" s="867"/>
      <c r="J345" s="882">
        <f>ROUND('BS Gr'!H776/Master!$B$23,0)</f>
        <v>0</v>
      </c>
      <c r="K345" s="873">
        <f>ROUND('BS Gr'!L776/Master!$B$23,0)</f>
        <v>0</v>
      </c>
      <c r="L345" s="901"/>
    </row>
    <row r="346" spans="1:12" ht="13.05" hidden="1" customHeight="1">
      <c r="A346" s="699"/>
      <c r="B346" s="1159" t="s">
        <v>2617</v>
      </c>
      <c r="I346" s="867"/>
      <c r="J346" s="873">
        <f>ROUND(('BS Gr'!H623+'BS Gr'!H622+'BS Gr'!H624)/Master!$B$23,0)*0</f>
        <v>0</v>
      </c>
      <c r="K346" s="873">
        <f>ROUND(('BS Gr'!L609+'BS Gr'!L610+'BS Gr'!L611+'BS Gr'!L623+'BS Gr'!L622+'BS Gr'!L624)/Master!$B$23,0)*0</f>
        <v>0</v>
      </c>
      <c r="L346" s="901"/>
    </row>
    <row r="347" spans="1:12" ht="15" customHeight="1">
      <c r="A347" s="699"/>
      <c r="B347" s="1134" t="s">
        <v>190</v>
      </c>
      <c r="I347" s="867"/>
      <c r="J347" s="873">
        <f>'Sch - BS'!G277+'Sch - BS'!G275-J345-J346</f>
        <v>199</v>
      </c>
      <c r="K347" s="873">
        <f>'Sch - BS'!I277+'Sch - BS'!I275-K345-K346</f>
        <v>299</v>
      </c>
      <c r="L347" s="901"/>
    </row>
    <row r="348" spans="1:12" ht="13.05" hidden="1" customHeight="1">
      <c r="A348" s="699"/>
      <c r="B348" s="699" t="s">
        <v>294</v>
      </c>
      <c r="I348" s="867"/>
      <c r="J348" s="867">
        <f>'Sch - BS'!G281*0</f>
        <v>0</v>
      </c>
      <c r="K348" s="873">
        <f>'Sch - BS'!I281</f>
        <v>0</v>
      </c>
      <c r="L348" s="901"/>
    </row>
    <row r="349" spans="1:12" ht="4.5" customHeight="1">
      <c r="A349" s="699"/>
      <c r="B349" s="682"/>
      <c r="I349" s="867"/>
      <c r="J349" s="867"/>
      <c r="K349" s="882"/>
      <c r="L349" s="901"/>
    </row>
    <row r="350" spans="1:12">
      <c r="A350" s="699"/>
      <c r="B350" s="1056" t="s">
        <v>173</v>
      </c>
      <c r="C350" s="1035"/>
      <c r="D350" s="1035"/>
      <c r="E350" s="1035"/>
      <c r="F350" s="1035"/>
      <c r="G350" s="1035"/>
      <c r="H350" s="1035"/>
      <c r="I350" s="1036"/>
      <c r="J350" s="1036">
        <f>+SUM(J339:J349)</f>
        <v>574908</v>
      </c>
      <c r="K350" s="971">
        <f>+SUM(K339:K349)</f>
        <v>830147</v>
      </c>
    </row>
    <row r="351" spans="1:12">
      <c r="A351" s="699"/>
      <c r="B351" s="1166" t="s">
        <v>2752</v>
      </c>
      <c r="I351" s="867"/>
      <c r="J351" s="867"/>
      <c r="K351" s="763"/>
    </row>
    <row r="352" spans="1:12" ht="6" hidden="1" customHeight="1">
      <c r="I352" s="681"/>
      <c r="K352" s="882"/>
    </row>
    <row r="353" spans="1:15" ht="10.050000000000001" customHeight="1">
      <c r="A353" s="701"/>
      <c r="J353" s="710" t="str">
        <f>IF(J350-BS!G61=0,"","False")</f>
        <v>False</v>
      </c>
      <c r="K353" s="710" t="str">
        <f>IF(K350-BS!I61=0,"","False")</f>
        <v/>
      </c>
    </row>
    <row r="354" spans="1:15">
      <c r="A354" s="683">
        <f>+A336+1</f>
        <v>17</v>
      </c>
      <c r="B354" s="681" t="s">
        <v>47</v>
      </c>
      <c r="C354" s="681"/>
      <c r="I354" s="710"/>
      <c r="J354" s="710"/>
      <c r="K354" s="882"/>
    </row>
    <row r="355" spans="1:15">
      <c r="B355" s="710"/>
      <c r="C355" s="710"/>
      <c r="D355" s="710"/>
      <c r="E355" s="710"/>
      <c r="F355" s="710"/>
      <c r="G355" s="710"/>
      <c r="H355" s="710"/>
      <c r="I355" s="735"/>
      <c r="J355" s="684" t="s">
        <v>490</v>
      </c>
      <c r="K355" s="684" t="s">
        <v>490</v>
      </c>
    </row>
    <row r="356" spans="1:15">
      <c r="B356" s="712"/>
      <c r="C356" s="712"/>
      <c r="D356" s="712"/>
      <c r="E356" s="712"/>
      <c r="F356" s="712"/>
      <c r="G356" s="712"/>
      <c r="H356" s="712"/>
      <c r="I356" s="758"/>
      <c r="J356" s="758">
        <f>BS!$G$7</f>
        <v>45747</v>
      </c>
      <c r="K356" s="758">
        <f>BS!$I$7</f>
        <v>45382</v>
      </c>
    </row>
    <row r="357" spans="1:15" hidden="1">
      <c r="B357" s="701" t="s">
        <v>275</v>
      </c>
      <c r="I357" s="867"/>
      <c r="J357" s="1123">
        <f>'Sch - BS'!G288</f>
        <v>0</v>
      </c>
      <c r="K357" s="1123">
        <f>'Sch - BS'!I288</f>
        <v>0</v>
      </c>
    </row>
    <row r="358" spans="1:15" ht="15" customHeight="1">
      <c r="B358" s="1159" t="s">
        <v>293</v>
      </c>
      <c r="I358" s="867"/>
      <c r="J358" s="873">
        <f>'Sch - BS'!G295</f>
        <v>1017231</v>
      </c>
      <c r="K358" s="764">
        <f>'Sch - BS'!I295</f>
        <v>1017231</v>
      </c>
    </row>
    <row r="359" spans="1:15" ht="15" customHeight="1">
      <c r="B359" s="1159" t="s">
        <v>2360</v>
      </c>
      <c r="I359" s="867"/>
      <c r="J359" s="873">
        <f>J360+J361</f>
        <v>263365</v>
      </c>
      <c r="K359" s="873">
        <f>K360+K361</f>
        <v>299096</v>
      </c>
    </row>
    <row r="360" spans="1:15" ht="15" customHeight="1">
      <c r="B360" s="1159" t="s">
        <v>2754</v>
      </c>
      <c r="I360" s="867"/>
      <c r="J360" s="1123">
        <f>'Sch - BS'!G290</f>
        <v>248238</v>
      </c>
      <c r="K360" s="764">
        <f>'Sch - BS'!I290</f>
        <v>278257</v>
      </c>
      <c r="N360" s="873">
        <f>J360+J361</f>
        <v>263365</v>
      </c>
      <c r="O360" s="873">
        <f>K360+K361</f>
        <v>299096</v>
      </c>
    </row>
    <row r="361" spans="1:15" ht="15" customHeight="1">
      <c r="B361" s="1159" t="s">
        <v>2043</v>
      </c>
      <c r="I361" s="867"/>
      <c r="J361" s="1152">
        <f>SUM('Sch - BS'!G291:G294)</f>
        <v>15127</v>
      </c>
      <c r="K361" s="1152">
        <f>SUM('Sch - BS'!I291:I294)</f>
        <v>20839</v>
      </c>
    </row>
    <row r="362" spans="1:15" ht="7.5" customHeight="1">
      <c r="B362" s="681"/>
      <c r="I362" s="867"/>
      <c r="J362" s="873"/>
      <c r="K362" s="764"/>
    </row>
    <row r="363" spans="1:15">
      <c r="A363" s="699"/>
      <c r="B363" s="1056" t="s">
        <v>173</v>
      </c>
      <c r="C363" s="820"/>
      <c r="D363" s="820"/>
      <c r="E363" s="820"/>
      <c r="F363" s="1035"/>
      <c r="G363" s="1035"/>
      <c r="H363" s="1035"/>
      <c r="I363" s="1036"/>
      <c r="J363" s="1036">
        <f>SUM(J357:J359)</f>
        <v>1280596</v>
      </c>
      <c r="K363" s="971">
        <f>SUM(K357:K359)</f>
        <v>1316327</v>
      </c>
    </row>
    <row r="364" spans="1:15" hidden="1">
      <c r="A364" s="699"/>
      <c r="B364" s="1166" t="s">
        <v>2752</v>
      </c>
      <c r="K364" s="699"/>
    </row>
    <row r="365" spans="1:15" ht="5.0999999999999996" customHeight="1">
      <c r="A365" s="699"/>
      <c r="K365" s="710" t="str">
        <f>IF(K363-BS!I62=0,"","False")</f>
        <v/>
      </c>
    </row>
    <row r="366" spans="1:15" ht="8.1" hidden="1" customHeight="1">
      <c r="A366" s="699"/>
      <c r="D366" s="710"/>
      <c r="E366" s="710"/>
      <c r="F366" s="710"/>
      <c r="G366" s="710"/>
      <c r="H366" s="710"/>
      <c r="I366" s="710"/>
      <c r="J366" s="710"/>
      <c r="K366" s="699"/>
    </row>
    <row r="367" spans="1:15" ht="15" hidden="1" customHeight="1">
      <c r="A367" s="683">
        <f>+A354+0</f>
        <v>17</v>
      </c>
      <c r="B367" s="681" t="s">
        <v>49</v>
      </c>
      <c r="K367" s="699"/>
    </row>
    <row r="368" spans="1:15" ht="15" hidden="1" customHeight="1">
      <c r="A368" s="699"/>
      <c r="B368" s="864"/>
      <c r="C368" s="707"/>
      <c r="D368" s="707"/>
      <c r="E368" s="707"/>
      <c r="F368" s="707"/>
      <c r="G368" s="707"/>
      <c r="H368" s="707"/>
      <c r="I368" s="865">
        <f>BS!$E$7</f>
        <v>0</v>
      </c>
      <c r="J368" s="865">
        <f>BS!$G$7</f>
        <v>45747</v>
      </c>
      <c r="K368" s="866">
        <f>BS!$I$7</f>
        <v>45382</v>
      </c>
    </row>
    <row r="369" spans="1:11" ht="4.5" hidden="1" customHeight="1">
      <c r="A369" s="699"/>
      <c r="B369" s="861"/>
      <c r="I369" s="735"/>
      <c r="J369" s="735"/>
      <c r="K369" s="885"/>
    </row>
    <row r="370" spans="1:11" ht="31.5" hidden="1" customHeight="1">
      <c r="A370" s="699"/>
      <c r="B370" s="1855" t="s">
        <v>295</v>
      </c>
      <c r="C370" s="1736"/>
      <c r="D370" s="1736"/>
      <c r="E370" s="1736"/>
      <c r="F370" s="1736"/>
      <c r="G370" s="1736"/>
      <c r="H370" s="1736"/>
      <c r="I370" s="873">
        <f>'Sch - BS'!E313</f>
        <v>0</v>
      </c>
      <c r="J370" s="873">
        <f>'Sch - BS'!G313</f>
        <v>0</v>
      </c>
      <c r="K370" s="862">
        <f>'Sch - BS'!I313</f>
        <v>0</v>
      </c>
    </row>
    <row r="371" spans="1:11" ht="3" hidden="1" customHeight="1">
      <c r="A371" s="699"/>
      <c r="B371" s="861"/>
      <c r="K371" s="862"/>
    </row>
    <row r="372" spans="1:11" ht="15" hidden="1" customHeight="1">
      <c r="A372" s="699"/>
      <c r="B372" s="861"/>
      <c r="I372" s="869">
        <f>SUM(I370:I371)</f>
        <v>0</v>
      </c>
      <c r="J372" s="886">
        <f>SUM(J370:J371)</f>
        <v>0</v>
      </c>
      <c r="K372" s="880">
        <f>SUM(K370:K371)</f>
        <v>0</v>
      </c>
    </row>
    <row r="373" spans="1:11" ht="7.5" hidden="1" customHeight="1">
      <c r="A373" s="699"/>
      <c r="B373" s="870"/>
      <c r="C373" s="711"/>
      <c r="D373" s="711"/>
      <c r="E373" s="711"/>
      <c r="F373" s="711"/>
      <c r="G373" s="711"/>
      <c r="H373" s="711"/>
      <c r="I373" s="711" t="str">
        <f>IF(I372=BS!E65," ",FALSE)</f>
        <v xml:space="preserve"> </v>
      </c>
      <c r="J373" s="711" t="str">
        <f>IF(J372=BS!G65," ",FALSE)</f>
        <v xml:space="preserve"> </v>
      </c>
      <c r="K373" s="899" t="str">
        <f>IF(K372=BS!I65," ",FALSE)</f>
        <v xml:space="preserve"> </v>
      </c>
    </row>
    <row r="374" spans="1:11" ht="7.5" customHeight="1">
      <c r="A374" s="699"/>
      <c r="K374" s="699"/>
    </row>
    <row r="375" spans="1:11" ht="7.5" customHeight="1">
      <c r="A375" s="699"/>
      <c r="K375" s="699"/>
    </row>
    <row r="376" spans="1:11" ht="7.5" customHeight="1">
      <c r="A376" s="699"/>
      <c r="K376" s="699"/>
    </row>
    <row r="377" spans="1:11">
      <c r="A377" s="699"/>
      <c r="K377" s="699"/>
    </row>
    <row r="378" spans="1:11" ht="7.5" customHeight="1">
      <c r="A378" s="699"/>
      <c r="K378" s="699"/>
    </row>
    <row r="379" spans="1:11" ht="7.5" customHeight="1">
      <c r="A379" s="699"/>
      <c r="K379" s="699"/>
    </row>
    <row r="380" spans="1:11" ht="6" customHeight="1">
      <c r="A380" s="699"/>
      <c r="K380" s="699"/>
    </row>
  </sheetData>
  <mergeCells count="66">
    <mergeCell ref="F322:K322"/>
    <mergeCell ref="B324:F324"/>
    <mergeCell ref="B325:F325"/>
    <mergeCell ref="B314:F314"/>
    <mergeCell ref="B313:F313"/>
    <mergeCell ref="F311:K311"/>
    <mergeCell ref="I188:L188"/>
    <mergeCell ref="I189:L189"/>
    <mergeCell ref="I195:L195"/>
    <mergeCell ref="B77:K77"/>
    <mergeCell ref="B79:C79"/>
    <mergeCell ref="D79:F79"/>
    <mergeCell ref="D183:G183"/>
    <mergeCell ref="D184:G184"/>
    <mergeCell ref="I202:L202"/>
    <mergeCell ref="I203:L203"/>
    <mergeCell ref="D189:G189"/>
    <mergeCell ref="D195:G195"/>
    <mergeCell ref="D202:G202"/>
    <mergeCell ref="D203:G203"/>
    <mergeCell ref="I184:L184"/>
    <mergeCell ref="B370:H370"/>
    <mergeCell ref="J82:K82"/>
    <mergeCell ref="H95:I95"/>
    <mergeCell ref="J95:K95"/>
    <mergeCell ref="B127:K130"/>
    <mergeCell ref="B288:K288"/>
    <mergeCell ref="B290:K290"/>
    <mergeCell ref="B103:G104"/>
    <mergeCell ref="H103:I103"/>
    <mergeCell ref="H86:I86"/>
    <mergeCell ref="J86:K86"/>
    <mergeCell ref="B86:G87"/>
    <mergeCell ref="B117:G118"/>
    <mergeCell ref="H117:I117"/>
    <mergeCell ref="B152:K152"/>
    <mergeCell ref="D188:G188"/>
    <mergeCell ref="C35:K35"/>
    <mergeCell ref="F40:G40"/>
    <mergeCell ref="H40:I40"/>
    <mergeCell ref="J40:K40"/>
    <mergeCell ref="F52:G52"/>
    <mergeCell ref="H52:I52"/>
    <mergeCell ref="J52:K52"/>
    <mergeCell ref="B13:G13"/>
    <mergeCell ref="B17:G17"/>
    <mergeCell ref="F25:G25"/>
    <mergeCell ref="H25:I25"/>
    <mergeCell ref="J25:K25"/>
    <mergeCell ref="B14:H14"/>
    <mergeCell ref="B307:G307"/>
    <mergeCell ref="J79:K79"/>
    <mergeCell ref="I183:L183"/>
    <mergeCell ref="J155:L155"/>
    <mergeCell ref="H63:K63"/>
    <mergeCell ref="J64:K64"/>
    <mergeCell ref="H68:K68"/>
    <mergeCell ref="J69:K69"/>
    <mergeCell ref="C74:K74"/>
    <mergeCell ref="I194:L194"/>
    <mergeCell ref="J117:K117"/>
    <mergeCell ref="B95:G96"/>
    <mergeCell ref="J103:K103"/>
    <mergeCell ref="J81:K81"/>
    <mergeCell ref="B303:G303"/>
    <mergeCell ref="B271:K271"/>
  </mergeCells>
  <conditionalFormatting sqref="I144:K144">
    <cfRule type="containsText" dxfId="38" priority="38" operator="containsText" text="False">
      <formula>NOT(ISERROR(SEARCH("False",I144)))</formula>
    </cfRule>
    <cfRule type="cellIs" dxfId="37" priority="39" operator="equal">
      <formula>FALSE</formula>
    </cfRule>
  </conditionalFormatting>
  <conditionalFormatting sqref="J230">
    <cfRule type="cellIs" dxfId="36" priority="20" operator="equal">
      <formula>FALSE</formula>
    </cfRule>
  </conditionalFormatting>
  <conditionalFormatting sqref="J220:K220">
    <cfRule type="cellIs" dxfId="35" priority="17" operator="equal">
      <formula>"FALSE"</formula>
    </cfRule>
  </conditionalFormatting>
  <conditionalFormatting sqref="J248:K248">
    <cfRule type="cellIs" dxfId="34" priority="7" operator="equal">
      <formula>FALSE</formula>
    </cfRule>
  </conditionalFormatting>
  <conditionalFormatting sqref="J258:K258">
    <cfRule type="cellIs" dxfId="33" priority="5" operator="equal">
      <formula>FALSE</formula>
    </cfRule>
  </conditionalFormatting>
  <conditionalFormatting sqref="J270:K270">
    <cfRule type="containsText" dxfId="32" priority="54" operator="containsText" text="False">
      <formula>NOT(ISERROR(SEARCH("False",J270)))</formula>
    </cfRule>
    <cfRule type="cellIs" dxfId="31" priority="55" operator="equal">
      <formula>FALSE</formula>
    </cfRule>
  </conditionalFormatting>
  <conditionalFormatting sqref="J353:K353">
    <cfRule type="containsText" dxfId="30" priority="46" operator="containsText" text="False">
      <formula>NOT(ISERROR(SEARCH("False",J353)))</formula>
    </cfRule>
    <cfRule type="cellIs" dxfId="29" priority="47" operator="equal">
      <formula>FALSE</formula>
    </cfRule>
  </conditionalFormatting>
  <conditionalFormatting sqref="K113">
    <cfRule type="cellIs" dxfId="28" priority="3" operator="equal">
      <formula>FALSE</formula>
    </cfRule>
  </conditionalFormatting>
  <conditionalFormatting sqref="K230">
    <cfRule type="cellIs" dxfId="27" priority="19" operator="equal">
      <formula>FALSE</formula>
    </cfRule>
  </conditionalFormatting>
  <conditionalFormatting sqref="K320">
    <cfRule type="cellIs" dxfId="26" priority="2" operator="equal">
      <formula>FALSE</formula>
    </cfRule>
  </conditionalFormatting>
  <conditionalFormatting sqref="K331:K333">
    <cfRule type="cellIs" dxfId="25" priority="1" operator="equal">
      <formula>FALSE</formula>
    </cfRule>
  </conditionalFormatting>
  <conditionalFormatting sqref="K365">
    <cfRule type="containsText" dxfId="24" priority="34" operator="containsText" text="False">
      <formula>NOT(ISERROR(SEARCH("False",K365)))</formula>
    </cfRule>
    <cfRule type="cellIs" dxfId="23" priority="35" operator="equal">
      <formula>FALSE</formula>
    </cfRule>
  </conditionalFormatting>
  <pageMargins left="0.23622047244094491" right="0.23622047244094491" top="0.74803149606299213" bottom="0.74803149606299213" header="0.31496062992125984" footer="0.31496062992125984"/>
  <pageSetup paperSize="9" scale="78" firstPageNumber="24" fitToWidth="0" fitToHeight="0" orientation="portrait" useFirstPageNumber="1" r:id="rId1"/>
  <headerFooter>
    <oddFooter>&amp;C&amp;P</oddFooter>
  </headerFooter>
  <rowBreaks count="5" manualBreakCount="5">
    <brk id="74" max="11" man="1"/>
    <brk id="152" max="11" man="1"/>
    <brk id="230" max="11" man="1"/>
    <brk id="334" max="11" man="1"/>
    <brk id="381" max="12" man="1"/>
  </rowBreaks>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J427"/>
  <sheetViews>
    <sheetView showGridLines="0" tabSelected="1" view="pageBreakPreview" topLeftCell="A440" zoomScaleNormal="120" zoomScaleSheetLayoutView="100" workbookViewId="0">
      <selection activeCell="B240" sqref="B240"/>
    </sheetView>
  </sheetViews>
  <sheetFormatPr defaultColWidth="9.21875" defaultRowHeight="13.2"/>
  <cols>
    <col min="1" max="1" width="4" style="683" customWidth="1"/>
    <col min="2" max="2" width="11.77734375" style="699" customWidth="1"/>
    <col min="3" max="3" width="14.77734375" style="699" customWidth="1"/>
    <col min="4" max="4" width="12.5546875" style="699" bestFit="1" customWidth="1"/>
    <col min="5" max="5" width="17.44140625" style="699" bestFit="1" customWidth="1"/>
    <col min="6" max="6" width="13.44140625" style="699" bestFit="1" customWidth="1"/>
    <col min="7" max="7" width="14" style="699" customWidth="1"/>
    <col min="8" max="8" width="11.33203125" style="699" customWidth="1"/>
    <col min="9" max="9" width="14.21875" style="699" customWidth="1"/>
    <col min="10" max="10" width="14.77734375" style="699" customWidth="1"/>
    <col min="11" max="11" width="1.21875" style="699" customWidth="1"/>
    <col min="12" max="12" width="1.77734375" style="882" customWidth="1"/>
    <col min="13" max="13" width="13.44140625" style="699" customWidth="1"/>
    <col min="14" max="14" width="34.6640625" style="699" customWidth="1"/>
    <col min="15" max="15" width="12.77734375" style="700" customWidth="1"/>
    <col min="16" max="16" width="1.5546875" style="699" customWidth="1"/>
    <col min="17" max="17" width="10" style="699" customWidth="1"/>
    <col min="18" max="18" width="6.21875" style="699" customWidth="1"/>
    <col min="19" max="19" width="8" style="699" customWidth="1"/>
    <col min="20" max="20" width="16.44140625" style="699" customWidth="1"/>
    <col min="21" max="26" width="9.21875" style="699" customWidth="1"/>
    <col min="27" max="16384" width="9.21875" style="699"/>
  </cols>
  <sheetData>
    <row r="1" spans="1:15">
      <c r="A1" s="689"/>
      <c r="B1" s="681"/>
      <c r="O1" s="699"/>
    </row>
    <row r="2" spans="1:15">
      <c r="A2" s="754"/>
      <c r="E2" s="702"/>
      <c r="O2" s="699"/>
    </row>
    <row r="3" spans="1:15">
      <c r="A3" s="683" t="str">
        <f>'10-17'!A3</f>
        <v>Summary of material accounting policies and other explanatory information</v>
      </c>
      <c r="O3" s="699"/>
    </row>
    <row r="4" spans="1:15">
      <c r="A4" s="1066" t="str">
        <f>'10-17'!A4</f>
        <v>(Amounts are stated in ₹ Lakhs unless otherwise stated)</v>
      </c>
      <c r="B4" s="728"/>
      <c r="C4" s="728"/>
      <c r="D4" s="728"/>
      <c r="E4" s="728"/>
      <c r="O4" s="699"/>
    </row>
    <row r="5" spans="1:15">
      <c r="A5" s="754"/>
      <c r="B5" s="686"/>
      <c r="O5" s="699"/>
    </row>
    <row r="6" spans="1:15">
      <c r="O6" s="699"/>
    </row>
    <row r="7" spans="1:15" ht="5.0999999999999996" customHeight="1">
      <c r="O7" s="699"/>
    </row>
    <row r="8" spans="1:15">
      <c r="A8" s="683">
        <f>'10-17'!A354+1</f>
        <v>18</v>
      </c>
      <c r="B8" s="681" t="s">
        <v>57</v>
      </c>
      <c r="C8" s="701"/>
      <c r="D8" s="701"/>
      <c r="E8" s="701"/>
      <c r="F8" s="701"/>
      <c r="I8" s="684" t="s">
        <v>1872</v>
      </c>
      <c r="J8" s="684" t="s">
        <v>1872</v>
      </c>
      <c r="O8" s="699"/>
    </row>
    <row r="9" spans="1:15">
      <c r="B9" s="711"/>
      <c r="C9" s="1062"/>
      <c r="D9" s="1062"/>
      <c r="E9" s="1062"/>
      <c r="F9" s="1062"/>
      <c r="G9" s="711"/>
      <c r="H9" s="711"/>
      <c r="I9" s="758">
        <f>BS!$G$7</f>
        <v>45747</v>
      </c>
      <c r="J9" s="758">
        <f>BS!$I$7</f>
        <v>45382</v>
      </c>
      <c r="O9" s="699"/>
    </row>
    <row r="10" spans="1:15" s="700" customFormat="1" ht="5.0999999999999996" customHeight="1">
      <c r="A10" s="683"/>
      <c r="B10" s="699"/>
      <c r="C10" s="701"/>
      <c r="D10" s="701"/>
      <c r="E10" s="701"/>
      <c r="F10" s="701"/>
      <c r="G10" s="699"/>
      <c r="H10" s="699"/>
      <c r="I10" s="681"/>
      <c r="J10" s="699"/>
      <c r="K10" s="882"/>
      <c r="L10" s="882"/>
    </row>
    <row r="11" spans="1:15" s="700" customFormat="1" hidden="1">
      <c r="A11" s="683"/>
      <c r="B11" s="701" t="s">
        <v>296</v>
      </c>
      <c r="C11" s="699"/>
      <c r="D11" s="701"/>
      <c r="E11" s="701"/>
      <c r="F11" s="701"/>
      <c r="G11" s="699"/>
      <c r="H11" s="699"/>
      <c r="I11" s="763">
        <f>ROUND('PL Gr'!E37/Master!$B$23,0)</f>
        <v>0</v>
      </c>
      <c r="J11" s="764">
        <f>ROUND('PL Gr'!G37/Master!$B$23,0)</f>
        <v>0</v>
      </c>
      <c r="K11" s="882"/>
      <c r="L11" s="882"/>
    </row>
    <row r="12" spans="1:15" s="700" customFormat="1">
      <c r="A12" s="683"/>
      <c r="B12" s="1160" t="s">
        <v>2340</v>
      </c>
      <c r="C12" s="699"/>
      <c r="D12" s="701"/>
      <c r="E12" s="701"/>
      <c r="F12" s="701"/>
      <c r="G12" s="699"/>
      <c r="H12" s="699"/>
      <c r="I12" s="764">
        <f>ROUND(('PL Gr'!E18+'PL Gr'!E24)/Master!$B$23,0)</f>
        <v>10984519</v>
      </c>
      <c r="J12" s="764">
        <f>ROUND(('PL Gr'!G18+'PL Gr'!G24)/Master!$B$23,0)</f>
        <v>14480207</v>
      </c>
      <c r="K12" s="882"/>
      <c r="L12" s="882"/>
    </row>
    <row r="13" spans="1:15" s="700" customFormat="1" ht="3" customHeight="1">
      <c r="A13" s="683"/>
      <c r="B13" s="699"/>
      <c r="C13" s="701"/>
      <c r="D13" s="701"/>
      <c r="E13" s="701"/>
      <c r="F13" s="701"/>
      <c r="G13" s="699"/>
      <c r="H13" s="699"/>
      <c r="I13" s="763"/>
      <c r="J13" s="764"/>
      <c r="K13" s="882"/>
      <c r="L13" s="882"/>
    </row>
    <row r="14" spans="1:15" s="700" customFormat="1">
      <c r="A14" s="683"/>
      <c r="B14" s="1056" t="s">
        <v>173</v>
      </c>
      <c r="C14" s="1035"/>
      <c r="D14" s="1035"/>
      <c r="E14" s="1035"/>
      <c r="F14" s="1035"/>
      <c r="G14" s="1035"/>
      <c r="H14" s="820"/>
      <c r="I14" s="971">
        <f>SUM(I11:I13)</f>
        <v>10984519</v>
      </c>
      <c r="J14" s="971">
        <f>SUM(J11:J13)</f>
        <v>14480207</v>
      </c>
      <c r="K14" s="882"/>
      <c r="L14" s="882"/>
    </row>
    <row r="15" spans="1:15" s="700" customFormat="1" ht="5.0999999999999996" customHeight="1">
      <c r="A15" s="683"/>
      <c r="B15" s="699"/>
      <c r="C15" s="699"/>
      <c r="D15" s="699"/>
      <c r="E15" s="699"/>
      <c r="F15" s="699"/>
      <c r="G15" s="699"/>
      <c r="H15" s="699"/>
      <c r="I15" s="764"/>
      <c r="J15" s="764"/>
      <c r="K15" s="882"/>
      <c r="L15" s="882"/>
    </row>
    <row r="16" spans="1:15" s="700" customFormat="1">
      <c r="A16" s="683"/>
      <c r="B16" s="710"/>
      <c r="C16" s="699"/>
      <c r="D16" s="699"/>
      <c r="E16" s="699"/>
      <c r="F16" s="699"/>
      <c r="G16" s="699"/>
      <c r="H16" s="699"/>
      <c r="I16" s="710" t="str">
        <f>IF(I14-PL!F10=0,"","False")</f>
        <v/>
      </c>
      <c r="J16" s="710" t="str">
        <f>IF(J14-PL!H10=0,"","False")</f>
        <v/>
      </c>
      <c r="K16" s="882"/>
      <c r="L16" s="882"/>
    </row>
    <row r="17" spans="1:15" s="700" customFormat="1" ht="5.0999999999999996" customHeight="1">
      <c r="A17" s="683"/>
      <c r="B17" s="699"/>
      <c r="C17" s="699"/>
      <c r="D17" s="699"/>
      <c r="E17" s="699"/>
      <c r="F17" s="699"/>
      <c r="G17" s="699"/>
      <c r="H17" s="699"/>
      <c r="I17" s="699"/>
      <c r="J17" s="699"/>
      <c r="K17" s="699"/>
      <c r="L17" s="882"/>
    </row>
    <row r="18" spans="1:15" s="700" customFormat="1">
      <c r="A18" s="683">
        <f>+A8+1</f>
        <v>19</v>
      </c>
      <c r="B18" s="681" t="s">
        <v>58</v>
      </c>
      <c r="C18" s="701"/>
      <c r="D18" s="701"/>
      <c r="E18" s="701"/>
      <c r="F18" s="701"/>
      <c r="G18" s="699"/>
      <c r="H18" s="699"/>
      <c r="I18" s="684" t="s">
        <v>1872</v>
      </c>
      <c r="J18" s="684" t="s">
        <v>1872</v>
      </c>
      <c r="K18" s="882"/>
      <c r="L18" s="882"/>
    </row>
    <row r="19" spans="1:15" s="700" customFormat="1">
      <c r="A19" s="683"/>
      <c r="B19" s="711"/>
      <c r="C19" s="1062"/>
      <c r="D19" s="1062"/>
      <c r="E19" s="1062"/>
      <c r="F19" s="1062"/>
      <c r="G19" s="711"/>
      <c r="H19" s="711"/>
      <c r="I19" s="758">
        <f>BS!$G$7</f>
        <v>45747</v>
      </c>
      <c r="J19" s="758">
        <f>BS!$I$7</f>
        <v>45382</v>
      </c>
      <c r="K19" s="882"/>
      <c r="L19" s="882"/>
    </row>
    <row r="20" spans="1:15" s="700" customFormat="1" ht="5.0999999999999996" customHeight="1">
      <c r="A20" s="683"/>
      <c r="B20" s="699"/>
      <c r="C20" s="701"/>
      <c r="D20" s="701"/>
      <c r="E20" s="701"/>
      <c r="F20" s="701"/>
      <c r="G20" s="699"/>
      <c r="H20" s="699"/>
      <c r="I20" s="681"/>
      <c r="J20" s="699"/>
      <c r="K20" s="882"/>
      <c r="L20" s="882"/>
    </row>
    <row r="21" spans="1:15" s="700" customFormat="1">
      <c r="A21" s="683"/>
      <c r="B21" s="1160" t="s">
        <v>2944</v>
      </c>
      <c r="C21" s="699"/>
      <c r="D21" s="701"/>
      <c r="E21" s="701"/>
      <c r="F21" s="701"/>
      <c r="G21" s="699"/>
      <c r="H21" s="699"/>
      <c r="I21" s="764">
        <f>'Sch - PL'!E15</f>
        <v>83032</v>
      </c>
      <c r="J21" s="764">
        <f>+'Sch - PL'!G18</f>
        <v>0</v>
      </c>
      <c r="K21" s="882"/>
      <c r="L21" s="882"/>
    </row>
    <row r="22" spans="1:15" s="700" customFormat="1" hidden="1">
      <c r="A22" s="683"/>
      <c r="B22" s="701" t="s">
        <v>107</v>
      </c>
      <c r="C22" s="699"/>
      <c r="D22" s="701"/>
      <c r="E22" s="701"/>
      <c r="F22" s="701"/>
      <c r="G22" s="699"/>
      <c r="H22" s="699"/>
      <c r="I22" s="764">
        <f>+'Sch - PL'!E34</f>
        <v>0</v>
      </c>
      <c r="J22" s="764">
        <f>+'Sch - PL'!G34</f>
        <v>0</v>
      </c>
      <c r="K22" s="882"/>
      <c r="L22" s="882"/>
    </row>
    <row r="23" spans="1:15" s="700" customFormat="1" hidden="1">
      <c r="A23" s="683"/>
      <c r="B23" s="701" t="s">
        <v>297</v>
      </c>
      <c r="C23" s="699"/>
      <c r="D23" s="701"/>
      <c r="E23" s="701"/>
      <c r="F23" s="701"/>
      <c r="G23" s="699"/>
      <c r="H23" s="699"/>
      <c r="I23" s="764">
        <f>+'Sch - PL'!E32</f>
        <v>0</v>
      </c>
      <c r="J23" s="764">
        <f>+'Sch - PL'!G32</f>
        <v>0</v>
      </c>
      <c r="K23" s="882"/>
      <c r="L23" s="882"/>
    </row>
    <row r="24" spans="1:15" s="700" customFormat="1" hidden="1">
      <c r="A24" s="683"/>
      <c r="B24" s="1160" t="s">
        <v>2289</v>
      </c>
      <c r="C24" s="699"/>
      <c r="D24" s="701"/>
      <c r="E24" s="701"/>
      <c r="F24" s="701"/>
      <c r="G24" s="699"/>
      <c r="H24" s="699"/>
      <c r="I24" s="764">
        <f>'Sch - PL'!E33</f>
        <v>0</v>
      </c>
      <c r="J24" s="764">
        <f>'Sch - PL'!G33</f>
        <v>0</v>
      </c>
      <c r="K24" s="882"/>
      <c r="L24" s="882"/>
    </row>
    <row r="25" spans="1:15" s="700" customFormat="1">
      <c r="A25" s="683"/>
      <c r="B25" s="701" t="s">
        <v>299</v>
      </c>
      <c r="C25" s="699"/>
      <c r="D25" s="701"/>
      <c r="E25" s="701"/>
      <c r="F25" s="701"/>
      <c r="G25" s="699"/>
      <c r="H25" s="699"/>
      <c r="I25" s="764">
        <f>'Sch - PL'!E25</f>
        <v>217627</v>
      </c>
      <c r="J25" s="764">
        <f>'Sch - PL'!G25</f>
        <v>188323</v>
      </c>
      <c r="K25" s="882"/>
      <c r="L25" s="882"/>
    </row>
    <row r="26" spans="1:15" s="700" customFormat="1">
      <c r="A26" s="683"/>
      <c r="B26" s="1160" t="s">
        <v>3055</v>
      </c>
      <c r="C26" s="699"/>
      <c r="D26" s="701"/>
      <c r="E26" s="701"/>
      <c r="F26" s="701"/>
      <c r="G26" s="699"/>
      <c r="H26" s="699"/>
      <c r="I26" s="764">
        <f>'Sch - PL'!E24+'Sch - PL'!E26-I27</f>
        <v>15602768</v>
      </c>
      <c r="J26" s="764">
        <f>'Sch - PL'!G24+'Sch - PL'!G26-J27</f>
        <v>15754938</v>
      </c>
      <c r="K26" s="882"/>
      <c r="L26" s="882"/>
    </row>
    <row r="27" spans="1:15" s="700" customFormat="1">
      <c r="A27" s="683"/>
      <c r="B27" s="1160" t="s">
        <v>2635</v>
      </c>
      <c r="C27" s="699"/>
      <c r="D27" s="701"/>
      <c r="E27" s="701"/>
      <c r="F27" s="701"/>
      <c r="G27" s="699"/>
      <c r="H27" s="699"/>
      <c r="I27" s="764">
        <f>ROUND((0)/Master!$B$23,0)</f>
        <v>0</v>
      </c>
      <c r="J27" s="764">
        <f>ROUND((128810)/Master!$B$23,0)</f>
        <v>128810</v>
      </c>
      <c r="K27" s="882"/>
      <c r="L27" s="882"/>
    </row>
    <row r="28" spans="1:15" hidden="1">
      <c r="B28" s="701" t="s">
        <v>104</v>
      </c>
      <c r="D28" s="701"/>
      <c r="E28" s="701"/>
      <c r="F28" s="701"/>
      <c r="I28" s="763">
        <f>+'Sch - PL'!E36</f>
        <v>0</v>
      </c>
      <c r="J28" s="764">
        <f>+'Sch - PL'!G36</f>
        <v>0</v>
      </c>
      <c r="O28" s="699"/>
    </row>
    <row r="29" spans="1:15">
      <c r="B29" s="1160" t="s">
        <v>2945</v>
      </c>
      <c r="D29" s="701"/>
      <c r="E29" s="701"/>
      <c r="F29" s="701"/>
      <c r="I29" s="1163">
        <f>+'Sch - PL'!E39</f>
        <v>0</v>
      </c>
      <c r="J29" s="764">
        <f>+'Sch - PL'!G39</f>
        <v>20393931</v>
      </c>
      <c r="O29" s="699"/>
    </row>
    <row r="30" spans="1:15" ht="15" hidden="1" customHeight="1">
      <c r="B30" s="1160" t="s">
        <v>2932</v>
      </c>
      <c r="D30" s="701"/>
      <c r="E30" s="701"/>
      <c r="F30" s="701"/>
      <c r="I30" s="764">
        <v>0</v>
      </c>
      <c r="J30" s="764"/>
      <c r="O30" s="699"/>
    </row>
    <row r="31" spans="1:15" ht="2.1" customHeight="1">
      <c r="C31" s="701"/>
      <c r="D31" s="701"/>
      <c r="E31" s="701"/>
      <c r="F31" s="701"/>
      <c r="I31" s="763"/>
      <c r="J31" s="764"/>
      <c r="O31" s="699"/>
    </row>
    <row r="32" spans="1:15" ht="15" customHeight="1">
      <c r="B32" s="1056" t="s">
        <v>173</v>
      </c>
      <c r="C32" s="1035"/>
      <c r="D32" s="1035"/>
      <c r="E32" s="1035"/>
      <c r="F32" s="1035"/>
      <c r="G32" s="1035"/>
      <c r="H32" s="820"/>
      <c r="I32" s="971">
        <f>SUM(I20:I31)</f>
        <v>15903427</v>
      </c>
      <c r="J32" s="971">
        <f>SUM(J20:J31)</f>
        <v>36466002</v>
      </c>
      <c r="O32" s="699"/>
    </row>
    <row r="33" spans="1:15" ht="5.0999999999999996" customHeight="1">
      <c r="I33" s="764"/>
      <c r="J33" s="764"/>
      <c r="O33" s="699"/>
    </row>
    <row r="34" spans="1:15" ht="5.0999999999999996" customHeight="1">
      <c r="B34" s="710"/>
      <c r="I34" s="710" t="str">
        <f>IF(I32-PL!F11=0,"","False")</f>
        <v/>
      </c>
      <c r="J34" s="710" t="str">
        <f>IF(J32-PL!H11=0,"","False")</f>
        <v/>
      </c>
      <c r="K34" s="710" t="str">
        <f>IF(J32-PL!H11=0,"","False")</f>
        <v/>
      </c>
      <c r="O34" s="699"/>
    </row>
    <row r="35" spans="1:15">
      <c r="B35" s="710"/>
      <c r="C35" s="703"/>
      <c r="D35" s="703"/>
      <c r="E35" s="703"/>
      <c r="F35" s="703"/>
      <c r="G35" s="703"/>
      <c r="H35" s="703"/>
      <c r="I35" s="703"/>
      <c r="J35" s="703"/>
      <c r="K35" s="703"/>
      <c r="O35" s="699"/>
    </row>
    <row r="36" spans="1:15" ht="18" customHeight="1">
      <c r="A36" s="683">
        <f>+A18+1</f>
        <v>20</v>
      </c>
      <c r="B36" s="681" t="s">
        <v>61</v>
      </c>
      <c r="C36" s="681"/>
      <c r="O36" s="699"/>
    </row>
    <row r="37" spans="1:15">
      <c r="C37" s="701"/>
      <c r="D37" s="701"/>
      <c r="E37" s="701"/>
      <c r="F37" s="701"/>
      <c r="I37" s="684" t="s">
        <v>1872</v>
      </c>
      <c r="J37" s="684" t="s">
        <v>1872</v>
      </c>
      <c r="O37" s="699"/>
    </row>
    <row r="38" spans="1:15">
      <c r="B38" s="711"/>
      <c r="C38" s="1062"/>
      <c r="D38" s="1062"/>
      <c r="E38" s="1062"/>
      <c r="F38" s="1062"/>
      <c r="G38" s="711"/>
      <c r="H38" s="711"/>
      <c r="I38" s="758">
        <f>BS!$G$7</f>
        <v>45747</v>
      </c>
      <c r="J38" s="758">
        <f>BS!$I$7</f>
        <v>45382</v>
      </c>
      <c r="O38" s="699"/>
    </row>
    <row r="39" spans="1:15" ht="5.0999999999999996" customHeight="1">
      <c r="C39" s="701"/>
      <c r="D39" s="701"/>
      <c r="E39" s="701"/>
      <c r="F39" s="701"/>
      <c r="I39" s="681"/>
      <c r="O39" s="699"/>
    </row>
    <row r="40" spans="1:15" ht="15" customHeight="1">
      <c r="B40" s="1066" t="s">
        <v>1946</v>
      </c>
      <c r="D40" s="701"/>
      <c r="E40" s="701"/>
      <c r="F40" s="701"/>
      <c r="I40" s="764">
        <f>+'Sch - PL'!E47-I45</f>
        <v>6356865</v>
      </c>
      <c r="J40" s="764">
        <f>+'Sch - PL'!G47-J45</f>
        <v>7978343</v>
      </c>
      <c r="O40" s="699"/>
    </row>
    <row r="41" spans="1:15">
      <c r="B41" s="1160" t="s">
        <v>2341</v>
      </c>
      <c r="D41" s="701"/>
      <c r="E41" s="701"/>
      <c r="F41" s="701"/>
      <c r="I41" s="764">
        <f>+'Sch - PL'!E50</f>
        <v>115383</v>
      </c>
      <c r="J41" s="764">
        <f>+'Sch - PL'!G50</f>
        <v>143256</v>
      </c>
      <c r="O41" s="699"/>
    </row>
    <row r="42" spans="1:15">
      <c r="B42" s="1160" t="s">
        <v>2803</v>
      </c>
      <c r="D42" s="701"/>
      <c r="E42" s="701"/>
      <c r="F42" s="904"/>
      <c r="G42" s="900"/>
      <c r="I42" s="764">
        <f>+'Sch - PL'!E49</f>
        <v>54162</v>
      </c>
      <c r="J42" s="764">
        <f>+'Sch - PL'!G49</f>
        <v>43143</v>
      </c>
      <c r="O42" s="699"/>
    </row>
    <row r="43" spans="1:15" ht="15" customHeight="1">
      <c r="B43" s="1160" t="s">
        <v>2342</v>
      </c>
      <c r="D43" s="701"/>
      <c r="E43" s="701"/>
      <c r="F43" s="904"/>
      <c r="G43" s="900"/>
      <c r="I43" s="764">
        <f>+'Sch - PL'!E48</f>
        <v>248295</v>
      </c>
      <c r="J43" s="764">
        <f>+'Sch - PL'!G48</f>
        <v>293948</v>
      </c>
      <c r="O43" s="699"/>
    </row>
    <row r="44" spans="1:15">
      <c r="B44" s="1160" t="s">
        <v>2804</v>
      </c>
      <c r="D44" s="701"/>
      <c r="E44" s="701"/>
      <c r="F44" s="701"/>
      <c r="I44" s="764">
        <f>+'Sch - PL'!E51</f>
        <v>293709</v>
      </c>
      <c r="J44" s="764">
        <f>+'Sch - PL'!G51</f>
        <v>248332</v>
      </c>
      <c r="O44" s="699"/>
    </row>
    <row r="45" spans="1:15" ht="15" hidden="1" customHeight="1">
      <c r="B45" s="701" t="s">
        <v>300</v>
      </c>
      <c r="D45" s="701"/>
      <c r="E45" s="701"/>
      <c r="F45" s="904"/>
      <c r="G45" s="900"/>
      <c r="I45" s="764">
        <f>ROUND(0/Master!$B$23,0)</f>
        <v>0</v>
      </c>
      <c r="J45" s="764">
        <f>ROUND(0/Master!$B$23,0)</f>
        <v>0</v>
      </c>
      <c r="O45" s="699"/>
    </row>
    <row r="46" spans="1:15" ht="3" customHeight="1">
      <c r="C46" s="701"/>
      <c r="D46" s="701"/>
      <c r="E46" s="701"/>
      <c r="F46" s="701"/>
      <c r="I46" s="763"/>
      <c r="J46" s="764"/>
      <c r="O46" s="699"/>
    </row>
    <row r="47" spans="1:15">
      <c r="B47" s="1056" t="s">
        <v>173</v>
      </c>
      <c r="C47" s="1035"/>
      <c r="D47" s="1075"/>
      <c r="E47" s="1035"/>
      <c r="F47" s="1035"/>
      <c r="G47" s="1035"/>
      <c r="H47" s="820"/>
      <c r="I47" s="971">
        <f>SUM(I39:I46)</f>
        <v>7068414</v>
      </c>
      <c r="J47" s="971">
        <f>SUM(J39:J46)</f>
        <v>8707022</v>
      </c>
      <c r="O47" s="699"/>
    </row>
    <row r="48" spans="1:15" hidden="1">
      <c r="B48" s="1149" t="s">
        <v>2023</v>
      </c>
      <c r="D48" s="872"/>
      <c r="H48" s="681"/>
      <c r="I48" s="763"/>
      <c r="J48" s="763"/>
      <c r="O48" s="699"/>
    </row>
    <row r="49" spans="1:15" ht="5.0999999999999996" hidden="1" customHeight="1">
      <c r="I49" s="763"/>
      <c r="J49" s="764"/>
      <c r="O49" s="699"/>
    </row>
    <row r="50" spans="1:15">
      <c r="B50" s="710"/>
      <c r="I50" s="710" t="str">
        <f>IF(I47-PL!F15=0,"","False")</f>
        <v/>
      </c>
      <c r="J50" s="710" t="str">
        <f>IF(J47-PL!H15=0,"","False")</f>
        <v/>
      </c>
      <c r="K50" s="710" t="str">
        <f>IF(J47-PL!H15=0,"","False")</f>
        <v/>
      </c>
      <c r="O50" s="699"/>
    </row>
    <row r="51" spans="1:15" ht="18" hidden="1" customHeight="1">
      <c r="A51" s="683">
        <f>+A36+1</f>
        <v>21</v>
      </c>
      <c r="B51" s="681" t="s">
        <v>62</v>
      </c>
      <c r="C51" s="681"/>
      <c r="O51" s="699"/>
    </row>
    <row r="52" spans="1:15" ht="5.0999999999999996" hidden="1" customHeight="1">
      <c r="O52" s="699"/>
    </row>
    <row r="53" spans="1:15" hidden="1">
      <c r="B53" s="864"/>
      <c r="C53" s="876"/>
      <c r="D53" s="876"/>
      <c r="E53" s="876"/>
      <c r="F53" s="876"/>
      <c r="G53" s="707"/>
      <c r="H53" s="707"/>
      <c r="I53" s="865">
        <f>BS!$E$7</f>
        <v>0</v>
      </c>
      <c r="J53" s="1213">
        <f>BS!$G$7</f>
        <v>45747</v>
      </c>
      <c r="O53" s="699"/>
    </row>
    <row r="54" spans="1:15" ht="5.0999999999999996" hidden="1" customHeight="1">
      <c r="B54" s="861"/>
      <c r="C54" s="701"/>
      <c r="D54" s="701"/>
      <c r="E54" s="701"/>
      <c r="F54" s="701"/>
      <c r="I54" s="681"/>
      <c r="O54" s="699"/>
    </row>
    <row r="55" spans="1:15" ht="15" hidden="1" customHeight="1">
      <c r="B55" s="709" t="s">
        <v>301</v>
      </c>
      <c r="D55" s="701"/>
      <c r="E55" s="701"/>
      <c r="F55" s="701"/>
      <c r="I55" s="763">
        <f>+'Sch - PL'!E65</f>
        <v>0</v>
      </c>
      <c r="J55" s="764">
        <f>+'Sch - PL'!G65</f>
        <v>0</v>
      </c>
      <c r="O55" s="699"/>
    </row>
    <row r="56" spans="1:15" ht="15" hidden="1" customHeight="1">
      <c r="B56" s="709" t="s">
        <v>302</v>
      </c>
      <c r="D56" s="701"/>
      <c r="E56" s="701"/>
      <c r="F56" s="701"/>
      <c r="I56" s="763">
        <f>+'Sch - PL'!E66</f>
        <v>0</v>
      </c>
      <c r="J56" s="764">
        <f>+'Sch - PL'!G66</f>
        <v>0</v>
      </c>
      <c r="O56" s="699"/>
    </row>
    <row r="57" spans="1:15" ht="15" hidden="1" customHeight="1">
      <c r="B57" s="709" t="s">
        <v>303</v>
      </c>
      <c r="D57" s="701"/>
      <c r="E57" s="701"/>
      <c r="F57" s="701"/>
      <c r="I57" s="763">
        <f>+'Sch - PL'!E67</f>
        <v>0</v>
      </c>
      <c r="J57" s="764">
        <f>+'Sch - PL'!G67</f>
        <v>0</v>
      </c>
      <c r="O57" s="699"/>
    </row>
    <row r="58" spans="1:15" ht="15" hidden="1" customHeight="1">
      <c r="B58" s="709" t="s">
        <v>304</v>
      </c>
      <c r="D58" s="701"/>
      <c r="E58" s="701"/>
      <c r="F58" s="904"/>
      <c r="G58" s="900"/>
      <c r="I58" s="763">
        <f>+'Sch - PL'!E68</f>
        <v>0</v>
      </c>
      <c r="J58" s="764">
        <f>+'Sch - PL'!G68</f>
        <v>0</v>
      </c>
      <c r="O58" s="699"/>
    </row>
    <row r="59" spans="1:15" ht="15" hidden="1" customHeight="1">
      <c r="B59" s="709" t="s">
        <v>305</v>
      </c>
      <c r="D59" s="701"/>
      <c r="E59" s="701"/>
      <c r="F59" s="904"/>
      <c r="G59" s="900"/>
      <c r="I59" s="763">
        <f>+'Sch - PL'!E69</f>
        <v>0</v>
      </c>
      <c r="J59" s="764">
        <f>+'Sch - PL'!G69</f>
        <v>0</v>
      </c>
      <c r="O59" s="699"/>
    </row>
    <row r="60" spans="1:15" hidden="1">
      <c r="B60" s="709" t="s">
        <v>64</v>
      </c>
      <c r="D60" s="701"/>
      <c r="E60" s="701"/>
      <c r="F60" s="701"/>
      <c r="I60" s="763">
        <f>+'Sch - PL'!E70</f>
        <v>0</v>
      </c>
      <c r="J60" s="764">
        <f>+'Sch - PL'!G70</f>
        <v>0</v>
      </c>
      <c r="O60" s="699"/>
    </row>
    <row r="61" spans="1:15" s="700" customFormat="1" ht="3" hidden="1" customHeight="1">
      <c r="A61" s="683"/>
      <c r="B61" s="861"/>
      <c r="C61" s="701"/>
      <c r="D61" s="701"/>
      <c r="E61" s="701"/>
      <c r="F61" s="701"/>
      <c r="G61" s="699"/>
      <c r="H61" s="699"/>
      <c r="I61" s="763"/>
      <c r="J61" s="764"/>
      <c r="K61" s="882"/>
      <c r="L61" s="882"/>
    </row>
    <row r="62" spans="1:15" s="700" customFormat="1" ht="13.8" hidden="1" thickBot="1">
      <c r="A62" s="683"/>
      <c r="B62" s="861"/>
      <c r="C62" s="699"/>
      <c r="D62" s="699"/>
      <c r="E62" s="699"/>
      <c r="F62" s="699"/>
      <c r="G62" s="699"/>
      <c r="H62" s="681"/>
      <c r="I62" s="770">
        <f>SUM(I54:I61)</f>
        <v>0</v>
      </c>
      <c r="J62" s="1214">
        <f>SUM(J54:J61)</f>
        <v>0</v>
      </c>
      <c r="K62" s="882"/>
      <c r="L62" s="882"/>
    </row>
    <row r="63" spans="1:15" s="700" customFormat="1" ht="5.0999999999999996" hidden="1" customHeight="1" thickTop="1">
      <c r="A63" s="683"/>
      <c r="B63" s="870"/>
      <c r="C63" s="711"/>
      <c r="D63" s="711"/>
      <c r="E63" s="711"/>
      <c r="F63" s="711"/>
      <c r="G63" s="711"/>
      <c r="H63" s="711"/>
      <c r="I63" s="771"/>
      <c r="J63" s="772"/>
      <c r="K63" s="882"/>
      <c r="L63" s="882"/>
    </row>
    <row r="64" spans="1:15" s="700" customFormat="1" ht="5.0999999999999996" hidden="1" customHeight="1">
      <c r="A64" s="754"/>
      <c r="B64" s="699"/>
      <c r="C64" s="699"/>
      <c r="D64" s="699"/>
      <c r="E64" s="699"/>
      <c r="F64" s="699"/>
      <c r="G64" s="699"/>
      <c r="H64" s="699"/>
      <c r="I64" s="699" t="str">
        <f>IF(I62-PL!F18=0,"","False")</f>
        <v/>
      </c>
      <c r="J64" s="699" t="str">
        <f>IF(J62-PL!H18=0,"","False")</f>
        <v/>
      </c>
      <c r="K64" s="699" t="str">
        <f>IF(J62-PL!H18=0,"","False")</f>
        <v/>
      </c>
      <c r="L64" s="882"/>
    </row>
    <row r="65" spans="1:12" s="700" customFormat="1">
      <c r="A65" s="683">
        <f>A36+1</f>
        <v>21</v>
      </c>
      <c r="B65" s="681" t="s">
        <v>319</v>
      </c>
      <c r="C65" s="699"/>
      <c r="D65" s="699"/>
      <c r="E65" s="699"/>
      <c r="F65" s="699"/>
      <c r="G65" s="699"/>
      <c r="H65" s="699"/>
      <c r="I65" s="699"/>
      <c r="J65" s="699"/>
      <c r="K65" s="703"/>
      <c r="L65" s="882"/>
    </row>
    <row r="66" spans="1:12" s="700" customFormat="1">
      <c r="A66" s="683"/>
      <c r="B66" s="699"/>
      <c r="C66" s="699"/>
      <c r="D66" s="699"/>
      <c r="E66" s="699"/>
      <c r="F66" s="699"/>
      <c r="G66" s="699"/>
      <c r="H66" s="699"/>
      <c r="I66" s="735" t="str">
        <f>+I79</f>
        <v>Year ended</v>
      </c>
      <c r="J66" s="735" t="str">
        <f>+J79</f>
        <v>Year ended</v>
      </c>
      <c r="K66" s="703"/>
      <c r="L66" s="882"/>
    </row>
    <row r="67" spans="1:12" s="700" customFormat="1" hidden="1">
      <c r="A67" s="683"/>
      <c r="B67" s="699"/>
      <c r="C67" s="699"/>
      <c r="D67" s="699"/>
      <c r="E67" s="699"/>
      <c r="F67" s="699"/>
      <c r="G67" s="699"/>
      <c r="H67" s="699"/>
      <c r="I67" s="699"/>
      <c r="J67" s="699"/>
      <c r="K67" s="703"/>
      <c r="L67" s="882"/>
    </row>
    <row r="68" spans="1:12" s="700" customFormat="1">
      <c r="A68" s="683"/>
      <c r="B68" s="711"/>
      <c r="C68" s="711"/>
      <c r="D68" s="711"/>
      <c r="E68" s="711"/>
      <c r="F68" s="711"/>
      <c r="G68" s="711"/>
      <c r="H68" s="711"/>
      <c r="I68" s="758">
        <f>BS!$G$7</f>
        <v>45747</v>
      </c>
      <c r="J68" s="758">
        <f>BS!$I$7</f>
        <v>45382</v>
      </c>
      <c r="K68" s="703"/>
      <c r="L68" s="882"/>
    </row>
    <row r="69" spans="1:12" s="700" customFormat="1">
      <c r="A69" s="683"/>
      <c r="B69" s="701" t="s">
        <v>320</v>
      </c>
      <c r="C69" s="699"/>
      <c r="D69" s="701"/>
      <c r="E69" s="701"/>
      <c r="F69" s="701"/>
      <c r="G69" s="699"/>
      <c r="H69" s="699"/>
      <c r="I69" s="838"/>
      <c r="J69" s="764"/>
      <c r="K69" s="703"/>
      <c r="L69" s="882"/>
    </row>
    <row r="70" spans="1:12" s="700" customFormat="1">
      <c r="A70" s="683"/>
      <c r="B70" s="1160" t="s">
        <v>2619</v>
      </c>
      <c r="C70" s="699"/>
      <c r="D70" s="701"/>
      <c r="E70" s="701"/>
      <c r="F70" s="701"/>
      <c r="G70" s="699"/>
      <c r="H70" s="699"/>
      <c r="I70" s="839">
        <f>ROUND(('PL Gr'!E377+'PL Gr'!E379+'PL Gr'!E400)/Master!$B$23,0)-I71</f>
        <v>11355849</v>
      </c>
      <c r="J70" s="839">
        <f>ROUND(('PL Gr'!G377+'PL Gr'!G379+'PL Gr'!G400)/Master!$B$23,0)-J71</f>
        <v>13389967</v>
      </c>
      <c r="K70" s="703"/>
      <c r="L70" s="882"/>
    </row>
    <row r="71" spans="1:12" s="700" customFormat="1">
      <c r="A71" s="683"/>
      <c r="B71" s="1160" t="s">
        <v>2763</v>
      </c>
      <c r="C71" s="699"/>
      <c r="D71" s="701"/>
      <c r="E71" s="701"/>
      <c r="F71" s="701"/>
      <c r="G71" s="699"/>
      <c r="H71" s="699"/>
      <c r="I71" s="1150">
        <f>ROUND((11200*10*3/100)/Master!$B$23,0)</f>
        <v>3360</v>
      </c>
      <c r="J71" s="1150">
        <f>ROUND((11200*10*3/100)/Master!$B$23,0)</f>
        <v>3360</v>
      </c>
      <c r="K71" s="703"/>
      <c r="L71" s="882"/>
    </row>
    <row r="72" spans="1:12" s="700" customFormat="1" hidden="1">
      <c r="A72" s="683"/>
      <c r="B72" s="701" t="s">
        <v>321</v>
      </c>
      <c r="C72" s="699"/>
      <c r="D72" s="701"/>
      <c r="E72" s="701"/>
      <c r="F72" s="701"/>
      <c r="G72" s="699"/>
      <c r="H72" s="699"/>
      <c r="I72" s="1144">
        <f>ROUND('PL Gr'!E452/Master!$B$23,0)</f>
        <v>0</v>
      </c>
      <c r="J72" s="1144">
        <f>ROUND(('PL Gr'!G452)/Master!$B$23,0)</f>
        <v>0</v>
      </c>
      <c r="K72" s="703"/>
      <c r="L72" s="882"/>
    </row>
    <row r="73" spans="1:12" s="700" customFormat="1">
      <c r="A73" s="683"/>
      <c r="B73" s="1160" t="s">
        <v>2353</v>
      </c>
      <c r="C73" s="699"/>
      <c r="D73" s="701"/>
      <c r="E73" s="701"/>
      <c r="F73" s="701"/>
      <c r="G73" s="699"/>
      <c r="H73" s="699"/>
      <c r="I73" s="839">
        <f>ROUND(('PL Gr'!E39+'PL Gr'!E44+1)/Master!$B$23,0)</f>
        <v>401657</v>
      </c>
      <c r="J73" s="839">
        <f>ROUND(('PL Gr'!G39+'PL Gr'!G44)/Master!$B$23,0)</f>
        <v>638522</v>
      </c>
      <c r="K73" s="703"/>
      <c r="L73" s="882"/>
    </row>
    <row r="74" spans="1:12" s="700" customFormat="1">
      <c r="A74" s="683"/>
      <c r="B74" s="820" t="s">
        <v>173</v>
      </c>
      <c r="C74" s="1076"/>
      <c r="D74" s="1076"/>
      <c r="E74" s="1076"/>
      <c r="F74" s="1076"/>
      <c r="G74" s="1035"/>
      <c r="H74" s="1035"/>
      <c r="I74" s="971">
        <f>SUM(I70:I73)</f>
        <v>11760866</v>
      </c>
      <c r="J74" s="971">
        <f>SUM(J70:J73)</f>
        <v>14031849</v>
      </c>
      <c r="K74" s="703"/>
      <c r="L74" s="882"/>
    </row>
    <row r="75" spans="1:12" s="700" customFormat="1" ht="18.600000000000001">
      <c r="A75" s="683"/>
      <c r="B75" s="1159" t="s">
        <v>3106</v>
      </c>
      <c r="C75" s="701"/>
      <c r="D75" s="701"/>
      <c r="E75" s="701"/>
      <c r="F75" s="701"/>
      <c r="G75" s="699"/>
      <c r="H75" s="699"/>
      <c r="I75" s="763"/>
      <c r="J75" s="763"/>
      <c r="K75" s="703"/>
      <c r="L75" s="882"/>
    </row>
    <row r="76" spans="1:12" s="700" customFormat="1">
      <c r="A76" s="683"/>
      <c r="B76" s="1166" t="s">
        <v>2752</v>
      </c>
      <c r="C76" s="699"/>
      <c r="D76" s="699"/>
      <c r="E76" s="699"/>
      <c r="F76" s="699"/>
      <c r="G76" s="699"/>
      <c r="H76" s="699"/>
      <c r="I76" s="764" t="b">
        <f>IF(I74=PL!F19," ",FALSE)</f>
        <v>0</v>
      </c>
      <c r="J76" s="764" t="str">
        <f>IF(J74=PL!H19," ",FALSE)</f>
        <v xml:space="preserve"> </v>
      </c>
      <c r="K76" s="703"/>
      <c r="L76" s="882"/>
    </row>
    <row r="77" spans="1:12" s="700" customFormat="1">
      <c r="A77" s="683"/>
      <c r="B77" s="710"/>
      <c r="C77" s="703"/>
      <c r="D77" s="703"/>
      <c r="E77" s="703"/>
      <c r="F77" s="703"/>
      <c r="G77" s="703"/>
      <c r="H77" s="703"/>
      <c r="I77" s="703"/>
      <c r="J77" s="703"/>
      <c r="K77" s="703"/>
      <c r="L77" s="882"/>
    </row>
    <row r="78" spans="1:12" s="700" customFormat="1">
      <c r="A78" s="683">
        <f>A65+1</f>
        <v>22</v>
      </c>
      <c r="B78" s="681" t="s">
        <v>64</v>
      </c>
      <c r="C78" s="681"/>
      <c r="D78" s="699"/>
      <c r="E78" s="699"/>
      <c r="F78" s="699"/>
      <c r="G78" s="699"/>
      <c r="H78" s="699"/>
      <c r="I78" s="699"/>
      <c r="J78" s="710"/>
      <c r="K78" s="710"/>
      <c r="L78" s="882"/>
    </row>
    <row r="79" spans="1:12" s="700" customFormat="1">
      <c r="A79" s="683"/>
      <c r="B79" s="699"/>
      <c r="C79" s="701"/>
      <c r="D79" s="701"/>
      <c r="E79" s="701"/>
      <c r="F79" s="701"/>
      <c r="G79" s="699"/>
      <c r="H79" s="699"/>
      <c r="I79" s="684" t="s">
        <v>1872</v>
      </c>
      <c r="J79" s="684" t="s">
        <v>1872</v>
      </c>
      <c r="K79" s="882"/>
      <c r="L79" s="882"/>
    </row>
    <row r="80" spans="1:12" s="700" customFormat="1">
      <c r="A80" s="683"/>
      <c r="B80" s="711"/>
      <c r="C80" s="1062"/>
      <c r="D80" s="1062"/>
      <c r="E80" s="1062"/>
      <c r="F80" s="1062"/>
      <c r="G80" s="711"/>
      <c r="H80" s="711"/>
      <c r="I80" s="758">
        <f>BS!$G$7</f>
        <v>45747</v>
      </c>
      <c r="J80" s="758">
        <f>BS!$I$7</f>
        <v>45382</v>
      </c>
      <c r="K80" s="882"/>
      <c r="L80" s="882"/>
    </row>
    <row r="81" spans="1:12" s="700" customFormat="1" ht="5.0999999999999996" customHeight="1">
      <c r="A81" s="683"/>
      <c r="B81" s="699"/>
      <c r="C81" s="701"/>
      <c r="D81" s="701"/>
      <c r="E81" s="701"/>
      <c r="F81" s="701"/>
      <c r="G81" s="699"/>
      <c r="H81" s="699"/>
      <c r="I81" s="681"/>
      <c r="J81" s="699"/>
      <c r="K81" s="882"/>
      <c r="L81" s="882"/>
    </row>
    <row r="82" spans="1:12" s="700" customFormat="1" hidden="1">
      <c r="A82" s="683"/>
      <c r="B82" s="701" t="s">
        <v>306</v>
      </c>
      <c r="C82" s="699"/>
      <c r="D82" s="701"/>
      <c r="E82" s="701"/>
      <c r="F82" s="701"/>
      <c r="G82" s="699"/>
      <c r="H82" s="699"/>
      <c r="I82" s="763">
        <f>+'Sch - PL'!E95</f>
        <v>0</v>
      </c>
      <c r="J82" s="764">
        <f>+'Sch - PL'!G95</f>
        <v>0</v>
      </c>
      <c r="K82" s="882"/>
      <c r="L82" s="882"/>
    </row>
    <row r="83" spans="1:12" s="700" customFormat="1">
      <c r="A83" s="683"/>
      <c r="B83" s="1160" t="s">
        <v>2756</v>
      </c>
      <c r="C83" s="699"/>
      <c r="D83" s="701"/>
      <c r="E83" s="701"/>
      <c r="F83" s="701"/>
      <c r="G83" s="699"/>
      <c r="H83" s="699"/>
      <c r="I83" s="764">
        <f>'Sch - PL'!E104</f>
        <v>4728160</v>
      </c>
      <c r="J83" s="764">
        <f>'Sch - PL'!G104</f>
        <v>3351781</v>
      </c>
      <c r="K83" s="882"/>
      <c r="L83" s="882"/>
    </row>
    <row r="84" spans="1:12" s="700" customFormat="1" hidden="1">
      <c r="A84" s="683"/>
      <c r="B84" s="1160" t="s">
        <v>2352</v>
      </c>
      <c r="C84" s="699"/>
      <c r="D84" s="701"/>
      <c r="E84" s="701"/>
      <c r="F84" s="701"/>
      <c r="G84" s="699"/>
      <c r="H84" s="699"/>
      <c r="I84" s="764">
        <f>+'Sch - PL'!E85</f>
        <v>207</v>
      </c>
      <c r="J84" s="764">
        <f>+'Sch - PL'!G85</f>
        <v>26385</v>
      </c>
      <c r="K84" s="882"/>
      <c r="L84" s="882"/>
    </row>
    <row r="85" spans="1:12" s="700" customFormat="1">
      <c r="A85" s="683"/>
      <c r="B85" s="1160" t="s">
        <v>2757</v>
      </c>
      <c r="C85" s="699"/>
      <c r="D85" s="701"/>
      <c r="E85" s="701"/>
      <c r="F85" s="701"/>
      <c r="G85" s="699"/>
      <c r="H85" s="699"/>
      <c r="I85" s="764">
        <f>+'Sch - PL'!E96-I88</f>
        <v>1413898</v>
      </c>
      <c r="J85" s="764">
        <f>+'Sch - PL'!G96-J88</f>
        <v>919666</v>
      </c>
      <c r="K85" s="882"/>
      <c r="L85" s="882"/>
    </row>
    <row r="86" spans="1:12" s="700" customFormat="1" hidden="1">
      <c r="A86" s="683"/>
      <c r="B86" s="1139" t="s">
        <v>2011</v>
      </c>
      <c r="C86" s="699"/>
      <c r="D86" s="701"/>
      <c r="E86" s="701"/>
      <c r="F86" s="701"/>
      <c r="G86" s="699"/>
      <c r="H86" s="699"/>
      <c r="I86" s="953">
        <f>+'Sch - PL'!E103</f>
        <v>0</v>
      </c>
      <c r="J86" s="764">
        <f>'Sch - PL'!G103</f>
        <v>0</v>
      </c>
      <c r="K86" s="882"/>
      <c r="L86" s="882"/>
    </row>
    <row r="87" spans="1:12" s="700" customFormat="1">
      <c r="A87" s="683"/>
      <c r="B87" s="1160" t="s">
        <v>2758</v>
      </c>
      <c r="C87" s="699"/>
      <c r="D87" s="701"/>
      <c r="E87" s="701"/>
      <c r="F87" s="701"/>
      <c r="G87" s="699"/>
      <c r="H87" s="699"/>
      <c r="I87" s="764">
        <f>+'Sch - PL'!E91</f>
        <v>404310</v>
      </c>
      <c r="J87" s="764">
        <f>+'Sch - PL'!G91</f>
        <v>414275</v>
      </c>
      <c r="K87" s="882"/>
      <c r="L87" s="882"/>
    </row>
    <row r="88" spans="1:12" s="700" customFormat="1">
      <c r="A88" s="683"/>
      <c r="B88" s="1160" t="s">
        <v>2343</v>
      </c>
      <c r="C88" s="699"/>
      <c r="D88" s="701"/>
      <c r="E88" s="701"/>
      <c r="F88" s="701"/>
      <c r="G88" s="699"/>
      <c r="H88" s="699"/>
      <c r="I88" s="764">
        <f>+I129</f>
        <v>318000</v>
      </c>
      <c r="J88" s="764">
        <f>+J129</f>
        <v>265000</v>
      </c>
      <c r="K88" s="882"/>
      <c r="L88" s="882"/>
    </row>
    <row r="89" spans="1:12" s="700" customFormat="1">
      <c r="A89" s="683"/>
      <c r="B89" s="1160" t="s">
        <v>2759</v>
      </c>
      <c r="C89" s="699"/>
      <c r="D89" s="701"/>
      <c r="E89" s="701"/>
      <c r="F89" s="701"/>
      <c r="G89" s="699"/>
      <c r="H89" s="699"/>
      <c r="I89" s="764">
        <f>+'Sch - PL'!E94</f>
        <v>226298</v>
      </c>
      <c r="J89" s="764">
        <f>+'Sch - PL'!G94</f>
        <v>167219</v>
      </c>
      <c r="K89" s="882"/>
      <c r="L89" s="882"/>
    </row>
    <row r="90" spans="1:12" s="700" customFormat="1" hidden="1">
      <c r="A90" s="683"/>
      <c r="B90" s="701" t="s">
        <v>308</v>
      </c>
      <c r="C90" s="699"/>
      <c r="D90" s="701"/>
      <c r="E90" s="701"/>
      <c r="F90" s="701"/>
      <c r="G90" s="699"/>
      <c r="H90" s="699"/>
      <c r="I90" s="764">
        <f>+'Sch - PL'!E93</f>
        <v>0</v>
      </c>
      <c r="J90" s="764">
        <f>+'Sch - PL'!G93</f>
        <v>0</v>
      </c>
      <c r="K90" s="882"/>
      <c r="L90" s="882"/>
    </row>
    <row r="91" spans="1:12" s="700" customFormat="1" hidden="1">
      <c r="A91" s="683"/>
      <c r="B91" s="701" t="s">
        <v>309</v>
      </c>
      <c r="C91" s="699"/>
      <c r="D91" s="701"/>
      <c r="E91" s="701"/>
      <c r="F91" s="701"/>
      <c r="G91" s="699"/>
      <c r="H91" s="699"/>
      <c r="K91" s="882"/>
      <c r="L91" s="882"/>
    </row>
    <row r="92" spans="1:12" s="700" customFormat="1" hidden="1">
      <c r="A92" s="683"/>
      <c r="B92" s="1139" t="s">
        <v>2029</v>
      </c>
      <c r="C92" s="699"/>
      <c r="D92" s="701"/>
      <c r="E92" s="701"/>
      <c r="F92" s="701"/>
      <c r="G92" s="699"/>
      <c r="H92" s="699"/>
      <c r="I92" s="764">
        <f>+'Sch - PL'!E72*0</f>
        <v>0</v>
      </c>
      <c r="J92" s="764">
        <f>+'Sch - PL'!G72*0</f>
        <v>0</v>
      </c>
      <c r="K92" s="882"/>
      <c r="L92" s="882"/>
    </row>
    <row r="93" spans="1:12" s="700" customFormat="1">
      <c r="A93" s="683"/>
      <c r="B93" s="1160" t="s">
        <v>2760</v>
      </c>
      <c r="C93" s="699"/>
      <c r="D93" s="701"/>
      <c r="E93" s="701"/>
      <c r="F93" s="701"/>
      <c r="G93" s="699"/>
      <c r="H93" s="699"/>
      <c r="I93" s="764">
        <f>'Sch - PL'!E105</f>
        <v>68095</v>
      </c>
      <c r="J93" s="764">
        <f>'Sch - PL'!G105</f>
        <v>103148</v>
      </c>
      <c r="K93" s="882"/>
      <c r="L93" s="882"/>
    </row>
    <row r="94" spans="1:12" s="700" customFormat="1" hidden="1">
      <c r="A94" s="683"/>
      <c r="B94" s="1160" t="s">
        <v>2228</v>
      </c>
      <c r="C94" s="699"/>
      <c r="D94" s="701"/>
      <c r="E94" s="701"/>
      <c r="F94" s="701"/>
      <c r="G94" s="699"/>
      <c r="H94" s="699"/>
      <c r="I94" s="764">
        <f>+'Sch - PL'!E88*0</f>
        <v>0</v>
      </c>
      <c r="J94" s="764">
        <f>+'Sch - PL'!G88*0</f>
        <v>0</v>
      </c>
      <c r="K94" s="882"/>
      <c r="L94" s="882"/>
    </row>
    <row r="95" spans="1:12" s="700" customFormat="1" hidden="1">
      <c r="A95" s="683"/>
      <c r="B95" s="1139" t="s">
        <v>2028</v>
      </c>
      <c r="C95" s="699"/>
      <c r="D95" s="701"/>
      <c r="E95" s="701"/>
      <c r="F95" s="701"/>
      <c r="G95" s="699"/>
      <c r="H95" s="699"/>
      <c r="I95" s="764">
        <f>+'Sch - PL'!E101</f>
        <v>0</v>
      </c>
      <c r="J95" s="764">
        <f>+'Sch - PL'!G101</f>
        <v>0</v>
      </c>
      <c r="K95" s="882"/>
      <c r="L95" s="882"/>
    </row>
    <row r="96" spans="1:12" s="700" customFormat="1" hidden="1">
      <c r="A96" s="683"/>
      <c r="B96" s="1139" t="s">
        <v>2027</v>
      </c>
      <c r="C96" s="699"/>
      <c r="D96" s="701"/>
      <c r="E96" s="701"/>
      <c r="F96" s="701"/>
      <c r="G96" s="699"/>
      <c r="H96" s="699"/>
      <c r="I96" s="764">
        <f>+'Sch - PL'!E86*0</f>
        <v>0</v>
      </c>
      <c r="J96" s="764">
        <f>+'Sch - PL'!G86*0</f>
        <v>0</v>
      </c>
      <c r="K96" s="882"/>
      <c r="L96" s="882"/>
    </row>
    <row r="97" spans="1:12" s="700" customFormat="1" hidden="1">
      <c r="A97" s="683"/>
      <c r="B97" s="1160" t="s">
        <v>2618</v>
      </c>
      <c r="C97" s="699"/>
      <c r="D97" s="701"/>
      <c r="E97" s="701"/>
      <c r="F97" s="701"/>
      <c r="G97" s="699"/>
      <c r="H97" s="699"/>
      <c r="I97" s="764">
        <f>-'Sch - PL'!E18*0</f>
        <v>0</v>
      </c>
      <c r="J97" s="764">
        <f>-'Sch - PL'!G18*0</f>
        <v>0</v>
      </c>
      <c r="K97" s="882"/>
      <c r="L97" s="882"/>
    </row>
    <row r="98" spans="1:12" s="700" customFormat="1" hidden="1">
      <c r="A98" s="683"/>
      <c r="B98" s="1160" t="s">
        <v>2889</v>
      </c>
      <c r="C98" s="699"/>
      <c r="D98" s="701"/>
      <c r="E98" s="701"/>
      <c r="F98" s="701"/>
      <c r="G98" s="699"/>
      <c r="H98" s="699"/>
      <c r="I98" s="764">
        <f>-'Sch - PL'!E18</f>
        <v>-83032</v>
      </c>
      <c r="J98" s="764">
        <v>0</v>
      </c>
      <c r="K98" s="882"/>
      <c r="L98" s="882"/>
    </row>
    <row r="99" spans="1:12" s="700" customFormat="1">
      <c r="A99" s="683"/>
      <c r="B99" s="1160" t="s">
        <v>2946</v>
      </c>
      <c r="C99" s="699"/>
      <c r="D99" s="701"/>
      <c r="E99" s="701"/>
      <c r="F99" s="701"/>
      <c r="G99" s="699"/>
      <c r="H99" s="699"/>
      <c r="I99" s="764">
        <f>+'Sch - PL'!E98</f>
        <v>0</v>
      </c>
      <c r="J99" s="764">
        <f>+'Sch - PL'!G98</f>
        <v>232456</v>
      </c>
      <c r="K99" s="882"/>
      <c r="L99" s="882"/>
    </row>
    <row r="100" spans="1:12" s="700" customFormat="1">
      <c r="A100" s="683"/>
      <c r="B100" s="1160" t="s">
        <v>2761</v>
      </c>
      <c r="C100" s="699"/>
      <c r="D100" s="701"/>
      <c r="E100" s="701"/>
      <c r="F100" s="701"/>
      <c r="G100" s="699"/>
      <c r="H100" s="699"/>
      <c r="I100" s="764">
        <f>+'Sch - PL'!E106+'Sch - PL'!E72+'Sch - PL'!E88+'Sch - PL'!E86+'Sch - PL'!E89+'Sch - PL'!E87+'Sch - PL'!E90</f>
        <v>550878</v>
      </c>
      <c r="J100" s="764">
        <f>+'Sch - PL'!G106+'Sch - PL'!G72+'Sch - PL'!G88+'Sch - PL'!G86+'Sch - PL'!G89+'Sch - PL'!G87+'Sch - PL'!G90</f>
        <v>350523</v>
      </c>
      <c r="K100" s="882"/>
      <c r="L100" s="882"/>
    </row>
    <row r="101" spans="1:12" s="700" customFormat="1" hidden="1">
      <c r="A101" s="683"/>
      <c r="B101" s="701" t="s">
        <v>305</v>
      </c>
      <c r="C101" s="699"/>
      <c r="D101" s="701"/>
      <c r="E101" s="701"/>
      <c r="F101" s="701"/>
      <c r="G101" s="699"/>
      <c r="H101" s="699"/>
      <c r="I101" s="1285">
        <f>+'Sch - PL'!E87*0</f>
        <v>0</v>
      </c>
      <c r="J101" s="1285">
        <f>+'Sch - PL'!G87*0</f>
        <v>0</v>
      </c>
      <c r="K101" s="882"/>
      <c r="L101" s="882"/>
    </row>
    <row r="102" spans="1:12" s="700" customFormat="1" hidden="1">
      <c r="A102" s="683"/>
      <c r="B102" s="701" t="s">
        <v>311</v>
      </c>
      <c r="C102" s="699"/>
      <c r="D102" s="701"/>
      <c r="E102" s="701"/>
      <c r="F102" s="701"/>
      <c r="G102" s="699"/>
      <c r="H102" s="699"/>
      <c r="I102" s="1285">
        <f>+'Sch - PL'!E89*0</f>
        <v>0</v>
      </c>
      <c r="J102" s="1285">
        <f>+'Sch - PL'!G89*0</f>
        <v>0</v>
      </c>
      <c r="K102" s="882"/>
      <c r="L102" s="882"/>
    </row>
    <row r="103" spans="1:12" s="700" customFormat="1" hidden="1">
      <c r="A103" s="683"/>
      <c r="B103" s="701" t="s">
        <v>109</v>
      </c>
      <c r="C103" s="699"/>
      <c r="D103" s="701"/>
      <c r="E103" s="701"/>
      <c r="F103" s="701"/>
      <c r="G103" s="699"/>
      <c r="H103" s="699"/>
      <c r="I103" s="764">
        <f>+'Sch - PL'!E99</f>
        <v>0</v>
      </c>
      <c r="J103" s="764">
        <f>+'Sch - PL'!G99</f>
        <v>0</v>
      </c>
      <c r="K103" s="882"/>
      <c r="L103" s="882"/>
    </row>
    <row r="104" spans="1:12" s="700" customFormat="1" hidden="1">
      <c r="A104" s="683"/>
      <c r="B104" s="701" t="s">
        <v>110</v>
      </c>
      <c r="C104" s="699"/>
      <c r="D104" s="701"/>
      <c r="E104" s="701"/>
      <c r="F104" s="701"/>
      <c r="G104" s="699"/>
      <c r="H104" s="699"/>
      <c r="I104" s="764">
        <f>+'Sch - PL'!E100</f>
        <v>98431</v>
      </c>
      <c r="J104" s="764">
        <f>+'Sch - PL'!G100</f>
        <v>0</v>
      </c>
      <c r="K104" s="882"/>
      <c r="L104" s="882"/>
    </row>
    <row r="105" spans="1:12" s="700" customFormat="1" hidden="1">
      <c r="A105" s="683"/>
      <c r="B105" s="701" t="s">
        <v>313</v>
      </c>
      <c r="C105" s="699"/>
      <c r="D105" s="701"/>
      <c r="E105" s="701"/>
      <c r="F105" s="701"/>
      <c r="G105" s="699"/>
      <c r="H105" s="699"/>
      <c r="I105" s="764">
        <f>+'Sch - PL'!E90*0</f>
        <v>0</v>
      </c>
      <c r="J105" s="1285">
        <f>+'Sch - PL'!G90*0</f>
        <v>0</v>
      </c>
      <c r="K105" s="882"/>
      <c r="L105" s="882"/>
    </row>
    <row r="106" spans="1:12" s="700" customFormat="1" hidden="1">
      <c r="A106" s="683"/>
      <c r="B106" s="701" t="s">
        <v>314</v>
      </c>
      <c r="C106" s="699"/>
      <c r="D106" s="701"/>
      <c r="E106" s="701"/>
      <c r="F106" s="701"/>
      <c r="G106" s="699"/>
      <c r="H106" s="699"/>
      <c r="I106" s="764">
        <f>+'Sch - PL'!E97</f>
        <v>0</v>
      </c>
      <c r="J106" s="764">
        <f>+'Sch - PL'!G97</f>
        <v>0</v>
      </c>
      <c r="K106" s="882"/>
      <c r="L106" s="882"/>
    </row>
    <row r="107" spans="1:12" s="700" customFormat="1" hidden="1">
      <c r="A107" s="683"/>
      <c r="B107" s="701" t="s">
        <v>316</v>
      </c>
      <c r="C107" s="699"/>
      <c r="D107" s="701"/>
      <c r="E107" s="701"/>
      <c r="F107" s="701"/>
      <c r="G107" s="699"/>
      <c r="H107" s="699"/>
      <c r="I107" s="764">
        <f>+'Sch - PL'!E102</f>
        <v>0</v>
      </c>
      <c r="J107" s="764">
        <f>+'Sch - PL'!G102</f>
        <v>0</v>
      </c>
      <c r="K107" s="882"/>
      <c r="L107" s="882"/>
    </row>
    <row r="108" spans="1:12" s="700" customFormat="1" hidden="1">
      <c r="A108" s="683"/>
      <c r="B108" s="1139" t="s">
        <v>2017</v>
      </c>
      <c r="C108" s="699"/>
      <c r="D108" s="701"/>
      <c r="E108" s="701"/>
      <c r="F108" s="701"/>
      <c r="G108" s="699"/>
      <c r="H108" s="699"/>
      <c r="I108" s="764">
        <f>(+'Sch - PL'!E89+'Sch - PL'!E87+'Sch - PL'!E90)*0</f>
        <v>0</v>
      </c>
      <c r="J108" s="764">
        <f>(+'Sch - PL'!G89+'Sch - PL'!G87+'Sch - PL'!G90)*0</f>
        <v>0</v>
      </c>
      <c r="K108" s="882"/>
      <c r="L108" s="882"/>
    </row>
    <row r="109" spans="1:12" s="700" customFormat="1" ht="5.0999999999999996" customHeight="1">
      <c r="A109" s="683"/>
      <c r="B109" s="699"/>
      <c r="C109" s="701"/>
      <c r="D109" s="701"/>
      <c r="E109" s="701"/>
      <c r="F109" s="701"/>
      <c r="G109" s="699"/>
      <c r="H109" s="699"/>
      <c r="I109" s="763"/>
      <c r="J109" s="764"/>
      <c r="K109" s="882"/>
      <c r="L109" s="882"/>
    </row>
    <row r="110" spans="1:12" s="700" customFormat="1">
      <c r="A110" s="683"/>
      <c r="B110" s="820" t="s">
        <v>173</v>
      </c>
      <c r="C110" s="1035"/>
      <c r="D110" s="1035"/>
      <c r="E110" s="1035"/>
      <c r="F110" s="1035"/>
      <c r="G110" s="1035"/>
      <c r="H110" s="820"/>
      <c r="I110" s="971">
        <f>SUM(I81:I109)</f>
        <v>7725245</v>
      </c>
      <c r="J110" s="971">
        <f>SUM(J81:J109)</f>
        <v>5830453</v>
      </c>
      <c r="K110" s="882"/>
      <c r="L110" s="882"/>
    </row>
    <row r="111" spans="1:12" s="700" customFormat="1">
      <c r="A111" s="683"/>
      <c r="B111" s="1166" t="s">
        <v>2752</v>
      </c>
      <c r="C111" s="699"/>
      <c r="D111" s="699"/>
      <c r="E111" s="699"/>
      <c r="F111" s="699"/>
      <c r="G111" s="699"/>
      <c r="H111" s="699"/>
      <c r="I111" s="764"/>
      <c r="J111" s="764"/>
      <c r="K111" s="882"/>
      <c r="L111" s="882"/>
    </row>
    <row r="112" spans="1:12" s="700" customFormat="1" ht="5.0999999999999996" customHeight="1">
      <c r="A112" s="683"/>
      <c r="B112" s="710"/>
      <c r="C112" s="699"/>
      <c r="D112" s="699"/>
      <c r="E112" s="699"/>
      <c r="F112" s="699"/>
      <c r="G112" s="699"/>
      <c r="H112" s="699"/>
      <c r="I112" s="710" t="str">
        <f>IF(I110-PL!F20=0,"","False")</f>
        <v>False</v>
      </c>
      <c r="J112" s="710" t="str">
        <f>IF(J110-PL!H20=0,"","False")</f>
        <v>False</v>
      </c>
      <c r="K112" s="710" t="str">
        <f>IF(J110-PL!H20=0,"","False")</f>
        <v>False</v>
      </c>
      <c r="L112" s="882"/>
    </row>
    <row r="113" spans="1:15" s="700" customFormat="1" ht="30" hidden="1" customHeight="1">
      <c r="A113" s="683"/>
      <c r="B113" s="1740" t="s">
        <v>318</v>
      </c>
      <c r="C113" s="1740"/>
      <c r="D113" s="1740"/>
      <c r="E113" s="1740"/>
      <c r="F113" s="1740"/>
      <c r="G113" s="1740"/>
      <c r="H113" s="1740"/>
      <c r="I113" s="1740"/>
      <c r="J113" s="1740"/>
      <c r="K113" s="699"/>
      <c r="L113" s="882"/>
    </row>
    <row r="114" spans="1:15" s="700" customFormat="1" hidden="1">
      <c r="A114" s="689"/>
      <c r="B114" s="683"/>
      <c r="C114" s="683"/>
      <c r="D114" s="683"/>
      <c r="E114" s="683"/>
      <c r="F114" s="683"/>
      <c r="G114" s="683"/>
      <c r="H114" s="683"/>
      <c r="I114" s="683"/>
      <c r="J114" s="683"/>
      <c r="K114" s="699"/>
      <c r="L114" s="882"/>
    </row>
    <row r="115" spans="1:15" s="700" customFormat="1" hidden="1">
      <c r="A115" s="754"/>
      <c r="B115" s="683"/>
      <c r="C115" s="683"/>
      <c r="D115" s="683"/>
      <c r="E115" s="683"/>
      <c r="F115" s="683"/>
      <c r="G115" s="683"/>
      <c r="H115" s="683"/>
      <c r="I115" s="683"/>
      <c r="J115" s="683"/>
      <c r="K115" s="699"/>
      <c r="L115" s="882"/>
    </row>
    <row r="116" spans="1:15" s="700" customFormat="1" hidden="1">
      <c r="A116" s="683" t="str">
        <f>'10-17'!A3</f>
        <v>Summary of material accounting policies and other explanatory information</v>
      </c>
      <c r="B116" s="683"/>
      <c r="C116" s="683"/>
      <c r="D116" s="683"/>
      <c r="E116" s="683"/>
      <c r="F116" s="683"/>
      <c r="G116" s="683"/>
      <c r="H116" s="683"/>
      <c r="I116" s="683"/>
      <c r="J116" s="683"/>
      <c r="K116" s="699"/>
      <c r="L116" s="882"/>
    </row>
    <row r="117" spans="1:15" s="700" customFormat="1" hidden="1">
      <c r="A117" s="1066" t="str">
        <f>'10-17'!A4</f>
        <v>(Amounts are stated in ₹ Lakhs unless otherwise stated)</v>
      </c>
      <c r="B117" s="683"/>
      <c r="C117" s="683"/>
      <c r="D117" s="683"/>
      <c r="E117" s="683"/>
      <c r="F117" s="683"/>
      <c r="G117" s="683"/>
      <c r="H117" s="683"/>
      <c r="I117" s="683"/>
      <c r="J117" s="683"/>
      <c r="K117" s="699"/>
      <c r="L117" s="882"/>
    </row>
    <row r="118" spans="1:15" s="700" customFormat="1" hidden="1">
      <c r="A118" s="683"/>
      <c r="B118" s="683"/>
      <c r="C118" s="683"/>
      <c r="D118" s="683"/>
      <c r="E118" s="683"/>
      <c r="F118" s="683"/>
      <c r="G118" s="683"/>
      <c r="H118" s="683"/>
      <c r="I118" s="683"/>
      <c r="J118" s="683"/>
      <c r="K118" s="699"/>
      <c r="L118" s="882"/>
    </row>
    <row r="119" spans="1:15" s="700" customFormat="1">
      <c r="A119" s="683"/>
      <c r="B119" s="683"/>
      <c r="C119" s="683"/>
      <c r="D119" s="683"/>
      <c r="E119" s="683"/>
      <c r="F119" s="683"/>
      <c r="G119" s="683"/>
      <c r="H119" s="683"/>
      <c r="I119" s="683"/>
      <c r="J119" s="683"/>
      <c r="K119" s="699"/>
      <c r="L119" s="882"/>
    </row>
    <row r="120" spans="1:15">
      <c r="A120" s="683">
        <f>A78+1</f>
        <v>23</v>
      </c>
      <c r="B120" s="681" t="s">
        <v>2636</v>
      </c>
      <c r="C120" s="681"/>
      <c r="O120" s="699"/>
    </row>
    <row r="121" spans="1:15">
      <c r="I121" s="684" t="s">
        <v>1872</v>
      </c>
      <c r="J121" s="684" t="s">
        <v>1872</v>
      </c>
      <c r="O121" s="699"/>
    </row>
    <row r="122" spans="1:15">
      <c r="B122" s="711"/>
      <c r="C122" s="711"/>
      <c r="D122" s="711"/>
      <c r="E122" s="711"/>
      <c r="F122" s="711"/>
      <c r="G122" s="711"/>
      <c r="H122" s="711"/>
      <c r="I122" s="758">
        <f>BS!$G$7</f>
        <v>45747</v>
      </c>
      <c r="J122" s="758">
        <f>BS!$I$7</f>
        <v>45382</v>
      </c>
      <c r="O122" s="699"/>
    </row>
    <row r="123" spans="1:15" ht="5.0999999999999996" customHeight="1">
      <c r="I123" s="681"/>
      <c r="O123" s="699"/>
    </row>
    <row r="124" spans="1:15">
      <c r="B124" s="701" t="s">
        <v>322</v>
      </c>
      <c r="D124" s="701"/>
      <c r="E124" s="701"/>
      <c r="F124" s="701"/>
      <c r="I124" s="1499">
        <f>ROUND((300000)/Master!$B$23,0)</f>
        <v>300000</v>
      </c>
      <c r="J124" s="764">
        <f>ROUND((250000)/Master!$B$23,0)</f>
        <v>250000</v>
      </c>
      <c r="O124" s="699"/>
    </row>
    <row r="125" spans="1:15" hidden="1">
      <c r="B125" s="701" t="s">
        <v>323</v>
      </c>
      <c r="D125" s="701"/>
      <c r="E125" s="701"/>
      <c r="F125" s="701"/>
      <c r="I125" s="1499">
        <f>ROUND((0)/Master!$B$23,0)</f>
        <v>0</v>
      </c>
      <c r="J125" s="839">
        <f>ROUND((0)/Master!$B$23,0)</f>
        <v>0</v>
      </c>
      <c r="O125" s="699"/>
    </row>
    <row r="126" spans="1:15" hidden="1">
      <c r="B126" s="701" t="s">
        <v>324</v>
      </c>
      <c r="D126" s="701"/>
      <c r="E126" s="701"/>
      <c r="F126" s="701"/>
      <c r="I126" s="1499">
        <f>ROUND(0/Master!$B$23,0)</f>
        <v>0</v>
      </c>
      <c r="J126" s="839">
        <f>ROUND(0/Master!$B$23,0)</f>
        <v>0</v>
      </c>
      <c r="O126" s="699"/>
    </row>
    <row r="127" spans="1:15">
      <c r="B127" s="1139" t="s">
        <v>2030</v>
      </c>
      <c r="D127" s="701"/>
      <c r="E127" s="701"/>
      <c r="F127" s="701"/>
      <c r="I127" s="1144">
        <f>+I124*6%</f>
        <v>18000</v>
      </c>
      <c r="J127" s="1150">
        <f>+J124*6%</f>
        <v>15000</v>
      </c>
      <c r="O127" s="699"/>
    </row>
    <row r="128" spans="1:15" ht="3" customHeight="1">
      <c r="I128" s="849"/>
      <c r="O128" s="699"/>
    </row>
    <row r="129" spans="1:15" s="700" customFormat="1">
      <c r="A129" s="683"/>
      <c r="B129" s="820" t="s">
        <v>173</v>
      </c>
      <c r="C129" s="1076"/>
      <c r="D129" s="1076"/>
      <c r="E129" s="1076"/>
      <c r="F129" s="1076"/>
      <c r="G129" s="1035"/>
      <c r="H129" s="1035"/>
      <c r="I129" s="971">
        <f>SUM(I124:I128)</f>
        <v>318000</v>
      </c>
      <c r="J129" s="971">
        <f>SUM(J124:J128)</f>
        <v>265000</v>
      </c>
      <c r="K129" s="882"/>
      <c r="L129" s="882"/>
    </row>
    <row r="130" spans="1:15" s="700" customFormat="1">
      <c r="A130" s="683"/>
      <c r="B130" s="1166" t="s">
        <v>2752</v>
      </c>
      <c r="C130" s="701"/>
      <c r="D130" s="701"/>
      <c r="E130" s="701"/>
      <c r="F130" s="701"/>
      <c r="G130" s="699"/>
      <c r="H130" s="699"/>
      <c r="I130" s="763"/>
      <c r="J130" s="763"/>
      <c r="K130" s="882"/>
      <c r="L130" s="882"/>
    </row>
    <row r="131" spans="1:15" s="700" customFormat="1" ht="5.0999999999999996" customHeight="1">
      <c r="A131" s="683"/>
      <c r="B131" s="699"/>
      <c r="C131" s="699"/>
      <c r="D131" s="699"/>
      <c r="E131" s="699"/>
      <c r="F131" s="699"/>
      <c r="G131" s="699"/>
      <c r="H131" s="699"/>
      <c r="I131" s="764"/>
      <c r="J131" s="764"/>
      <c r="K131" s="882"/>
      <c r="L131" s="882"/>
    </row>
    <row r="132" spans="1:15" s="700" customFormat="1" hidden="1">
      <c r="A132" s="683"/>
      <c r="B132" s="699"/>
      <c r="C132" s="699"/>
      <c r="D132" s="699"/>
      <c r="E132" s="699"/>
      <c r="F132" s="699"/>
      <c r="G132" s="699"/>
      <c r="H132" s="699"/>
      <c r="I132" s="764"/>
      <c r="J132" s="764"/>
      <c r="K132" s="882"/>
      <c r="L132" s="882"/>
    </row>
    <row r="133" spans="1:15" hidden="1">
      <c r="A133" s="1271">
        <f>+A120+1</f>
        <v>24</v>
      </c>
      <c r="B133" s="1283" t="s">
        <v>1961</v>
      </c>
      <c r="C133" s="1284"/>
      <c r="D133" s="1284"/>
      <c r="E133" s="1284"/>
      <c r="F133" s="1284"/>
      <c r="G133" s="1284"/>
      <c r="H133" s="1284"/>
      <c r="I133" s="1285"/>
      <c r="J133" s="1285"/>
      <c r="K133" s="882"/>
      <c r="L133" s="699"/>
      <c r="O133" s="699"/>
    </row>
    <row r="134" spans="1:15" ht="5.0999999999999996" hidden="1" customHeight="1">
      <c r="A134" s="1271"/>
      <c r="B134" s="1286"/>
      <c r="C134" s="1284"/>
      <c r="D134" s="1284"/>
      <c r="E134" s="1284"/>
      <c r="F134" s="1284"/>
      <c r="G134" s="1284"/>
      <c r="H134" s="1284"/>
      <c r="I134" s="1285"/>
      <c r="J134" s="1285"/>
      <c r="K134" s="882"/>
      <c r="L134" s="699"/>
      <c r="O134" s="699"/>
    </row>
    <row r="135" spans="1:15" ht="54" hidden="1" customHeight="1">
      <c r="A135" s="1271"/>
      <c r="B135" s="1741" t="s">
        <v>2242</v>
      </c>
      <c r="C135" s="1742"/>
      <c r="D135" s="1742"/>
      <c r="E135" s="1742"/>
      <c r="F135" s="1742"/>
      <c r="G135" s="1742"/>
      <c r="H135" s="1742"/>
      <c r="I135" s="1742"/>
      <c r="J135" s="1742"/>
      <c r="K135" s="882"/>
      <c r="L135" s="699"/>
      <c r="O135" s="699"/>
    </row>
    <row r="136" spans="1:15" ht="11.25" hidden="1" customHeight="1">
      <c r="A136" s="1271"/>
      <c r="B136" s="1286"/>
      <c r="C136" s="1284"/>
      <c r="D136" s="1284"/>
      <c r="E136" s="1284"/>
      <c r="F136" s="1284"/>
      <c r="G136" s="1284"/>
      <c r="H136" s="1284"/>
      <c r="I136" s="1287" t="s">
        <v>1872</v>
      </c>
      <c r="J136" s="1287" t="s">
        <v>1872</v>
      </c>
      <c r="K136" s="882"/>
      <c r="L136" s="699"/>
      <c r="O136" s="699"/>
    </row>
    <row r="137" spans="1:15" ht="16.5" hidden="1" customHeight="1">
      <c r="A137" s="1271"/>
      <c r="B137" s="1288"/>
      <c r="C137" s="1289"/>
      <c r="D137" s="1289"/>
      <c r="E137" s="1289"/>
      <c r="F137" s="1289"/>
      <c r="G137" s="1289"/>
      <c r="H137" s="1289"/>
      <c r="I137" s="1290">
        <f>BS!$G$7</f>
        <v>45747</v>
      </c>
      <c r="J137" s="1290">
        <f>BS!$I$7</f>
        <v>45382</v>
      </c>
      <c r="K137" s="882"/>
      <c r="L137" s="699"/>
      <c r="O137" s="699"/>
    </row>
    <row r="138" spans="1:15" ht="5.0999999999999996" hidden="1" customHeight="1">
      <c r="A138" s="1271"/>
      <c r="B138" s="1286"/>
      <c r="C138" s="1284"/>
      <c r="D138" s="1284"/>
      <c r="E138" s="1284"/>
      <c r="F138" s="1284"/>
      <c r="G138" s="1284"/>
      <c r="H138" s="1284"/>
      <c r="I138" s="1291"/>
      <c r="J138" s="1292"/>
      <c r="K138" s="882"/>
      <c r="L138" s="699"/>
      <c r="O138" s="699"/>
    </row>
    <row r="139" spans="1:15" hidden="1">
      <c r="A139" s="1271"/>
      <c r="B139" s="1293" t="s">
        <v>2148</v>
      </c>
      <c r="C139" s="1284"/>
      <c r="D139" s="1284"/>
      <c r="E139" s="1284"/>
      <c r="F139" s="1284"/>
      <c r="G139" s="1284"/>
      <c r="H139" s="1284"/>
      <c r="I139" s="1294">
        <f>ROUND((7039159)/Master!B23,0)</f>
        <v>7039159</v>
      </c>
      <c r="J139" s="1295">
        <f>ROUND((7039159)/Master!B23,0)</f>
        <v>7039159</v>
      </c>
      <c r="K139" s="882"/>
      <c r="L139" s="699"/>
      <c r="O139" s="699"/>
    </row>
    <row r="140" spans="1:15" hidden="1">
      <c r="A140" s="1271"/>
      <c r="B140" s="1293" t="s">
        <v>2149</v>
      </c>
      <c r="C140" s="1284"/>
      <c r="D140" s="1284"/>
      <c r="E140" s="1284"/>
      <c r="F140" s="1284"/>
      <c r="G140" s="1284"/>
      <c r="H140" s="1284"/>
      <c r="I140" s="1296">
        <f>ROUND((5713292*2%*0)/Master!B23,0)</f>
        <v>0</v>
      </c>
      <c r="J140" s="1295">
        <f>ROUND((0)/Master!B23,0)</f>
        <v>0</v>
      </c>
      <c r="K140" s="882"/>
      <c r="L140" s="699"/>
      <c r="O140" s="699"/>
    </row>
    <row r="141" spans="1:15" hidden="1">
      <c r="A141" s="1271"/>
      <c r="B141" s="1293" t="s">
        <v>2150</v>
      </c>
      <c r="C141" s="1284"/>
      <c r="D141" s="1284"/>
      <c r="E141" s="1284"/>
      <c r="F141" s="1284"/>
      <c r="G141" s="1284"/>
      <c r="H141" s="1284"/>
      <c r="I141" s="1294">
        <f>I86</f>
        <v>0</v>
      </c>
      <c r="J141" s="1295">
        <f>J86</f>
        <v>0</v>
      </c>
      <c r="K141" s="882"/>
      <c r="L141" s="699"/>
      <c r="O141" s="699"/>
    </row>
    <row r="142" spans="1:15" ht="5.0999999999999996" hidden="1" customHeight="1">
      <c r="A142" s="1271"/>
      <c r="B142" s="1289"/>
      <c r="C142" s="1297"/>
      <c r="D142" s="1297"/>
      <c r="E142" s="1297"/>
      <c r="F142" s="1289"/>
      <c r="G142" s="1289"/>
      <c r="H142" s="1289"/>
      <c r="I142" s="1298"/>
      <c r="J142" s="1299"/>
      <c r="K142" s="882"/>
      <c r="L142" s="699"/>
      <c r="O142" s="699"/>
    </row>
    <row r="143" spans="1:15" ht="12" customHeight="1">
      <c r="C143" s="701"/>
      <c r="D143" s="701"/>
      <c r="E143" s="701"/>
      <c r="I143" s="738"/>
      <c r="J143" s="740"/>
      <c r="K143" s="882"/>
      <c r="L143" s="699"/>
      <c r="O143" s="699"/>
    </row>
    <row r="144" spans="1:15" ht="15" hidden="1" customHeight="1">
      <c r="B144" s="681" t="s">
        <v>325</v>
      </c>
      <c r="C144" s="701"/>
      <c r="D144" s="701"/>
      <c r="E144" s="701"/>
      <c r="I144" s="738"/>
      <c r="J144" s="740"/>
      <c r="K144" s="882"/>
      <c r="L144" s="699"/>
      <c r="O144" s="699"/>
    </row>
    <row r="145" spans="1:15" ht="11.25" hidden="1" customHeight="1">
      <c r="C145" s="701"/>
      <c r="D145" s="701"/>
      <c r="E145" s="1744" t="s">
        <v>1872</v>
      </c>
      <c r="F145" s="1744"/>
      <c r="G145" s="1744"/>
      <c r="H145" s="1744" t="s">
        <v>1872</v>
      </c>
      <c r="I145" s="1744"/>
      <c r="J145" s="1744"/>
      <c r="K145" s="882"/>
      <c r="L145" s="699"/>
      <c r="O145" s="699"/>
    </row>
    <row r="146" spans="1:15" ht="15.75" hidden="1" customHeight="1">
      <c r="B146" s="711"/>
      <c r="C146" s="1062"/>
      <c r="D146" s="1062"/>
      <c r="E146" s="1743">
        <f>BS!$G$7</f>
        <v>45747</v>
      </c>
      <c r="F146" s="1743"/>
      <c r="G146" s="1743"/>
      <c r="H146" s="1743">
        <f>BS!$I$7</f>
        <v>45382</v>
      </c>
      <c r="I146" s="1743"/>
      <c r="J146" s="1743"/>
      <c r="K146" s="882"/>
      <c r="L146" s="699"/>
      <c r="O146" s="699"/>
    </row>
    <row r="147" spans="1:15" ht="26.4" hidden="1">
      <c r="B147" s="923"/>
      <c r="C147" s="711"/>
      <c r="D147" s="711"/>
      <c r="E147" s="821" t="s">
        <v>326</v>
      </c>
      <c r="F147" s="1055" t="s">
        <v>327</v>
      </c>
      <c r="G147" s="821" t="s">
        <v>173</v>
      </c>
      <c r="H147" s="821" t="s">
        <v>326</v>
      </c>
      <c r="I147" s="1055" t="s">
        <v>327</v>
      </c>
      <c r="J147" s="821" t="s">
        <v>173</v>
      </c>
      <c r="K147" s="882"/>
      <c r="L147" s="699"/>
      <c r="O147" s="699"/>
    </row>
    <row r="148" spans="1:15" ht="5.0999999999999996" hidden="1" customHeight="1">
      <c r="B148" s="683"/>
      <c r="E148" s="684"/>
      <c r="F148" s="905"/>
      <c r="G148" s="684"/>
      <c r="H148" s="684"/>
      <c r="I148" s="905"/>
      <c r="J148" s="684"/>
      <c r="K148" s="882"/>
      <c r="L148" s="699"/>
      <c r="O148" s="699"/>
    </row>
    <row r="149" spans="1:15" ht="15" hidden="1" customHeight="1">
      <c r="B149" s="1067" t="s">
        <v>328</v>
      </c>
      <c r="E149" s="906">
        <f>ROUND((0)/100000,0)</f>
        <v>0</v>
      </c>
      <c r="F149" s="907">
        <v>0</v>
      </c>
      <c r="G149" s="907">
        <f>SUM(E149:F149)</f>
        <v>0</v>
      </c>
      <c r="H149" s="908">
        <v>0</v>
      </c>
      <c r="I149" s="909">
        <v>0</v>
      </c>
      <c r="J149" s="909">
        <f>SUM(H149:I149)</f>
        <v>0</v>
      </c>
      <c r="K149" s="882"/>
      <c r="L149" s="699"/>
      <c r="O149" s="699"/>
    </row>
    <row r="150" spans="1:15" ht="15" hidden="1" customHeight="1">
      <c r="B150" s="1067" t="s">
        <v>329</v>
      </c>
      <c r="E150" s="953">
        <f>ROUND((591391)/Master!$B$23,0)</f>
        <v>591391</v>
      </c>
      <c r="F150" s="909">
        <f>ROUND((0)/100000,0)</f>
        <v>0</v>
      </c>
      <c r="G150" s="909">
        <f>SUM(E150:F150)</f>
        <v>591391</v>
      </c>
      <c r="H150" s="910">
        <f>ROUND((2856000)/Master!$B$23,0)</f>
        <v>2856000</v>
      </c>
      <c r="I150" s="910">
        <v>0</v>
      </c>
      <c r="J150" s="909">
        <f>SUM(H150:I150)</f>
        <v>2856000</v>
      </c>
      <c r="K150" s="882"/>
      <c r="L150" s="699"/>
      <c r="O150" s="699"/>
    </row>
    <row r="151" spans="1:15" ht="15" hidden="1" customHeight="1">
      <c r="B151" s="1029" t="s">
        <v>173</v>
      </c>
      <c r="C151" s="1035"/>
      <c r="D151" s="1035"/>
      <c r="E151" s="808">
        <f t="shared" ref="E151:J151" si="0">SUM(E149:E150)</f>
        <v>591391</v>
      </c>
      <c r="F151" s="808">
        <f t="shared" si="0"/>
        <v>0</v>
      </c>
      <c r="G151" s="1077">
        <f t="shared" si="0"/>
        <v>591391</v>
      </c>
      <c r="H151" s="808">
        <f t="shared" si="0"/>
        <v>2856000</v>
      </c>
      <c r="I151" s="808">
        <f t="shared" si="0"/>
        <v>0</v>
      </c>
      <c r="J151" s="1077">
        <f t="shared" si="0"/>
        <v>2856000</v>
      </c>
      <c r="K151" s="882"/>
      <c r="L151" s="699"/>
      <c r="O151" s="699"/>
    </row>
    <row r="152" spans="1:15" ht="5.0999999999999996" hidden="1" customHeight="1">
      <c r="B152" s="912"/>
      <c r="E152" s="811"/>
      <c r="F152" s="811"/>
      <c r="G152" s="907"/>
      <c r="H152" s="907"/>
      <c r="I152" s="907"/>
      <c r="J152" s="907"/>
      <c r="K152" s="882"/>
      <c r="L152" s="699"/>
      <c r="O152" s="699"/>
    </row>
    <row r="153" spans="1:15" ht="12" hidden="1" customHeight="1">
      <c r="B153" s="912"/>
      <c r="E153" s="811"/>
      <c r="F153" s="811"/>
      <c r="G153" s="907"/>
      <c r="H153" s="907"/>
      <c r="I153" s="907"/>
      <c r="J153" s="907"/>
      <c r="K153" s="882"/>
      <c r="L153" s="699"/>
      <c r="O153" s="699"/>
    </row>
    <row r="154" spans="1:15" ht="12" hidden="1" customHeight="1">
      <c r="A154" s="689"/>
      <c r="B154" s="912"/>
      <c r="E154" s="811"/>
      <c r="F154" s="811"/>
      <c r="G154" s="907"/>
      <c r="H154" s="907"/>
      <c r="I154" s="907"/>
      <c r="J154" s="907"/>
      <c r="K154" s="882"/>
      <c r="L154" s="699"/>
      <c r="O154" s="699"/>
    </row>
    <row r="155" spans="1:15" ht="12" hidden="1" customHeight="1">
      <c r="A155" s="754"/>
      <c r="B155" s="912"/>
      <c r="E155" s="811"/>
      <c r="F155" s="811"/>
      <c r="G155" s="907"/>
      <c r="H155" s="907"/>
      <c r="I155" s="907"/>
      <c r="J155" s="907"/>
      <c r="K155" s="882"/>
      <c r="L155" s="699"/>
      <c r="O155" s="699"/>
    </row>
    <row r="156" spans="1:15" ht="12" hidden="1" customHeight="1">
      <c r="A156" s="683" t="str">
        <f>'10-17'!A3</f>
        <v>Summary of material accounting policies and other explanatory information</v>
      </c>
      <c r="B156" s="912"/>
      <c r="E156" s="811"/>
      <c r="F156" s="811"/>
      <c r="G156" s="907"/>
      <c r="H156" s="907"/>
      <c r="I156" s="907"/>
      <c r="J156" s="907"/>
      <c r="K156" s="882"/>
      <c r="L156" s="699"/>
      <c r="O156" s="699"/>
    </row>
    <row r="157" spans="1:15" ht="12" hidden="1" customHeight="1">
      <c r="A157" s="1066" t="str">
        <f>'10-17'!A4</f>
        <v>(Amounts are stated in ₹ Lakhs unless otherwise stated)</v>
      </c>
      <c r="B157" s="912"/>
      <c r="E157" s="811"/>
      <c r="F157" s="811"/>
      <c r="G157" s="907"/>
      <c r="H157" s="907"/>
      <c r="I157" s="907"/>
      <c r="J157" s="907"/>
      <c r="K157" s="882"/>
      <c r="L157" s="699"/>
      <c r="O157" s="699"/>
    </row>
    <row r="158" spans="1:15" ht="12" hidden="1" customHeight="1">
      <c r="A158" s="1066"/>
      <c r="B158" s="912"/>
      <c r="E158" s="811"/>
      <c r="F158" s="811"/>
      <c r="G158" s="907"/>
      <c r="H158" s="907"/>
      <c r="I158" s="907"/>
      <c r="J158" s="907"/>
      <c r="K158" s="882"/>
      <c r="L158" s="699"/>
      <c r="O158" s="699"/>
    </row>
    <row r="159" spans="1:15" ht="12" hidden="1" customHeight="1">
      <c r="A159" s="1066"/>
      <c r="B159" s="912"/>
      <c r="E159" s="811"/>
      <c r="F159" s="811"/>
      <c r="G159" s="907"/>
      <c r="H159" s="907"/>
      <c r="I159" s="907"/>
      <c r="J159" s="907"/>
      <c r="K159" s="882"/>
      <c r="L159" s="699"/>
      <c r="O159" s="699"/>
    </row>
    <row r="160" spans="1:15" ht="12" hidden="1" customHeight="1">
      <c r="B160" s="912"/>
      <c r="E160" s="811"/>
      <c r="F160" s="811"/>
      <c r="G160" s="907"/>
      <c r="H160" s="907"/>
      <c r="I160" s="907"/>
      <c r="J160" s="907"/>
      <c r="K160" s="882"/>
      <c r="L160" s="699"/>
      <c r="O160" s="699"/>
    </row>
    <row r="161" spans="1:15" ht="12" customHeight="1">
      <c r="B161" s="912"/>
      <c r="E161" s="811"/>
      <c r="F161" s="811"/>
      <c r="G161" s="907"/>
      <c r="H161" s="907"/>
      <c r="I161" s="907"/>
      <c r="J161" s="907"/>
      <c r="K161" s="882"/>
      <c r="L161" s="699"/>
      <c r="O161" s="699"/>
    </row>
    <row r="162" spans="1:15" s="700" customFormat="1">
      <c r="A162" s="683">
        <f>+A120+1</f>
        <v>24</v>
      </c>
      <c r="B162" s="683" t="s">
        <v>330</v>
      </c>
      <c r="C162" s="699"/>
      <c r="D162" s="699"/>
      <c r="E162" s="699"/>
      <c r="F162" s="699"/>
      <c r="G162" s="699"/>
      <c r="H162" s="699"/>
      <c r="I162" s="699"/>
      <c r="J162" s="710"/>
      <c r="K162" s="710"/>
      <c r="L162" s="882"/>
    </row>
    <row r="163" spans="1:15" s="700" customFormat="1">
      <c r="A163" s="683"/>
      <c r="B163" s="710"/>
      <c r="C163" s="704"/>
      <c r="D163" s="703"/>
      <c r="E163" s="703"/>
      <c r="F163" s="703"/>
      <c r="G163" s="703"/>
      <c r="H163" s="703"/>
      <c r="I163" s="703"/>
      <c r="J163" s="703"/>
      <c r="K163" s="703"/>
      <c r="L163" s="882"/>
    </row>
    <row r="164" spans="1:15" s="700" customFormat="1">
      <c r="A164" s="683"/>
      <c r="B164" s="683" t="s">
        <v>2620</v>
      </c>
      <c r="C164" s="683"/>
      <c r="D164" s="683"/>
      <c r="E164" s="683"/>
      <c r="F164" s="683"/>
      <c r="G164" s="683"/>
      <c r="H164" s="683"/>
      <c r="I164" s="683" t="s">
        <v>1872</v>
      </c>
      <c r="J164" s="683" t="s">
        <v>1872</v>
      </c>
      <c r="K164" s="703"/>
      <c r="L164" s="882"/>
    </row>
    <row r="165" spans="1:15" s="700" customFormat="1">
      <c r="A165" s="683"/>
      <c r="B165" s="923"/>
      <c r="C165" s="923"/>
      <c r="D165" s="923"/>
      <c r="E165" s="923"/>
      <c r="F165" s="923"/>
      <c r="G165" s="923"/>
      <c r="H165" s="923"/>
      <c r="I165" s="1264">
        <f>BS!$G$7</f>
        <v>45747</v>
      </c>
      <c r="J165" s="1264">
        <f>BS!$I$7</f>
        <v>45382</v>
      </c>
      <c r="K165" s="703"/>
      <c r="L165" s="882"/>
    </row>
    <row r="166" spans="1:15" s="700" customFormat="1" ht="3.75" customHeight="1">
      <c r="A166" s="683"/>
      <c r="B166" s="683"/>
      <c r="C166" s="683"/>
      <c r="D166" s="683"/>
      <c r="E166" s="683"/>
      <c r="F166" s="683"/>
      <c r="G166" s="683"/>
      <c r="H166" s="683"/>
      <c r="I166" s="1414"/>
      <c r="J166" s="1414"/>
      <c r="K166" s="703"/>
      <c r="L166" s="882"/>
    </row>
    <row r="167" spans="1:15" s="700" customFormat="1">
      <c r="A167" s="683"/>
      <c r="B167" s="1160" t="s">
        <v>332</v>
      </c>
      <c r="C167" s="683"/>
      <c r="D167" s="683"/>
      <c r="E167" s="683"/>
      <c r="F167" s="683"/>
      <c r="G167" s="683"/>
      <c r="H167" s="683"/>
      <c r="I167" s="1683">
        <f>(I174+I175)*0</f>
        <v>0</v>
      </c>
      <c r="J167" s="1250">
        <f>J174+J175</f>
        <v>150310803</v>
      </c>
      <c r="K167" s="703"/>
      <c r="L167" s="882"/>
    </row>
    <row r="168" spans="1:15" s="700" customFormat="1">
      <c r="A168" s="683"/>
      <c r="B168" s="1160" t="s">
        <v>2079</v>
      </c>
      <c r="C168" s="683"/>
      <c r="D168" s="683"/>
      <c r="E168" s="683"/>
      <c r="F168" s="683"/>
      <c r="G168" s="683"/>
      <c r="H168" s="683"/>
      <c r="I168" s="1683">
        <f>(1352*10^5)*0</f>
        <v>0</v>
      </c>
      <c r="J168" s="1250">
        <f>ROUND((135200000)/Master!$B$23,0)</f>
        <v>135200000</v>
      </c>
      <c r="K168" s="703"/>
      <c r="L168" s="882"/>
    </row>
    <row r="169" spans="1:15" s="700" customFormat="1">
      <c r="A169" s="683"/>
      <c r="B169" s="683"/>
      <c r="C169" s="683"/>
      <c r="D169" s="683"/>
      <c r="E169" s="683"/>
      <c r="F169" s="683"/>
      <c r="G169" s="683"/>
      <c r="H169" s="683"/>
      <c r="I169" s="1414"/>
      <c r="J169" s="1414"/>
      <c r="K169" s="703"/>
      <c r="L169" s="882"/>
    </row>
    <row r="170" spans="1:15" s="700" customFormat="1">
      <c r="A170" s="683"/>
      <c r="B170" s="683" t="s">
        <v>332</v>
      </c>
      <c r="C170" s="701"/>
      <c r="D170" s="701"/>
      <c r="E170" s="701"/>
      <c r="F170" s="701"/>
      <c r="G170" s="701"/>
      <c r="H170" s="701"/>
      <c r="I170" s="1415"/>
      <c r="J170" s="1415"/>
      <c r="K170" s="703"/>
      <c r="L170" s="882"/>
    </row>
    <row r="171" spans="1:15" s="700" customFormat="1" ht="9.75" customHeight="1">
      <c r="A171" s="683"/>
      <c r="B171" s="683"/>
      <c r="C171" s="701"/>
      <c r="D171" s="701"/>
      <c r="E171" s="701"/>
      <c r="F171" s="701"/>
      <c r="G171" s="701"/>
      <c r="H171" s="701"/>
      <c r="I171" s="1415"/>
      <c r="J171" s="1415"/>
      <c r="K171" s="703"/>
      <c r="L171" s="882"/>
    </row>
    <row r="172" spans="1:15" s="700" customFormat="1" ht="57" customHeight="1">
      <c r="A172" s="683"/>
      <c r="B172" s="974" t="s">
        <v>2044</v>
      </c>
      <c r="C172" s="974" t="s">
        <v>2045</v>
      </c>
      <c r="D172" s="974" t="s">
        <v>2051</v>
      </c>
      <c r="E172" s="974" t="s">
        <v>2046</v>
      </c>
      <c r="F172" s="1416" t="s">
        <v>2047</v>
      </c>
      <c r="G172" s="974" t="s">
        <v>2048</v>
      </c>
      <c r="H172" s="974" t="s">
        <v>2050</v>
      </c>
      <c r="I172" s="1684" t="s">
        <v>3071</v>
      </c>
      <c r="J172" s="1417" t="s">
        <v>2832</v>
      </c>
      <c r="K172" s="703"/>
      <c r="L172" s="882"/>
    </row>
    <row r="173" spans="1:15" s="700" customFormat="1" ht="6" customHeight="1">
      <c r="A173" s="683"/>
      <c r="B173" s="1418"/>
      <c r="C173" s="1418"/>
      <c r="D173" s="1418"/>
      <c r="E173" s="1418"/>
      <c r="F173" s="1419"/>
      <c r="G173" s="1418"/>
      <c r="H173" s="1418"/>
      <c r="I173" s="1685"/>
      <c r="J173" s="1420"/>
      <c r="K173" s="703"/>
      <c r="L173" s="882"/>
    </row>
    <row r="174" spans="1:15" s="700" customFormat="1" ht="39.75" customHeight="1">
      <c r="A174" s="683"/>
      <c r="B174" s="1413" t="s">
        <v>387</v>
      </c>
      <c r="C174" s="1421">
        <f>ROUND((10910605+54727070)/Master!$B$23,0)</f>
        <v>65637675</v>
      </c>
      <c r="D174" s="1421">
        <f>ROUND((157302000+907277)/Master!$B$23,0)</f>
        <v>158209277</v>
      </c>
      <c r="E174" s="1422">
        <f>+C174+D174</f>
        <v>223846952</v>
      </c>
      <c r="F174" s="1423">
        <v>0.32445000000000002</v>
      </c>
      <c r="G174" s="1424">
        <f>+E174*F174</f>
        <v>72627143.576399997</v>
      </c>
      <c r="H174" s="1425">
        <f>ROUND((9208254+252723+11153954)/Master!$B$23,0)</f>
        <v>20614931</v>
      </c>
      <c r="I174" s="1686">
        <f>+G174+H174</f>
        <v>93242074.576399997</v>
      </c>
      <c r="J174" s="1425">
        <f>ROUND((93253267)/Master!$B$23,0)-1</f>
        <v>93253266</v>
      </c>
      <c r="K174" s="703"/>
      <c r="L174" s="882"/>
    </row>
    <row r="175" spans="1:15" s="700" customFormat="1">
      <c r="A175" s="683"/>
      <c r="B175" s="1413" t="s">
        <v>388</v>
      </c>
      <c r="C175" s="1421">
        <f>ROUND((24373531)/Master!$B$23,0)</f>
        <v>24373531</v>
      </c>
      <c r="D175" s="1421">
        <f>ROUND((115993839)/Master!$B$23,0)</f>
        <v>115993839</v>
      </c>
      <c r="E175" s="1422">
        <f>+C175+D175</f>
        <v>140367370</v>
      </c>
      <c r="F175" s="1423">
        <v>0.32445000000000002</v>
      </c>
      <c r="G175" s="1424">
        <f>+E175*F175</f>
        <v>45542193.196500003</v>
      </c>
      <c r="H175" s="1425">
        <f>ROUND((11515344)/Master!$B$23,0)</f>
        <v>11515344</v>
      </c>
      <c r="I175" s="1686">
        <f>+G175+H175</f>
        <v>57057537.196500003</v>
      </c>
      <c r="J175" s="1425">
        <f>ROUND((57057537)/Master!$B$23,0)</f>
        <v>57057537</v>
      </c>
      <c r="K175" s="703"/>
      <c r="L175" s="882"/>
    </row>
    <row r="176" spans="1:15" s="700" customFormat="1" hidden="1">
      <c r="A176" s="683"/>
      <c r="B176" s="1413" t="s">
        <v>2813</v>
      </c>
      <c r="C176" s="1421">
        <f>ROUND((47839180)/Master!$B$23,0)</f>
        <v>47839180</v>
      </c>
      <c r="D176" s="1421">
        <f>ROUND((96375+17095511)/Master!$B$23,0)</f>
        <v>17191886</v>
      </c>
      <c r="E176" s="1422">
        <f>+C176+D176</f>
        <v>65031066</v>
      </c>
      <c r="F176" s="1597">
        <v>0.33989999999999998</v>
      </c>
      <c r="G176" s="1424">
        <f>+E176*F176</f>
        <v>22104059.3334</v>
      </c>
      <c r="H176" s="1425">
        <f>ROUND((12712277)/Master!$B$23,0)</f>
        <v>12712277</v>
      </c>
      <c r="I176" s="740">
        <v>0</v>
      </c>
      <c r="J176" s="740">
        <v>0</v>
      </c>
      <c r="K176" s="703"/>
      <c r="L176" s="882"/>
    </row>
    <row r="177" spans="1:12" s="700" customFormat="1" ht="9" customHeight="1">
      <c r="A177" s="683"/>
      <c r="B177" s="1413"/>
      <c r="C177" s="1421"/>
      <c r="D177" s="1421"/>
      <c r="E177" s="1422"/>
      <c r="F177" s="1597"/>
      <c r="G177" s="1424"/>
      <c r="H177" s="1425"/>
      <c r="I177" s="740"/>
      <c r="J177" s="740"/>
      <c r="K177" s="703"/>
      <c r="L177" s="882"/>
    </row>
    <row r="178" spans="1:12" s="700" customFormat="1" hidden="1">
      <c r="A178" s="683"/>
      <c r="B178" s="1160" t="s">
        <v>2814</v>
      </c>
      <c r="C178" s="1421"/>
      <c r="D178" s="1421"/>
      <c r="E178" s="1422"/>
      <c r="F178" s="1597"/>
      <c r="G178" s="1424"/>
      <c r="H178" s="1425"/>
      <c r="I178" s="740"/>
      <c r="J178" s="740"/>
      <c r="K178" s="703"/>
      <c r="L178" s="882"/>
    </row>
    <row r="179" spans="1:12" s="700" customFormat="1" ht="10.95" customHeight="1">
      <c r="A179" s="683"/>
      <c r="B179" s="1160"/>
      <c r="C179" s="701"/>
      <c r="D179" s="701"/>
      <c r="E179" s="701"/>
      <c r="F179" s="701"/>
      <c r="G179" s="701"/>
      <c r="H179" s="701"/>
      <c r="I179" s="1415"/>
      <c r="J179" s="1415"/>
      <c r="K179" s="703"/>
      <c r="L179" s="882"/>
    </row>
    <row r="180" spans="1:12" s="700" customFormat="1">
      <c r="A180" s="683"/>
      <c r="B180" s="683" t="s">
        <v>333</v>
      </c>
      <c r="C180" s="701"/>
      <c r="D180" s="701"/>
      <c r="E180" s="701"/>
      <c r="F180" s="701"/>
      <c r="G180" s="701"/>
      <c r="H180" s="701"/>
      <c r="I180" s="1415"/>
      <c r="J180" s="1415"/>
      <c r="K180" s="703"/>
      <c r="L180" s="882"/>
    </row>
    <row r="181" spans="1:12" s="700" customFormat="1" ht="8.25" customHeight="1">
      <c r="A181" s="683"/>
      <c r="B181" s="683"/>
      <c r="C181" s="701"/>
      <c r="D181" s="701"/>
      <c r="E181" s="701"/>
      <c r="F181" s="701"/>
      <c r="G181" s="701"/>
      <c r="H181" s="701"/>
      <c r="I181" s="1415"/>
      <c r="J181" s="1415"/>
      <c r="K181" s="703"/>
      <c r="L181" s="882"/>
    </row>
    <row r="182" spans="1:12" s="700" customFormat="1" ht="26.4">
      <c r="A182" s="683"/>
      <c r="B182" s="1746" t="s">
        <v>2053</v>
      </c>
      <c r="C182" s="1746"/>
      <c r="D182" s="1746" t="s">
        <v>82</v>
      </c>
      <c r="E182" s="1746"/>
      <c r="F182" s="1746"/>
      <c r="G182" s="923" t="s">
        <v>2056</v>
      </c>
      <c r="H182" s="1426" t="s">
        <v>2050</v>
      </c>
      <c r="I182" s="1110" t="s">
        <v>2049</v>
      </c>
      <c r="J182" s="1427" t="s">
        <v>2055</v>
      </c>
      <c r="K182" s="703"/>
      <c r="L182" s="882"/>
    </row>
    <row r="183" spans="1:12" s="700" customFormat="1" ht="4.5" customHeight="1">
      <c r="A183" s="683"/>
      <c r="B183" s="684"/>
      <c r="C183" s="684"/>
      <c r="D183" s="684"/>
      <c r="E183" s="684"/>
      <c r="F183" s="684"/>
      <c r="G183" s="683"/>
      <c r="H183" s="685"/>
      <c r="I183" s="685"/>
      <c r="J183" s="1428"/>
      <c r="K183" s="703"/>
      <c r="L183" s="882"/>
    </row>
    <row r="184" spans="1:12" s="700" customFormat="1" ht="28.5" customHeight="1">
      <c r="A184" s="683"/>
      <c r="B184" s="1745" t="s">
        <v>2052</v>
      </c>
      <c r="C184" s="1745"/>
      <c r="D184" s="1747" t="s">
        <v>2054</v>
      </c>
      <c r="E184" s="1747"/>
      <c r="F184" s="1747"/>
      <c r="G184" s="1424">
        <f>ROUND((67618286)/Master!$B$23,0)</f>
        <v>67618286</v>
      </c>
      <c r="H184" s="1424">
        <f>ROUND((67618286+10000)/Master!$B$23,0)</f>
        <v>67628286</v>
      </c>
      <c r="I184" s="1424">
        <f>ROUND((5071732)/Master!$B$23,0)</f>
        <v>5071732</v>
      </c>
      <c r="J184" s="740">
        <f>+G184+H184-I184</f>
        <v>130174840</v>
      </c>
      <c r="K184" s="703"/>
      <c r="L184" s="882"/>
    </row>
    <row r="185" spans="1:12" s="700" customFormat="1" hidden="1">
      <c r="A185" s="683"/>
      <c r="B185" s="710"/>
      <c r="C185" s="704"/>
      <c r="D185" s="703"/>
      <c r="E185" s="703"/>
      <c r="F185" s="703"/>
      <c r="G185" s="703"/>
      <c r="H185" s="703"/>
      <c r="I185" s="703"/>
      <c r="J185" s="703"/>
      <c r="K185" s="703"/>
      <c r="L185" s="882"/>
    </row>
    <row r="186" spans="1:12" s="700" customFormat="1" hidden="1">
      <c r="A186" s="683"/>
      <c r="B186" s="683" t="s">
        <v>2799</v>
      </c>
      <c r="C186" s="704"/>
      <c r="D186" s="703"/>
      <c r="E186" s="703"/>
      <c r="F186" s="703"/>
      <c r="G186" s="703"/>
      <c r="H186" s="703"/>
      <c r="I186" s="703"/>
      <c r="J186" s="703"/>
      <c r="K186" s="703"/>
      <c r="L186" s="882"/>
    </row>
    <row r="187" spans="1:12" s="700" customFormat="1" ht="52.5" hidden="1" customHeight="1">
      <c r="A187" s="683"/>
      <c r="B187" s="1729" t="s">
        <v>2800</v>
      </c>
      <c r="C187" s="1734"/>
      <c r="D187" s="1734"/>
      <c r="E187" s="1734"/>
      <c r="F187" s="1734"/>
      <c r="G187" s="1734"/>
      <c r="H187" s="1734"/>
      <c r="I187" s="1734"/>
      <c r="J187" s="1734"/>
      <c r="K187" s="703"/>
      <c r="L187" s="882"/>
    </row>
    <row r="188" spans="1:12" s="700" customFormat="1" ht="8.5500000000000007" customHeight="1">
      <c r="A188" s="683"/>
      <c r="B188" s="710"/>
      <c r="C188" s="704"/>
      <c r="D188" s="703"/>
      <c r="E188" s="703"/>
      <c r="F188" s="703"/>
      <c r="G188" s="703"/>
      <c r="H188" s="703"/>
      <c r="I188" s="703"/>
      <c r="J188" s="703"/>
      <c r="K188" s="703"/>
      <c r="L188" s="882"/>
    </row>
    <row r="189" spans="1:12" s="700" customFormat="1">
      <c r="A189" s="683">
        <f>+A162+1</f>
        <v>25</v>
      </c>
      <c r="B189" s="681" t="s">
        <v>1976</v>
      </c>
      <c r="C189" s="699"/>
      <c r="D189" s="699"/>
      <c r="E189" s="699"/>
      <c r="F189" s="699"/>
      <c r="G189" s="699"/>
      <c r="H189" s="699"/>
      <c r="I189" s="699"/>
      <c r="J189" s="699"/>
      <c r="K189" s="699"/>
      <c r="L189" s="882"/>
    </row>
    <row r="190" spans="1:12" s="700" customFormat="1" ht="7.5" customHeight="1">
      <c r="A190" s="683"/>
      <c r="B190" s="699"/>
      <c r="C190" s="699"/>
      <c r="D190" s="699"/>
      <c r="E190" s="699"/>
      <c r="F190" s="699"/>
      <c r="G190" s="699"/>
      <c r="H190" s="699"/>
      <c r="I190" s="699"/>
      <c r="J190" s="699"/>
      <c r="K190" s="699"/>
      <c r="L190" s="882"/>
    </row>
    <row r="191" spans="1:12" s="700" customFormat="1" ht="51" hidden="1" customHeight="1">
      <c r="A191" s="683"/>
      <c r="B191" s="1729" t="s">
        <v>334</v>
      </c>
      <c r="C191" s="1734"/>
      <c r="D191" s="1734"/>
      <c r="E191" s="1734"/>
      <c r="F191" s="1734"/>
      <c r="G191" s="1734"/>
      <c r="H191" s="1734"/>
      <c r="I191" s="1734"/>
      <c r="J191" s="1734"/>
      <c r="K191" s="699"/>
      <c r="L191" s="882"/>
    </row>
    <row r="192" spans="1:12" s="700" customFormat="1">
      <c r="A192" s="683"/>
      <c r="B192" s="1729" t="s">
        <v>2768</v>
      </c>
      <c r="C192" s="1734"/>
      <c r="D192" s="1734"/>
      <c r="E192" s="1734"/>
      <c r="F192" s="1734"/>
      <c r="G192" s="1734"/>
      <c r="H192" s="1734"/>
      <c r="I192" s="1734"/>
      <c r="J192" s="1734"/>
      <c r="K192" s="699"/>
      <c r="L192" s="882"/>
    </row>
    <row r="193" spans="1:15" s="700" customFormat="1" ht="6" customHeight="1">
      <c r="A193" s="683"/>
      <c r="B193" s="699"/>
      <c r="C193" s="699"/>
      <c r="D193" s="699"/>
      <c r="E193" s="699"/>
      <c r="F193" s="699"/>
      <c r="G193" s="699"/>
      <c r="H193" s="699"/>
      <c r="I193" s="699"/>
      <c r="J193" s="699"/>
      <c r="K193" s="699"/>
      <c r="L193" s="882"/>
    </row>
    <row r="194" spans="1:15" s="700" customFormat="1">
      <c r="A194" s="683"/>
      <c r="B194" s="699"/>
      <c r="C194" s="699"/>
      <c r="D194" s="699"/>
      <c r="E194" s="699"/>
      <c r="F194" s="699"/>
      <c r="G194" s="699"/>
      <c r="H194" s="699"/>
      <c r="I194" s="683" t="s">
        <v>1872</v>
      </c>
      <c r="J194" s="683" t="s">
        <v>1872</v>
      </c>
      <c r="K194" s="882"/>
      <c r="L194" s="882"/>
    </row>
    <row r="195" spans="1:15" s="700" customFormat="1">
      <c r="A195" s="683"/>
      <c r="B195" s="711"/>
      <c r="C195" s="711"/>
      <c r="D195" s="711"/>
      <c r="E195" s="711"/>
      <c r="F195" s="711"/>
      <c r="G195" s="711"/>
      <c r="H195" s="711"/>
      <c r="I195" s="1264">
        <f>BS!$G$7</f>
        <v>45747</v>
      </c>
      <c r="J195" s="1264">
        <f>BS!$I$7</f>
        <v>45382</v>
      </c>
      <c r="K195" s="882"/>
      <c r="L195" s="882"/>
    </row>
    <row r="196" spans="1:15" s="700" customFormat="1" ht="5.0999999999999996" customHeight="1">
      <c r="A196" s="683"/>
      <c r="B196" s="699"/>
      <c r="C196" s="699"/>
      <c r="D196" s="699"/>
      <c r="E196" s="699"/>
      <c r="F196" s="699"/>
      <c r="G196" s="699"/>
      <c r="H196" s="699"/>
      <c r="I196" s="681"/>
      <c r="J196" s="699"/>
      <c r="K196" s="882"/>
      <c r="L196" s="882"/>
    </row>
    <row r="197" spans="1:15" s="700" customFormat="1" ht="14.1" customHeight="1">
      <c r="A197" s="683"/>
      <c r="B197" s="701" t="s">
        <v>335</v>
      </c>
      <c r="C197" s="699"/>
      <c r="D197" s="701"/>
      <c r="E197" s="701"/>
      <c r="F197" s="701"/>
      <c r="G197" s="699"/>
      <c r="H197" s="699"/>
      <c r="I197" s="681"/>
      <c r="J197" s="699"/>
      <c r="K197" s="882"/>
      <c r="L197" s="882"/>
    </row>
    <row r="198" spans="1:15" s="700" customFormat="1" ht="14.1" customHeight="1">
      <c r="A198" s="683"/>
      <c r="B198" s="701" t="s">
        <v>71</v>
      </c>
      <c r="C198" s="699"/>
      <c r="D198" s="683"/>
      <c r="E198" s="683"/>
      <c r="F198" s="683"/>
      <c r="G198" s="699"/>
      <c r="H198" s="699"/>
      <c r="I198" s="764"/>
      <c r="J198" s="764"/>
      <c r="K198" s="882"/>
      <c r="L198" s="882"/>
    </row>
    <row r="199" spans="1:15" s="700" customFormat="1" ht="14.1" customHeight="1">
      <c r="A199" s="683"/>
      <c r="B199" s="701" t="s">
        <v>2808</v>
      </c>
      <c r="C199" s="699"/>
      <c r="D199" s="701"/>
      <c r="E199" s="701"/>
      <c r="F199" s="701"/>
      <c r="G199" s="699"/>
      <c r="H199" s="699"/>
      <c r="I199" s="1133">
        <f>+PL!F29-'18-26'!I234</f>
        <v>42613709</v>
      </c>
      <c r="J199" s="1133">
        <f>+PL!H29-'18-26'!J234</f>
        <v>4035301</v>
      </c>
      <c r="K199" s="882"/>
      <c r="L199" s="882"/>
    </row>
    <row r="200" spans="1:15" s="700" customFormat="1" ht="14.1" customHeight="1">
      <c r="A200" s="683"/>
      <c r="B200" s="701" t="s">
        <v>336</v>
      </c>
      <c r="C200" s="699"/>
      <c r="D200" s="701"/>
      <c r="E200" s="701"/>
      <c r="F200" s="701"/>
      <c r="G200" s="699"/>
      <c r="H200" s="699"/>
      <c r="I200" s="764">
        <f>+PL!F29*0-'18-26'!I234</f>
        <v>0</v>
      </c>
      <c r="J200" s="764">
        <f>J235</f>
        <v>0</v>
      </c>
      <c r="K200" s="882"/>
      <c r="L200" s="882"/>
      <c r="M200" s="700">
        <f>-'18-26'!I234</f>
        <v>0</v>
      </c>
      <c r="N200" s="700">
        <f>-'18-26'!I234</f>
        <v>0</v>
      </c>
    </row>
    <row r="201" spans="1:15" s="700" customFormat="1" ht="14.1" customHeight="1">
      <c r="A201" s="683"/>
      <c r="B201" s="1160" t="s">
        <v>2082</v>
      </c>
      <c r="C201" s="699"/>
      <c r="D201" s="701"/>
      <c r="E201" s="701"/>
      <c r="F201" s="701"/>
      <c r="G201" s="699"/>
      <c r="H201" s="699"/>
      <c r="I201" s="764"/>
      <c r="J201" s="764"/>
      <c r="K201" s="882"/>
      <c r="L201" s="882"/>
    </row>
    <row r="202" spans="1:15" s="700" customFormat="1">
      <c r="A202" s="683"/>
      <c r="B202" s="701" t="s">
        <v>337</v>
      </c>
      <c r="C202" s="699"/>
      <c r="D202" s="699"/>
      <c r="E202" s="699"/>
      <c r="F202" s="699"/>
      <c r="G202" s="699"/>
      <c r="H202" s="699"/>
      <c r="I202" s="764"/>
      <c r="J202" s="764"/>
      <c r="K202" s="882"/>
      <c r="L202" s="882"/>
    </row>
    <row r="203" spans="1:15" s="700" customFormat="1">
      <c r="A203" s="683"/>
      <c r="B203" s="701" t="s">
        <v>338</v>
      </c>
      <c r="C203" s="975"/>
      <c r="D203" s="975"/>
      <c r="E203" s="975"/>
      <c r="F203" s="975"/>
      <c r="G203" s="975"/>
      <c r="H203" s="975"/>
      <c r="I203" s="839">
        <f>+'Sch - PL'!E127-I205</f>
        <v>3452021</v>
      </c>
      <c r="J203" s="764">
        <f>+'Sch - PL'!G127-J205</f>
        <v>-29318083</v>
      </c>
      <c r="K203" s="882"/>
      <c r="L203" s="882"/>
    </row>
    <row r="204" spans="1:15" s="700" customFormat="1" hidden="1">
      <c r="A204" s="683"/>
      <c r="B204" s="701" t="s">
        <v>339</v>
      </c>
      <c r="C204" s="975"/>
      <c r="D204" s="975"/>
      <c r="E204" s="975"/>
      <c r="F204" s="975"/>
      <c r="G204" s="975"/>
      <c r="H204" s="975"/>
      <c r="I204" s="839">
        <f>-'Sch - PL'!E122</f>
        <v>0</v>
      </c>
      <c r="J204" s="764">
        <f>+-'Sch - PL'!G122</f>
        <v>0</v>
      </c>
      <c r="K204" s="882"/>
      <c r="L204" s="882"/>
    </row>
    <row r="205" spans="1:15" s="700" customFormat="1">
      <c r="A205" s="683"/>
      <c r="B205" s="701" t="s">
        <v>2236</v>
      </c>
      <c r="C205" s="975"/>
      <c r="D205" s="975"/>
      <c r="E205" s="975"/>
      <c r="F205" s="975"/>
      <c r="G205" s="975"/>
      <c r="H205" s="975"/>
      <c r="I205" s="839">
        <f>ROUND((0)/Master!$B$23,0)</f>
        <v>0</v>
      </c>
      <c r="J205" s="764">
        <f>ROUND(('PL Gr'!$G$453+3287243)/Master!$B$23,0)</f>
        <v>3287243</v>
      </c>
      <c r="K205" s="882"/>
      <c r="L205" s="882"/>
    </row>
    <row r="206" spans="1:15" s="713" customFormat="1" ht="14.1" customHeight="1">
      <c r="A206" s="683"/>
      <c r="B206" s="820" t="s">
        <v>74</v>
      </c>
      <c r="C206" s="1078"/>
      <c r="D206" s="1035"/>
      <c r="E206" s="1035"/>
      <c r="F206" s="1035"/>
      <c r="G206" s="1035"/>
      <c r="H206" s="820"/>
      <c r="I206" s="971">
        <f>SUM(I198:I205)</f>
        <v>46065730</v>
      </c>
      <c r="J206" s="971">
        <f>SUM(J198:J205)</f>
        <v>-21995539</v>
      </c>
      <c r="L206" s="1068"/>
    </row>
    <row r="207" spans="1:15" ht="5.0999999999999996" customHeight="1">
      <c r="I207" s="764" t="str">
        <f>IF(I206-PL!F35=0,"",FALSE)</f>
        <v/>
      </c>
      <c r="J207" s="764"/>
      <c r="O207" s="699"/>
    </row>
    <row r="208" spans="1:15" ht="27.75" customHeight="1">
      <c r="B208" s="1733" t="s">
        <v>3107</v>
      </c>
      <c r="C208" s="1733"/>
      <c r="D208" s="1733"/>
      <c r="E208" s="1733"/>
      <c r="F208" s="1733"/>
      <c r="G208" s="1733"/>
      <c r="H208" s="1733"/>
      <c r="I208" s="1733"/>
      <c r="J208" s="1733"/>
      <c r="O208" s="699"/>
    </row>
    <row r="209" spans="1:36" ht="26.1" customHeight="1">
      <c r="B209" s="1733" t="s">
        <v>340</v>
      </c>
      <c r="C209" s="1733"/>
      <c r="D209" s="1733"/>
      <c r="E209" s="1733"/>
      <c r="F209" s="1733"/>
      <c r="G209" s="1733"/>
      <c r="H209" s="1733"/>
      <c r="I209" s="1733"/>
      <c r="J209" s="1733"/>
      <c r="K209" s="1733"/>
      <c r="L209" s="1733"/>
      <c r="O209" s="699"/>
    </row>
    <row r="210" spans="1:36" ht="5.0999999999999996" customHeight="1">
      <c r="O210" s="699"/>
    </row>
    <row r="211" spans="1:36" ht="90" customHeight="1">
      <c r="B211" s="1733" t="s">
        <v>3112</v>
      </c>
      <c r="C211" s="1733"/>
      <c r="D211" s="1733"/>
      <c r="E211" s="1733"/>
      <c r="F211" s="1733"/>
      <c r="G211" s="1733"/>
      <c r="H211" s="1733"/>
      <c r="I211" s="1733"/>
      <c r="J211" s="1733"/>
      <c r="O211" s="699"/>
    </row>
    <row r="212" spans="1:36">
      <c r="C212" s="1083" t="s">
        <v>2271</v>
      </c>
      <c r="D212" s="1757" t="s">
        <v>2272</v>
      </c>
      <c r="E212" s="1757"/>
      <c r="F212" s="1083"/>
      <c r="G212" s="1083"/>
      <c r="H212" s="1083"/>
      <c r="I212" s="1083"/>
      <c r="J212" s="1031" t="s">
        <v>258</v>
      </c>
      <c r="O212" s="699"/>
    </row>
    <row r="213" spans="1:36">
      <c r="C213" s="1194" t="s">
        <v>389</v>
      </c>
      <c r="D213" s="1745" t="s">
        <v>2273</v>
      </c>
      <c r="E213" s="1745"/>
      <c r="F213" s="1194"/>
      <c r="G213" s="1194"/>
      <c r="H213" s="1194"/>
      <c r="I213" s="1194"/>
      <c r="J213" s="1261">
        <f>ROUND((2673804-458640)/Master!$B$23,0)</f>
        <v>2215164</v>
      </c>
      <c r="O213" s="699"/>
    </row>
    <row r="214" spans="1:36">
      <c r="C214" s="1194" t="s">
        <v>2274</v>
      </c>
      <c r="D214" s="1745" t="s">
        <v>2275</v>
      </c>
      <c r="E214" s="1745"/>
      <c r="F214" s="1194"/>
      <c r="G214" s="1194"/>
      <c r="H214" s="1194"/>
      <c r="I214" s="1194"/>
      <c r="J214" s="1261">
        <f>ROUND(3138669/Master!$B$23,0)</f>
        <v>3138669</v>
      </c>
      <c r="O214" s="699"/>
    </row>
    <row r="215" spans="1:36">
      <c r="C215" s="1083" t="s">
        <v>173</v>
      </c>
      <c r="D215" s="1083"/>
      <c r="E215" s="1083"/>
      <c r="F215" s="1083"/>
      <c r="G215" s="1083"/>
      <c r="H215" s="1083"/>
      <c r="I215" s="1083"/>
      <c r="J215" s="1262">
        <f>SUM(J213:J214)</f>
        <v>5353833</v>
      </c>
      <c r="M215" s="873">
        <f>+J215-'10-17'!J243</f>
        <v>2718448</v>
      </c>
      <c r="O215" s="699"/>
    </row>
    <row r="216" spans="1:36" ht="8.5500000000000007" customHeight="1">
      <c r="B216" s="1060"/>
      <c r="C216" s="1060"/>
      <c r="D216" s="1060"/>
      <c r="E216" s="1060"/>
      <c r="F216" s="1060"/>
      <c r="G216" s="1060"/>
      <c r="H216" s="1060"/>
      <c r="I216" s="1060"/>
      <c r="J216" s="1060"/>
      <c r="O216" s="699"/>
    </row>
    <row r="217" spans="1:36" ht="8.5500000000000007" customHeight="1">
      <c r="B217" s="1060"/>
      <c r="C217" s="1060"/>
      <c r="D217" s="1060"/>
      <c r="E217" s="1060"/>
      <c r="F217" s="1060"/>
      <c r="G217" s="1060"/>
      <c r="H217" s="1060"/>
      <c r="I217" s="1060"/>
      <c r="J217" s="1060"/>
      <c r="O217" s="699"/>
    </row>
    <row r="218" spans="1:36">
      <c r="A218" s="683">
        <f>+A189</f>
        <v>25</v>
      </c>
      <c r="B218" s="681" t="s">
        <v>2151</v>
      </c>
      <c r="D218" s="739"/>
      <c r="E218" s="739"/>
      <c r="H218" s="867"/>
      <c r="I218" s="867"/>
      <c r="J218" s="867"/>
      <c r="K218" s="1061"/>
      <c r="L218" s="1061"/>
      <c r="O218" s="699"/>
    </row>
    <row r="219" spans="1:36" ht="5.0999999999999996" customHeight="1">
      <c r="J219" s="699" t="b">
        <f>IF(J215='10-17'!J243," ",FALSE)</f>
        <v>0</v>
      </c>
      <c r="O219" s="699"/>
    </row>
    <row r="220" spans="1:36" s="849" customFormat="1" ht="24" customHeight="1">
      <c r="A220" s="927"/>
      <c r="B220" s="1733" t="s">
        <v>341</v>
      </c>
      <c r="C220" s="1733"/>
      <c r="D220" s="1733"/>
      <c r="E220" s="1733"/>
      <c r="F220" s="1733"/>
      <c r="G220" s="1733"/>
      <c r="H220" s="1733"/>
      <c r="I220" s="1733"/>
      <c r="J220" s="1733"/>
      <c r="K220" s="1060"/>
      <c r="L220" s="1060"/>
      <c r="M220" s="699"/>
      <c r="N220" s="699"/>
      <c r="O220" s="700"/>
      <c r="P220" s="699"/>
      <c r="Q220" s="699"/>
      <c r="R220" s="699"/>
      <c r="S220" s="699"/>
      <c r="T220" s="699"/>
      <c r="U220" s="699"/>
      <c r="V220" s="699"/>
      <c r="W220" s="699"/>
      <c r="X220" s="699"/>
      <c r="Y220" s="699"/>
      <c r="Z220" s="699"/>
      <c r="AA220" s="699"/>
      <c r="AB220" s="699"/>
      <c r="AC220" s="699"/>
      <c r="AD220" s="699"/>
      <c r="AE220" s="699"/>
      <c r="AF220" s="699"/>
      <c r="AG220" s="699"/>
      <c r="AH220" s="699"/>
      <c r="AI220" s="699"/>
      <c r="AJ220" s="699"/>
    </row>
    <row r="221" spans="1:36" s="849" customFormat="1" ht="5.0999999999999996" customHeight="1">
      <c r="A221" s="878"/>
      <c r="B221" s="1060"/>
      <c r="C221" s="1060"/>
      <c r="D221" s="1060"/>
      <c r="E221" s="1060"/>
      <c r="F221" s="1060"/>
      <c r="G221" s="1060"/>
      <c r="H221" s="1060"/>
      <c r="I221" s="1060"/>
      <c r="J221" s="1060"/>
      <c r="K221" s="1060"/>
      <c r="L221" s="1060"/>
      <c r="M221" s="699"/>
      <c r="N221" s="699"/>
      <c r="O221" s="700"/>
      <c r="P221" s="699"/>
      <c r="Q221" s="699"/>
      <c r="R221" s="699"/>
      <c r="S221" s="699"/>
      <c r="T221" s="699"/>
      <c r="U221" s="699"/>
      <c r="V221" s="699"/>
      <c r="W221" s="699"/>
      <c r="X221" s="699"/>
      <c r="Y221" s="699"/>
      <c r="Z221" s="699"/>
      <c r="AA221" s="699"/>
      <c r="AB221" s="699"/>
      <c r="AC221" s="699"/>
      <c r="AD221" s="699"/>
      <c r="AE221" s="699"/>
      <c r="AF221" s="699"/>
      <c r="AG221" s="699"/>
      <c r="AH221" s="699"/>
      <c r="AI221" s="699"/>
      <c r="AJ221" s="699"/>
    </row>
    <row r="222" spans="1:36" s="849" customFormat="1">
      <c r="A222" s="878"/>
      <c r="B222" s="688" t="s">
        <v>342</v>
      </c>
      <c r="C222" s="913"/>
      <c r="D222" s="913"/>
      <c r="E222" s="913"/>
      <c r="F222" s="913"/>
      <c r="G222" s="968"/>
      <c r="H222" s="969"/>
      <c r="I222" s="684" t="s">
        <v>1872</v>
      </c>
      <c r="J222" s="684" t="s">
        <v>1872</v>
      </c>
      <c r="K222" s="928"/>
      <c r="L222" s="929"/>
      <c r="M222" s="699"/>
      <c r="N222" s="699"/>
      <c r="O222" s="700"/>
      <c r="P222" s="699"/>
      <c r="Q222" s="699"/>
      <c r="R222" s="699"/>
      <c r="S222" s="699"/>
      <c r="T222" s="699"/>
      <c r="U222" s="699"/>
      <c r="V222" s="699"/>
      <c r="W222" s="699"/>
      <c r="X222" s="699"/>
      <c r="Y222" s="699"/>
      <c r="Z222" s="699"/>
      <c r="AA222" s="699"/>
      <c r="AB222" s="699"/>
      <c r="AC222" s="699"/>
      <c r="AD222" s="699"/>
      <c r="AE222" s="699"/>
      <c r="AF222" s="699"/>
      <c r="AG222" s="699"/>
      <c r="AH222" s="699"/>
      <c r="AI222" s="699"/>
      <c r="AJ222" s="699"/>
    </row>
    <row r="223" spans="1:36" s="849" customFormat="1">
      <c r="A223" s="878"/>
      <c r="B223" s="895"/>
      <c r="C223" s="1071"/>
      <c r="D223" s="1071"/>
      <c r="E223" s="1071"/>
      <c r="F223" s="1071"/>
      <c r="G223" s="1072"/>
      <c r="H223" s="1073"/>
      <c r="I223" s="758">
        <f>BS!$G$7</f>
        <v>45747</v>
      </c>
      <c r="J223" s="758">
        <f>BS!$I$7</f>
        <v>45382</v>
      </c>
      <c r="K223" s="928"/>
      <c r="L223" s="929"/>
      <c r="M223" s="699"/>
      <c r="N223" s="699"/>
      <c r="O223" s="700"/>
      <c r="P223" s="699"/>
      <c r="Q223" s="699"/>
      <c r="R223" s="699"/>
      <c r="S223" s="699"/>
      <c r="T223" s="699"/>
      <c r="U223" s="699"/>
      <c r="V223" s="699"/>
      <c r="W223" s="699"/>
      <c r="X223" s="699"/>
      <c r="Y223" s="699"/>
      <c r="Z223" s="699"/>
      <c r="AA223" s="699"/>
      <c r="AB223" s="699"/>
      <c r="AC223" s="699"/>
      <c r="AD223" s="699"/>
      <c r="AE223" s="699"/>
      <c r="AF223" s="699"/>
      <c r="AG223" s="699"/>
      <c r="AH223" s="699"/>
      <c r="AI223" s="699"/>
      <c r="AJ223" s="699"/>
    </row>
    <row r="224" spans="1:36" s="849" customFormat="1" ht="15" customHeight="1">
      <c r="A224" s="878"/>
      <c r="B224" s="878" t="s">
        <v>69</v>
      </c>
      <c r="C224" s="913"/>
      <c r="D224" s="913"/>
      <c r="E224" s="913"/>
      <c r="F224" s="913"/>
      <c r="G224" s="914"/>
      <c r="H224" s="915"/>
      <c r="I224" s="1687">
        <f>PL!F26</f>
        <v>-2956284</v>
      </c>
      <c r="J224" s="930">
        <f>PL!H26</f>
        <v>19400000</v>
      </c>
      <c r="L224" s="930"/>
      <c r="M224" s="699"/>
      <c r="N224" s="699"/>
      <c r="O224" s="700"/>
      <c r="P224" s="699"/>
      <c r="Q224" s="699"/>
      <c r="R224" s="699"/>
      <c r="S224" s="699"/>
      <c r="T224" s="699"/>
      <c r="U224" s="699"/>
      <c r="V224" s="699"/>
      <c r="W224" s="699"/>
      <c r="X224" s="699"/>
      <c r="Y224" s="699"/>
      <c r="Z224" s="699"/>
      <c r="AA224" s="699"/>
      <c r="AB224" s="699"/>
      <c r="AC224" s="699"/>
      <c r="AD224" s="699"/>
      <c r="AE224" s="699"/>
      <c r="AF224" s="699"/>
      <c r="AG224" s="699"/>
      <c r="AH224" s="699"/>
      <c r="AI224" s="699"/>
      <c r="AJ224" s="699"/>
    </row>
    <row r="225" spans="1:36" s="849" customFormat="1" ht="15" customHeight="1">
      <c r="A225" s="878"/>
      <c r="B225" s="878" t="s">
        <v>343</v>
      </c>
      <c r="C225" s="913"/>
      <c r="D225" s="913"/>
      <c r="E225" s="913"/>
      <c r="F225" s="913"/>
      <c r="G225" s="916"/>
      <c r="H225" s="917"/>
      <c r="I225" s="931">
        <v>0.2782</v>
      </c>
      <c r="J225" s="931">
        <v>0.2782</v>
      </c>
      <c r="K225" s="931"/>
      <c r="L225" s="931"/>
      <c r="M225" s="699"/>
      <c r="N225" s="699"/>
      <c r="O225" s="700"/>
      <c r="P225" s="699"/>
      <c r="Q225" s="699"/>
      <c r="R225" s="699"/>
      <c r="S225" s="699"/>
      <c r="T225" s="699"/>
      <c r="U225" s="699"/>
      <c r="V225" s="699"/>
      <c r="W225" s="699"/>
      <c r="X225" s="699"/>
      <c r="Y225" s="699"/>
      <c r="Z225" s="699"/>
      <c r="AA225" s="699"/>
      <c r="AB225" s="699"/>
      <c r="AC225" s="699"/>
      <c r="AD225" s="699"/>
      <c r="AE225" s="699"/>
      <c r="AF225" s="699"/>
      <c r="AG225" s="699"/>
      <c r="AH225" s="699"/>
      <c r="AI225" s="699"/>
      <c r="AJ225" s="699"/>
    </row>
    <row r="226" spans="1:36" s="849" customFormat="1" ht="15" customHeight="1">
      <c r="A226" s="878"/>
      <c r="B226" s="878" t="s">
        <v>1950</v>
      </c>
      <c r="C226" s="913"/>
      <c r="D226" s="913"/>
      <c r="E226" s="913"/>
      <c r="F226" s="918"/>
      <c r="G226" s="914"/>
      <c r="H226" s="919"/>
      <c r="I226" s="1687">
        <f>+ROUND(I224*I225,0)</f>
        <v>-822438</v>
      </c>
      <c r="J226" s="930">
        <f>+ROUND(J224*J225,0)</f>
        <v>5397080</v>
      </c>
      <c r="K226" s="932"/>
      <c r="L226" s="930"/>
      <c r="M226" s="699">
        <v>6015103</v>
      </c>
      <c r="N226" s="872">
        <f>+J238-M226</f>
        <v>-28010642.0328</v>
      </c>
      <c r="O226" s="700"/>
      <c r="P226" s="699"/>
      <c r="Q226" s="699"/>
      <c r="R226" s="699"/>
      <c r="S226" s="699"/>
      <c r="T226" s="699"/>
      <c r="U226" s="699"/>
      <c r="V226" s="699"/>
      <c r="W226" s="699"/>
      <c r="X226" s="699"/>
      <c r="Y226" s="699"/>
      <c r="Z226" s="699"/>
      <c r="AA226" s="699"/>
      <c r="AB226" s="699"/>
      <c r="AC226" s="699"/>
      <c r="AD226" s="699"/>
      <c r="AE226" s="699"/>
      <c r="AF226" s="699"/>
      <c r="AG226" s="699"/>
      <c r="AH226" s="699"/>
      <c r="AI226" s="699"/>
      <c r="AJ226" s="699"/>
    </row>
    <row r="227" spans="1:36" s="849" customFormat="1" ht="15" hidden="1" customHeight="1">
      <c r="A227" s="878"/>
      <c r="B227" s="1752" t="s">
        <v>344</v>
      </c>
      <c r="C227" s="1752"/>
      <c r="D227" s="913"/>
      <c r="E227" s="913"/>
      <c r="F227" s="918"/>
      <c r="G227" s="914"/>
      <c r="H227" s="919"/>
      <c r="I227" s="1725"/>
      <c r="J227" s="930"/>
      <c r="K227" s="930"/>
      <c r="L227" s="930"/>
      <c r="M227" s="699"/>
      <c r="N227" s="699"/>
      <c r="O227" s="700"/>
      <c r="P227" s="699"/>
      <c r="Q227" s="699"/>
      <c r="R227" s="699"/>
      <c r="S227" s="699"/>
      <c r="T227" s="699"/>
      <c r="U227" s="699"/>
      <c r="V227" s="699"/>
      <c r="W227" s="699"/>
      <c r="X227" s="699"/>
      <c r="Y227" s="699"/>
      <c r="Z227" s="699"/>
      <c r="AA227" s="699"/>
      <c r="AB227" s="699"/>
      <c r="AC227" s="699"/>
      <c r="AD227" s="699"/>
      <c r="AE227" s="699"/>
      <c r="AF227" s="699"/>
      <c r="AG227" s="699"/>
      <c r="AH227" s="699"/>
      <c r="AI227" s="699"/>
      <c r="AJ227" s="699"/>
    </row>
    <row r="228" spans="1:36" s="849" customFormat="1" ht="15" hidden="1" customHeight="1">
      <c r="A228" s="878"/>
      <c r="B228" s="849" t="s">
        <v>65</v>
      </c>
      <c r="C228" s="913"/>
      <c r="D228" s="913"/>
      <c r="E228" s="913"/>
      <c r="F228" s="918"/>
      <c r="G228" s="914"/>
      <c r="H228" s="919"/>
      <c r="I228" s="1725">
        <f>2657*0</f>
        <v>0</v>
      </c>
      <c r="J228" s="930">
        <v>0</v>
      </c>
      <c r="K228" s="930"/>
      <c r="L228" s="930"/>
      <c r="M228" s="699"/>
      <c r="N228" s="699"/>
      <c r="O228" s="700"/>
      <c r="P228" s="699"/>
      <c r="Q228" s="699"/>
      <c r="R228" s="699"/>
      <c r="S228" s="699"/>
      <c r="T228" s="699"/>
      <c r="U228" s="699"/>
      <c r="V228" s="699"/>
      <c r="W228" s="699"/>
      <c r="X228" s="699"/>
      <c r="Y228" s="699"/>
      <c r="Z228" s="699"/>
      <c r="AA228" s="699"/>
      <c r="AB228" s="699"/>
      <c r="AC228" s="699"/>
      <c r="AD228" s="699"/>
      <c r="AE228" s="699"/>
      <c r="AF228" s="699"/>
      <c r="AG228" s="699"/>
      <c r="AH228" s="699"/>
      <c r="AI228" s="699"/>
      <c r="AJ228" s="699"/>
    </row>
    <row r="229" spans="1:36" s="849" customFormat="1" ht="15" customHeight="1">
      <c r="A229" s="878"/>
      <c r="B229" s="849" t="s">
        <v>2823</v>
      </c>
      <c r="C229" s="913"/>
      <c r="D229" s="913"/>
      <c r="E229" s="913"/>
      <c r="F229" s="913"/>
      <c r="G229" s="920"/>
      <c r="H229" s="915"/>
      <c r="I229" s="1687">
        <f>ROUND((4547944)/Master!$B$23,0)*0.2782</f>
        <v>1265238.0208000001</v>
      </c>
      <c r="J229" s="930">
        <f>ROUND((-236240+110956+2345)/Master!$B$23,0)</f>
        <v>-122939</v>
      </c>
      <c r="K229" s="930"/>
      <c r="L229" s="930"/>
      <c r="M229" s="699"/>
      <c r="N229" s="699"/>
      <c r="O229" s="700"/>
      <c r="P229" s="699"/>
      <c r="Q229" s="699"/>
      <c r="R229" s="699"/>
      <c r="S229" s="699"/>
      <c r="T229" s="699"/>
      <c r="U229" s="699"/>
      <c r="V229" s="699"/>
      <c r="W229" s="699"/>
      <c r="X229" s="699"/>
      <c r="Y229" s="699"/>
      <c r="Z229" s="699"/>
      <c r="AA229" s="699"/>
      <c r="AB229" s="699"/>
      <c r="AC229" s="699"/>
      <c r="AD229" s="699"/>
      <c r="AE229" s="699"/>
      <c r="AF229" s="699"/>
      <c r="AG229" s="699"/>
      <c r="AH229" s="699"/>
      <c r="AI229" s="699"/>
      <c r="AJ229" s="699"/>
    </row>
    <row r="230" spans="1:36" s="849" customFormat="1" ht="15" customHeight="1">
      <c r="A230" s="878"/>
      <c r="B230" s="849" t="s">
        <v>2931</v>
      </c>
      <c r="C230" s="913"/>
      <c r="D230" s="913"/>
      <c r="E230" s="913"/>
      <c r="F230" s="913"/>
      <c r="G230" s="920"/>
      <c r="H230" s="915"/>
      <c r="I230" s="1687">
        <f>-'18-26'!I29*0.2782</f>
        <v>0</v>
      </c>
      <c r="J230" s="930">
        <f>-'18-26'!J29*0.2782</f>
        <v>-5673591.6041999999</v>
      </c>
      <c r="K230" s="930"/>
      <c r="L230" s="930"/>
      <c r="M230" s="699"/>
      <c r="N230" s="699"/>
      <c r="O230" s="700"/>
      <c r="P230" s="699"/>
      <c r="Q230" s="699"/>
      <c r="R230" s="699"/>
      <c r="S230" s="699"/>
      <c r="T230" s="699"/>
      <c r="U230" s="699"/>
      <c r="V230" s="699"/>
      <c r="W230" s="699"/>
      <c r="X230" s="699"/>
      <c r="Y230" s="699"/>
      <c r="Z230" s="699"/>
      <c r="AA230" s="699"/>
      <c r="AB230" s="699"/>
      <c r="AC230" s="699"/>
      <c r="AD230" s="699"/>
      <c r="AE230" s="699"/>
      <c r="AF230" s="699"/>
      <c r="AG230" s="699"/>
      <c r="AH230" s="699"/>
      <c r="AI230" s="699"/>
      <c r="AJ230" s="699"/>
    </row>
    <row r="231" spans="1:36" s="849" customFormat="1" ht="15" customHeight="1">
      <c r="A231" s="878"/>
      <c r="B231" s="849" t="s">
        <v>113</v>
      </c>
      <c r="C231" s="913"/>
      <c r="D231" s="913"/>
      <c r="E231" s="913"/>
      <c r="F231" s="913"/>
      <c r="G231" s="920"/>
      <c r="H231" s="915"/>
      <c r="I231" s="1687">
        <f>(I70+I71)*0.2782</f>
        <v>3160131.9438</v>
      </c>
      <c r="J231" s="930">
        <f>'10-17'!K107*0.2782</f>
        <v>3726023.5714000002</v>
      </c>
      <c r="K231" s="930"/>
      <c r="L231" s="930"/>
      <c r="M231" s="699"/>
      <c r="N231" s="699"/>
      <c r="O231" s="700"/>
      <c r="P231" s="699"/>
      <c r="Q231" s="699"/>
      <c r="R231" s="699"/>
      <c r="S231" s="699"/>
      <c r="T231" s="699"/>
      <c r="U231" s="699"/>
      <c r="V231" s="699"/>
      <c r="W231" s="699"/>
      <c r="X231" s="699"/>
      <c r="Y231" s="699"/>
      <c r="Z231" s="699"/>
      <c r="AA231" s="699"/>
      <c r="AB231" s="699"/>
      <c r="AC231" s="699"/>
      <c r="AD231" s="699"/>
      <c r="AE231" s="699"/>
      <c r="AF231" s="699"/>
      <c r="AG231" s="699"/>
      <c r="AH231" s="699"/>
      <c r="AI231" s="699"/>
      <c r="AJ231" s="699"/>
    </row>
    <row r="232" spans="1:36" s="849" customFormat="1" ht="15" customHeight="1">
      <c r="A232" s="878"/>
      <c r="B232" s="849" t="s">
        <v>2951</v>
      </c>
      <c r="C232" s="913"/>
      <c r="D232" s="913"/>
      <c r="E232" s="913"/>
      <c r="F232" s="913"/>
      <c r="G232" s="920"/>
      <c r="H232" s="915"/>
      <c r="I232" s="1687">
        <f>ROUND((2740179-404113-3144292)/Master!$B$23,0)</f>
        <v>-808226</v>
      </c>
      <c r="J232" s="930">
        <f>ROUND((400000+35054)/Master!$B$23,0)</f>
        <v>435054</v>
      </c>
      <c r="K232" s="930"/>
      <c r="L232" s="930"/>
      <c r="M232" s="699"/>
      <c r="N232" s="699"/>
      <c r="O232" s="700"/>
      <c r="P232" s="699"/>
      <c r="Q232" s="699"/>
      <c r="R232" s="699"/>
      <c r="S232" s="699"/>
      <c r="T232" s="699"/>
      <c r="U232" s="699"/>
      <c r="V232" s="699"/>
      <c r="W232" s="699"/>
      <c r="X232" s="699"/>
      <c r="Y232" s="699"/>
      <c r="Z232" s="699"/>
      <c r="AA232" s="699"/>
      <c r="AB232" s="699"/>
      <c r="AC232" s="699"/>
      <c r="AD232" s="699"/>
      <c r="AE232" s="699"/>
      <c r="AF232" s="699"/>
      <c r="AG232" s="699"/>
      <c r="AH232" s="699"/>
      <c r="AI232" s="699"/>
      <c r="AJ232" s="699"/>
    </row>
    <row r="233" spans="1:36" s="849" customFormat="1" ht="15" customHeight="1">
      <c r="A233" s="878"/>
      <c r="B233" s="849" t="s">
        <v>695</v>
      </c>
      <c r="C233" s="913"/>
      <c r="D233" s="913"/>
      <c r="E233" s="913"/>
      <c r="F233" s="913"/>
      <c r="G233" s="920"/>
      <c r="H233" s="915"/>
      <c r="I233" s="1687">
        <f>-ROUND((0)/Master!$B$23,0)</f>
        <v>0</v>
      </c>
      <c r="J233" s="930">
        <f>-ROUND((26397166)/Master!$B$23,0)</f>
        <v>-26397166</v>
      </c>
      <c r="K233" s="930"/>
      <c r="L233" s="930"/>
      <c r="M233" s="699"/>
      <c r="N233" s="699"/>
      <c r="O233" s="700"/>
      <c r="P233" s="699"/>
      <c r="Q233" s="699"/>
      <c r="R233" s="699"/>
      <c r="S233" s="699"/>
      <c r="T233" s="699"/>
      <c r="U233" s="699"/>
      <c r="V233" s="699"/>
      <c r="W233" s="699"/>
      <c r="X233" s="699"/>
      <c r="Y233" s="699"/>
      <c r="Z233" s="699"/>
      <c r="AA233" s="699"/>
      <c r="AB233" s="699"/>
      <c r="AC233" s="699"/>
      <c r="AD233" s="699"/>
      <c r="AE233" s="699"/>
      <c r="AF233" s="699"/>
      <c r="AG233" s="699"/>
      <c r="AH233" s="699"/>
      <c r="AI233" s="699"/>
      <c r="AJ233" s="699"/>
    </row>
    <row r="234" spans="1:36" s="849" customFormat="1" ht="13.05" hidden="1" customHeight="1">
      <c r="A234" s="878"/>
      <c r="B234" s="849" t="s">
        <v>345</v>
      </c>
      <c r="C234" s="913"/>
      <c r="D234" s="913"/>
      <c r="E234" s="913"/>
      <c r="F234" s="913"/>
      <c r="G234" s="920"/>
      <c r="H234" s="915"/>
      <c r="I234" s="1725">
        <f>ROUND(0/Master!$B$23,0)</f>
        <v>0</v>
      </c>
      <c r="J234" s="1147">
        <f>ROUND(0/Master!$B$23,0)</f>
        <v>0</v>
      </c>
      <c r="K234" s="930"/>
      <c r="L234" s="930"/>
      <c r="M234" s="699"/>
      <c r="N234" s="699"/>
      <c r="O234" s="700"/>
      <c r="P234" s="699"/>
      <c r="Q234" s="699"/>
      <c r="R234" s="699"/>
      <c r="S234" s="699"/>
      <c r="T234" s="699"/>
      <c r="U234" s="699"/>
      <c r="V234" s="699"/>
      <c r="W234" s="699"/>
      <c r="X234" s="699"/>
      <c r="Y234" s="699"/>
      <c r="Z234" s="699"/>
      <c r="AA234" s="699"/>
      <c r="AB234" s="699"/>
      <c r="AC234" s="699"/>
      <c r="AD234" s="699"/>
      <c r="AE234" s="699"/>
      <c r="AF234" s="699"/>
      <c r="AG234" s="699"/>
      <c r="AH234" s="699"/>
      <c r="AI234" s="699"/>
      <c r="AJ234" s="699"/>
    </row>
    <row r="235" spans="1:36" s="849" customFormat="1" ht="15" customHeight="1">
      <c r="A235" s="878"/>
      <c r="B235" s="849" t="s">
        <v>2807</v>
      </c>
      <c r="C235" s="913"/>
      <c r="D235" s="913"/>
      <c r="E235" s="913"/>
      <c r="F235" s="913"/>
      <c r="G235" s="920"/>
      <c r="H235" s="915"/>
      <c r="I235" s="1687">
        <f>ROUND(33688678+8870504/Master!$B$23,0)</f>
        <v>42559182</v>
      </c>
      <c r="J235" s="930">
        <f>-ROUND(0/Master!$B$23,0)</f>
        <v>0</v>
      </c>
      <c r="K235" s="930"/>
      <c r="L235" s="930"/>
      <c r="M235" s="699"/>
      <c r="N235" s="1590">
        <f>N238+40000</f>
        <v>39999.967199999839</v>
      </c>
      <c r="O235" s="700"/>
      <c r="P235" s="699"/>
      <c r="Q235" s="699"/>
      <c r="R235" s="699"/>
      <c r="S235" s="699"/>
      <c r="T235" s="699"/>
      <c r="U235" s="699"/>
      <c r="V235" s="699"/>
      <c r="W235" s="699"/>
      <c r="X235" s="699"/>
      <c r="Y235" s="699"/>
      <c r="Z235" s="699"/>
      <c r="AA235" s="699"/>
      <c r="AB235" s="699"/>
      <c r="AC235" s="699"/>
      <c r="AD235" s="699"/>
      <c r="AE235" s="699"/>
      <c r="AF235" s="699"/>
      <c r="AG235" s="699"/>
      <c r="AH235" s="699"/>
      <c r="AI235" s="699"/>
      <c r="AJ235" s="699"/>
    </row>
    <row r="236" spans="1:36" s="849" customFormat="1" ht="15" hidden="1" customHeight="1">
      <c r="A236" s="878"/>
      <c r="B236" s="849" t="s">
        <v>2057</v>
      </c>
      <c r="C236" s="913"/>
      <c r="D236" s="913"/>
      <c r="E236" s="913"/>
      <c r="F236" s="913"/>
      <c r="G236" s="920"/>
      <c r="H236" s="1280"/>
      <c r="I236" s="1725">
        <f>ROUND(0/Master!$B$23,0)</f>
        <v>0</v>
      </c>
      <c r="J236" s="930">
        <f>ROUND(0/Master!$B$23,0)</f>
        <v>0</v>
      </c>
      <c r="K236" s="930"/>
      <c r="L236" s="930"/>
      <c r="M236" s="699"/>
      <c r="N236" s="699"/>
      <c r="O236" s="700"/>
      <c r="P236" s="699"/>
      <c r="Q236" s="699"/>
      <c r="R236" s="699"/>
      <c r="S236" s="699"/>
      <c r="T236" s="699"/>
      <c r="U236" s="699"/>
      <c r="V236" s="699"/>
      <c r="W236" s="699"/>
      <c r="X236" s="699"/>
      <c r="Y236" s="699"/>
      <c r="Z236" s="699"/>
      <c r="AA236" s="699"/>
      <c r="AB236" s="699"/>
      <c r="AC236" s="699"/>
      <c r="AD236" s="699"/>
      <c r="AE236" s="699"/>
      <c r="AF236" s="699"/>
      <c r="AG236" s="699"/>
      <c r="AH236" s="699"/>
      <c r="AI236" s="699"/>
      <c r="AJ236" s="699"/>
    </row>
    <row r="237" spans="1:36" s="849" customFormat="1" ht="15" customHeight="1">
      <c r="A237" s="878"/>
      <c r="B237" s="849" t="s">
        <v>190</v>
      </c>
      <c r="C237" s="913"/>
      <c r="D237" s="913"/>
      <c r="E237" s="913"/>
      <c r="F237" s="913"/>
      <c r="G237" s="920"/>
      <c r="H237" s="915"/>
      <c r="I237" s="1687">
        <f>ROUND((711842)/Master!$B$23,0)</f>
        <v>711842</v>
      </c>
      <c r="J237" s="930">
        <f>ROUND((600000+40000)/Master!$B$23,0)</f>
        <v>640000</v>
      </c>
      <c r="K237" s="930"/>
      <c r="L237" s="930"/>
      <c r="M237" s="699"/>
      <c r="N237" s="699"/>
      <c r="O237" s="700"/>
      <c r="P237" s="699"/>
      <c r="Q237" s="699"/>
      <c r="R237" s="699"/>
      <c r="S237" s="699"/>
      <c r="T237" s="699"/>
      <c r="U237" s="699"/>
      <c r="V237" s="699"/>
      <c r="W237" s="699"/>
      <c r="X237" s="699"/>
      <c r="Y237" s="699"/>
      <c r="Z237" s="699"/>
      <c r="AA237" s="699"/>
      <c r="AB237" s="699"/>
      <c r="AC237" s="699"/>
      <c r="AD237" s="699"/>
      <c r="AE237" s="699"/>
      <c r="AF237" s="699"/>
      <c r="AG237" s="699"/>
      <c r="AH237" s="699"/>
      <c r="AI237" s="699"/>
      <c r="AJ237" s="699"/>
    </row>
    <row r="238" spans="1:36" s="849" customFormat="1" ht="15" customHeight="1">
      <c r="A238" s="878"/>
      <c r="B238" s="893" t="s">
        <v>2806</v>
      </c>
      <c r="C238" s="1071"/>
      <c r="D238" s="1071"/>
      <c r="E238" s="1071"/>
      <c r="F238" s="1071"/>
      <c r="G238" s="1193"/>
      <c r="H238" s="1227"/>
      <c r="I238" s="1592">
        <f>SUM(I226:I237)</f>
        <v>46065729.964599997</v>
      </c>
      <c r="J238" s="1500">
        <f>SUM(J226:J237)</f>
        <v>-21995539.0328</v>
      </c>
      <c r="K238" s="930"/>
      <c r="L238" s="930"/>
      <c r="M238" s="699">
        <f>PL!H35</f>
        <v>-21995539</v>
      </c>
      <c r="N238" s="1624">
        <f>J238-M238</f>
        <v>-3.2800000160932541E-2</v>
      </c>
      <c r="O238" s="700"/>
      <c r="P238" s="699"/>
      <c r="Q238" s="699"/>
      <c r="R238" s="699"/>
      <c r="S238" s="699"/>
      <c r="T238" s="699"/>
      <c r="U238" s="699"/>
      <c r="V238" s="699"/>
      <c r="W238" s="699"/>
      <c r="X238" s="699"/>
      <c r="Y238" s="699"/>
      <c r="Z238" s="699"/>
      <c r="AA238" s="699"/>
      <c r="AB238" s="699"/>
      <c r="AC238" s="699"/>
      <c r="AD238" s="699"/>
      <c r="AE238" s="699"/>
      <c r="AF238" s="699"/>
      <c r="AG238" s="699"/>
      <c r="AH238" s="699"/>
      <c r="AI238" s="699"/>
      <c r="AJ238" s="699"/>
    </row>
    <row r="239" spans="1:36" s="849" customFormat="1" ht="15" customHeight="1">
      <c r="A239" s="878"/>
      <c r="B239" s="1166"/>
      <c r="C239" s="913"/>
      <c r="D239" s="913"/>
      <c r="E239" s="913"/>
      <c r="F239" s="913"/>
      <c r="G239" s="920"/>
      <c r="H239" s="915"/>
      <c r="I239" s="915"/>
      <c r="J239" s="914" t="b">
        <f>IF(J238=PL!H35," ",FALSE)</f>
        <v>0</v>
      </c>
      <c r="K239" s="930"/>
      <c r="L239" s="930"/>
      <c r="M239" s="699">
        <v>3635726.4153661877</v>
      </c>
      <c r="N239" s="872">
        <f>I238-M239</f>
        <v>42430003.549233809</v>
      </c>
      <c r="O239" s="700"/>
      <c r="P239" s="699"/>
      <c r="Q239" s="699"/>
      <c r="R239" s="699"/>
      <c r="S239" s="699"/>
      <c r="T239" s="699"/>
      <c r="U239" s="699"/>
      <c r="V239" s="699"/>
      <c r="W239" s="699"/>
      <c r="X239" s="699"/>
      <c r="Y239" s="699"/>
      <c r="Z239" s="699"/>
      <c r="AA239" s="699"/>
      <c r="AB239" s="699"/>
      <c r="AC239" s="699"/>
      <c r="AD239" s="699"/>
      <c r="AE239" s="699"/>
      <c r="AF239" s="699"/>
      <c r="AG239" s="699"/>
      <c r="AH239" s="699"/>
      <c r="AI239" s="699"/>
      <c r="AJ239" s="699"/>
    </row>
    <row r="240" spans="1:36" s="849" customFormat="1" ht="14.25" customHeight="1">
      <c r="A240" s="878"/>
      <c r="B240" s="688" t="s">
        <v>1951</v>
      </c>
      <c r="C240" s="921"/>
      <c r="D240" s="921"/>
      <c r="E240" s="921"/>
      <c r="F240" s="921"/>
      <c r="G240" s="914"/>
      <c r="H240" s="915"/>
      <c r="K240" s="932"/>
      <c r="L240" s="926"/>
      <c r="M240" s="699">
        <f>+PL!H35</f>
        <v>-21995539</v>
      </c>
      <c r="N240" s="1623">
        <f>+M240-J238</f>
        <v>3.2800000160932541E-2</v>
      </c>
      <c r="O240" s="700">
        <v>0</v>
      </c>
      <c r="P240" s="699"/>
      <c r="Q240" s="699"/>
      <c r="R240" s="699"/>
      <c r="S240" s="699"/>
      <c r="T240" s="699"/>
      <c r="U240" s="699"/>
      <c r="V240" s="699"/>
      <c r="W240" s="699"/>
      <c r="X240" s="699"/>
      <c r="Y240" s="699"/>
      <c r="Z240" s="699"/>
      <c r="AA240" s="699"/>
      <c r="AB240" s="699"/>
      <c r="AC240" s="699"/>
      <c r="AD240" s="699"/>
      <c r="AE240" s="699"/>
      <c r="AF240" s="699"/>
      <c r="AG240" s="699"/>
      <c r="AH240" s="699"/>
      <c r="AI240" s="699"/>
      <c r="AJ240" s="699"/>
    </row>
    <row r="241" spans="1:36" s="849" customFormat="1" hidden="1">
      <c r="A241" s="878"/>
      <c r="B241" s="1149" t="s">
        <v>2023</v>
      </c>
      <c r="C241" s="921"/>
      <c r="D241" s="921"/>
      <c r="E241" s="921"/>
      <c r="F241" s="921"/>
      <c r="J241" s="688"/>
      <c r="L241" s="926"/>
      <c r="M241" s="699"/>
      <c r="N241" s="699"/>
      <c r="O241" s="700"/>
      <c r="P241" s="699"/>
      <c r="Q241" s="699"/>
      <c r="R241" s="699"/>
      <c r="S241" s="699"/>
      <c r="T241" s="699"/>
      <c r="U241" s="699"/>
      <c r="V241" s="699"/>
      <c r="W241" s="699"/>
      <c r="X241" s="699"/>
      <c r="Y241" s="699"/>
      <c r="Z241" s="699"/>
      <c r="AA241" s="699"/>
      <c r="AB241" s="699"/>
      <c r="AC241" s="699"/>
      <c r="AD241" s="699"/>
      <c r="AE241" s="699"/>
      <c r="AF241" s="699"/>
      <c r="AG241" s="699"/>
      <c r="AH241" s="699"/>
      <c r="AI241" s="699"/>
      <c r="AJ241" s="699"/>
    </row>
    <row r="242" spans="1:36" s="849" customFormat="1" ht="5.0999999999999996" customHeight="1">
      <c r="A242" s="878"/>
      <c r="B242" s="933"/>
      <c r="C242" s="1069"/>
      <c r="D242" s="1069"/>
      <c r="E242" s="1069"/>
      <c r="F242" s="1069"/>
      <c r="G242" s="914"/>
      <c r="H242" s="914"/>
      <c r="L242" s="1069"/>
      <c r="M242" s="699"/>
      <c r="N242" s="699"/>
      <c r="O242" s="700"/>
      <c r="P242" s="699"/>
      <c r="Q242" s="699"/>
      <c r="R242" s="699"/>
      <c r="S242" s="699"/>
      <c r="T242" s="699"/>
      <c r="U242" s="699"/>
      <c r="V242" s="699"/>
      <c r="W242" s="699"/>
      <c r="X242" s="699"/>
      <c r="Y242" s="699"/>
      <c r="Z242" s="699"/>
      <c r="AA242" s="699"/>
      <c r="AB242" s="699"/>
      <c r="AC242" s="699"/>
      <c r="AD242" s="699"/>
      <c r="AE242" s="699"/>
      <c r="AF242" s="699"/>
      <c r="AG242" s="699"/>
      <c r="AH242" s="699"/>
      <c r="AI242" s="699"/>
      <c r="AJ242" s="699"/>
    </row>
    <row r="243" spans="1:36" s="849" customFormat="1">
      <c r="A243" s="878"/>
      <c r="B243" s="849" t="s">
        <v>3014</v>
      </c>
      <c r="C243" s="1069"/>
      <c r="D243" s="1069"/>
      <c r="E243" s="1069"/>
      <c r="F243" s="1069"/>
      <c r="G243" s="914"/>
      <c r="H243" s="914"/>
      <c r="I243" s="699"/>
      <c r="J243" s="699"/>
      <c r="L243" s="1069"/>
      <c r="M243" s="786">
        <f>+PL!F35</f>
        <v>46065730</v>
      </c>
      <c r="N243" s="786">
        <f>+I238-M243</f>
        <v>-3.540000319480896E-2</v>
      </c>
      <c r="O243" s="700"/>
      <c r="P243" s="699"/>
      <c r="Q243" s="699"/>
      <c r="R243" s="699"/>
      <c r="S243" s="699"/>
      <c r="T243" s="699"/>
      <c r="U243" s="699"/>
      <c r="V243" s="699"/>
      <c r="W243" s="699"/>
      <c r="X243" s="699"/>
      <c r="Y243" s="699"/>
      <c r="Z243" s="699"/>
      <c r="AA243" s="699"/>
      <c r="AB243" s="699"/>
      <c r="AC243" s="699"/>
      <c r="AD243" s="699"/>
      <c r="AE243" s="699"/>
      <c r="AF243" s="699"/>
      <c r="AG243" s="699"/>
      <c r="AH243" s="699"/>
      <c r="AI243" s="699"/>
      <c r="AJ243" s="699"/>
    </row>
    <row r="244" spans="1:36" s="849" customFormat="1" hidden="1">
      <c r="A244" s="689"/>
      <c r="C244" s="1069"/>
      <c r="D244" s="1069"/>
      <c r="E244" s="1069"/>
      <c r="F244" s="1069"/>
      <c r="G244" s="914"/>
      <c r="H244" s="914"/>
      <c r="I244" s="699"/>
      <c r="J244" s="699"/>
      <c r="L244" s="1069"/>
      <c r="M244" s="699"/>
      <c r="N244" s="699"/>
      <c r="O244" s="700"/>
      <c r="P244" s="699"/>
      <c r="Q244" s="699"/>
      <c r="R244" s="699"/>
      <c r="S244" s="699"/>
      <c r="T244" s="699"/>
      <c r="U244" s="699"/>
      <c r="V244" s="699"/>
      <c r="W244" s="699"/>
      <c r="X244" s="699"/>
      <c r="Y244" s="699"/>
      <c r="Z244" s="699"/>
      <c r="AA244" s="699"/>
      <c r="AB244" s="699"/>
      <c r="AC244" s="699"/>
      <c r="AD244" s="699"/>
      <c r="AE244" s="699"/>
      <c r="AF244" s="699"/>
      <c r="AG244" s="699"/>
      <c r="AH244" s="699"/>
      <c r="AI244" s="699"/>
      <c r="AJ244" s="699"/>
    </row>
    <row r="245" spans="1:36" s="849" customFormat="1" hidden="1">
      <c r="A245" s="754"/>
      <c r="C245" s="1069"/>
      <c r="D245" s="1069"/>
      <c r="E245" s="1069"/>
      <c r="F245" s="1069"/>
      <c r="G245" s="914"/>
      <c r="H245" s="914"/>
      <c r="I245" s="699"/>
      <c r="J245" s="699"/>
      <c r="L245" s="1069"/>
      <c r="M245" s="699"/>
      <c r="N245" s="699"/>
      <c r="O245" s="700"/>
      <c r="P245" s="699"/>
      <c r="Q245" s="699"/>
      <c r="R245" s="699"/>
      <c r="S245" s="699"/>
      <c r="T245" s="699"/>
      <c r="U245" s="699"/>
      <c r="V245" s="699"/>
      <c r="W245" s="699"/>
      <c r="X245" s="699"/>
      <c r="Y245" s="699"/>
      <c r="Z245" s="699"/>
      <c r="AA245" s="699"/>
      <c r="AB245" s="699"/>
      <c r="AC245" s="699"/>
      <c r="AD245" s="699"/>
      <c r="AE245" s="699"/>
      <c r="AF245" s="699"/>
      <c r="AG245" s="699"/>
      <c r="AH245" s="699"/>
      <c r="AI245" s="699"/>
      <c r="AJ245" s="699"/>
    </row>
    <row r="246" spans="1:36" s="849" customFormat="1" hidden="1">
      <c r="A246" s="683" t="str">
        <f>'10-17'!A3</f>
        <v>Summary of material accounting policies and other explanatory information</v>
      </c>
      <c r="C246" s="1069"/>
      <c r="D246" s="1069"/>
      <c r="E246" s="1069"/>
      <c r="F246" s="1069"/>
      <c r="G246" s="914"/>
      <c r="H246" s="914"/>
      <c r="I246" s="699"/>
      <c r="J246" s="699"/>
      <c r="L246" s="1069"/>
      <c r="M246" s="699"/>
      <c r="N246" s="699"/>
      <c r="O246" s="700"/>
      <c r="P246" s="699"/>
      <c r="Q246" s="699"/>
      <c r="R246" s="699"/>
      <c r="S246" s="699"/>
      <c r="T246" s="699"/>
      <c r="U246" s="699"/>
      <c r="V246" s="699"/>
      <c r="W246" s="699"/>
      <c r="X246" s="699"/>
      <c r="Y246" s="699"/>
      <c r="Z246" s="699"/>
      <c r="AA246" s="699"/>
      <c r="AB246" s="699"/>
      <c r="AC246" s="699"/>
      <c r="AD246" s="699"/>
      <c r="AE246" s="699"/>
      <c r="AF246" s="699"/>
      <c r="AG246" s="699"/>
      <c r="AH246" s="699"/>
      <c r="AI246" s="699"/>
      <c r="AJ246" s="699"/>
    </row>
    <row r="247" spans="1:36" s="849" customFormat="1" hidden="1">
      <c r="A247" s="1066" t="str">
        <f>'10-17'!A4</f>
        <v>(Amounts are stated in ₹ Lakhs unless otherwise stated)</v>
      </c>
      <c r="C247" s="1069"/>
      <c r="D247" s="1069"/>
      <c r="E247" s="1069"/>
      <c r="F247" s="1069"/>
      <c r="G247" s="914"/>
      <c r="H247" s="914"/>
      <c r="I247" s="699"/>
      <c r="J247" s="699"/>
      <c r="L247" s="1069"/>
      <c r="M247" s="699"/>
      <c r="N247" s="699"/>
      <c r="O247" s="700"/>
      <c r="P247" s="699"/>
      <c r="Q247" s="699"/>
      <c r="R247" s="699"/>
      <c r="S247" s="699"/>
      <c r="T247" s="699"/>
      <c r="U247" s="699"/>
      <c r="V247" s="699"/>
      <c r="W247" s="699"/>
      <c r="X247" s="699"/>
      <c r="Y247" s="699"/>
      <c r="Z247" s="699"/>
      <c r="AA247" s="699"/>
      <c r="AB247" s="699"/>
      <c r="AC247" s="699"/>
      <c r="AD247" s="699"/>
      <c r="AE247" s="699"/>
      <c r="AF247" s="699"/>
      <c r="AG247" s="699"/>
      <c r="AH247" s="699"/>
      <c r="AI247" s="699"/>
      <c r="AJ247" s="699"/>
    </row>
    <row r="248" spans="1:36" s="849" customFormat="1" hidden="1">
      <c r="A248" s="878"/>
      <c r="C248" s="1069"/>
      <c r="D248" s="1069"/>
      <c r="E248" s="1069"/>
      <c r="F248" s="1069"/>
      <c r="G248" s="914"/>
      <c r="H248" s="914"/>
      <c r="I248" s="699"/>
      <c r="J248" s="699"/>
      <c r="L248" s="1069"/>
      <c r="M248" s="699"/>
      <c r="N248" s="699"/>
      <c r="O248" s="700"/>
      <c r="P248" s="699"/>
      <c r="Q248" s="699"/>
      <c r="R248" s="699"/>
      <c r="S248" s="699"/>
      <c r="T248" s="699"/>
      <c r="U248" s="699"/>
      <c r="V248" s="699"/>
      <c r="W248" s="699"/>
      <c r="X248" s="699"/>
      <c r="Y248" s="699"/>
      <c r="Z248" s="699"/>
      <c r="AA248" s="699"/>
      <c r="AB248" s="699"/>
      <c r="AC248" s="699"/>
      <c r="AD248" s="699"/>
      <c r="AE248" s="699"/>
      <c r="AF248" s="699"/>
      <c r="AG248" s="699"/>
      <c r="AH248" s="699"/>
      <c r="AI248" s="699"/>
      <c r="AJ248" s="699"/>
    </row>
    <row r="249" spans="1:36" s="849" customFormat="1" hidden="1">
      <c r="A249" s="878"/>
      <c r="C249" s="1069"/>
      <c r="D249" s="1069"/>
      <c r="E249" s="1069"/>
      <c r="F249" s="1069"/>
      <c r="G249" s="914"/>
      <c r="H249" s="914"/>
      <c r="I249" s="699"/>
      <c r="J249" s="699"/>
      <c r="L249" s="1069"/>
      <c r="M249" s="699"/>
      <c r="N249" s="699"/>
      <c r="O249" s="700"/>
      <c r="P249" s="699"/>
      <c r="Q249" s="699"/>
      <c r="R249" s="699"/>
      <c r="S249" s="699"/>
      <c r="T249" s="699"/>
      <c r="U249" s="699"/>
      <c r="V249" s="699"/>
      <c r="W249" s="699"/>
      <c r="X249" s="699"/>
      <c r="Y249" s="699"/>
      <c r="Z249" s="699"/>
      <c r="AA249" s="699"/>
      <c r="AB249" s="699"/>
      <c r="AC249" s="699"/>
      <c r="AD249" s="699"/>
      <c r="AE249" s="699"/>
      <c r="AF249" s="699"/>
      <c r="AG249" s="699"/>
      <c r="AH249" s="699"/>
      <c r="AI249" s="699"/>
      <c r="AJ249" s="699"/>
    </row>
    <row r="250" spans="1:36" s="849" customFormat="1" hidden="1">
      <c r="A250" s="878"/>
      <c r="C250" s="1069"/>
      <c r="D250" s="1069"/>
      <c r="E250" s="1069"/>
      <c r="F250" s="1069"/>
      <c r="G250" s="914"/>
      <c r="H250" s="914"/>
      <c r="I250" s="699"/>
      <c r="J250" s="699"/>
      <c r="L250" s="1069"/>
      <c r="M250" s="699"/>
      <c r="N250" s="699"/>
      <c r="O250" s="700"/>
      <c r="P250" s="699"/>
      <c r="Q250" s="699"/>
      <c r="R250" s="699"/>
      <c r="S250" s="699"/>
      <c r="T250" s="699"/>
      <c r="U250" s="699"/>
      <c r="V250" s="699"/>
      <c r="W250" s="699"/>
      <c r="X250" s="699"/>
      <c r="Y250" s="699"/>
      <c r="Z250" s="699"/>
      <c r="AA250" s="699"/>
      <c r="AB250" s="699"/>
      <c r="AC250" s="699"/>
      <c r="AD250" s="699"/>
      <c r="AE250" s="699"/>
      <c r="AF250" s="699"/>
      <c r="AG250" s="699"/>
      <c r="AH250" s="699"/>
      <c r="AI250" s="699"/>
      <c r="AJ250" s="699"/>
    </row>
    <row r="251" spans="1:36" s="849" customFormat="1" hidden="1">
      <c r="A251" s="878"/>
      <c r="C251" s="1069"/>
      <c r="D251" s="1069"/>
      <c r="E251" s="1069"/>
      <c r="F251" s="1069"/>
      <c r="G251" s="914"/>
      <c r="H251" s="914"/>
      <c r="I251" s="699"/>
      <c r="J251" s="699"/>
      <c r="L251" s="1069"/>
      <c r="M251" s="699"/>
      <c r="N251" s="699"/>
      <c r="O251" s="700"/>
      <c r="P251" s="699"/>
      <c r="Q251" s="699"/>
      <c r="R251" s="699"/>
      <c r="S251" s="699"/>
      <c r="T251" s="699"/>
      <c r="U251" s="699"/>
      <c r="V251" s="699"/>
      <c r="W251" s="699"/>
      <c r="X251" s="699"/>
      <c r="Y251" s="699"/>
      <c r="Z251" s="699"/>
      <c r="AA251" s="699"/>
      <c r="AB251" s="699"/>
      <c r="AC251" s="699"/>
      <c r="AD251" s="699"/>
      <c r="AE251" s="699"/>
      <c r="AF251" s="699"/>
      <c r="AG251" s="699"/>
      <c r="AH251" s="699"/>
      <c r="AI251" s="699"/>
      <c r="AJ251" s="699"/>
    </row>
    <row r="252" spans="1:36" s="849" customFormat="1" hidden="1">
      <c r="A252" s="683">
        <f>+A189</f>
        <v>25</v>
      </c>
      <c r="B252" s="681" t="s">
        <v>1977</v>
      </c>
      <c r="C252" s="1069"/>
      <c r="D252" s="1069"/>
      <c r="E252" s="1069"/>
      <c r="F252" s="1069"/>
      <c r="G252" s="914"/>
      <c r="H252" s="914"/>
      <c r="I252" s="699"/>
      <c r="J252" s="699"/>
      <c r="L252" s="1069"/>
      <c r="M252" s="699"/>
      <c r="N252" s="699"/>
      <c r="O252" s="700"/>
      <c r="P252" s="699"/>
      <c r="Q252" s="699"/>
      <c r="R252" s="699"/>
      <c r="S252" s="699"/>
      <c r="T252" s="699"/>
      <c r="U252" s="699"/>
      <c r="V252" s="699"/>
      <c r="W252" s="699"/>
      <c r="X252" s="699"/>
      <c r="Y252" s="699"/>
      <c r="Z252" s="699"/>
      <c r="AA252" s="699"/>
      <c r="AB252" s="699"/>
      <c r="AC252" s="699"/>
      <c r="AD252" s="699"/>
      <c r="AE252" s="699"/>
      <c r="AF252" s="699"/>
      <c r="AG252" s="699"/>
      <c r="AH252" s="699"/>
      <c r="AI252" s="699"/>
      <c r="AJ252" s="699"/>
    </row>
    <row r="253" spans="1:36" ht="4.95" customHeight="1"/>
    <row r="254" spans="1:36" ht="12.75" customHeight="1">
      <c r="B254" s="1755" t="s">
        <v>2925</v>
      </c>
      <c r="C254" s="1755"/>
      <c r="D254" s="1755"/>
      <c r="E254" s="1755"/>
      <c r="F254" s="1755"/>
      <c r="G254" s="1755"/>
      <c r="H254" s="1755"/>
      <c r="I254" s="1755"/>
      <c r="J254" s="1755"/>
      <c r="K254" s="1061"/>
      <c r="L254" s="1061"/>
    </row>
    <row r="255" spans="1:36" ht="1.5" customHeight="1">
      <c r="B255" s="1061"/>
      <c r="C255" s="1061"/>
      <c r="D255" s="1061"/>
      <c r="E255" s="1061"/>
      <c r="F255" s="1061"/>
      <c r="G255" s="1061"/>
      <c r="H255" s="1061"/>
      <c r="I255" s="1061"/>
      <c r="J255" s="1061"/>
      <c r="K255" s="1061"/>
      <c r="L255" s="1061"/>
    </row>
    <row r="256" spans="1:36">
      <c r="B256" s="683" t="s">
        <v>346</v>
      </c>
      <c r="C256" s="1061"/>
      <c r="D256" s="1061"/>
      <c r="E256" s="1061"/>
      <c r="F256" s="1061"/>
      <c r="G256" s="1061"/>
      <c r="H256" s="1061"/>
      <c r="I256" s="1061"/>
      <c r="J256" s="1061"/>
      <c r="K256" s="1061"/>
      <c r="L256" s="1061"/>
    </row>
    <row r="257" spans="1:15">
      <c r="B257" s="748"/>
      <c r="D257" s="739"/>
      <c r="E257" s="739"/>
      <c r="H257" s="735"/>
      <c r="I257" s="684" t="s">
        <v>1872</v>
      </c>
      <c r="J257" s="684" t="s">
        <v>1872</v>
      </c>
      <c r="K257" s="1061"/>
      <c r="L257" s="1061"/>
    </row>
    <row r="258" spans="1:15">
      <c r="B258" s="1074"/>
      <c r="C258" s="711"/>
      <c r="D258" s="816"/>
      <c r="E258" s="816"/>
      <c r="F258" s="711"/>
      <c r="G258" s="711"/>
      <c r="H258" s="758"/>
      <c r="I258" s="758">
        <f>BS!$G$7</f>
        <v>45747</v>
      </c>
      <c r="J258" s="758">
        <f>BS!$I$7</f>
        <v>45382</v>
      </c>
      <c r="K258" s="1061"/>
      <c r="L258" s="1061"/>
    </row>
    <row r="259" spans="1:15" ht="5.0999999999999996" customHeight="1">
      <c r="B259" s="748"/>
      <c r="D259" s="739"/>
      <c r="E259" s="739"/>
      <c r="H259" s="735"/>
      <c r="I259" s="735"/>
      <c r="J259" s="735"/>
      <c r="K259" s="1061"/>
      <c r="L259" s="1061"/>
    </row>
    <row r="260" spans="1:15">
      <c r="B260" s="1756" t="s">
        <v>3114</v>
      </c>
      <c r="C260" s="1756"/>
      <c r="D260" s="1756"/>
      <c r="E260" s="1756"/>
      <c r="F260" s="1756"/>
      <c r="G260" s="1756"/>
      <c r="H260" s="1756"/>
      <c r="I260" s="873">
        <f>BS!G21</f>
        <v>-839640</v>
      </c>
      <c r="J260" s="873">
        <f>BS!I21</f>
        <v>40668266</v>
      </c>
      <c r="K260" s="1061"/>
      <c r="L260" s="1061"/>
      <c r="M260" s="699">
        <v>40861314.30060479</v>
      </c>
      <c r="N260" s="873">
        <f>+M260-I260</f>
        <v>41700954.30060479</v>
      </c>
    </row>
    <row r="261" spans="1:15">
      <c r="B261" s="748"/>
      <c r="D261" s="739"/>
      <c r="E261" s="739"/>
      <c r="H261" s="867"/>
      <c r="I261" s="867"/>
      <c r="J261" s="873"/>
      <c r="K261" s="1061"/>
      <c r="L261" s="1061"/>
    </row>
    <row r="262" spans="1:15">
      <c r="B262" s="1046" t="s">
        <v>173</v>
      </c>
      <c r="C262" s="1058"/>
      <c r="D262" s="1079"/>
      <c r="E262" s="1079"/>
      <c r="F262" s="1058"/>
      <c r="G262" s="1058"/>
      <c r="H262" s="1036"/>
      <c r="I262" s="971">
        <f>I260-I261</f>
        <v>-839640</v>
      </c>
      <c r="J262" s="971">
        <f>J260-J261</f>
        <v>40668266</v>
      </c>
      <c r="K262" s="1061"/>
      <c r="L262" s="1061"/>
    </row>
    <row r="263" spans="1:15" ht="6.45" customHeight="1">
      <c r="A263" s="699"/>
      <c r="B263" s="748"/>
      <c r="D263" s="739"/>
      <c r="E263" s="739"/>
      <c r="H263" s="867"/>
      <c r="I263" s="867"/>
      <c r="J263" s="867"/>
      <c r="K263" s="1061"/>
      <c r="L263" s="1061"/>
      <c r="O263" s="699"/>
    </row>
    <row r="264" spans="1:15" hidden="1">
      <c r="A264" s="699"/>
      <c r="B264" s="683" t="s">
        <v>347</v>
      </c>
      <c r="C264" s="1061"/>
      <c r="D264" s="1061"/>
      <c r="E264" s="1061"/>
      <c r="F264" s="1061"/>
      <c r="G264" s="1061"/>
      <c r="H264" s="1061"/>
      <c r="I264" s="1061"/>
      <c r="J264" s="1061"/>
      <c r="K264" s="1061"/>
      <c r="L264" s="1061"/>
      <c r="O264" s="699"/>
    </row>
    <row r="265" spans="1:15" ht="5.0999999999999996" hidden="1" customHeight="1">
      <c r="A265" s="699"/>
      <c r="B265" s="683"/>
      <c r="C265" s="1061"/>
      <c r="D265" s="1061"/>
      <c r="E265" s="1061"/>
      <c r="F265" s="1061"/>
      <c r="G265" s="1061"/>
      <c r="H265" s="1061"/>
      <c r="I265" s="1061"/>
      <c r="J265" s="1061"/>
      <c r="K265" s="1061"/>
      <c r="L265" s="1061"/>
      <c r="O265" s="699"/>
    </row>
    <row r="266" spans="1:15" hidden="1">
      <c r="A266" s="699"/>
      <c r="B266" s="748"/>
      <c r="D266" s="739"/>
      <c r="E266" s="739"/>
      <c r="H266" s="735"/>
      <c r="I266" s="684" t="s">
        <v>1872</v>
      </c>
      <c r="J266" s="684" t="s">
        <v>1872</v>
      </c>
      <c r="K266" s="1061"/>
      <c r="L266" s="1061"/>
      <c r="O266" s="699"/>
    </row>
    <row r="267" spans="1:15" hidden="1">
      <c r="A267" s="699"/>
      <c r="B267" s="1074"/>
      <c r="C267" s="711"/>
      <c r="D267" s="816"/>
      <c r="E267" s="816"/>
      <c r="F267" s="711"/>
      <c r="G267" s="711"/>
      <c r="H267" s="758"/>
      <c r="I267" s="758">
        <f>BS!$G$7</f>
        <v>45747</v>
      </c>
      <c r="J267" s="758">
        <f>BS!$I$7</f>
        <v>45382</v>
      </c>
      <c r="K267" s="1061"/>
      <c r="L267" s="1061"/>
      <c r="O267" s="699"/>
    </row>
    <row r="268" spans="1:15" ht="5.0999999999999996" hidden="1" customHeight="1">
      <c r="A268" s="699"/>
      <c r="B268" s="748"/>
      <c r="D268" s="739"/>
      <c r="E268" s="739"/>
      <c r="H268" s="735"/>
      <c r="I268" s="735"/>
      <c r="J268" s="735"/>
      <c r="K268" s="1061"/>
      <c r="L268" s="1061"/>
      <c r="O268" s="699"/>
    </row>
    <row r="269" spans="1:15" ht="24.75" hidden="1" customHeight="1">
      <c r="A269" s="699"/>
      <c r="B269" s="1753" t="s">
        <v>2034</v>
      </c>
      <c r="C269" s="1751"/>
      <c r="D269" s="1751"/>
      <c r="E269" s="1751"/>
      <c r="F269" s="1751"/>
      <c r="G269" s="1751"/>
      <c r="H269" s="867"/>
      <c r="I269" s="867">
        <f>BS!G33</f>
        <v>0</v>
      </c>
      <c r="J269" s="873">
        <f>BS!I33</f>
        <v>0</v>
      </c>
      <c r="K269" s="1061"/>
      <c r="L269" s="1061"/>
      <c r="O269" s="699"/>
    </row>
    <row r="270" spans="1:15" hidden="1">
      <c r="A270" s="699"/>
      <c r="B270" s="748"/>
      <c r="D270" s="739"/>
      <c r="E270" s="739"/>
      <c r="H270" s="867"/>
      <c r="I270" s="867"/>
      <c r="J270" s="873"/>
      <c r="K270" s="1061"/>
      <c r="L270" s="1061"/>
      <c r="O270" s="699"/>
    </row>
    <row r="271" spans="1:15" ht="5.25" hidden="1" customHeight="1">
      <c r="A271" s="699"/>
      <c r="B271" s="748"/>
      <c r="D271" s="739"/>
      <c r="E271" s="739"/>
      <c r="H271" s="867"/>
      <c r="I271" s="735"/>
      <c r="J271" s="735"/>
      <c r="K271" s="1061"/>
      <c r="L271" s="1061"/>
      <c r="O271" s="699"/>
    </row>
    <row r="272" spans="1:15" hidden="1">
      <c r="A272" s="699"/>
      <c r="B272" s="1046" t="s">
        <v>173</v>
      </c>
      <c r="C272" s="1058"/>
      <c r="D272" s="1079"/>
      <c r="E272" s="1079"/>
      <c r="F272" s="1058"/>
      <c r="G272" s="1058"/>
      <c r="H272" s="1058"/>
      <c r="I272" s="971">
        <f>I269-I270</f>
        <v>0</v>
      </c>
      <c r="J272" s="971">
        <f>J269-J270</f>
        <v>0</v>
      </c>
      <c r="K272" s="1061"/>
      <c r="L272" s="1061"/>
      <c r="O272" s="699"/>
    </row>
    <row r="273" spans="1:15" hidden="1">
      <c r="A273" s="683">
        <f>+A189</f>
        <v>25</v>
      </c>
      <c r="B273" s="681" t="s">
        <v>1977</v>
      </c>
      <c r="D273" s="739"/>
      <c r="E273" s="739"/>
      <c r="H273" s="867"/>
      <c r="I273" s="867"/>
      <c r="J273" s="867"/>
      <c r="K273" s="1061"/>
      <c r="L273" s="1061"/>
      <c r="O273" s="699"/>
    </row>
    <row r="274" spans="1:15">
      <c r="A274" s="699"/>
      <c r="B274" s="683" t="s">
        <v>348</v>
      </c>
      <c r="C274" s="1061"/>
      <c r="D274" s="1061"/>
      <c r="E274" s="1061"/>
      <c r="F274" s="1061"/>
      <c r="G274" s="1061"/>
      <c r="H274" s="1061"/>
      <c r="I274" s="1061"/>
      <c r="J274" s="1061"/>
      <c r="K274" s="1061"/>
      <c r="L274" s="1061"/>
      <c r="O274" s="699"/>
    </row>
    <row r="275" spans="1:15" ht="5.0999999999999996" customHeight="1">
      <c r="A275" s="699"/>
      <c r="B275" s="683"/>
      <c r="C275" s="1061"/>
      <c r="D275" s="1061"/>
      <c r="E275" s="1061"/>
      <c r="F275" s="1061"/>
      <c r="G275" s="1061"/>
      <c r="H275" s="1061"/>
      <c r="I275" s="1061"/>
      <c r="J275" s="1061"/>
      <c r="K275" s="1061"/>
      <c r="L275" s="1061"/>
      <c r="O275" s="699"/>
    </row>
    <row r="276" spans="1:15">
      <c r="A276" s="699"/>
      <c r="B276" s="748"/>
      <c r="D276" s="739"/>
      <c r="E276" s="739"/>
      <c r="H276" s="735"/>
      <c r="I276" s="684" t="s">
        <v>1872</v>
      </c>
      <c r="J276" s="684" t="s">
        <v>1872</v>
      </c>
      <c r="K276" s="1061"/>
      <c r="L276" s="1061"/>
      <c r="O276" s="699"/>
    </row>
    <row r="277" spans="1:15">
      <c r="A277" s="699"/>
      <c r="B277" s="1074"/>
      <c r="C277" s="711"/>
      <c r="D277" s="816"/>
      <c r="E277" s="816"/>
      <c r="F277" s="711"/>
      <c r="G277" s="711"/>
      <c r="H277" s="758"/>
      <c r="I277" s="760">
        <f>BS!$G$7</f>
        <v>45747</v>
      </c>
      <c r="J277" s="760">
        <f>BS!$I$7</f>
        <v>45382</v>
      </c>
      <c r="K277" s="1061"/>
      <c r="L277" s="1061"/>
      <c r="O277" s="699"/>
    </row>
    <row r="278" spans="1:15" ht="5.0999999999999996" customHeight="1">
      <c r="A278" s="699"/>
      <c r="B278" s="748"/>
      <c r="D278" s="739"/>
      <c r="E278" s="739"/>
      <c r="H278" s="735"/>
      <c r="I278" s="735"/>
      <c r="J278" s="735"/>
      <c r="K278" s="1061"/>
      <c r="L278" s="1061"/>
      <c r="O278" s="699"/>
    </row>
    <row r="279" spans="1:15">
      <c r="A279" s="699"/>
      <c r="B279" s="1750" t="s">
        <v>3113</v>
      </c>
      <c r="C279" s="1751"/>
      <c r="D279" s="1751"/>
      <c r="E279" s="1751"/>
      <c r="F279" s="1751"/>
      <c r="G279" s="1751"/>
      <c r="H279" s="867"/>
      <c r="I279" s="1152">
        <f>BS!G65</f>
        <v>0</v>
      </c>
      <c r="J279" s="1152">
        <f>BS!I65</f>
        <v>0</v>
      </c>
      <c r="K279" s="1061"/>
      <c r="L279" s="1061"/>
      <c r="O279" s="699"/>
    </row>
    <row r="280" spans="1:15" hidden="1">
      <c r="A280" s="699"/>
      <c r="B280" s="748"/>
      <c r="D280" s="739"/>
      <c r="E280" s="739"/>
      <c r="H280" s="867"/>
      <c r="I280" s="873"/>
      <c r="J280" s="873"/>
      <c r="K280" s="1061"/>
      <c r="L280" s="1061"/>
      <c r="O280" s="699"/>
    </row>
    <row r="281" spans="1:15" ht="11.25" customHeight="1">
      <c r="A281" s="699"/>
      <c r="B281" s="748"/>
      <c r="D281" s="739"/>
      <c r="E281" s="739"/>
      <c r="H281" s="867"/>
      <c r="I281" s="736"/>
      <c r="J281" s="735"/>
      <c r="K281" s="1061"/>
      <c r="L281" s="1061"/>
      <c r="O281" s="699"/>
    </row>
    <row r="282" spans="1:15">
      <c r="A282" s="699"/>
      <c r="B282" s="1046" t="s">
        <v>173</v>
      </c>
      <c r="C282" s="1058"/>
      <c r="D282" s="1079"/>
      <c r="E282" s="1079"/>
      <c r="F282" s="1058"/>
      <c r="G282" s="1058"/>
      <c r="H282" s="1058"/>
      <c r="I282" s="1155">
        <f>I279-I280</f>
        <v>0</v>
      </c>
      <c r="J282" s="1155">
        <f>J279-J280</f>
        <v>0</v>
      </c>
      <c r="K282" s="1061"/>
      <c r="L282" s="1061"/>
      <c r="O282" s="699"/>
    </row>
    <row r="283" spans="1:15">
      <c r="A283" s="699"/>
      <c r="B283" s="1166" t="s">
        <v>2752</v>
      </c>
      <c r="C283" s="849"/>
      <c r="D283" s="846"/>
      <c r="E283" s="846"/>
      <c r="F283" s="849"/>
      <c r="G283" s="849"/>
      <c r="H283" s="849"/>
      <c r="I283" s="849"/>
      <c r="J283" s="849"/>
      <c r="K283" s="1061"/>
      <c r="L283" s="1061"/>
      <c r="O283" s="699"/>
    </row>
    <row r="284" spans="1:15">
      <c r="A284" s="699"/>
      <c r="O284" s="699"/>
    </row>
    <row r="285" spans="1:15">
      <c r="A285" s="699"/>
      <c r="B285" s="681" t="s">
        <v>2063</v>
      </c>
      <c r="O285" s="699"/>
    </row>
    <row r="286" spans="1:15">
      <c r="A286" s="699"/>
      <c r="B286" s="748"/>
      <c r="D286" s="739"/>
      <c r="E286" s="739"/>
      <c r="I286" s="735" t="str">
        <f>+I276</f>
        <v>Year ended</v>
      </c>
      <c r="J286" s="735" t="str">
        <f>+J276</f>
        <v>Year ended</v>
      </c>
      <c r="O286" s="699"/>
    </row>
    <row r="287" spans="1:15">
      <c r="A287" s="699"/>
      <c r="B287" s="1074"/>
      <c r="C287" s="711"/>
      <c r="D287" s="816"/>
      <c r="E287" s="816"/>
      <c r="F287" s="711"/>
      <c r="G287" s="711"/>
      <c r="H287" s="711"/>
      <c r="I287" s="758">
        <f>+I277</f>
        <v>45747</v>
      </c>
      <c r="J287" s="758">
        <f>+J277</f>
        <v>45382</v>
      </c>
      <c r="O287" s="699"/>
    </row>
    <row r="288" spans="1:15">
      <c r="A288" s="699"/>
      <c r="B288" s="1169" t="s">
        <v>2064</v>
      </c>
      <c r="D288" s="739"/>
      <c r="E288" s="739"/>
      <c r="I288" s="1170">
        <f>J294</f>
        <v>40628891.200000003</v>
      </c>
      <c r="J288" s="1070">
        <f>ROUND((41980392)/Master!$B$23,0)</f>
        <v>41980392</v>
      </c>
      <c r="O288" s="699"/>
    </row>
    <row r="289" spans="1:17">
      <c r="A289" s="699"/>
      <c r="B289" s="1169" t="s">
        <v>2065</v>
      </c>
      <c r="D289" s="739"/>
      <c r="E289" s="739"/>
      <c r="I289" s="1171">
        <f>-PL!F29</f>
        <v>-42613709</v>
      </c>
      <c r="J289" s="1070">
        <f>-PL!H29</f>
        <v>-4035301</v>
      </c>
      <c r="M289" s="1152"/>
      <c r="O289" s="699"/>
    </row>
    <row r="290" spans="1:17">
      <c r="A290" s="699"/>
      <c r="B290" s="1169" t="s">
        <v>2807</v>
      </c>
      <c r="D290" s="739"/>
      <c r="E290" s="739"/>
      <c r="I290" s="1171">
        <f>-I235</f>
        <v>-42559182</v>
      </c>
      <c r="J290" s="1171">
        <f>-J235</f>
        <v>0</v>
      </c>
      <c r="M290" s="1152"/>
      <c r="O290" s="699"/>
    </row>
    <row r="291" spans="1:17">
      <c r="A291" s="699"/>
      <c r="B291" s="1169" t="s">
        <v>2069</v>
      </c>
      <c r="D291" s="739"/>
      <c r="E291" s="739"/>
      <c r="I291" s="1689">
        <f>-CF!F45</f>
        <v>1105803</v>
      </c>
      <c r="J291" s="1070">
        <f>-CF!H45</f>
        <v>2683800</v>
      </c>
      <c r="O291" s="699"/>
    </row>
    <row r="292" spans="1:17" hidden="1">
      <c r="A292" s="699"/>
      <c r="B292" s="1169" t="s">
        <v>2066</v>
      </c>
      <c r="D292" s="739"/>
      <c r="E292" s="739"/>
      <c r="I292" s="934"/>
      <c r="J292" s="1070">
        <v>0</v>
      </c>
      <c r="O292" s="699"/>
    </row>
    <row r="293" spans="1:17">
      <c r="A293" s="699"/>
      <c r="B293" s="1166" t="s">
        <v>2067</v>
      </c>
      <c r="D293" s="739"/>
      <c r="E293" s="739"/>
      <c r="I293" s="1171">
        <v>0</v>
      </c>
      <c r="J293" s="1070">
        <f>-(J289-0.76277)*0</f>
        <v>0</v>
      </c>
      <c r="M293" s="1152"/>
      <c r="O293" s="699"/>
    </row>
    <row r="294" spans="1:17">
      <c r="A294" s="699"/>
      <c r="B294" s="1091" t="s">
        <v>2068</v>
      </c>
      <c r="C294" s="1035"/>
      <c r="D294" s="1050"/>
      <c r="E294" s="1050"/>
      <c r="F294" s="1035"/>
      <c r="G294" s="1035"/>
      <c r="H294" s="1035"/>
      <c r="I294" s="1172">
        <f>SUM(I288:I293)</f>
        <v>-43438196.799999997</v>
      </c>
      <c r="J294" s="1172">
        <f>SUM(J288:J293)+0.2</f>
        <v>40628891.200000003</v>
      </c>
      <c r="M294" s="699">
        <v>38138342</v>
      </c>
      <c r="N294" s="1152">
        <v>40668266</v>
      </c>
      <c r="O294" s="1152">
        <f>I294-M294</f>
        <v>-81576538.799999997</v>
      </c>
      <c r="P294" s="1152"/>
      <c r="Q294" s="1152">
        <f>J294-N294</f>
        <v>-39374.79999999702</v>
      </c>
    </row>
    <row r="295" spans="1:17">
      <c r="A295" s="699"/>
      <c r="M295" s="1590"/>
      <c r="O295" s="699"/>
    </row>
    <row r="296" spans="1:17">
      <c r="B296" s="729" t="s">
        <v>350</v>
      </c>
      <c r="C296" s="681"/>
      <c r="D296" s="689"/>
      <c r="E296" s="689"/>
      <c r="F296" s="681"/>
      <c r="G296" s="681"/>
      <c r="H296" s="681"/>
      <c r="I296" s="681"/>
      <c r="J296" s="681"/>
      <c r="K296" s="681"/>
      <c r="O296" s="699"/>
    </row>
    <row r="297" spans="1:17">
      <c r="B297" s="748"/>
      <c r="D297" s="739"/>
      <c r="E297" s="1748" t="str">
        <f>+I276</f>
        <v>Year ended</v>
      </c>
      <c r="F297" s="1749"/>
      <c r="G297" s="1749"/>
      <c r="H297" s="1739" t="str">
        <f>J276</f>
        <v>Year ended</v>
      </c>
      <c r="I297" s="1744"/>
      <c r="J297" s="1744"/>
      <c r="O297" s="699"/>
    </row>
    <row r="298" spans="1:17">
      <c r="B298" s="1074"/>
      <c r="C298" s="711"/>
      <c r="D298" s="816"/>
      <c r="E298" s="1743">
        <f>+I287</f>
        <v>45747</v>
      </c>
      <c r="F298" s="1743"/>
      <c r="G298" s="1743"/>
      <c r="H298" s="1754">
        <f>+J287</f>
        <v>45382</v>
      </c>
      <c r="I298" s="1754"/>
      <c r="J298" s="1754"/>
      <c r="O298" s="699"/>
    </row>
    <row r="299" spans="1:17" ht="16.5" customHeight="1">
      <c r="B299" s="748"/>
      <c r="D299" s="739"/>
      <c r="E299" s="935" t="s">
        <v>351</v>
      </c>
      <c r="F299" s="936" t="s">
        <v>70</v>
      </c>
      <c r="G299" s="935" t="s">
        <v>352</v>
      </c>
      <c r="H299" s="935" t="s">
        <v>351</v>
      </c>
      <c r="I299" s="936" t="s">
        <v>70</v>
      </c>
      <c r="J299" s="935" t="s">
        <v>352</v>
      </c>
      <c r="O299" s="699"/>
    </row>
    <row r="300" spans="1:17" ht="26.25" customHeight="1">
      <c r="B300" s="1750" t="s">
        <v>2621</v>
      </c>
      <c r="C300" s="1751"/>
      <c r="D300" s="1751"/>
      <c r="E300" s="1250">
        <f>+PL!F41</f>
        <v>-46765</v>
      </c>
      <c r="F300" s="1250">
        <f>-E300*27.82%</f>
        <v>13010.022999999999</v>
      </c>
      <c r="G300" s="1250">
        <f>+E300+F300</f>
        <v>-33754.976999999999</v>
      </c>
      <c r="H300" s="740">
        <f>+PL!H41</f>
        <v>-30176</v>
      </c>
      <c r="I300" s="740">
        <f>+PL!H42</f>
        <v>8395</v>
      </c>
      <c r="J300" s="740">
        <f>+H300+I300</f>
        <v>-21781</v>
      </c>
      <c r="O300" s="699"/>
    </row>
    <row r="301" spans="1:17">
      <c r="B301" s="1080"/>
      <c r="C301" s="1035"/>
      <c r="D301" s="1050"/>
      <c r="E301" s="743">
        <f t="shared" ref="E301:J301" si="1">SUM(E300)</f>
        <v>-46765</v>
      </c>
      <c r="F301" s="1440">
        <f t="shared" si="1"/>
        <v>13010.022999999999</v>
      </c>
      <c r="G301" s="743">
        <f t="shared" si="1"/>
        <v>-33754.976999999999</v>
      </c>
      <c r="H301" s="743">
        <f t="shared" si="1"/>
        <v>-30176</v>
      </c>
      <c r="I301" s="743">
        <f t="shared" si="1"/>
        <v>8395</v>
      </c>
      <c r="J301" s="743">
        <f t="shared" si="1"/>
        <v>-21781</v>
      </c>
      <c r="O301" s="699"/>
    </row>
    <row r="302" spans="1:17" hidden="1">
      <c r="O302" s="699"/>
    </row>
    <row r="303" spans="1:17" hidden="1">
      <c r="O303" s="699"/>
    </row>
    <row r="304" spans="1:17" hidden="1">
      <c r="O304" s="699"/>
    </row>
    <row r="305" spans="1:15" hidden="1">
      <c r="B305" s="1149" t="s">
        <v>2023</v>
      </c>
      <c r="O305" s="699"/>
    </row>
    <row r="306" spans="1:15" hidden="1">
      <c r="A306" s="689"/>
      <c r="B306" s="1149"/>
      <c r="O306" s="699"/>
    </row>
    <row r="307" spans="1:15" hidden="1">
      <c r="A307" s="754"/>
      <c r="B307" s="1149"/>
      <c r="O307" s="699"/>
    </row>
    <row r="308" spans="1:15" hidden="1">
      <c r="A308" s="683" t="str">
        <f>'10-17'!A3</f>
        <v>Summary of material accounting policies and other explanatory information</v>
      </c>
      <c r="B308" s="1149"/>
      <c r="O308" s="699"/>
    </row>
    <row r="309" spans="1:15" hidden="1">
      <c r="A309" s="1066" t="str">
        <f>'10-17'!A4</f>
        <v>(Amounts are stated in ₹ Lakhs unless otherwise stated)</v>
      </c>
      <c r="B309" s="1149"/>
      <c r="O309" s="699"/>
    </row>
    <row r="310" spans="1:15" hidden="1">
      <c r="B310" s="1149"/>
      <c r="O310" s="699"/>
    </row>
    <row r="311" spans="1:15" hidden="1">
      <c r="B311" s="1149"/>
      <c r="O311" s="699"/>
    </row>
    <row r="312" spans="1:15">
      <c r="B312" s="1149"/>
      <c r="O312" s="699"/>
    </row>
    <row r="313" spans="1:15">
      <c r="A313" s="683">
        <f>A189+1</f>
        <v>26</v>
      </c>
      <c r="B313" s="681" t="s">
        <v>787</v>
      </c>
      <c r="O313" s="699"/>
    </row>
    <row r="314" spans="1:15" ht="54" customHeight="1">
      <c r="A314" s="937" t="s">
        <v>131</v>
      </c>
      <c r="B314" s="1729" t="s">
        <v>3115</v>
      </c>
      <c r="C314" s="1730"/>
      <c r="D314" s="1730"/>
      <c r="E314" s="1730"/>
      <c r="F314" s="1730"/>
      <c r="G314" s="1730"/>
      <c r="H314" s="1730"/>
      <c r="I314" s="1730"/>
      <c r="J314" s="1730"/>
      <c r="O314" s="699"/>
    </row>
    <row r="315" spans="1:15" hidden="1">
      <c r="A315" s="937"/>
      <c r="C315" s="694" t="s">
        <v>835</v>
      </c>
      <c r="D315" s="704"/>
      <c r="E315" s="704"/>
      <c r="F315" s="704"/>
      <c r="G315" s="704"/>
      <c r="H315" s="704"/>
      <c r="I315" s="684" t="s">
        <v>1872</v>
      </c>
      <c r="J315" s="684" t="s">
        <v>1872</v>
      </c>
      <c r="O315" s="699"/>
    </row>
    <row r="316" spans="1:15" hidden="1">
      <c r="A316" s="937"/>
      <c r="C316" s="711"/>
      <c r="D316" s="963"/>
      <c r="E316" s="963"/>
      <c r="F316" s="963"/>
      <c r="G316" s="963"/>
      <c r="H316" s="963"/>
      <c r="I316" s="760">
        <f>BS!$G$7</f>
        <v>45747</v>
      </c>
      <c r="J316" s="760">
        <f>BS!$I$7</f>
        <v>45382</v>
      </c>
      <c r="O316" s="699"/>
    </row>
    <row r="317" spans="1:15" hidden="1">
      <c r="A317" s="937"/>
      <c r="C317" s="1082" t="s">
        <v>1947</v>
      </c>
      <c r="D317" s="704"/>
      <c r="E317" s="704"/>
      <c r="F317" s="704"/>
      <c r="G317" s="704"/>
      <c r="H317" s="704"/>
      <c r="I317" s="740">
        <f>ROUND(('PL Gr'!E141+'PL Gr'!E140)/Master!$B$23,0)</f>
        <v>0</v>
      </c>
      <c r="J317" s="740">
        <f>ROUND(('PL Gr'!G141+'PL Gr'!G140)/Master!$B$23,0)</f>
        <v>0</v>
      </c>
      <c r="O317" s="699"/>
    </row>
    <row r="318" spans="1:15" hidden="1">
      <c r="A318" s="937"/>
      <c r="C318" s="1141" t="s">
        <v>2033</v>
      </c>
      <c r="D318" s="704"/>
      <c r="E318" s="704"/>
      <c r="F318" s="704"/>
      <c r="G318" s="704"/>
      <c r="H318" s="704"/>
      <c r="I318" s="1154">
        <f>ROUND(('PL Gr'!E143+'PL Gr'!E138)/Master!$B$23,0)</f>
        <v>104408</v>
      </c>
      <c r="J318" s="1154">
        <f>ROUND(('PL Gr'!G143+'PL Gr'!G138)/Master!$B$23,0)</f>
        <v>132173</v>
      </c>
      <c r="O318" s="699"/>
    </row>
    <row r="319" spans="1:15" hidden="1">
      <c r="A319" s="937"/>
      <c r="C319" s="1083" t="s">
        <v>173</v>
      </c>
      <c r="D319" s="1083"/>
      <c r="E319" s="1083"/>
      <c r="F319" s="1083"/>
      <c r="G319" s="1083"/>
      <c r="H319" s="1083"/>
      <c r="I319" s="743">
        <f>SUM(I317:I318)</f>
        <v>104408</v>
      </c>
      <c r="J319" s="743">
        <f>SUM(J317:J318)</f>
        <v>132173</v>
      </c>
      <c r="K319" s="1086"/>
      <c r="O319" s="699"/>
    </row>
    <row r="320" spans="1:15" hidden="1">
      <c r="A320" s="937"/>
      <c r="C320" s="1149" t="s">
        <v>2023</v>
      </c>
      <c r="D320" s="694"/>
      <c r="E320" s="694"/>
      <c r="F320" s="694"/>
      <c r="G320" s="694"/>
      <c r="H320" s="694"/>
      <c r="I320" s="738"/>
      <c r="J320" s="738"/>
      <c r="K320" s="1086"/>
      <c r="O320" s="699"/>
    </row>
    <row r="321" spans="1:36" ht="5.0999999999999996" customHeight="1">
      <c r="A321" s="937"/>
      <c r="O321" s="699"/>
    </row>
    <row r="322" spans="1:36" ht="60" customHeight="1">
      <c r="A322" s="937" t="s">
        <v>133</v>
      </c>
      <c r="B322" s="1733" t="s">
        <v>3015</v>
      </c>
      <c r="C322" s="1733"/>
      <c r="D322" s="1733"/>
      <c r="E322" s="1733"/>
      <c r="F322" s="1733"/>
      <c r="G322" s="1733"/>
      <c r="H322" s="1733"/>
      <c r="I322" s="1733"/>
      <c r="J322" s="1733"/>
      <c r="O322" s="699"/>
    </row>
    <row r="323" spans="1:36" ht="5.0999999999999996" customHeight="1">
      <c r="A323" s="937"/>
      <c r="O323" s="699"/>
    </row>
    <row r="324" spans="1:36">
      <c r="A324" s="937"/>
      <c r="B324" s="683" t="s">
        <v>1952</v>
      </c>
      <c r="D324" s="922"/>
      <c r="E324" s="922"/>
      <c r="F324" s="922"/>
      <c r="I324" s="684" t="s">
        <v>1872</v>
      </c>
      <c r="J324" s="684" t="s">
        <v>1872</v>
      </c>
    </row>
    <row r="325" spans="1:36">
      <c r="A325" s="937"/>
      <c r="B325" s="923"/>
      <c r="C325" s="711"/>
      <c r="D325" s="1085"/>
      <c r="E325" s="1085"/>
      <c r="F325" s="1085"/>
      <c r="G325" s="711"/>
      <c r="H325" s="711"/>
      <c r="I325" s="760">
        <f>BS!$G$7</f>
        <v>45747</v>
      </c>
      <c r="J325" s="760">
        <f>BS!$I$7</f>
        <v>45382</v>
      </c>
    </row>
    <row r="326" spans="1:36">
      <c r="A326" s="937"/>
      <c r="B326" s="701" t="s">
        <v>353</v>
      </c>
      <c r="D326" s="701"/>
      <c r="E326" s="701"/>
      <c r="F326" s="701"/>
      <c r="I326" s="1693">
        <v>6.9000000000000006E-2</v>
      </c>
      <c r="J326" s="1281">
        <v>6.9000000000000006E-2</v>
      </c>
    </row>
    <row r="327" spans="1:36" ht="52.8">
      <c r="A327" s="937"/>
      <c r="B327" s="701" t="s">
        <v>354</v>
      </c>
      <c r="D327" s="701"/>
      <c r="E327" s="701"/>
      <c r="F327" s="701"/>
      <c r="I327" s="1694" t="s">
        <v>2926</v>
      </c>
      <c r="J327" s="1391" t="s">
        <v>2926</v>
      </c>
    </row>
    <row r="328" spans="1:36">
      <c r="A328" s="937"/>
      <c r="B328" s="701"/>
      <c r="D328" s="701"/>
      <c r="E328" s="701"/>
      <c r="F328" s="701"/>
      <c r="H328" s="1614" t="s">
        <v>2981</v>
      </c>
      <c r="I328" s="1614" t="s">
        <v>2982</v>
      </c>
      <c r="J328" s="1614" t="s">
        <v>2982</v>
      </c>
    </row>
    <row r="329" spans="1:36">
      <c r="A329" s="937"/>
      <c r="B329" s="1613" t="s">
        <v>2989</v>
      </c>
      <c r="C329" s="958"/>
      <c r="D329" s="701"/>
      <c r="E329" s="701"/>
      <c r="F329" s="701"/>
      <c r="H329" s="1615" t="s">
        <v>2983</v>
      </c>
      <c r="I329" s="1692">
        <v>0.33</v>
      </c>
      <c r="J329" s="1616">
        <v>0.33</v>
      </c>
    </row>
    <row r="330" spans="1:36">
      <c r="A330" s="937"/>
      <c r="B330" s="1613"/>
      <c r="C330" s="958"/>
      <c r="D330" s="701"/>
      <c r="E330" s="701"/>
      <c r="F330" s="701"/>
      <c r="H330" s="1615" t="s">
        <v>2984</v>
      </c>
      <c r="I330" s="1692">
        <v>0.28000000000000003</v>
      </c>
      <c r="J330" s="1616">
        <v>0.28000000000000003</v>
      </c>
    </row>
    <row r="331" spans="1:36">
      <c r="A331" s="937"/>
      <c r="D331" s="701"/>
      <c r="E331" s="701"/>
      <c r="F331" s="701"/>
      <c r="H331" s="1615" t="s">
        <v>2985</v>
      </c>
      <c r="I331" s="1692">
        <v>0.21</v>
      </c>
      <c r="J331" s="1616">
        <v>0.21</v>
      </c>
    </row>
    <row r="332" spans="1:36">
      <c r="A332" s="937"/>
      <c r="D332" s="701"/>
      <c r="E332" s="701"/>
      <c r="F332" s="701"/>
      <c r="H332" s="1615" t="s">
        <v>2986</v>
      </c>
      <c r="I332" s="1692">
        <v>0.14000000000000001</v>
      </c>
      <c r="J332" s="1616">
        <v>0.14000000000000001</v>
      </c>
    </row>
    <row r="333" spans="1:36">
      <c r="A333" s="937"/>
      <c r="D333" s="701"/>
      <c r="E333" s="701"/>
      <c r="F333" s="701"/>
      <c r="H333" s="1615" t="s">
        <v>2987</v>
      </c>
      <c r="I333" s="1692">
        <v>0.1</v>
      </c>
      <c r="J333" s="1616">
        <v>0.1</v>
      </c>
    </row>
    <row r="334" spans="1:36">
      <c r="A334" s="937"/>
      <c r="D334" s="701"/>
      <c r="E334" s="701"/>
      <c r="F334" s="701"/>
      <c r="H334" s="1615" t="s">
        <v>2988</v>
      </c>
      <c r="I334" s="1692">
        <v>0.17</v>
      </c>
      <c r="J334" s="1616">
        <v>0.17</v>
      </c>
    </row>
    <row r="335" spans="1:36">
      <c r="A335" s="937"/>
      <c r="B335" s="711"/>
      <c r="C335" s="711"/>
      <c r="D335" s="1062"/>
      <c r="E335" s="1062"/>
      <c r="F335" s="1062"/>
      <c r="G335" s="711"/>
      <c r="H335" s="711"/>
      <c r="I335" s="1282"/>
      <c r="J335" s="1282"/>
    </row>
    <row r="336" spans="1:36" s="700" customFormat="1" ht="18.600000000000001" hidden="1" customHeight="1">
      <c r="A336" s="898" t="s">
        <v>1869</v>
      </c>
      <c r="C336" s="699"/>
      <c r="D336" s="699"/>
      <c r="E336" s="699"/>
      <c r="F336" s="699"/>
      <c r="G336" s="699"/>
      <c r="H336" s="699"/>
      <c r="I336" s="699"/>
      <c r="J336" s="710"/>
      <c r="K336" s="710"/>
      <c r="L336" s="882"/>
      <c r="M336" s="699"/>
      <c r="N336" s="699"/>
      <c r="P336" s="699"/>
      <c r="Q336" s="699"/>
      <c r="R336" s="699"/>
      <c r="S336" s="699"/>
      <c r="T336" s="699"/>
      <c r="U336" s="699"/>
      <c r="V336" s="699"/>
      <c r="W336" s="699"/>
      <c r="X336" s="699"/>
      <c r="Y336" s="699"/>
      <c r="Z336" s="699"/>
      <c r="AA336" s="699"/>
      <c r="AB336" s="699"/>
      <c r="AC336" s="699"/>
      <c r="AD336" s="699"/>
      <c r="AE336" s="699"/>
      <c r="AF336" s="699"/>
      <c r="AG336" s="699"/>
      <c r="AH336" s="699"/>
      <c r="AI336" s="699"/>
      <c r="AJ336" s="699"/>
    </row>
    <row r="337" spans="1:36" s="700" customFormat="1" ht="7.5" customHeight="1">
      <c r="A337" s="898"/>
      <c r="C337" s="699"/>
      <c r="D337" s="699"/>
      <c r="E337" s="699"/>
      <c r="F337" s="699"/>
      <c r="G337" s="699"/>
      <c r="H337" s="699"/>
      <c r="I337" s="699"/>
      <c r="J337" s="710"/>
      <c r="K337" s="710"/>
      <c r="L337" s="882"/>
      <c r="M337" s="699"/>
      <c r="N337" s="699"/>
      <c r="P337" s="699"/>
      <c r="Q337" s="699"/>
      <c r="R337" s="699"/>
      <c r="S337" s="699"/>
      <c r="T337" s="699"/>
      <c r="U337" s="699"/>
      <c r="V337" s="699"/>
      <c r="W337" s="699"/>
      <c r="X337" s="699"/>
      <c r="Y337" s="699"/>
      <c r="Z337" s="699"/>
      <c r="AA337" s="699"/>
      <c r="AB337" s="699"/>
      <c r="AC337" s="699"/>
      <c r="AD337" s="699"/>
      <c r="AE337" s="699"/>
      <c r="AF337" s="699"/>
      <c r="AG337" s="699"/>
      <c r="AH337" s="699"/>
      <c r="AI337" s="699"/>
      <c r="AJ337" s="699"/>
    </row>
    <row r="338" spans="1:36" ht="41.1" customHeight="1">
      <c r="A338" s="937" t="s">
        <v>134</v>
      </c>
      <c r="B338" s="1734" t="s">
        <v>355</v>
      </c>
      <c r="C338" s="1734"/>
      <c r="D338" s="1734"/>
      <c r="E338" s="1734"/>
      <c r="F338" s="1734"/>
      <c r="G338" s="1734"/>
      <c r="H338" s="1734"/>
      <c r="I338" s="1734"/>
      <c r="J338" s="1734"/>
    </row>
    <row r="339" spans="1:36">
      <c r="A339" s="937"/>
      <c r="B339" s="681" t="s">
        <v>356</v>
      </c>
      <c r="D339" s="710"/>
      <c r="E339" s="710"/>
      <c r="F339" s="710"/>
      <c r="G339" s="710"/>
      <c r="H339" s="710"/>
      <c r="I339" s="710"/>
      <c r="J339" s="710"/>
    </row>
    <row r="340" spans="1:36" ht="45" customHeight="1">
      <c r="A340" s="937"/>
      <c r="B340" s="1729" t="s">
        <v>2622</v>
      </c>
      <c r="C340" s="1734"/>
      <c r="D340" s="1734"/>
      <c r="E340" s="1734"/>
      <c r="F340" s="1734"/>
      <c r="G340" s="1734"/>
      <c r="H340" s="1734"/>
      <c r="I340" s="1734"/>
      <c r="J340" s="1734"/>
    </row>
    <row r="341" spans="1:36" ht="16.05" customHeight="1">
      <c r="B341" s="1735" t="s">
        <v>2642</v>
      </c>
      <c r="C341" s="1736"/>
      <c r="D341" s="1736"/>
      <c r="E341" s="1736"/>
      <c r="F341" s="1736"/>
      <c r="G341" s="1736"/>
      <c r="H341" s="1736"/>
      <c r="I341" s="1736"/>
      <c r="J341" s="1736"/>
    </row>
    <row r="342" spans="1:36">
      <c r="B342" s="681" t="s">
        <v>357</v>
      </c>
      <c r="D342" s="704"/>
      <c r="E342" s="704"/>
      <c r="F342" s="704"/>
      <c r="G342" s="704"/>
      <c r="H342" s="704"/>
      <c r="I342" s="704"/>
      <c r="J342" s="704"/>
    </row>
    <row r="343" spans="1:36">
      <c r="I343" s="684" t="s">
        <v>1872</v>
      </c>
      <c r="J343" s="684" t="s">
        <v>1872</v>
      </c>
    </row>
    <row r="344" spans="1:36">
      <c r="B344" s="711"/>
      <c r="C344" s="711"/>
      <c r="D344" s="711"/>
      <c r="E344" s="711"/>
      <c r="F344" s="711"/>
      <c r="G344" s="711"/>
      <c r="H344" s="711"/>
      <c r="I344" s="760">
        <f>BS!$G$7</f>
        <v>45747</v>
      </c>
      <c r="J344" s="760">
        <f>BS!$I$7</f>
        <v>45382</v>
      </c>
    </row>
    <row r="345" spans="1:36" ht="6" customHeight="1">
      <c r="I345" s="681"/>
    </row>
    <row r="346" spans="1:36">
      <c r="B346" s="701" t="s">
        <v>358</v>
      </c>
      <c r="D346" s="701"/>
      <c r="E346" s="701"/>
      <c r="F346" s="701"/>
      <c r="I346" s="1285">
        <f>J362</f>
        <v>2167854</v>
      </c>
      <c r="J346" s="764">
        <f>ROUND((2156800)/Master!$B$23,0)</f>
        <v>2156800</v>
      </c>
    </row>
    <row r="347" spans="1:36">
      <c r="B347" s="701" t="s">
        <v>359</v>
      </c>
      <c r="D347" s="701"/>
      <c r="E347" s="701"/>
      <c r="F347" s="701"/>
      <c r="I347" s="1285">
        <f>ROUND((131674)/Master!$B$23,0)</f>
        <v>131674</v>
      </c>
      <c r="J347" s="764">
        <f>ROUND((151929)/Master!$B$23,0)</f>
        <v>151929</v>
      </c>
    </row>
    <row r="348" spans="1:36">
      <c r="B348" s="701" t="s">
        <v>360</v>
      </c>
      <c r="D348" s="701"/>
      <c r="E348" s="701"/>
      <c r="F348" s="701"/>
      <c r="I348" s="1285">
        <f>ROUND((116621)/Master!$B$23,0)</f>
        <v>116621</v>
      </c>
      <c r="J348" s="764">
        <f>ROUND((142019)/Master!$B$23,0)</f>
        <v>142019</v>
      </c>
    </row>
    <row r="349" spans="1:36" s="713" customFormat="1" hidden="1">
      <c r="A349" s="683"/>
      <c r="B349" s="701" t="s">
        <v>361</v>
      </c>
      <c r="D349" s="701"/>
      <c r="E349" s="701"/>
      <c r="F349" s="701"/>
      <c r="G349" s="699"/>
      <c r="H349" s="699"/>
      <c r="I349" s="1285">
        <f>ROUND(0/Master!$B$23,0)</f>
        <v>0</v>
      </c>
      <c r="J349" s="1146">
        <f>ROUND(0/Master!$B$23,0)</f>
        <v>0</v>
      </c>
      <c r="L349" s="1068"/>
      <c r="M349" s="699"/>
      <c r="N349" s="699"/>
      <c r="O349" s="700"/>
      <c r="P349" s="699"/>
      <c r="Q349" s="699"/>
      <c r="R349" s="699"/>
      <c r="S349" s="699"/>
      <c r="T349" s="699"/>
      <c r="U349" s="699"/>
      <c r="V349" s="699"/>
      <c r="W349" s="699"/>
      <c r="X349" s="699"/>
      <c r="Y349" s="699"/>
      <c r="Z349" s="699"/>
      <c r="AA349" s="699"/>
      <c r="AB349" s="699"/>
      <c r="AC349" s="699"/>
      <c r="AD349" s="699"/>
      <c r="AE349" s="699"/>
      <c r="AF349" s="699"/>
      <c r="AG349" s="699"/>
      <c r="AH349" s="699"/>
      <c r="AI349" s="699"/>
      <c r="AJ349" s="699"/>
    </row>
    <row r="350" spans="1:36">
      <c r="B350" s="701" t="s">
        <v>362</v>
      </c>
      <c r="D350" s="701"/>
      <c r="E350" s="701"/>
      <c r="F350" s="701"/>
      <c r="I350" s="1285"/>
      <c r="J350" s="764"/>
    </row>
    <row r="351" spans="1:36" hidden="1">
      <c r="B351" s="1139" t="s">
        <v>2032</v>
      </c>
      <c r="D351" s="701"/>
      <c r="E351" s="701"/>
      <c r="F351" s="701"/>
      <c r="I351" s="1285">
        <f>ROUND(0/Master!$B$23,0)</f>
        <v>0</v>
      </c>
      <c r="J351" s="1226">
        <f>ROUND(0/Master!$B$23,0)</f>
        <v>0</v>
      </c>
    </row>
    <row r="352" spans="1:36">
      <c r="B352" s="1160" t="s">
        <v>2824</v>
      </c>
      <c r="D352" s="701"/>
      <c r="E352" s="701"/>
      <c r="F352" s="701"/>
      <c r="I352" s="1285">
        <f>ROUND((113094)/Master!$B$23,0)</f>
        <v>113094</v>
      </c>
      <c r="J352" s="764">
        <f>ROUND((19062)/Master!$B$23,0)</f>
        <v>19062</v>
      </c>
      <c r="M352" s="699">
        <f>357114-20899</f>
        <v>336215</v>
      </c>
    </row>
    <row r="353" spans="1:36">
      <c r="B353" s="1160" t="s">
        <v>2637</v>
      </c>
      <c r="D353" s="701"/>
      <c r="E353" s="701"/>
      <c r="F353" s="701"/>
      <c r="I353" s="1285">
        <f>ROUND((-66329)/Master!$B$23,0)</f>
        <v>-66329</v>
      </c>
      <c r="J353" s="764">
        <f>ROUND((4116+6998)/Master!$B$23,0)</f>
        <v>11114</v>
      </c>
    </row>
    <row r="354" spans="1:36" s="713" customFormat="1">
      <c r="A354" s="683"/>
      <c r="B354" s="701" t="s">
        <v>363</v>
      </c>
      <c r="D354" s="701"/>
      <c r="E354" s="701"/>
      <c r="F354" s="701"/>
      <c r="G354" s="699"/>
      <c r="H354" s="699"/>
      <c r="I354" s="1690">
        <f>ROUND((0)/Master!$B$23,0)</f>
        <v>0</v>
      </c>
      <c r="J354" s="764">
        <f>ROUND((0)/Master!$B$23,0)</f>
        <v>0</v>
      </c>
      <c r="L354" s="1068"/>
      <c r="M354" s="699"/>
      <c r="N354" s="699"/>
      <c r="O354" s="700"/>
      <c r="P354" s="699"/>
      <c r="Q354" s="699"/>
      <c r="R354" s="699"/>
      <c r="S354" s="699"/>
      <c r="T354" s="699"/>
      <c r="U354" s="699"/>
      <c r="V354" s="699"/>
      <c r="W354" s="699"/>
      <c r="X354" s="699"/>
      <c r="Y354" s="699"/>
      <c r="Z354" s="699"/>
      <c r="AA354" s="699"/>
      <c r="AB354" s="699"/>
      <c r="AC354" s="699"/>
      <c r="AD354" s="699"/>
      <c r="AE354" s="699"/>
      <c r="AF354" s="699"/>
      <c r="AG354" s="699"/>
      <c r="AH354" s="699"/>
      <c r="AI354" s="699"/>
      <c r="AJ354" s="699"/>
    </row>
    <row r="355" spans="1:36">
      <c r="B355" s="1062" t="s">
        <v>364</v>
      </c>
      <c r="C355" s="711"/>
      <c r="D355" s="1062"/>
      <c r="E355" s="701"/>
      <c r="F355" s="701"/>
      <c r="I355" s="1285">
        <f>ROUND((-955388)/Master!$B$23,0)</f>
        <v>-955388</v>
      </c>
      <c r="J355" s="764">
        <f>ROUND((-313070)/Master!$B$23,0)</f>
        <v>-313070</v>
      </c>
    </row>
    <row r="356" spans="1:36" hidden="1">
      <c r="B356" s="1159" t="s">
        <v>2167</v>
      </c>
      <c r="D356" s="701"/>
      <c r="E356" s="701"/>
      <c r="F356" s="701"/>
      <c r="I356" s="1285">
        <v>0</v>
      </c>
      <c r="J356" s="764">
        <f>+'Sch - BS'!I307*0</f>
        <v>0</v>
      </c>
    </row>
    <row r="357" spans="1:36">
      <c r="B357" s="1081" t="s">
        <v>365</v>
      </c>
      <c r="C357" s="711"/>
      <c r="D357" s="1076"/>
      <c r="E357" s="1076"/>
      <c r="F357" s="1076"/>
      <c r="G357" s="1035"/>
      <c r="H357" s="1035"/>
      <c r="I357" s="1691">
        <f>SUM(I346:I356)</f>
        <v>1507526</v>
      </c>
      <c r="J357" s="971">
        <f>SUM(J346:J356)</f>
        <v>2167854</v>
      </c>
      <c r="M357" s="699">
        <f>+'BS Gr'!D643</f>
        <v>0</v>
      </c>
      <c r="N357" s="699">
        <f>+'BS Gr'!F643</f>
        <v>0</v>
      </c>
    </row>
    <row r="358" spans="1:36" hidden="1">
      <c r="B358" s="922" t="s">
        <v>366</v>
      </c>
      <c r="D358" s="922"/>
      <c r="E358" s="922"/>
      <c r="F358" s="922"/>
      <c r="I358" s="763"/>
      <c r="J358" s="764"/>
    </row>
    <row r="359" spans="1:36" ht="0.75" hidden="1" customHeight="1">
      <c r="B359" s="701"/>
      <c r="D359" s="701"/>
      <c r="E359" s="701"/>
      <c r="F359" s="701"/>
      <c r="I359" s="763"/>
      <c r="J359" s="764"/>
    </row>
    <row r="360" spans="1:36" hidden="1">
      <c r="B360" s="701" t="s">
        <v>365</v>
      </c>
      <c r="D360" s="701"/>
      <c r="E360" s="701"/>
      <c r="F360" s="701"/>
      <c r="I360" s="764">
        <f>+I357</f>
        <v>1507526</v>
      </c>
      <c r="J360" s="764">
        <f>+J357</f>
        <v>2167854</v>
      </c>
    </row>
    <row r="361" spans="1:36" hidden="1">
      <c r="B361" s="701" t="s">
        <v>367</v>
      </c>
      <c r="C361" s="711"/>
      <c r="D361" s="701"/>
      <c r="E361" s="701"/>
      <c r="F361" s="701"/>
      <c r="I361" s="763">
        <v>0</v>
      </c>
      <c r="J361" s="764">
        <v>0</v>
      </c>
    </row>
    <row r="362" spans="1:36" hidden="1">
      <c r="B362" s="1081" t="s">
        <v>368</v>
      </c>
      <c r="C362" s="711"/>
      <c r="D362" s="1076"/>
      <c r="E362" s="1076"/>
      <c r="F362" s="1076"/>
      <c r="G362" s="1035"/>
      <c r="H362" s="1035"/>
      <c r="I362" s="971">
        <f>SUM(I360:I361)</f>
        <v>1507526</v>
      </c>
      <c r="J362" s="971">
        <f>SUM(J360:J361)</f>
        <v>2167854</v>
      </c>
    </row>
    <row r="363" spans="1:36" s="713" customFormat="1" hidden="1">
      <c r="A363" s="683"/>
      <c r="B363" s="1166"/>
      <c r="D363" s="699"/>
      <c r="E363" s="699"/>
      <c r="F363" s="699"/>
      <c r="G363" s="699"/>
      <c r="H363" s="699"/>
      <c r="I363" s="764" t="str">
        <f>IF('10-17'!J215+'10-17'!J225-'18-26'!I362=0," ","FALSE")</f>
        <v>FALSE</v>
      </c>
      <c r="J363" s="764" t="str">
        <f>IF('10-17'!K215+'10-17'!K225-'18-26'!J362=0," ","FALSE")</f>
        <v>FALSE</v>
      </c>
      <c r="L363" s="1068"/>
      <c r="M363" s="699">
        <f>+I357-M357</f>
        <v>1507526</v>
      </c>
      <c r="N363" s="699">
        <f>+J357-N357</f>
        <v>2167854</v>
      </c>
      <c r="O363" s="700"/>
      <c r="P363" s="699"/>
      <c r="Q363" s="699"/>
      <c r="R363" s="699"/>
      <c r="S363" s="699"/>
      <c r="T363" s="699"/>
      <c r="U363" s="699"/>
      <c r="V363" s="699"/>
      <c r="W363" s="699"/>
      <c r="X363" s="699"/>
      <c r="Y363" s="699"/>
      <c r="Z363" s="699"/>
      <c r="AA363" s="699"/>
      <c r="AB363" s="699"/>
      <c r="AC363" s="699"/>
      <c r="AD363" s="699"/>
      <c r="AE363" s="699"/>
      <c r="AF363" s="699"/>
      <c r="AG363" s="699"/>
      <c r="AH363" s="699"/>
      <c r="AI363" s="699"/>
      <c r="AJ363" s="699"/>
    </row>
    <row r="364" spans="1:36" hidden="1">
      <c r="A364" s="689"/>
      <c r="I364" s="699" t="str">
        <f>IF(I362-('Sch - BS'!G245+'Sch - BS'!G305)=0,"","False")</f>
        <v>False</v>
      </c>
      <c r="J364" s="710" t="str">
        <f>IF(J362-('Sch - BS'!I245+'Sch - BS'!I305)=0,"","False")</f>
        <v>False</v>
      </c>
      <c r="K364" s="710" t="e">
        <f>IF(J362-('Sch - BS'!#REF!+'Sch - BS'!#REF!)=0,"","False")</f>
        <v>#REF!</v>
      </c>
    </row>
    <row r="365" spans="1:36" ht="10.050000000000001" hidden="1" customHeight="1">
      <c r="A365" s="754"/>
    </row>
    <row r="366" spans="1:36" hidden="1">
      <c r="A366" s="683" t="str">
        <f>'10-17'!A3</f>
        <v>Summary of material accounting policies and other explanatory information</v>
      </c>
    </row>
    <row r="367" spans="1:36" hidden="1">
      <c r="A367" s="1066" t="str">
        <f>'10-17'!A4</f>
        <v>(Amounts are stated in ₹ Lakhs unless otherwise stated)</v>
      </c>
    </row>
    <row r="368" spans="1:36" ht="7.5" customHeight="1"/>
    <row r="369" spans="1:15">
      <c r="B369" s="681" t="s">
        <v>369</v>
      </c>
      <c r="C369" s="681"/>
    </row>
    <row r="370" spans="1:15">
      <c r="I370" s="684" t="s">
        <v>1872</v>
      </c>
      <c r="J370" s="684" t="s">
        <v>1872</v>
      </c>
      <c r="L370" s="699"/>
    </row>
    <row r="371" spans="1:15">
      <c r="B371" s="711"/>
      <c r="C371" s="711"/>
      <c r="D371" s="711"/>
      <c r="E371" s="711"/>
      <c r="F371" s="711"/>
      <c r="G371" s="711"/>
      <c r="H371" s="711"/>
      <c r="I371" s="760">
        <f>BS!$G$7</f>
        <v>45747</v>
      </c>
      <c r="J371" s="760">
        <f>BS!$I$7</f>
        <v>45382</v>
      </c>
      <c r="L371" s="699"/>
    </row>
    <row r="372" spans="1:15" ht="3" customHeight="1">
      <c r="I372" s="681"/>
      <c r="L372" s="699"/>
    </row>
    <row r="373" spans="1:15">
      <c r="A373" s="699"/>
      <c r="B373" s="922" t="s">
        <v>370</v>
      </c>
      <c r="C373" s="922"/>
      <c r="D373" s="922"/>
      <c r="E373" s="922"/>
      <c r="F373" s="922"/>
      <c r="I373" s="763"/>
      <c r="J373" s="764"/>
      <c r="L373" s="699"/>
      <c r="O373" s="699"/>
    </row>
    <row r="374" spans="1:15">
      <c r="A374" s="699"/>
      <c r="B374" s="701" t="s">
        <v>371</v>
      </c>
      <c r="C374" s="701"/>
      <c r="D374" s="701"/>
      <c r="E374" s="701"/>
      <c r="F374" s="701"/>
      <c r="I374" s="1285">
        <f t="shared" ref="I374:J377" si="2">+I347</f>
        <v>131674</v>
      </c>
      <c r="J374" s="764">
        <f t="shared" si="2"/>
        <v>151929</v>
      </c>
      <c r="L374" s="699"/>
      <c r="O374" s="699"/>
    </row>
    <row r="375" spans="1:15">
      <c r="A375" s="699"/>
      <c r="B375" s="701" t="s">
        <v>372</v>
      </c>
      <c r="C375" s="701"/>
      <c r="D375" s="701"/>
      <c r="E375" s="701"/>
      <c r="F375" s="701"/>
      <c r="I375" s="1285">
        <f t="shared" si="2"/>
        <v>116621</v>
      </c>
      <c r="J375" s="764">
        <f t="shared" si="2"/>
        <v>142019</v>
      </c>
      <c r="L375" s="699"/>
      <c r="O375" s="699"/>
    </row>
    <row r="376" spans="1:15" hidden="1">
      <c r="A376" s="699"/>
      <c r="B376" s="701" t="s">
        <v>361</v>
      </c>
      <c r="C376" s="701"/>
      <c r="D376" s="701"/>
      <c r="E376" s="701"/>
      <c r="F376" s="701"/>
      <c r="I376" s="764">
        <f t="shared" si="2"/>
        <v>0</v>
      </c>
      <c r="J376" s="1146">
        <f t="shared" si="2"/>
        <v>0</v>
      </c>
      <c r="L376" s="699"/>
      <c r="O376" s="699"/>
    </row>
    <row r="377" spans="1:15" hidden="1">
      <c r="A377" s="699"/>
      <c r="B377" s="701" t="s">
        <v>373</v>
      </c>
      <c r="C377" s="701"/>
      <c r="D377" s="701"/>
      <c r="E377" s="701"/>
      <c r="F377" s="701"/>
      <c r="I377" s="763">
        <f t="shared" si="2"/>
        <v>0</v>
      </c>
      <c r="J377" s="764">
        <f t="shared" si="2"/>
        <v>0</v>
      </c>
      <c r="L377" s="699"/>
      <c r="O377" s="699"/>
    </row>
    <row r="378" spans="1:15">
      <c r="A378" s="699"/>
      <c r="B378" s="1081" t="s">
        <v>1953</v>
      </c>
      <c r="C378" s="1081"/>
      <c r="D378" s="1081"/>
      <c r="E378" s="1081"/>
      <c r="F378" s="1081"/>
      <c r="G378" s="1035"/>
      <c r="H378" s="1035"/>
      <c r="I378" s="971">
        <f>SUM(I373:I377)</f>
        <v>248295</v>
      </c>
      <c r="J378" s="971">
        <f>SUM(J373:J377)</f>
        <v>293948</v>
      </c>
      <c r="L378" s="699"/>
      <c r="O378" s="699"/>
    </row>
    <row r="379" spans="1:15" ht="10.5" customHeight="1">
      <c r="A379" s="699"/>
      <c r="B379" s="701"/>
      <c r="C379" s="701"/>
      <c r="D379" s="701"/>
      <c r="E379" s="701"/>
      <c r="F379" s="701"/>
      <c r="I379" s="763"/>
      <c r="J379" s="764"/>
      <c r="L379" s="699"/>
      <c r="O379" s="699"/>
    </row>
    <row r="380" spans="1:15">
      <c r="A380" s="699"/>
      <c r="B380" s="681" t="s">
        <v>374</v>
      </c>
      <c r="C380" s="681"/>
      <c r="L380" s="699"/>
      <c r="O380" s="699"/>
    </row>
    <row r="381" spans="1:15">
      <c r="A381" s="699"/>
      <c r="I381" s="684" t="s">
        <v>1872</v>
      </c>
      <c r="J381" s="684" t="s">
        <v>1872</v>
      </c>
      <c r="L381" s="699"/>
      <c r="O381" s="699"/>
    </row>
    <row r="382" spans="1:15">
      <c r="A382" s="699"/>
      <c r="B382" s="711"/>
      <c r="C382" s="711"/>
      <c r="D382" s="711"/>
      <c r="E382" s="711"/>
      <c r="F382" s="711"/>
      <c r="G382" s="711"/>
      <c r="H382" s="711"/>
      <c r="I382" s="760">
        <f>BS!$G$7</f>
        <v>45747</v>
      </c>
      <c r="J382" s="760">
        <f>BS!$I$7</f>
        <v>45382</v>
      </c>
      <c r="L382" s="699"/>
      <c r="O382" s="699"/>
    </row>
    <row r="383" spans="1:15">
      <c r="A383" s="699"/>
      <c r="B383" s="1159" t="s">
        <v>2638</v>
      </c>
      <c r="C383" s="1086"/>
      <c r="I383" s="1285">
        <f>+I351+I352+I353</f>
        <v>46765</v>
      </c>
      <c r="J383" s="764">
        <f>+J351+J352+J353</f>
        <v>30176</v>
      </c>
      <c r="L383" s="699"/>
      <c r="O383" s="699"/>
    </row>
    <row r="384" spans="1:15" hidden="1">
      <c r="A384" s="699"/>
      <c r="B384" s="699" t="s">
        <v>375</v>
      </c>
      <c r="I384" s="763">
        <f>ROUND((0)/Master!$B$23,0)</f>
        <v>0</v>
      </c>
      <c r="J384" s="764">
        <f>ROUND((0)/Master!$B$23,0)</f>
        <v>0</v>
      </c>
      <c r="L384" s="699"/>
      <c r="O384" s="699"/>
    </row>
    <row r="385" spans="1:15" hidden="1">
      <c r="A385" s="699"/>
      <c r="I385" s="924"/>
      <c r="J385" s="764"/>
      <c r="L385" s="699"/>
      <c r="O385" s="699"/>
    </row>
    <row r="386" spans="1:15">
      <c r="A386" s="699"/>
      <c r="B386" s="1081" t="s">
        <v>1954</v>
      </c>
      <c r="C386" s="1081"/>
      <c r="D386" s="1035"/>
      <c r="E386" s="1035"/>
      <c r="F386" s="1035"/>
      <c r="G386" s="1035"/>
      <c r="H386" s="1035"/>
      <c r="I386" s="971">
        <f>SUM(I383:I385)</f>
        <v>46765</v>
      </c>
      <c r="J386" s="971">
        <f>SUM(J383:J385)</f>
        <v>30176</v>
      </c>
      <c r="L386" s="699"/>
      <c r="O386" s="699"/>
    </row>
    <row r="387" spans="1:15">
      <c r="A387" s="699"/>
      <c r="B387" s="701"/>
      <c r="C387" s="701"/>
      <c r="D387" s="701"/>
      <c r="E387" s="701"/>
      <c r="F387" s="701"/>
      <c r="I387" s="763"/>
      <c r="J387" s="764"/>
      <c r="L387" s="699"/>
      <c r="O387" s="699"/>
    </row>
    <row r="388" spans="1:15">
      <c r="A388" s="699"/>
      <c r="B388" s="681" t="s">
        <v>376</v>
      </c>
      <c r="C388" s="681"/>
      <c r="D388" s="710"/>
      <c r="E388" s="710"/>
      <c r="F388" s="710"/>
      <c r="G388" s="710"/>
      <c r="H388" s="710"/>
      <c r="I388" s="710"/>
      <c r="J388" s="710"/>
      <c r="L388" s="699"/>
      <c r="O388" s="699"/>
    </row>
    <row r="389" spans="1:15">
      <c r="A389" s="699"/>
      <c r="B389" s="681" t="s">
        <v>82</v>
      </c>
      <c r="D389" s="710"/>
      <c r="E389" s="710"/>
      <c r="F389" s="710"/>
      <c r="G389" s="710"/>
      <c r="H389" s="710"/>
      <c r="I389" s="710"/>
      <c r="J389" s="1695" t="s">
        <v>3116</v>
      </c>
      <c r="L389" s="699"/>
      <c r="O389" s="699"/>
    </row>
    <row r="390" spans="1:15">
      <c r="A390" s="699"/>
      <c r="B390" s="699" t="s">
        <v>377</v>
      </c>
      <c r="D390" s="710"/>
      <c r="E390" s="710"/>
      <c r="F390" s="710"/>
      <c r="G390" s="710"/>
      <c r="H390" s="710"/>
      <c r="I390" s="710"/>
      <c r="J390" s="1696">
        <f>ROUND(294006/Master!$B$23,0)</f>
        <v>294006</v>
      </c>
      <c r="L390" s="699"/>
      <c r="O390" s="699"/>
    </row>
    <row r="391" spans="1:15">
      <c r="A391" s="699"/>
      <c r="B391" s="699" t="s">
        <v>378</v>
      </c>
      <c r="D391" s="710"/>
      <c r="E391" s="710"/>
      <c r="F391" s="710"/>
      <c r="G391" s="710"/>
      <c r="H391" s="710"/>
      <c r="I391" s="710"/>
      <c r="J391" s="1696">
        <f>ROUND(271215/Master!$B$23,0)</f>
        <v>271215</v>
      </c>
      <c r="L391" s="699"/>
      <c r="O391" s="699"/>
    </row>
    <row r="392" spans="1:15">
      <c r="A392" s="699"/>
      <c r="B392" s="699" t="s">
        <v>379</v>
      </c>
      <c r="D392" s="710"/>
      <c r="E392" s="710"/>
      <c r="F392" s="710"/>
      <c r="G392" s="710"/>
      <c r="H392" s="710"/>
      <c r="I392" s="710"/>
      <c r="J392" s="1696">
        <f>ROUND(571176/Master!$B$23,0)</f>
        <v>571176</v>
      </c>
      <c r="L392" s="699"/>
      <c r="O392" s="699"/>
    </row>
    <row r="393" spans="1:15">
      <c r="A393" s="699"/>
      <c r="B393" s="699" t="s">
        <v>380</v>
      </c>
      <c r="D393" s="710"/>
      <c r="E393" s="710"/>
      <c r="F393" s="710"/>
      <c r="G393" s="710"/>
      <c r="H393" s="710"/>
      <c r="I393" s="710"/>
      <c r="J393" s="1696">
        <f>ROUND(119359/Master!$B$23,0)</f>
        <v>119359</v>
      </c>
      <c r="L393" s="699"/>
      <c r="O393" s="699"/>
    </row>
    <row r="394" spans="1:15">
      <c r="A394" s="699"/>
      <c r="B394" s="699" t="s">
        <v>381</v>
      </c>
      <c r="D394" s="710"/>
      <c r="E394" s="710"/>
      <c r="F394" s="710"/>
      <c r="G394" s="710"/>
      <c r="H394" s="710"/>
      <c r="I394" s="710"/>
      <c r="J394" s="1696">
        <f>ROUND(102473/Master!$B$23,0)</f>
        <v>102473</v>
      </c>
      <c r="L394" s="699"/>
      <c r="O394" s="699"/>
    </row>
    <row r="395" spans="1:15">
      <c r="A395" s="699"/>
      <c r="B395" s="699" t="s">
        <v>382</v>
      </c>
      <c r="D395" s="710"/>
      <c r="E395" s="710"/>
      <c r="F395" s="710"/>
      <c r="G395" s="710"/>
      <c r="H395" s="710"/>
      <c r="I395" s="710"/>
      <c r="J395" s="1696">
        <f>ROUND(447444/Master!$B$23,0)</f>
        <v>447444</v>
      </c>
      <c r="L395" s="699"/>
      <c r="O395" s="699"/>
    </row>
    <row r="396" spans="1:15" ht="9" customHeight="1">
      <c r="A396" s="699"/>
      <c r="B396" s="701"/>
      <c r="C396" s="701"/>
      <c r="D396" s="701"/>
      <c r="E396" s="701"/>
      <c r="F396" s="701"/>
      <c r="I396" s="763"/>
      <c r="J396" s="764"/>
      <c r="L396" s="699"/>
      <c r="O396" s="699"/>
    </row>
    <row r="397" spans="1:15">
      <c r="A397" s="699"/>
      <c r="B397" s="681" t="s">
        <v>2990</v>
      </c>
      <c r="C397" s="681"/>
      <c r="D397" s="701"/>
      <c r="E397" s="701"/>
      <c r="F397" s="701"/>
      <c r="I397" s="763"/>
      <c r="J397" s="764"/>
      <c r="L397" s="699"/>
      <c r="O397" s="699"/>
    </row>
    <row r="398" spans="1:15" ht="9" customHeight="1">
      <c r="A398" s="699"/>
      <c r="D398" s="701"/>
      <c r="E398" s="701"/>
      <c r="F398" s="701"/>
      <c r="I398" s="763"/>
      <c r="J398" s="764"/>
      <c r="L398" s="699"/>
      <c r="O398" s="699"/>
    </row>
    <row r="399" spans="1:15">
      <c r="A399" s="699"/>
      <c r="B399" s="681" t="s">
        <v>383</v>
      </c>
      <c r="C399" s="681"/>
      <c r="D399" s="701"/>
      <c r="E399" s="701"/>
      <c r="F399" s="701"/>
      <c r="I399" s="763"/>
      <c r="J399" s="764"/>
      <c r="L399" s="699"/>
      <c r="O399" s="699"/>
    </row>
    <row r="400" spans="1:15" ht="5.0999999999999996" customHeight="1">
      <c r="A400" s="699"/>
      <c r="D400" s="701"/>
      <c r="E400" s="701"/>
      <c r="F400" s="701"/>
      <c r="I400" s="763"/>
      <c r="J400" s="764"/>
      <c r="L400" s="699"/>
      <c r="O400" s="699"/>
    </row>
    <row r="401" spans="1:36">
      <c r="A401" s="699"/>
      <c r="B401" s="699" t="s">
        <v>384</v>
      </c>
      <c r="D401" s="701"/>
      <c r="E401" s="701"/>
      <c r="F401" s="701"/>
      <c r="I401" s="763"/>
      <c r="J401" s="764"/>
      <c r="L401" s="699"/>
      <c r="O401" s="699"/>
    </row>
    <row r="402" spans="1:36" ht="5.0999999999999996" customHeight="1">
      <c r="B402" s="701"/>
      <c r="C402" s="701"/>
      <c r="D402" s="701"/>
      <c r="E402" s="701"/>
      <c r="F402" s="701"/>
      <c r="I402" s="763"/>
      <c r="J402" s="764"/>
      <c r="L402" s="699"/>
    </row>
    <row r="403" spans="1:36">
      <c r="B403" s="922" t="s">
        <v>385</v>
      </c>
      <c r="C403" s="922"/>
      <c r="D403" s="922"/>
      <c r="E403" s="922"/>
      <c r="F403" s="922"/>
      <c r="I403" s="684" t="s">
        <v>1872</v>
      </c>
      <c r="J403" s="684" t="s">
        <v>1872</v>
      </c>
      <c r="L403" s="699"/>
    </row>
    <row r="404" spans="1:36">
      <c r="B404" s="1085"/>
      <c r="C404" s="1085"/>
      <c r="D404" s="1085"/>
      <c r="E404" s="1085"/>
      <c r="F404" s="1085"/>
      <c r="G404" s="711"/>
      <c r="H404" s="711"/>
      <c r="I404" s="760">
        <f>BS!$G$7</f>
        <v>45747</v>
      </c>
      <c r="J404" s="760">
        <f>BS!$I$7</f>
        <v>45382</v>
      </c>
      <c r="L404" s="699"/>
    </row>
    <row r="405" spans="1:36">
      <c r="B405" s="701" t="s">
        <v>353</v>
      </c>
      <c r="C405" s="701"/>
      <c r="D405" s="701"/>
      <c r="E405" s="701"/>
      <c r="F405" s="701"/>
      <c r="I405" s="1697">
        <v>6.9000000000000006E-2</v>
      </c>
      <c r="J405" s="939">
        <v>7.0999999999999994E-2</v>
      </c>
      <c r="L405" s="699"/>
    </row>
    <row r="406" spans="1:36" ht="52.8">
      <c r="B406" s="701" t="s">
        <v>386</v>
      </c>
      <c r="C406" s="701"/>
      <c r="D406" s="701"/>
      <c r="E406" s="701"/>
      <c r="F406" s="701"/>
      <c r="I406" s="1698" t="s">
        <v>2926</v>
      </c>
      <c r="J406" s="1282" t="s">
        <v>2735</v>
      </c>
      <c r="L406" s="699"/>
    </row>
    <row r="407" spans="1:36" ht="10.050000000000001" customHeight="1"/>
    <row r="408" spans="1:36">
      <c r="B408" s="681" t="s">
        <v>1991</v>
      </c>
      <c r="C408" s="681"/>
    </row>
    <row r="409" spans="1:36" ht="5.0999999999999996" customHeight="1">
      <c r="K409" s="710"/>
    </row>
    <row r="410" spans="1:36" ht="31.5" customHeight="1">
      <c r="B410" s="1737" t="s">
        <v>1992</v>
      </c>
      <c r="C410" s="1737"/>
      <c r="D410" s="1737"/>
      <c r="E410" s="1737"/>
      <c r="F410" s="1737"/>
      <c r="G410" s="1737"/>
      <c r="H410" s="1737"/>
      <c r="I410" s="1737"/>
      <c r="J410" s="1737"/>
      <c r="K410" s="710"/>
    </row>
    <row r="411" spans="1:36" s="937" customFormat="1" ht="5.0999999999999996" customHeight="1">
      <c r="A411" s="898"/>
      <c r="C411" s="699"/>
      <c r="D411" s="699"/>
      <c r="E411" s="699"/>
      <c r="F411" s="699"/>
      <c r="G411" s="699"/>
      <c r="H411" s="699"/>
      <c r="I411" s="699"/>
      <c r="J411" s="699"/>
      <c r="L411" s="751"/>
      <c r="M411" s="699"/>
      <c r="N411" s="699"/>
      <c r="O411" s="700"/>
      <c r="P411" s="699"/>
      <c r="Q411" s="699"/>
      <c r="R411" s="699"/>
      <c r="S411" s="699"/>
      <c r="T411" s="699"/>
      <c r="U411" s="699"/>
      <c r="V411" s="699"/>
      <c r="W411" s="699"/>
      <c r="X411" s="699"/>
      <c r="Y411" s="699"/>
      <c r="Z411" s="699"/>
      <c r="AA411" s="699"/>
      <c r="AB411" s="699"/>
      <c r="AC411" s="699"/>
      <c r="AD411" s="699"/>
      <c r="AE411" s="699"/>
      <c r="AF411" s="699"/>
      <c r="AG411" s="699"/>
      <c r="AH411" s="699"/>
      <c r="AI411" s="699"/>
      <c r="AJ411" s="699"/>
    </row>
    <row r="412" spans="1:36">
      <c r="B412" s="710"/>
      <c r="G412" s="1738" t="s">
        <v>490</v>
      </c>
      <c r="H412" s="1738"/>
      <c r="I412" s="1738" t="s">
        <v>490</v>
      </c>
      <c r="J412" s="1738"/>
      <c r="K412" s="937"/>
    </row>
    <row r="413" spans="1:36">
      <c r="B413" s="710"/>
      <c r="G413" s="1739">
        <f>BS!$G$7</f>
        <v>45747</v>
      </c>
      <c r="H413" s="1739"/>
      <c r="I413" s="1739">
        <f>BS!$I$7</f>
        <v>45382</v>
      </c>
      <c r="J413" s="1739"/>
    </row>
    <row r="414" spans="1:36" ht="26.4">
      <c r="B414" s="711"/>
      <c r="C414" s="711"/>
      <c r="D414" s="711"/>
      <c r="E414" s="711"/>
      <c r="F414" s="711"/>
      <c r="G414" s="1124" t="s">
        <v>1993</v>
      </c>
      <c r="H414" s="1125" t="s">
        <v>1994</v>
      </c>
      <c r="I414" s="1124" t="s">
        <v>1993</v>
      </c>
      <c r="J414" s="1125" t="s">
        <v>1994</v>
      </c>
    </row>
    <row r="415" spans="1:36">
      <c r="G415" s="1126" t="s">
        <v>1995</v>
      </c>
      <c r="H415" s="1126" t="s">
        <v>1996</v>
      </c>
      <c r="I415" s="1126" t="s">
        <v>1995</v>
      </c>
      <c r="J415" s="1126" t="s">
        <v>1996</v>
      </c>
      <c r="M415" s="699">
        <v>201241</v>
      </c>
      <c r="N415" s="699">
        <v>201241</v>
      </c>
    </row>
    <row r="416" spans="1:36">
      <c r="B416" s="1134" t="s">
        <v>353</v>
      </c>
      <c r="C416" s="1134"/>
      <c r="G416" s="764">
        <f>ROUND(-3.28%*M416/Master!$B$23,0)</f>
        <v>-49447</v>
      </c>
      <c r="H416" s="764">
        <f>ROUND(3.5%*M416/Master!$B$23,0)</f>
        <v>52763</v>
      </c>
      <c r="I416" s="764">
        <f>ROUND(-71706/Master!$B$23,0)</f>
        <v>-71706</v>
      </c>
      <c r="J416" s="764">
        <f>ROUND(75875/Master!$B$23,0)</f>
        <v>75875</v>
      </c>
      <c r="M416" s="839">
        <f>'BS Gr'!D643+'BS Gr'!D645</f>
        <v>1507525.3000000007</v>
      </c>
      <c r="N416" s="839">
        <f>'BS Gr'!F643+'BS Gr'!F645</f>
        <v>2167853.3000000007</v>
      </c>
    </row>
    <row r="417" spans="1:36">
      <c r="B417" s="1127" t="s">
        <v>1997</v>
      </c>
      <c r="C417" s="1127"/>
      <c r="G417" s="764">
        <f>ROUND(3.48%*M416/Master!$B$23,0)</f>
        <v>52462</v>
      </c>
      <c r="H417" s="764">
        <f>ROUND(-3.3%*M416/Master!$B$23,0)</f>
        <v>-49748</v>
      </c>
      <c r="I417" s="764">
        <f>ROUND(75541/Master!$B$23,0)</f>
        <v>75541</v>
      </c>
      <c r="J417" s="764">
        <f>ROUND(-71539/Master!$B$23,0)</f>
        <v>-71539</v>
      </c>
    </row>
    <row r="418" spans="1:36" s="700" customFormat="1" ht="10.050000000000001" customHeight="1">
      <c r="A418" s="683"/>
      <c r="B418" s="699"/>
      <c r="C418" s="699"/>
      <c r="D418" s="699"/>
      <c r="E418" s="699"/>
      <c r="F418" s="699"/>
      <c r="G418" s="699"/>
      <c r="H418" s="699"/>
      <c r="I418" s="699"/>
      <c r="J418" s="699"/>
      <c r="K418" s="699"/>
      <c r="L418" s="882"/>
      <c r="M418" s="699"/>
      <c r="N418" s="699"/>
      <c r="P418" s="699"/>
      <c r="Q418" s="699"/>
      <c r="R418" s="699"/>
      <c r="S418" s="699"/>
      <c r="T418" s="699"/>
      <c r="U418" s="699"/>
      <c r="V418" s="699"/>
      <c r="W418" s="699"/>
      <c r="X418" s="699"/>
      <c r="Y418" s="699"/>
      <c r="Z418" s="699"/>
      <c r="AA418" s="699"/>
      <c r="AB418" s="699"/>
      <c r="AC418" s="699"/>
      <c r="AD418" s="699"/>
      <c r="AE418" s="699"/>
      <c r="AF418" s="699"/>
      <c r="AG418" s="699"/>
      <c r="AH418" s="699"/>
      <c r="AI418" s="699"/>
      <c r="AJ418" s="699"/>
    </row>
    <row r="419" spans="1:36" s="700" customFormat="1" ht="14.55" customHeight="1">
      <c r="A419" s="683"/>
      <c r="B419" s="681" t="s">
        <v>2152</v>
      </c>
      <c r="C419" s="1177"/>
      <c r="D419" s="1178"/>
      <c r="E419" s="1178"/>
      <c r="F419" s="1178"/>
      <c r="G419" s="1179"/>
      <c r="H419" s="1180"/>
      <c r="I419" s="1179"/>
      <c r="J419" s="1181"/>
      <c r="K419" s="699"/>
      <c r="L419" s="882"/>
      <c r="M419" s="699"/>
      <c r="N419" s="699"/>
      <c r="P419" s="699"/>
      <c r="Q419" s="699"/>
      <c r="R419" s="699"/>
      <c r="S419" s="699"/>
      <c r="T419" s="699"/>
      <c r="U419" s="699"/>
      <c r="V419" s="699"/>
      <c r="W419" s="699"/>
      <c r="X419" s="699"/>
      <c r="Y419" s="699"/>
      <c r="Z419" s="699"/>
      <c r="AA419" s="699"/>
      <c r="AB419" s="699"/>
      <c r="AC419" s="699"/>
      <c r="AD419" s="699"/>
      <c r="AE419" s="699"/>
      <c r="AF419" s="699"/>
      <c r="AG419" s="699"/>
      <c r="AH419" s="699"/>
      <c r="AI419" s="699"/>
      <c r="AJ419" s="699"/>
    </row>
    <row r="420" spans="1:36">
      <c r="B420" s="699" t="s">
        <v>286</v>
      </c>
      <c r="C420" s="1178" t="s">
        <v>286</v>
      </c>
      <c r="D420" s="1178"/>
      <c r="E420" s="1178"/>
      <c r="F420" s="830" t="s">
        <v>490</v>
      </c>
      <c r="G420" s="830" t="s">
        <v>490</v>
      </c>
      <c r="H420" s="830" t="s">
        <v>490</v>
      </c>
      <c r="I420" s="830" t="s">
        <v>490</v>
      </c>
      <c r="J420" s="830" t="s">
        <v>490</v>
      </c>
    </row>
    <row r="421" spans="1:36">
      <c r="B421" s="1182"/>
      <c r="C421" s="1182"/>
      <c r="D421" s="1183"/>
      <c r="E421" s="1183"/>
      <c r="F421" s="1184">
        <v>45747</v>
      </c>
      <c r="G421" s="1184">
        <f>F421-365</f>
        <v>45382</v>
      </c>
      <c r="H421" s="1184">
        <f>G421-365</f>
        <v>45017</v>
      </c>
      <c r="I421" s="1184">
        <f>H421-366</f>
        <v>44651</v>
      </c>
      <c r="J421" s="1184">
        <f>I421-365</f>
        <v>44286</v>
      </c>
    </row>
    <row r="422" spans="1:36">
      <c r="C422" s="1177"/>
      <c r="D422" s="1178"/>
      <c r="E422" s="1178"/>
      <c r="F422" s="1178"/>
      <c r="G422" s="1178"/>
      <c r="H422" s="1178"/>
      <c r="I422" s="1178"/>
      <c r="J422" s="1185"/>
    </row>
    <row r="423" spans="1:36">
      <c r="B423" s="1159" t="s">
        <v>2153</v>
      </c>
      <c r="C423" s="1178"/>
      <c r="D423" s="1178"/>
      <c r="E423" s="1178"/>
      <c r="F423" s="1482">
        <f>I362</f>
        <v>1507526</v>
      </c>
      <c r="G423" s="1482">
        <f>J362</f>
        <v>2167854</v>
      </c>
      <c r="H423" s="1482">
        <f>ROUND((2158613)/Master!$B$23,0)</f>
        <v>2158613</v>
      </c>
      <c r="I423" s="1482">
        <f>ROUND((3098184)/Master!$B$23,0)</f>
        <v>3098184</v>
      </c>
      <c r="J423" s="1482">
        <f>ROUND((3180168)/Master!$B$23,0)</f>
        <v>3180168</v>
      </c>
    </row>
    <row r="424" spans="1:36">
      <c r="B424" s="699" t="s">
        <v>2070</v>
      </c>
      <c r="C424" s="1178"/>
      <c r="D424" s="1178"/>
      <c r="E424" s="1178"/>
      <c r="F424" s="1483">
        <v>0</v>
      </c>
      <c r="G424" s="1483">
        <v>0</v>
      </c>
      <c r="H424" s="1483">
        <v>0</v>
      </c>
      <c r="I424" s="1483">
        <v>0</v>
      </c>
      <c r="J424" s="1483">
        <v>0</v>
      </c>
    </row>
    <row r="425" spans="1:36">
      <c r="B425" s="1731" t="s">
        <v>2071</v>
      </c>
      <c r="C425" s="1731"/>
      <c r="D425" s="1731"/>
      <c r="E425" s="1731"/>
      <c r="F425" s="1482">
        <f>F424-F423</f>
        <v>-1507526</v>
      </c>
      <c r="G425" s="1482">
        <f>G424-G423</f>
        <v>-2167854</v>
      </c>
      <c r="H425" s="1482">
        <f>H424-H423</f>
        <v>-2158613</v>
      </c>
      <c r="I425" s="1482">
        <f>I424-I423</f>
        <v>-3098184</v>
      </c>
      <c r="J425" s="1482">
        <f>J424-J423</f>
        <v>-3180168</v>
      </c>
    </row>
    <row r="426" spans="1:36">
      <c r="B426" s="1732" t="s">
        <v>2072</v>
      </c>
      <c r="C426" s="1732"/>
      <c r="D426" s="1732"/>
      <c r="E426" s="1732"/>
      <c r="F426" s="1484">
        <f>I353</f>
        <v>-66329</v>
      </c>
      <c r="G426" s="1484">
        <f>+J353</f>
        <v>11114</v>
      </c>
      <c r="H426" s="1503">
        <f>ROUND(-1031771/Master!$B$23,0)</f>
        <v>-1031771</v>
      </c>
      <c r="I426" s="1503">
        <f>ROUND(953244/Master!$B$23,0)</f>
        <v>953244</v>
      </c>
      <c r="J426" s="1503">
        <f>ROUND(-357113/Master!$B$23,0)</f>
        <v>-357113</v>
      </c>
    </row>
    <row r="427" spans="1:36" ht="15.6">
      <c r="B427" s="1159" t="s">
        <v>2752</v>
      </c>
      <c r="C427" s="1176"/>
      <c r="D427" s="1173"/>
      <c r="E427" s="1173"/>
      <c r="F427" s="1173"/>
      <c r="G427" s="1174"/>
      <c r="H427" s="1175"/>
      <c r="I427" s="1175"/>
      <c r="J427" s="1175"/>
    </row>
  </sheetData>
  <mergeCells count="43">
    <mergeCell ref="D214:E214"/>
    <mergeCell ref="D213:E213"/>
    <mergeCell ref="B211:J211"/>
    <mergeCell ref="D212:E212"/>
    <mergeCell ref="B279:G279"/>
    <mergeCell ref="E297:G297"/>
    <mergeCell ref="H297:J297"/>
    <mergeCell ref="B300:D300"/>
    <mergeCell ref="B220:J220"/>
    <mergeCell ref="B227:C227"/>
    <mergeCell ref="B269:G269"/>
    <mergeCell ref="E298:G298"/>
    <mergeCell ref="H298:J298"/>
    <mergeCell ref="B254:J254"/>
    <mergeCell ref="B260:H260"/>
    <mergeCell ref="K209:L209"/>
    <mergeCell ref="B113:J113"/>
    <mergeCell ref="B135:J135"/>
    <mergeCell ref="E146:G146"/>
    <mergeCell ref="H145:J145"/>
    <mergeCell ref="B191:J191"/>
    <mergeCell ref="B192:J192"/>
    <mergeCell ref="B209:J209"/>
    <mergeCell ref="H146:J146"/>
    <mergeCell ref="E145:G145"/>
    <mergeCell ref="B208:J208"/>
    <mergeCell ref="B184:C184"/>
    <mergeCell ref="B182:C182"/>
    <mergeCell ref="D182:F182"/>
    <mergeCell ref="D184:F184"/>
    <mergeCell ref="B187:J187"/>
    <mergeCell ref="B314:J314"/>
    <mergeCell ref="B425:E425"/>
    <mergeCell ref="B426:E426"/>
    <mergeCell ref="B322:J322"/>
    <mergeCell ref="B338:J338"/>
    <mergeCell ref="B341:J341"/>
    <mergeCell ref="B340:J340"/>
    <mergeCell ref="B410:J410"/>
    <mergeCell ref="G412:H412"/>
    <mergeCell ref="I412:J412"/>
    <mergeCell ref="G413:H413"/>
    <mergeCell ref="I413:J413"/>
  </mergeCells>
  <conditionalFormatting sqref="G242:H252">
    <cfRule type="cellIs" dxfId="22" priority="27" operator="equal">
      <formula>"Diff"</formula>
    </cfRule>
  </conditionalFormatting>
  <conditionalFormatting sqref="I364:I369">
    <cfRule type="containsText" dxfId="21" priority="31" operator="containsText" text="false">
      <formula>NOT(ISERROR(SEARCH("false",I364)))</formula>
    </cfRule>
  </conditionalFormatting>
  <conditionalFormatting sqref="I16:J16 J364:K364">
    <cfRule type="containsText" dxfId="20" priority="40" operator="containsText" text="False">
      <formula>NOT(ISERROR(SEARCH("False",I16)))</formula>
    </cfRule>
    <cfRule type="cellIs" dxfId="19" priority="41" operator="equal">
      <formula>FALSE</formula>
    </cfRule>
  </conditionalFormatting>
  <conditionalFormatting sqref="I363:J363">
    <cfRule type="cellIs" dxfId="18" priority="5" operator="equal">
      <formula>"FALSE"</formula>
    </cfRule>
  </conditionalFormatting>
  <conditionalFormatting sqref="I34:K34">
    <cfRule type="containsText" dxfId="17" priority="32" operator="containsText" text="False">
      <formula>NOT(ISERROR(SEARCH("False",I34)))</formula>
    </cfRule>
    <cfRule type="cellIs" dxfId="16" priority="33" operator="equal">
      <formula>FALSE</formula>
    </cfRule>
  </conditionalFormatting>
  <conditionalFormatting sqref="I50:K50">
    <cfRule type="containsText" dxfId="15" priority="19" operator="containsText" text="False">
      <formula>NOT(ISERROR(SEARCH("False",I50)))</formula>
    </cfRule>
    <cfRule type="cellIs" dxfId="14" priority="20" operator="equal">
      <formula>FALSE</formula>
    </cfRule>
  </conditionalFormatting>
  <conditionalFormatting sqref="I112:K112">
    <cfRule type="containsText" dxfId="13" priority="23" operator="containsText" text="False">
      <formula>NOT(ISERROR(SEARCH("False",I112)))</formula>
    </cfRule>
    <cfRule type="cellIs" dxfId="12" priority="24" operator="equal">
      <formula>FALSE</formula>
    </cfRule>
  </conditionalFormatting>
  <conditionalFormatting sqref="J219">
    <cfRule type="cellIs" dxfId="11" priority="4" operator="equal">
      <formula>FALSE</formula>
    </cfRule>
  </conditionalFormatting>
  <conditionalFormatting sqref="J239">
    <cfRule type="cellIs" dxfId="10" priority="28" operator="equal">
      <formula>FALSE</formula>
    </cfRule>
  </conditionalFormatting>
  <conditionalFormatting sqref="J365:K369">
    <cfRule type="containsText" dxfId="9" priority="18" operator="containsText" text="false">
      <formula>NOT(ISERROR(SEARCH("false",J365)))</formula>
    </cfRule>
  </conditionalFormatting>
  <pageMargins left="0.23622047244094491" right="0.23622047244094491" top="0.74803149606299213" bottom="0.74803149606299213" header="0.31496062992125984" footer="0.31496062992125984"/>
  <pageSetup paperSize="9" scale="76" firstPageNumber="29" fitToWidth="0" fitToHeight="0" orientation="portrait" useFirstPageNumber="1" r:id="rId1"/>
  <headerFooter>
    <oddFooter>&amp;C&amp;P</oddFooter>
  </headerFooter>
  <rowBreaks count="4" manualBreakCount="4">
    <brk id="160" max="9" man="1"/>
    <brk id="216" max="9" man="1"/>
    <brk id="311" max="9" man="1"/>
    <brk id="395" max="9"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109"/>
  <sheetViews>
    <sheetView showGridLines="0" view="pageBreakPreview" topLeftCell="A41" zoomScale="104" zoomScaleNormal="100" zoomScaleSheetLayoutView="104" workbookViewId="0"/>
  </sheetViews>
  <sheetFormatPr defaultColWidth="9.21875" defaultRowHeight="13.2"/>
  <cols>
    <col min="1" max="1" width="5.77734375" style="683" customWidth="1"/>
    <col min="2" max="2" width="8.77734375" style="699" customWidth="1"/>
    <col min="3" max="3" width="17.77734375" style="699" customWidth="1"/>
    <col min="4" max="4" width="10.77734375" style="699" customWidth="1"/>
    <col min="5" max="5" width="12.5546875" style="699" bestFit="1" customWidth="1"/>
    <col min="6" max="6" width="8.5546875" style="699" customWidth="1"/>
    <col min="7" max="7" width="10.77734375" style="699" bestFit="1" customWidth="1"/>
    <col min="8" max="8" width="12.44140625" style="699" customWidth="1"/>
    <col min="9" max="10" width="13.44140625" style="699" bestFit="1" customWidth="1"/>
    <col min="11" max="16384" width="9.21875" style="699"/>
  </cols>
  <sheetData>
    <row r="1" spans="1:10">
      <c r="A1" s="689" t="s">
        <v>1</v>
      </c>
      <c r="B1" s="681"/>
    </row>
    <row r="2" spans="1:10">
      <c r="A2" s="682"/>
      <c r="E2" s="702"/>
    </row>
    <row r="3" spans="1:10">
      <c r="A3" s="683" t="str">
        <f>'10-17'!A3</f>
        <v>Summary of material accounting policies and other explanatory information</v>
      </c>
    </row>
    <row r="4" spans="1:10">
      <c r="A4" s="1066" t="str">
        <f>'10-17'!A4</f>
        <v>(Amounts are stated in ₹ Lakhs unless otherwise stated)</v>
      </c>
      <c r="B4" s="728"/>
      <c r="C4" s="728"/>
      <c r="D4" s="728"/>
      <c r="E4" s="728"/>
    </row>
    <row r="5" spans="1:10">
      <c r="B5" s="686"/>
    </row>
    <row r="7" spans="1:10" ht="18" customHeight="1">
      <c r="A7" s="683">
        <f>+'18-26'!A313+1</f>
        <v>27</v>
      </c>
      <c r="B7" s="681" t="s">
        <v>390</v>
      </c>
    </row>
    <row r="8" spans="1:10" ht="5.0999999999999996" customHeight="1">
      <c r="B8" s="681"/>
    </row>
    <row r="9" spans="1:10">
      <c r="B9" s="681" t="s">
        <v>1955</v>
      </c>
    </row>
    <row r="10" spans="1:10" ht="51" customHeight="1">
      <c r="B10" s="1859" t="s">
        <v>2080</v>
      </c>
      <c r="C10" s="1782"/>
      <c r="D10" s="1782"/>
      <c r="E10" s="1782"/>
      <c r="F10" s="1782"/>
      <c r="G10" s="1782"/>
      <c r="H10" s="1782"/>
      <c r="I10" s="1782"/>
      <c r="J10" s="1782"/>
    </row>
    <row r="11" spans="1:10" ht="27" hidden="1" customHeight="1">
      <c r="B11" s="1782" t="s">
        <v>391</v>
      </c>
      <c r="C11" s="1782"/>
      <c r="D11" s="1782"/>
      <c r="E11" s="1782"/>
      <c r="F11" s="1782"/>
      <c r="G11" s="1782"/>
      <c r="H11" s="1782"/>
      <c r="I11" s="1782"/>
      <c r="J11" s="1782"/>
    </row>
    <row r="12" spans="1:10" ht="40.049999999999997" customHeight="1">
      <c r="B12" s="1782" t="s">
        <v>2795</v>
      </c>
      <c r="C12" s="1782"/>
      <c r="D12" s="1782"/>
      <c r="E12" s="1782"/>
      <c r="F12" s="1782"/>
      <c r="G12" s="1782"/>
      <c r="H12" s="1782"/>
      <c r="I12" s="1782"/>
      <c r="J12" s="1782"/>
    </row>
    <row r="13" spans="1:10" ht="14.25" customHeight="1">
      <c r="B13" s="1782" t="s">
        <v>392</v>
      </c>
      <c r="C13" s="1782"/>
      <c r="D13" s="1782"/>
      <c r="E13" s="1782"/>
      <c r="F13" s="1782"/>
      <c r="G13" s="1782"/>
      <c r="H13" s="1782"/>
      <c r="I13" s="1782"/>
      <c r="J13" s="1782"/>
    </row>
    <row r="14" spans="1:10" ht="12" hidden="1" customHeight="1">
      <c r="B14" s="681"/>
    </row>
    <row r="15" spans="1:10" ht="3" hidden="1" customHeight="1">
      <c r="B15" s="1864" t="s">
        <v>393</v>
      </c>
      <c r="C15" s="1864"/>
      <c r="D15" s="1864"/>
      <c r="E15" s="1864"/>
      <c r="F15" s="1864"/>
      <c r="G15" s="1864"/>
      <c r="H15" s="1864"/>
      <c r="I15" s="1864"/>
      <c r="J15" s="1864"/>
    </row>
    <row r="16" spans="1:10" ht="10.050000000000001" customHeight="1">
      <c r="B16" s="681"/>
    </row>
    <row r="17" spans="1:12" s="940" customFormat="1">
      <c r="A17" s="683"/>
      <c r="B17" s="681" t="s">
        <v>394</v>
      </c>
      <c r="C17" s="699"/>
      <c r="D17" s="699"/>
      <c r="E17" s="699"/>
      <c r="F17" s="699"/>
      <c r="G17" s="699"/>
      <c r="H17" s="699"/>
      <c r="I17" s="699"/>
      <c r="J17" s="872"/>
    </row>
    <row r="18" spans="1:12">
      <c r="B18" s="1859" t="s">
        <v>2058</v>
      </c>
      <c r="C18" s="1782"/>
      <c r="D18" s="1782"/>
      <c r="E18" s="1782"/>
      <c r="F18" s="1782"/>
      <c r="G18" s="1782"/>
      <c r="H18" s="1782"/>
      <c r="I18" s="1782"/>
      <c r="J18" s="1782"/>
    </row>
    <row r="19" spans="1:12">
      <c r="B19" s="1863" t="s">
        <v>3016</v>
      </c>
      <c r="C19" s="1863"/>
      <c r="D19" s="1863"/>
      <c r="E19" s="1863"/>
      <c r="F19" s="1863"/>
      <c r="G19" s="1863"/>
      <c r="H19" s="1863"/>
      <c r="I19" s="1863"/>
    </row>
    <row r="20" spans="1:12" ht="6" customHeight="1">
      <c r="B20" s="1491"/>
      <c r="C20" s="1491"/>
      <c r="D20" s="1491"/>
      <c r="E20" s="1491"/>
      <c r="F20" s="1491"/>
      <c r="G20" s="1491"/>
      <c r="H20" s="1491"/>
      <c r="I20" s="1491"/>
    </row>
    <row r="21" spans="1:12" s="940" customFormat="1">
      <c r="A21" s="683"/>
      <c r="B21" s="681" t="s">
        <v>395</v>
      </c>
      <c r="C21" s="699"/>
      <c r="D21" s="699"/>
      <c r="E21" s="699"/>
      <c r="F21" s="699"/>
      <c r="G21" s="699"/>
      <c r="H21" s="699"/>
      <c r="I21" s="699"/>
      <c r="J21" s="699"/>
    </row>
    <row r="22" spans="1:12">
      <c r="B22" s="683"/>
      <c r="D22" s="683"/>
      <c r="E22" s="683"/>
      <c r="F22" s="683"/>
      <c r="G22" s="683"/>
      <c r="H22" s="683"/>
      <c r="I22" s="684" t="s">
        <v>1872</v>
      </c>
      <c r="J22" s="684" t="s">
        <v>1872</v>
      </c>
    </row>
    <row r="23" spans="1:12">
      <c r="B23" s="923" t="s">
        <v>82</v>
      </c>
      <c r="C23" s="711"/>
      <c r="D23" s="923"/>
      <c r="E23" s="923"/>
      <c r="F23" s="923"/>
      <c r="G23" s="923"/>
      <c r="H23" s="923"/>
      <c r="I23" s="760">
        <f>BS!$G$7</f>
        <v>45747</v>
      </c>
      <c r="J23" s="760">
        <f>BS!$I$7</f>
        <v>45382</v>
      </c>
    </row>
    <row r="24" spans="1:12" ht="5.0999999999999996" customHeight="1">
      <c r="I24" s="681"/>
    </row>
    <row r="25" spans="1:12">
      <c r="B25" s="701" t="s">
        <v>396</v>
      </c>
      <c r="D25" s="701"/>
      <c r="E25" s="701"/>
      <c r="I25" s="764">
        <f>ROUND((8281185)/Master!$B$23,0)-1</f>
        <v>8281184</v>
      </c>
      <c r="J25" s="764">
        <f>ROUND((9423905)/Master!$B$23,0)-1</f>
        <v>9423904</v>
      </c>
    </row>
    <row r="26" spans="1:12">
      <c r="B26" s="701" t="s">
        <v>397</v>
      </c>
      <c r="D26" s="701"/>
      <c r="E26" s="701"/>
      <c r="I26" s="764">
        <f>ROUND((0)/Master!$B$23,0)</f>
        <v>0</v>
      </c>
      <c r="J26" s="764">
        <f>ROUND((2504292-78324)/Master!$B$23,0)</f>
        <v>2425968</v>
      </c>
    </row>
    <row r="27" spans="1:12">
      <c r="B27" s="701" t="s">
        <v>398</v>
      </c>
      <c r="D27" s="701"/>
      <c r="E27" s="701"/>
      <c r="I27" s="764">
        <f>ROUND((2703334)/Master!$B$23,0)+1</f>
        <v>2703335</v>
      </c>
      <c r="J27" s="764">
        <f>ROUND((2630334)/Master!$B$23,0)+1</f>
        <v>2630335</v>
      </c>
    </row>
    <row r="28" spans="1:12" hidden="1">
      <c r="B28" s="701" t="s">
        <v>399</v>
      </c>
      <c r="D28" s="683"/>
      <c r="E28" s="683"/>
      <c r="I28" s="764">
        <f>ROUND((0)/Master!$B$23,0)</f>
        <v>0</v>
      </c>
      <c r="J28" s="764">
        <f>ROUND((0)/Master!$B$23,0)</f>
        <v>0</v>
      </c>
    </row>
    <row r="29" spans="1:12" hidden="1">
      <c r="B29" s="701" t="s">
        <v>400</v>
      </c>
      <c r="D29" s="701"/>
      <c r="E29" s="701"/>
      <c r="I29" s="763">
        <f>ROUND((0)/Master!$B$23,0)</f>
        <v>0</v>
      </c>
      <c r="J29" s="764">
        <f>ROUND((0)/Master!$B$23,0)</f>
        <v>0</v>
      </c>
    </row>
    <row r="30" spans="1:12">
      <c r="B30" s="820" t="s">
        <v>173</v>
      </c>
      <c r="C30" s="1076"/>
      <c r="D30" s="1076"/>
      <c r="E30" s="1076"/>
      <c r="F30" s="1035"/>
      <c r="G30" s="1035"/>
      <c r="H30" s="1035"/>
      <c r="I30" s="971">
        <f>SUM(I25:I29)</f>
        <v>10984519</v>
      </c>
      <c r="J30" s="971">
        <f>SUM(J25:J29)</f>
        <v>14480207</v>
      </c>
      <c r="L30" s="872"/>
    </row>
    <row r="31" spans="1:12">
      <c r="B31" s="681"/>
      <c r="D31" s="703"/>
      <c r="E31" s="703"/>
      <c r="F31" s="703"/>
      <c r="G31" s="703"/>
      <c r="H31" s="703"/>
      <c r="I31" s="703" t="str">
        <f>IF(I30='18-26'!I14," ",FALSE)</f>
        <v xml:space="preserve"> </v>
      </c>
      <c r="J31" s="703" t="str">
        <f>IF(J30='18-26'!J14," ",FALSE)</f>
        <v xml:space="preserve"> </v>
      </c>
    </row>
    <row r="32" spans="1:12">
      <c r="B32" s="681" t="s">
        <v>1956</v>
      </c>
      <c r="D32" s="703"/>
      <c r="E32" s="703"/>
      <c r="F32" s="703"/>
      <c r="G32" s="703"/>
      <c r="H32" s="703"/>
      <c r="I32" s="703"/>
      <c r="J32" s="703"/>
    </row>
    <row r="33" spans="2:10">
      <c r="B33" s="683"/>
      <c r="D33" s="683"/>
      <c r="E33" s="683"/>
      <c r="F33" s="683"/>
      <c r="G33" s="683"/>
      <c r="H33" s="683"/>
      <c r="I33" s="684" t="s">
        <v>1872</v>
      </c>
      <c r="J33" s="684" t="s">
        <v>1872</v>
      </c>
    </row>
    <row r="34" spans="2:10">
      <c r="B34" s="923" t="s">
        <v>82</v>
      </c>
      <c r="C34" s="711"/>
      <c r="D34" s="923"/>
      <c r="E34" s="923"/>
      <c r="F34" s="923"/>
      <c r="G34" s="923"/>
      <c r="H34" s="923"/>
      <c r="I34" s="760">
        <f>BS!$G$7</f>
        <v>45747</v>
      </c>
      <c r="J34" s="760">
        <f>BS!$I$7</f>
        <v>45382</v>
      </c>
    </row>
    <row r="35" spans="2:10" ht="5.25" customHeight="1">
      <c r="I35" s="681"/>
    </row>
    <row r="36" spans="2:10" hidden="1">
      <c r="B36" s="701" t="s">
        <v>402</v>
      </c>
      <c r="D36" s="701"/>
      <c r="E36" s="701"/>
      <c r="I36" s="764">
        <f>ROUND((0)/Master!$B$23,0)</f>
        <v>0</v>
      </c>
      <c r="J36" s="764">
        <f>ROUND((0)/Master!$B$23,0)</f>
        <v>0</v>
      </c>
    </row>
    <row r="37" spans="2:10">
      <c r="B37" s="1160" t="s">
        <v>2623</v>
      </c>
      <c r="D37" s="701"/>
      <c r="E37" s="701"/>
      <c r="I37" s="764">
        <f>ROUND((8281185)/Master!$B$23,0)-1</f>
        <v>8281184</v>
      </c>
      <c r="J37" s="764">
        <f>ROUND((9423905)/Master!$B$23,0)-1</f>
        <v>9423904</v>
      </c>
    </row>
    <row r="38" spans="2:10">
      <c r="B38" s="1160" t="s">
        <v>2358</v>
      </c>
      <c r="D38" s="701"/>
      <c r="E38" s="701"/>
      <c r="I38" s="764">
        <f>ROUND((0)/Master!$B$23,0)</f>
        <v>0</v>
      </c>
      <c r="J38" s="764">
        <f>ROUND((2504292-78324)/Master!$B$23,0)</f>
        <v>2425968</v>
      </c>
    </row>
    <row r="39" spans="2:10">
      <c r="B39" s="1160" t="s">
        <v>2562</v>
      </c>
      <c r="D39" s="683"/>
      <c r="E39" s="683"/>
      <c r="I39" s="764">
        <f>ROUND((2703334)/Master!$B$23,0)+1</f>
        <v>2703335</v>
      </c>
      <c r="J39" s="1163">
        <f>ROUND((2630334)/Master!$B$23,0)+1</f>
        <v>2630335</v>
      </c>
    </row>
    <row r="40" spans="2:10">
      <c r="B40" s="701" t="s">
        <v>2747</v>
      </c>
      <c r="D40" s="701"/>
      <c r="E40" s="701"/>
      <c r="I40" s="1163">
        <f>ROUND((0)/Master!$B$23,0)</f>
        <v>0</v>
      </c>
      <c r="J40" s="1163">
        <f>ROUND((0)/Master!$B$23,0)</f>
        <v>0</v>
      </c>
    </row>
    <row r="41" spans="2:10">
      <c r="B41" s="820" t="s">
        <v>173</v>
      </c>
      <c r="C41" s="1076"/>
      <c r="D41" s="1076"/>
      <c r="E41" s="1076"/>
      <c r="F41" s="1035"/>
      <c r="G41" s="1035"/>
      <c r="H41" s="1035"/>
      <c r="I41" s="971">
        <f>SUM(I36:I40)</f>
        <v>10984519</v>
      </c>
      <c r="J41" s="971">
        <f>SUM(J36:J40)</f>
        <v>14480207</v>
      </c>
    </row>
    <row r="42" spans="2:10">
      <c r="B42" s="681"/>
      <c r="D42" s="703"/>
      <c r="E42" s="703"/>
      <c r="F42" s="703"/>
      <c r="G42" s="703"/>
      <c r="H42" s="703"/>
      <c r="I42" s="703" t="str">
        <f>IF(I41='18-26'!I14," ",FALSE)</f>
        <v xml:space="preserve"> </v>
      </c>
      <c r="J42" s="703" t="str">
        <f>IF(J41='18-26'!J14," ",FALSE)</f>
        <v xml:space="preserve"> </v>
      </c>
    </row>
    <row r="43" spans="2:10" ht="15" customHeight="1">
      <c r="B43" s="681" t="s">
        <v>404</v>
      </c>
      <c r="I43" s="710"/>
      <c r="J43" s="710"/>
    </row>
    <row r="44" spans="2:10">
      <c r="B44" s="683"/>
      <c r="D44" s="681"/>
      <c r="E44" s="681"/>
      <c r="F44" s="681"/>
      <c r="G44" s="681"/>
      <c r="H44" s="681"/>
      <c r="I44" s="684" t="s">
        <v>1872</v>
      </c>
      <c r="J44" s="684" t="s">
        <v>1872</v>
      </c>
    </row>
    <row r="45" spans="2:10">
      <c r="B45" s="923" t="s">
        <v>82</v>
      </c>
      <c r="C45" s="711"/>
      <c r="D45" s="887"/>
      <c r="E45" s="887"/>
      <c r="F45" s="887"/>
      <c r="G45" s="887"/>
      <c r="H45" s="887"/>
      <c r="I45" s="760">
        <f>BS!$G$7</f>
        <v>45747</v>
      </c>
      <c r="J45" s="760">
        <f>BS!$I$7</f>
        <v>45382</v>
      </c>
    </row>
    <row r="46" spans="2:10" ht="5.0999999999999996" customHeight="1">
      <c r="I46" s="681"/>
      <c r="J46" s="764"/>
    </row>
    <row r="47" spans="2:10">
      <c r="B47" s="681" t="s">
        <v>405</v>
      </c>
      <c r="D47" s="681"/>
      <c r="E47" s="681"/>
      <c r="I47" s="681"/>
      <c r="J47" s="764"/>
    </row>
    <row r="48" spans="2:10">
      <c r="B48" s="1134" t="s">
        <v>396</v>
      </c>
      <c r="D48" s="701"/>
      <c r="E48" s="701"/>
      <c r="I48" s="1492">
        <f>ROUND((6828431)/Master!$B$23,0)</f>
        <v>6828431</v>
      </c>
      <c r="J48" s="1492">
        <f>ROUND((1004564+165303)/Master!$B$23,0)</f>
        <v>1169867</v>
      </c>
    </row>
    <row r="49" spans="1:12">
      <c r="B49" s="699" t="s">
        <v>399</v>
      </c>
      <c r="D49" s="701"/>
      <c r="E49" s="701"/>
      <c r="I49" s="764">
        <f>BS!G36-I48-I53-I51</f>
        <v>265959038.51999998</v>
      </c>
      <c r="J49" s="764">
        <f>BS!I36-J48-J53-J51</f>
        <v>314625345</v>
      </c>
    </row>
    <row r="50" spans="1:12" hidden="1">
      <c r="B50" s="943" t="s">
        <v>397</v>
      </c>
      <c r="D50" s="701"/>
      <c r="E50" s="701"/>
      <c r="I50" s="763">
        <f>ROUND((0)/Master!$B$23,0)</f>
        <v>0</v>
      </c>
      <c r="J50" s="764">
        <f>ROUND((0)/Master!$B$23,0)</f>
        <v>0</v>
      </c>
    </row>
    <row r="51" spans="1:12">
      <c r="B51" s="699" t="s">
        <v>398</v>
      </c>
      <c r="D51" s="701"/>
      <c r="E51" s="701"/>
      <c r="I51" s="1492">
        <f>ROUND((2332950)/Master!$B$23,0)</f>
        <v>2332950</v>
      </c>
      <c r="J51" s="1163">
        <f>ROUND((475994)/Master!$B$23,0)</f>
        <v>475994</v>
      </c>
    </row>
    <row r="52" spans="1:12" hidden="1">
      <c r="B52" s="943" t="s">
        <v>400</v>
      </c>
      <c r="D52" s="701"/>
      <c r="E52" s="701"/>
      <c r="I52" s="763">
        <f>ROUND((0)/Master!$B$23,0)</f>
        <v>0</v>
      </c>
      <c r="J52" s="764">
        <f>ROUND((0)/Master!$B$23,0)</f>
        <v>0</v>
      </c>
    </row>
    <row r="53" spans="1:12">
      <c r="B53" s="701" t="s">
        <v>397</v>
      </c>
      <c r="D53" s="701"/>
      <c r="E53" s="701"/>
      <c r="I53" s="1492">
        <f>ROUND((190888)/Master!$B$23,0)</f>
        <v>190888</v>
      </c>
      <c r="J53" s="1492">
        <f>ROUND((171094)/Master!$B$23,0)</f>
        <v>171094</v>
      </c>
    </row>
    <row r="54" spans="1:12" s="681" customFormat="1" hidden="1">
      <c r="A54" s="683"/>
      <c r="B54" s="681" t="s">
        <v>401</v>
      </c>
      <c r="C54" s="683"/>
      <c r="D54" s="683"/>
      <c r="E54" s="683"/>
      <c r="I54" s="763">
        <f>SUM(I47:I53)</f>
        <v>275311307.51999998</v>
      </c>
      <c r="J54" s="763">
        <f>SUM(J47:J53)</f>
        <v>316442300</v>
      </c>
    </row>
    <row r="55" spans="1:12" s="681" customFormat="1" hidden="1">
      <c r="A55" s="683"/>
      <c r="B55" s="699" t="s">
        <v>406</v>
      </c>
      <c r="C55" s="683"/>
      <c r="D55" s="683"/>
      <c r="E55" s="683"/>
      <c r="I55" s="1492">
        <v>0</v>
      </c>
      <c r="J55" s="764">
        <v>0</v>
      </c>
    </row>
    <row r="56" spans="1:12" s="681" customFormat="1">
      <c r="A56" s="683"/>
      <c r="B56" s="820" t="s">
        <v>407</v>
      </c>
      <c r="C56" s="1081"/>
      <c r="D56" s="1081"/>
      <c r="E56" s="1081"/>
      <c r="F56" s="820"/>
      <c r="G56" s="820"/>
      <c r="H56" s="820"/>
      <c r="I56" s="971">
        <f>SUM(I54:I55)</f>
        <v>275311307.51999998</v>
      </c>
      <c r="J56" s="971">
        <f>SUM(J54:J55)</f>
        <v>316442300</v>
      </c>
      <c r="L56" s="699"/>
    </row>
    <row r="57" spans="1:12" s="681" customFormat="1" ht="8.25" customHeight="1">
      <c r="A57" s="683"/>
      <c r="C57" s="683"/>
      <c r="D57" s="683"/>
      <c r="E57" s="683"/>
      <c r="I57" s="763" t="str">
        <f>IF((BS!G36)='Note 27 Segment Reporting'!I56," ",FALSE)</f>
        <v xml:space="preserve"> </v>
      </c>
      <c r="J57" s="763" t="str">
        <f>IF((BS!I36)='Note 27 Segment Reporting'!J56," ",FALSE)</f>
        <v xml:space="preserve"> </v>
      </c>
    </row>
    <row r="58" spans="1:12" s="681" customFormat="1">
      <c r="A58" s="683"/>
      <c r="B58" s="681" t="s">
        <v>2013</v>
      </c>
      <c r="C58" s="699"/>
      <c r="D58" s="699"/>
      <c r="E58" s="699"/>
      <c r="F58" s="699"/>
      <c r="G58" s="699"/>
      <c r="H58" s="699"/>
      <c r="I58" s="710"/>
      <c r="J58" s="710"/>
    </row>
    <row r="59" spans="1:12" s="681" customFormat="1">
      <c r="A59" s="683"/>
      <c r="B59" s="683"/>
      <c r="C59" s="699"/>
      <c r="I59" s="684" t="s">
        <v>1872</v>
      </c>
      <c r="J59" s="684" t="s">
        <v>1872</v>
      </c>
    </row>
    <row r="60" spans="1:12" s="681" customFormat="1">
      <c r="A60" s="683"/>
      <c r="B60" s="923" t="s">
        <v>82</v>
      </c>
      <c r="C60" s="711"/>
      <c r="D60" s="887"/>
      <c r="E60" s="887"/>
      <c r="F60" s="887"/>
      <c r="G60" s="887"/>
      <c r="H60" s="887"/>
      <c r="I60" s="760">
        <f>BS!$G$7</f>
        <v>45747</v>
      </c>
      <c r="J60" s="760">
        <f>BS!$I$7</f>
        <v>45382</v>
      </c>
    </row>
    <row r="61" spans="1:12" s="681" customFormat="1" ht="4.5" customHeight="1">
      <c r="A61" s="683"/>
      <c r="B61" s="699"/>
      <c r="C61" s="699"/>
      <c r="D61" s="699"/>
      <c r="E61" s="699"/>
      <c r="F61" s="699"/>
      <c r="G61" s="699"/>
      <c r="H61" s="699"/>
      <c r="J61" s="764"/>
    </row>
    <row r="62" spans="1:12" s="681" customFormat="1">
      <c r="A62" s="683"/>
      <c r="B62" s="681" t="s">
        <v>2014</v>
      </c>
      <c r="C62" s="699"/>
      <c r="F62" s="699"/>
      <c r="G62" s="699"/>
      <c r="H62" s="699"/>
      <c r="J62" s="764"/>
    </row>
    <row r="63" spans="1:12" s="681" customFormat="1" hidden="1">
      <c r="A63" s="683"/>
      <c r="B63" s="1134" t="s">
        <v>396</v>
      </c>
      <c r="C63" s="699"/>
      <c r="D63" s="701"/>
      <c r="E63" s="701"/>
      <c r="F63" s="699"/>
      <c r="G63" s="699"/>
      <c r="H63" s="699"/>
      <c r="I63" s="1492">
        <f>ROUND((0)/Master!$B$23,0)</f>
        <v>0</v>
      </c>
      <c r="J63" s="764">
        <f>ROUND((0)/Master!$B$23,0)</f>
        <v>0</v>
      </c>
    </row>
    <row r="64" spans="1:12" s="681" customFormat="1">
      <c r="A64" s="683"/>
      <c r="B64" s="699" t="s">
        <v>399</v>
      </c>
      <c r="C64" s="699"/>
      <c r="D64" s="701"/>
      <c r="E64" s="701"/>
      <c r="F64" s="699"/>
      <c r="G64" s="699"/>
      <c r="H64" s="699"/>
      <c r="I64" s="764">
        <f>BS!G52+BS!G66-I63-I68</f>
        <v>258188543</v>
      </c>
      <c r="J64" s="764">
        <f>BS!I52+BS!I66-J63-J68</f>
        <v>250263965.6183489</v>
      </c>
    </row>
    <row r="65" spans="1:11" s="681" customFormat="1" hidden="1">
      <c r="A65" s="683"/>
      <c r="B65" s="943" t="s">
        <v>397</v>
      </c>
      <c r="C65" s="699"/>
      <c r="D65" s="701"/>
      <c r="E65" s="701"/>
      <c r="F65" s="699"/>
      <c r="G65" s="699"/>
      <c r="H65" s="699"/>
      <c r="I65" s="763">
        <f>ROUND((0)/Master!$B$23,0)</f>
        <v>0</v>
      </c>
      <c r="J65" s="764">
        <f>ROUND((0)/Master!$B$23,0)</f>
        <v>0</v>
      </c>
    </row>
    <row r="66" spans="1:11" s="681" customFormat="1" hidden="1">
      <c r="A66" s="683"/>
      <c r="B66" s="943" t="s">
        <v>398</v>
      </c>
      <c r="C66" s="699"/>
      <c r="D66" s="701"/>
      <c r="E66" s="701"/>
      <c r="F66" s="699"/>
      <c r="G66" s="699"/>
      <c r="H66" s="699"/>
      <c r="I66" s="763">
        <f>ROUND((0)/Master!$B$23,0)</f>
        <v>0</v>
      </c>
      <c r="J66" s="764">
        <f>ROUND((0)/Master!$B$23,0)</f>
        <v>0</v>
      </c>
    </row>
    <row r="67" spans="1:11" s="681" customFormat="1" hidden="1">
      <c r="A67" s="683"/>
      <c r="B67" s="943" t="s">
        <v>400</v>
      </c>
      <c r="C67" s="699"/>
      <c r="D67" s="701"/>
      <c r="E67" s="701"/>
      <c r="F67" s="699"/>
      <c r="G67" s="699"/>
      <c r="H67" s="699"/>
      <c r="I67" s="763">
        <f>ROUND((0)/Master!$B$23,0)</f>
        <v>0</v>
      </c>
      <c r="J67" s="764">
        <f>ROUND((0)/Master!$B$23,0)</f>
        <v>0</v>
      </c>
    </row>
    <row r="68" spans="1:11" s="681" customFormat="1" hidden="1">
      <c r="A68" s="683"/>
      <c r="B68" s="701" t="s">
        <v>397</v>
      </c>
      <c r="C68" s="699"/>
      <c r="D68" s="701"/>
      <c r="E68" s="701"/>
      <c r="F68" s="699"/>
      <c r="G68" s="699"/>
      <c r="H68" s="699"/>
      <c r="I68" s="1492">
        <f>ROUND((0)/Master!$B$23,0)</f>
        <v>0</v>
      </c>
      <c r="J68" s="764">
        <v>0</v>
      </c>
    </row>
    <row r="69" spans="1:11" s="681" customFormat="1">
      <c r="A69" s="683"/>
      <c r="B69" s="681" t="s">
        <v>401</v>
      </c>
      <c r="C69" s="683"/>
      <c r="D69" s="683"/>
      <c r="E69" s="683"/>
      <c r="I69" s="763">
        <f>SUM(I62:I68)</f>
        <v>258188543</v>
      </c>
      <c r="J69" s="763">
        <f>SUM(J62:J68)</f>
        <v>250263965.6183489</v>
      </c>
    </row>
    <row r="70" spans="1:11" s="681" customFormat="1">
      <c r="A70" s="683"/>
      <c r="B70" s="1134" t="s">
        <v>2015</v>
      </c>
      <c r="C70" s="683"/>
      <c r="D70" s="683"/>
      <c r="E70" s="683"/>
      <c r="I70" s="1492">
        <v>0</v>
      </c>
      <c r="J70" s="764">
        <v>0</v>
      </c>
    </row>
    <row r="71" spans="1:11" s="681" customFormat="1">
      <c r="A71" s="683"/>
      <c r="B71" s="820" t="s">
        <v>2018</v>
      </c>
      <c r="C71" s="1081"/>
      <c r="D71" s="1081"/>
      <c r="E71" s="1081"/>
      <c r="F71" s="820"/>
      <c r="G71" s="820"/>
      <c r="H71" s="820"/>
      <c r="I71" s="971">
        <f>SUM(I69:I70)</f>
        <v>258188543</v>
      </c>
      <c r="J71" s="971">
        <f>SUM(J69:J70)</f>
        <v>250263965.6183489</v>
      </c>
    </row>
    <row r="72" spans="1:11" s="681" customFormat="1">
      <c r="A72" s="683"/>
      <c r="C72" s="683"/>
      <c r="D72" s="683"/>
      <c r="E72" s="683"/>
      <c r="I72" s="763"/>
      <c r="J72" s="763"/>
    </row>
    <row r="73" spans="1:11" s="681" customFormat="1">
      <c r="A73" s="683"/>
      <c r="C73" s="683"/>
      <c r="D73" s="683"/>
      <c r="E73" s="683"/>
      <c r="I73" s="763"/>
      <c r="J73" s="763"/>
    </row>
    <row r="74" spans="1:11" s="681" customFormat="1">
      <c r="A74" s="683"/>
      <c r="C74" s="683"/>
      <c r="D74" s="683"/>
      <c r="E74" s="683"/>
      <c r="I74" s="763"/>
      <c r="J74" s="763"/>
    </row>
    <row r="75" spans="1:11" s="681" customFormat="1">
      <c r="A75" s="683"/>
      <c r="C75" s="683"/>
      <c r="D75" s="683"/>
      <c r="E75" s="1160"/>
      <c r="F75" s="1159"/>
      <c r="I75" s="763" t="str">
        <f>IF((BS!G68-BS!G42)='Note 27 Segment Reporting'!I71," ",FALSE)</f>
        <v xml:space="preserve"> </v>
      </c>
      <c r="J75" s="763" t="str">
        <f>IF((BS!I68-BS!I42)='Note 27 Segment Reporting'!J71," ",FALSE)</f>
        <v xml:space="preserve"> </v>
      </c>
    </row>
    <row r="76" spans="1:11" hidden="1">
      <c r="B76" s="683" t="s">
        <v>408</v>
      </c>
      <c r="D76" s="683"/>
      <c r="E76" s="683"/>
      <c r="I76" s="763"/>
      <c r="J76" s="764"/>
    </row>
    <row r="77" spans="1:11" ht="16.5" hidden="1" customHeight="1">
      <c r="B77" s="943" t="s">
        <v>399</v>
      </c>
      <c r="D77" s="701"/>
      <c r="E77" s="701"/>
      <c r="I77" s="763">
        <f>+'CF Working'!D134+BS!E12-BS!G12</f>
        <v>0</v>
      </c>
      <c r="J77" s="764">
        <f>ROUND((0)/Master!$B$23,0)</f>
        <v>0</v>
      </c>
      <c r="K77" s="872"/>
    </row>
    <row r="78" spans="1:11" hidden="1">
      <c r="C78" s="701"/>
      <c r="D78" s="701"/>
      <c r="E78" s="701"/>
      <c r="G78" s="681"/>
      <c r="I78" s="763">
        <f>+I77</f>
        <v>0</v>
      </c>
      <c r="J78" s="764">
        <f>+J77</f>
        <v>0</v>
      </c>
    </row>
    <row r="79" spans="1:11" ht="5.0999999999999996" customHeight="1">
      <c r="I79" s="763"/>
      <c r="J79" s="764"/>
    </row>
    <row r="80" spans="1:11" ht="5.0999999999999996" customHeight="1">
      <c r="I80" s="710"/>
      <c r="J80" s="938"/>
    </row>
    <row r="81" spans="9:10" ht="15" customHeight="1">
      <c r="I81" s="764"/>
      <c r="J81" s="1135"/>
    </row>
    <row r="82" spans="9:10" ht="15" customHeight="1">
      <c r="I82" s="872"/>
    </row>
    <row r="83" spans="9:10" ht="15" customHeight="1">
      <c r="I83" s="1133"/>
    </row>
    <row r="84" spans="9:10" ht="15" customHeight="1">
      <c r="I84" s="872"/>
    </row>
    <row r="85" spans="9:10" ht="15" customHeight="1"/>
    <row r="86" spans="9:10" ht="15" customHeight="1"/>
    <row r="87" spans="9:10" ht="15" customHeight="1"/>
    <row r="88" spans="9:10" ht="15" customHeight="1"/>
    <row r="89" spans="9:10" ht="15" customHeight="1"/>
    <row r="109" ht="25.5" customHeight="1"/>
  </sheetData>
  <mergeCells count="7">
    <mergeCell ref="B19:I19"/>
    <mergeCell ref="B10:J10"/>
    <mergeCell ref="B11:J11"/>
    <mergeCell ref="B12:J12"/>
    <mergeCell ref="B13:J13"/>
    <mergeCell ref="B15:J15"/>
    <mergeCell ref="B18:J18"/>
  </mergeCells>
  <conditionalFormatting sqref="I31:J31">
    <cfRule type="cellIs" dxfId="8" priority="2" operator="equal">
      <formula>FALSE</formula>
    </cfRule>
  </conditionalFormatting>
  <conditionalFormatting sqref="I42:J42">
    <cfRule type="cellIs" dxfId="7" priority="1" operator="equal">
      <formula>FALSE</formula>
    </cfRule>
  </conditionalFormatting>
  <conditionalFormatting sqref="I57:J57">
    <cfRule type="cellIs" dxfId="6" priority="5" operator="equal">
      <formula>FALSE</formula>
    </cfRule>
  </conditionalFormatting>
  <conditionalFormatting sqref="I75:J75">
    <cfRule type="cellIs" dxfId="5" priority="3" operator="equal">
      <formula>FALSE</formula>
    </cfRule>
  </conditionalFormatting>
  <pageMargins left="0.23622047244094491" right="0.23622047244094491" top="0.74803149606299213" bottom="0.74803149606299213" header="0.31496062992125984" footer="0.31496062992125984"/>
  <pageSetup paperSize="9" scale="87" firstPageNumber="34" fitToWidth="0" fitToHeight="0" orientation="portrait" useFirstPageNumber="1" r:id="rId1"/>
  <headerFooter>
    <oddFooter>&amp;C&amp;P</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656"/>
  <sheetViews>
    <sheetView showGridLines="0" view="pageBreakPreview" topLeftCell="A586" zoomScale="99" zoomScaleNormal="110" zoomScaleSheetLayoutView="99" workbookViewId="0">
      <selection activeCell="G363" sqref="G363"/>
    </sheetView>
  </sheetViews>
  <sheetFormatPr defaultColWidth="9.21875" defaultRowHeight="13.2"/>
  <cols>
    <col min="1" max="1" width="6.77734375" style="683" customWidth="1"/>
    <col min="2" max="2" width="7.21875" style="699" customWidth="1"/>
    <col min="3" max="3" width="11.77734375" style="699" customWidth="1"/>
    <col min="4" max="4" width="7.21875" style="699" customWidth="1"/>
    <col min="5" max="6" width="10.44140625" style="699" customWidth="1"/>
    <col min="7" max="7" width="14.77734375" style="699" customWidth="1"/>
    <col min="8" max="8" width="16.44140625" style="699" customWidth="1"/>
    <col min="9" max="9" width="0.77734375" style="699" customWidth="1"/>
    <col min="10" max="10" width="16.5546875" style="699" customWidth="1"/>
    <col min="11" max="11" width="14.44140625" style="699" customWidth="1"/>
    <col min="12" max="12" width="14" style="699" customWidth="1"/>
    <col min="13" max="13" width="12.5546875" style="699" customWidth="1"/>
    <col min="14" max="14" width="10.21875" style="700" customWidth="1"/>
    <col min="15" max="15" width="1.5546875" style="699" customWidth="1"/>
    <col min="16" max="16" width="4.44140625" style="699" customWidth="1"/>
    <col min="17" max="17" width="6.21875" style="699" customWidth="1"/>
    <col min="18" max="18" width="8" style="699" customWidth="1"/>
    <col min="19" max="20" width="9.44140625" style="699" customWidth="1"/>
    <col min="21" max="16383" width="9.21875" style="699"/>
    <col min="16384" max="16384" width="12" style="699" customWidth="1"/>
  </cols>
  <sheetData>
    <row r="1" spans="1:18">
      <c r="A1" s="689" t="s">
        <v>1</v>
      </c>
      <c r="B1" s="681"/>
      <c r="L1" s="727"/>
      <c r="M1" s="727"/>
      <c r="N1" s="727"/>
      <c r="O1" s="727"/>
      <c r="P1" s="727"/>
      <c r="Q1" s="727"/>
      <c r="R1" s="727"/>
    </row>
    <row r="2" spans="1:18">
      <c r="A2" s="682"/>
      <c r="E2" s="702"/>
      <c r="L2" s="727"/>
      <c r="M2" s="727"/>
      <c r="N2" s="727"/>
      <c r="O2" s="727"/>
      <c r="P2" s="727"/>
      <c r="Q2" s="727"/>
      <c r="R2" s="727"/>
    </row>
    <row r="3" spans="1:18">
      <c r="A3" s="683" t="str">
        <f>'10-17'!A3</f>
        <v>Summary of material accounting policies and other explanatory information</v>
      </c>
      <c r="L3" s="727"/>
      <c r="M3" s="727"/>
      <c r="N3" s="727"/>
      <c r="O3" s="727"/>
      <c r="P3" s="727"/>
      <c r="Q3" s="727"/>
      <c r="R3" s="727"/>
    </row>
    <row r="4" spans="1:18">
      <c r="A4" s="1066" t="str">
        <f>'10-17'!A4</f>
        <v>(Amounts are stated in ₹ Lakhs unless otherwise stated)</v>
      </c>
      <c r="B4" s="754"/>
      <c r="C4" s="754"/>
      <c r="D4" s="754"/>
      <c r="E4" s="754"/>
      <c r="L4" s="727"/>
      <c r="M4" s="727"/>
      <c r="N4" s="727"/>
      <c r="O4" s="727"/>
      <c r="P4" s="727"/>
      <c r="Q4" s="727"/>
      <c r="R4" s="727"/>
    </row>
    <row r="5" spans="1:18">
      <c r="B5" s="686"/>
      <c r="L5" s="727"/>
      <c r="M5" s="727"/>
      <c r="N5" s="727"/>
      <c r="O5" s="727"/>
      <c r="P5" s="727"/>
      <c r="Q5" s="727"/>
      <c r="R5" s="727"/>
    </row>
    <row r="6" spans="1:18">
      <c r="L6" s="727"/>
      <c r="M6" s="727"/>
      <c r="N6" s="727"/>
      <c r="O6" s="727"/>
      <c r="P6" s="727"/>
      <c r="Q6" s="727"/>
      <c r="R6" s="727"/>
    </row>
    <row r="7" spans="1:18" s="700" customFormat="1">
      <c r="A7" s="683">
        <f>+'Note 27 Segment Reporting'!A7+1</f>
        <v>28</v>
      </c>
      <c r="B7" s="681" t="s">
        <v>2246</v>
      </c>
      <c r="C7" s="699"/>
      <c r="D7" s="699"/>
      <c r="E7" s="699"/>
      <c r="F7" s="699"/>
      <c r="G7" s="699"/>
      <c r="H7" s="699"/>
      <c r="I7" s="699"/>
      <c r="J7" s="699"/>
      <c r="K7" s="699"/>
      <c r="L7" s="727"/>
      <c r="M7" s="727"/>
      <c r="N7" s="727"/>
      <c r="O7" s="727"/>
      <c r="P7" s="727"/>
      <c r="Q7" s="727"/>
      <c r="R7" s="727"/>
    </row>
    <row r="8" spans="1:18" s="700" customFormat="1" ht="10.050000000000001" customHeight="1">
      <c r="A8" s="683"/>
      <c r="B8" s="681"/>
      <c r="C8" s="699"/>
      <c r="D8" s="699"/>
      <c r="E8" s="699"/>
      <c r="F8" s="699"/>
      <c r="G8" s="699"/>
      <c r="H8" s="699"/>
      <c r="I8" s="699"/>
      <c r="J8" s="699"/>
      <c r="K8" s="699"/>
      <c r="L8" s="727"/>
      <c r="M8" s="727"/>
      <c r="N8" s="727"/>
      <c r="O8" s="727"/>
      <c r="P8" s="727"/>
      <c r="Q8" s="727"/>
      <c r="R8" s="727"/>
    </row>
    <row r="9" spans="1:18" s="700" customFormat="1" ht="17.25" customHeight="1">
      <c r="A9" s="837" t="s">
        <v>2245</v>
      </c>
      <c r="B9" s="825" t="s">
        <v>2624</v>
      </c>
      <c r="C9" s="699"/>
      <c r="D9" s="681"/>
      <c r="E9" s="681"/>
      <c r="F9" s="699"/>
      <c r="G9" s="699"/>
      <c r="H9" s="699"/>
      <c r="I9" s="699"/>
      <c r="J9" s="699"/>
      <c r="K9" s="699"/>
      <c r="L9" s="727"/>
      <c r="M9" s="727"/>
      <c r="N9" s="727"/>
      <c r="O9" s="727"/>
      <c r="P9" s="727"/>
      <c r="Q9" s="727"/>
      <c r="R9" s="727"/>
    </row>
    <row r="10" spans="1:18" s="700" customFormat="1" ht="3" customHeight="1">
      <c r="A10" s="683"/>
      <c r="B10" s="699"/>
      <c r="C10" s="699"/>
      <c r="D10" s="699"/>
      <c r="E10" s="699"/>
      <c r="F10" s="699"/>
      <c r="G10" s="699"/>
      <c r="H10" s="699"/>
      <c r="I10" s="699"/>
      <c r="J10" s="699"/>
      <c r="K10" s="699"/>
      <c r="L10" s="727"/>
      <c r="M10" s="727"/>
      <c r="N10" s="727"/>
      <c r="O10" s="727"/>
      <c r="P10" s="727"/>
      <c r="Q10" s="727"/>
      <c r="R10" s="727"/>
    </row>
    <row r="11" spans="1:18" s="700" customFormat="1" ht="14.1" customHeight="1">
      <c r="A11" s="685"/>
      <c r="B11" s="1879" t="s">
        <v>409</v>
      </c>
      <c r="C11" s="1879"/>
      <c r="D11" s="1879"/>
      <c r="E11" s="1879"/>
      <c r="F11" s="1879"/>
      <c r="G11" s="1746" t="s">
        <v>1978</v>
      </c>
      <c r="H11" s="1746"/>
      <c r="I11" s="1746"/>
      <c r="J11" s="1746"/>
      <c r="K11" s="1746"/>
      <c r="L11" s="727"/>
      <c r="M11" s="727"/>
      <c r="N11" s="727"/>
      <c r="O11" s="727"/>
      <c r="P11" s="727"/>
      <c r="Q11" s="727"/>
      <c r="R11" s="727"/>
    </row>
    <row r="12" spans="1:18" s="700" customFormat="1" ht="14.1" customHeight="1">
      <c r="A12" s="683"/>
      <c r="B12" s="824" t="s">
        <v>2247</v>
      </c>
      <c r="C12" s="1111"/>
      <c r="D12" s="1111"/>
      <c r="E12" s="1111"/>
      <c r="F12" s="710"/>
      <c r="G12" s="1893" t="s">
        <v>2626</v>
      </c>
      <c r="H12" s="1893"/>
      <c r="I12" s="1893"/>
      <c r="J12" s="1893"/>
      <c r="K12" s="1893"/>
      <c r="L12" s="727"/>
      <c r="M12" s="727"/>
      <c r="N12" s="727"/>
      <c r="O12" s="727"/>
      <c r="P12" s="727"/>
      <c r="Q12" s="727"/>
      <c r="R12" s="727"/>
    </row>
    <row r="13" spans="1:18" s="700" customFormat="1" ht="14.1" customHeight="1">
      <c r="A13" s="683"/>
      <c r="B13" s="824" t="s">
        <v>2248</v>
      </c>
      <c r="C13" s="1111"/>
      <c r="D13" s="1111"/>
      <c r="E13" s="1111"/>
      <c r="F13" s="710"/>
      <c r="G13" s="699" t="s">
        <v>410</v>
      </c>
      <c r="H13" s="699"/>
      <c r="I13" s="699"/>
      <c r="J13" s="699"/>
      <c r="K13" s="699"/>
      <c r="L13" s="727"/>
      <c r="M13" s="727"/>
      <c r="N13" s="727"/>
      <c r="O13" s="727"/>
      <c r="P13" s="727"/>
      <c r="Q13" s="727"/>
      <c r="R13" s="727"/>
    </row>
    <row r="14" spans="1:18" s="700" customFormat="1" ht="14.1" customHeight="1">
      <c r="A14" s="683"/>
      <c r="B14" s="1834" t="s">
        <v>2625</v>
      </c>
      <c r="C14" s="1834"/>
      <c r="D14" s="1834"/>
      <c r="E14" s="1834"/>
      <c r="F14" s="1834"/>
      <c r="G14" s="1159" t="s">
        <v>2292</v>
      </c>
      <c r="H14" s="699"/>
      <c r="I14" s="699"/>
      <c r="J14" s="699"/>
      <c r="K14" s="699"/>
      <c r="L14" s="727"/>
      <c r="M14" s="727"/>
      <c r="N14" s="727"/>
      <c r="O14" s="727"/>
      <c r="P14" s="727"/>
      <c r="Q14" s="727"/>
      <c r="R14" s="727"/>
    </row>
    <row r="15" spans="1:18" s="700" customFormat="1" ht="14.1" customHeight="1">
      <c r="A15" s="683"/>
      <c r="B15" s="1834"/>
      <c r="C15" s="1834"/>
      <c r="D15" s="1834"/>
      <c r="E15" s="1834"/>
      <c r="F15" s="1834"/>
      <c r="G15" s="699" t="s">
        <v>411</v>
      </c>
      <c r="H15" s="699"/>
      <c r="I15" s="699"/>
      <c r="J15" s="699"/>
      <c r="K15" s="699"/>
      <c r="L15" s="727"/>
      <c r="M15" s="727"/>
      <c r="N15" s="727"/>
      <c r="O15" s="727"/>
      <c r="P15" s="727"/>
      <c r="Q15" s="727"/>
      <c r="R15" s="727"/>
    </row>
    <row r="16" spans="1:18" s="700" customFormat="1" ht="14.1" customHeight="1">
      <c r="A16" s="683"/>
      <c r="B16" s="1834"/>
      <c r="C16" s="1834"/>
      <c r="D16" s="1834"/>
      <c r="E16" s="1834"/>
      <c r="F16" s="1834"/>
      <c r="G16" s="699" t="s">
        <v>412</v>
      </c>
      <c r="H16" s="699"/>
      <c r="I16" s="699"/>
      <c r="J16" s="699"/>
      <c r="K16" s="699"/>
      <c r="L16" s="727"/>
      <c r="M16" s="727"/>
      <c r="N16" s="727"/>
      <c r="O16" s="727"/>
      <c r="P16" s="727"/>
      <c r="Q16" s="727"/>
      <c r="R16" s="727"/>
    </row>
    <row r="17" spans="1:18" s="700" customFormat="1" ht="14.1" hidden="1" customHeight="1">
      <c r="A17" s="683"/>
      <c r="B17" s="1834"/>
      <c r="C17" s="1834"/>
      <c r="D17" s="1834"/>
      <c r="E17" s="1834"/>
      <c r="F17" s="1834"/>
      <c r="G17" s="699" t="s">
        <v>413</v>
      </c>
      <c r="H17" s="699"/>
      <c r="I17" s="699"/>
      <c r="J17" s="699"/>
      <c r="K17" s="699"/>
      <c r="L17" s="727"/>
      <c r="M17" s="727"/>
      <c r="N17" s="727"/>
      <c r="O17" s="727"/>
      <c r="P17" s="727"/>
      <c r="Q17" s="727"/>
      <c r="R17" s="727"/>
    </row>
    <row r="18" spans="1:18" s="700" customFormat="1" ht="14.1" customHeight="1">
      <c r="A18" s="683"/>
      <c r="B18" s="710"/>
      <c r="C18" s="1111"/>
      <c r="D18" s="1111"/>
      <c r="E18" s="1111"/>
      <c r="F18" s="710"/>
      <c r="G18" s="699" t="s">
        <v>414</v>
      </c>
      <c r="H18" s="699"/>
      <c r="I18" s="699"/>
      <c r="J18" s="699"/>
      <c r="K18" s="699"/>
      <c r="L18" s="727"/>
      <c r="M18" s="727"/>
      <c r="N18" s="727"/>
      <c r="O18" s="727"/>
      <c r="P18" s="727"/>
      <c r="Q18" s="727"/>
      <c r="R18" s="727"/>
    </row>
    <row r="19" spans="1:18" s="700" customFormat="1" ht="14.1" customHeight="1">
      <c r="A19" s="683"/>
      <c r="B19" s="710"/>
      <c r="C19" s="1111"/>
      <c r="D19" s="1111"/>
      <c r="E19" s="1111"/>
      <c r="F19" s="710"/>
      <c r="G19" s="1159" t="s">
        <v>2644</v>
      </c>
      <c r="H19" s="699"/>
      <c r="I19" s="699"/>
      <c r="J19" s="699"/>
      <c r="K19" s="699"/>
      <c r="L19" s="727"/>
      <c r="M19" s="727"/>
      <c r="N19" s="727"/>
      <c r="O19" s="727"/>
      <c r="P19" s="727"/>
      <c r="Q19" s="727"/>
      <c r="R19" s="727"/>
    </row>
    <row r="20" spans="1:18" s="700" customFormat="1" ht="14.1" customHeight="1">
      <c r="A20" s="683"/>
      <c r="B20" s="710"/>
      <c r="C20" s="1111"/>
      <c r="D20" s="1111"/>
      <c r="E20" s="1111"/>
      <c r="F20" s="710"/>
      <c r="G20" s="1159" t="s">
        <v>2370</v>
      </c>
      <c r="H20" s="699"/>
      <c r="I20" s="1159"/>
      <c r="J20" s="699"/>
      <c r="K20" s="699"/>
      <c r="L20" s="727"/>
      <c r="M20" s="727"/>
      <c r="N20" s="727"/>
      <c r="O20" s="727"/>
      <c r="P20" s="727"/>
      <c r="Q20" s="727"/>
      <c r="R20" s="727"/>
    </row>
    <row r="21" spans="1:18" s="700" customFormat="1">
      <c r="A21" s="683"/>
      <c r="B21" s="710"/>
      <c r="C21" s="1111"/>
      <c r="D21" s="1111"/>
      <c r="E21" s="1111"/>
      <c r="F21" s="710"/>
      <c r="G21" s="1159" t="s">
        <v>2947</v>
      </c>
      <c r="H21" s="699"/>
      <c r="I21" s="699"/>
      <c r="J21" s="699"/>
      <c r="K21" s="699"/>
      <c r="L21" s="727"/>
      <c r="M21" s="727"/>
      <c r="N21" s="727"/>
      <c r="O21" s="727"/>
      <c r="P21" s="727"/>
      <c r="Q21" s="727"/>
      <c r="R21" s="727"/>
    </row>
    <row r="22" spans="1:18" s="700" customFormat="1" ht="14.1" hidden="1" customHeight="1">
      <c r="A22" s="683"/>
      <c r="B22" s="824" t="s">
        <v>2249</v>
      </c>
      <c r="C22" s="1111"/>
      <c r="D22" s="1111"/>
      <c r="E22" s="1111"/>
      <c r="F22" s="710"/>
      <c r="G22" s="699" t="s">
        <v>218</v>
      </c>
      <c r="H22" s="699"/>
      <c r="I22" s="699"/>
      <c r="J22" s="699"/>
      <c r="K22" s="699"/>
      <c r="L22" s="727"/>
      <c r="M22" s="727"/>
      <c r="N22" s="727"/>
      <c r="O22" s="727"/>
      <c r="P22" s="727"/>
      <c r="Q22" s="727"/>
      <c r="R22" s="727"/>
    </row>
    <row r="23" spans="1:18" s="700" customFormat="1" ht="14.1" customHeight="1">
      <c r="A23" s="683"/>
      <c r="B23" s="824" t="s">
        <v>2815</v>
      </c>
      <c r="C23" s="1111"/>
      <c r="D23" s="1111"/>
      <c r="E23" s="1111"/>
      <c r="F23" s="710"/>
      <c r="G23" s="1701" t="s">
        <v>415</v>
      </c>
      <c r="H23" s="699"/>
      <c r="I23" s="699"/>
      <c r="J23" s="699"/>
      <c r="K23" s="699"/>
      <c r="L23" s="727"/>
      <c r="M23" s="727"/>
      <c r="N23" s="727"/>
      <c r="O23" s="727"/>
      <c r="P23" s="727"/>
      <c r="Q23" s="727"/>
      <c r="R23" s="727"/>
    </row>
    <row r="24" spans="1:18" s="700" customFormat="1" ht="14.1" customHeight="1">
      <c r="A24" s="683"/>
      <c r="B24" s="710"/>
      <c r="C24" s="1111"/>
      <c r="D24" s="1111"/>
      <c r="E24" s="1111"/>
      <c r="F24" s="710"/>
      <c r="G24" s="1702" t="s">
        <v>2002</v>
      </c>
      <c r="H24" s="699"/>
      <c r="I24" s="699"/>
      <c r="J24" s="699"/>
      <c r="K24" s="699"/>
      <c r="L24" s="727"/>
      <c r="M24" s="727"/>
      <c r="N24" s="727"/>
      <c r="O24" s="727"/>
      <c r="P24" s="727"/>
      <c r="Q24" s="727"/>
      <c r="R24" s="727"/>
    </row>
    <row r="25" spans="1:18" s="700" customFormat="1" ht="14.1" customHeight="1">
      <c r="A25" s="683"/>
      <c r="B25" s="710"/>
      <c r="C25" s="1111"/>
      <c r="D25" s="1111"/>
      <c r="E25" s="1111"/>
      <c r="F25" s="710"/>
      <c r="G25" s="1703" t="s">
        <v>2627</v>
      </c>
      <c r="H25" s="699"/>
      <c r="I25" s="699"/>
      <c r="J25" s="699"/>
      <c r="K25" s="699"/>
      <c r="L25" s="727"/>
      <c r="M25" s="727"/>
      <c r="N25" s="727"/>
      <c r="O25" s="727"/>
      <c r="P25" s="727"/>
      <c r="Q25" s="727"/>
      <c r="R25" s="727"/>
    </row>
    <row r="26" spans="1:18" s="700" customFormat="1" ht="14.1" customHeight="1">
      <c r="A26" s="683"/>
      <c r="B26" s="710"/>
      <c r="C26" s="1111"/>
      <c r="D26" s="1111"/>
      <c r="E26" s="1111"/>
      <c r="F26" s="710"/>
      <c r="G26" s="1704" t="s">
        <v>3117</v>
      </c>
      <c r="H26" s="699"/>
      <c r="I26" s="699"/>
      <c r="J26" s="699"/>
      <c r="K26" s="699"/>
      <c r="L26" s="727"/>
      <c r="M26" s="727"/>
      <c r="N26" s="727"/>
      <c r="O26" s="727"/>
      <c r="P26" s="727"/>
      <c r="Q26" s="727"/>
      <c r="R26" s="727"/>
    </row>
    <row r="27" spans="1:18" s="700" customFormat="1" ht="14.1" customHeight="1">
      <c r="A27" s="683"/>
      <c r="B27" s="710"/>
      <c r="C27" s="1111"/>
      <c r="D27" s="1111"/>
      <c r="E27" s="1111"/>
      <c r="F27" s="710"/>
      <c r="G27" s="1704" t="s">
        <v>3118</v>
      </c>
      <c r="H27" s="699"/>
      <c r="I27" s="699"/>
      <c r="J27" s="699"/>
      <c r="K27" s="699"/>
      <c r="L27" s="727"/>
      <c r="M27" s="727"/>
      <c r="N27" s="727"/>
      <c r="O27" s="727"/>
      <c r="P27" s="727"/>
      <c r="Q27" s="727"/>
      <c r="R27" s="727"/>
    </row>
    <row r="28" spans="1:18" s="700" customFormat="1" ht="7.5" customHeight="1">
      <c r="A28" s="683"/>
      <c r="B28" s="710"/>
      <c r="C28" s="1111"/>
      <c r="D28" s="1111"/>
      <c r="E28" s="1111"/>
      <c r="F28" s="710"/>
      <c r="G28" s="699"/>
      <c r="H28" s="699"/>
      <c r="I28" s="699"/>
      <c r="J28" s="699"/>
      <c r="K28" s="699"/>
      <c r="L28" s="727"/>
      <c r="M28" s="727"/>
      <c r="N28" s="727"/>
      <c r="O28" s="727"/>
      <c r="P28" s="727"/>
      <c r="Q28" s="727"/>
      <c r="R28" s="727"/>
    </row>
    <row r="29" spans="1:18" s="700" customFormat="1" ht="14.1" hidden="1" customHeight="1">
      <c r="A29" s="683"/>
      <c r="B29" s="824" t="s">
        <v>2250</v>
      </c>
      <c r="C29" s="1253"/>
      <c r="D29" s="1253"/>
      <c r="E29" s="1253"/>
      <c r="F29" s="710"/>
      <c r="G29" s="1159" t="s">
        <v>2255</v>
      </c>
      <c r="H29" s="699"/>
      <c r="I29" s="699"/>
      <c r="J29" s="699"/>
      <c r="K29" s="699"/>
      <c r="L29" s="727"/>
      <c r="M29" s="727"/>
      <c r="N29" s="727"/>
      <c r="O29" s="727"/>
      <c r="P29" s="727"/>
      <c r="Q29" s="727"/>
      <c r="R29" s="727"/>
    </row>
    <row r="30" spans="1:18" s="700" customFormat="1" ht="3" customHeight="1">
      <c r="A30" s="683"/>
      <c r="B30" s="710"/>
      <c r="C30" s="699"/>
      <c r="D30" s="699"/>
      <c r="E30" s="699"/>
      <c r="F30" s="710"/>
      <c r="G30" s="699"/>
      <c r="H30" s="699"/>
      <c r="I30" s="699"/>
      <c r="J30" s="699"/>
      <c r="K30" s="699"/>
      <c r="L30" s="727"/>
      <c r="M30" s="727"/>
      <c r="N30" s="727"/>
      <c r="O30" s="727"/>
      <c r="P30" s="727"/>
      <c r="Q30" s="727"/>
      <c r="R30" s="727"/>
    </row>
    <row r="31" spans="1:18" s="700" customFormat="1" ht="3" customHeight="1">
      <c r="A31" s="683"/>
      <c r="B31" s="710"/>
      <c r="C31" s="699"/>
      <c r="D31" s="699"/>
      <c r="E31" s="699"/>
      <c r="F31" s="882"/>
      <c r="G31" s="882"/>
      <c r="H31" s="882"/>
      <c r="I31" s="882"/>
      <c r="J31" s="699"/>
      <c r="K31" s="699"/>
      <c r="L31" s="727"/>
      <c r="M31" s="727"/>
      <c r="N31" s="727"/>
      <c r="O31" s="727"/>
      <c r="P31" s="727"/>
      <c r="Q31" s="727"/>
      <c r="R31" s="727"/>
    </row>
    <row r="32" spans="1:18" s="700" customFormat="1" ht="10.050000000000001" customHeight="1">
      <c r="A32" s="683"/>
      <c r="B32" s="710"/>
      <c r="C32" s="699"/>
      <c r="D32" s="699"/>
      <c r="E32" s="699"/>
      <c r="F32" s="710"/>
      <c r="G32" s="699"/>
      <c r="H32" s="699"/>
      <c r="I32" s="699"/>
      <c r="J32" s="699"/>
      <c r="K32" s="699"/>
      <c r="L32" s="727"/>
      <c r="M32" s="727"/>
      <c r="N32" s="727"/>
      <c r="O32" s="727"/>
      <c r="P32" s="727"/>
      <c r="Q32" s="727"/>
      <c r="R32" s="727"/>
    </row>
    <row r="33" spans="1:18" s="700" customFormat="1">
      <c r="A33" s="681" t="s">
        <v>79</v>
      </c>
      <c r="B33" s="687" t="s">
        <v>2825</v>
      </c>
      <c r="C33" s="687"/>
      <c r="D33" s="687"/>
      <c r="E33" s="687"/>
      <c r="F33" s="687"/>
      <c r="G33" s="687"/>
      <c r="H33" s="699"/>
      <c r="I33" s="699"/>
      <c r="J33" s="699"/>
      <c r="K33" s="699"/>
      <c r="L33" s="727"/>
      <c r="M33" s="727"/>
      <c r="N33" s="727"/>
      <c r="O33" s="727"/>
      <c r="P33" s="727"/>
      <c r="Q33" s="727"/>
      <c r="R33" s="727"/>
    </row>
    <row r="34" spans="1:18" s="700" customFormat="1">
      <c r="A34" s="683"/>
      <c r="B34" s="699"/>
      <c r="C34" s="699"/>
      <c r="D34" s="699"/>
      <c r="E34" s="699"/>
      <c r="F34" s="699"/>
      <c r="G34" s="699"/>
      <c r="H34" s="699"/>
      <c r="I34" s="699"/>
      <c r="J34" s="699"/>
      <c r="K34" s="699"/>
      <c r="L34" s="727"/>
      <c r="M34" s="727"/>
      <c r="N34" s="727"/>
      <c r="O34" s="727"/>
      <c r="P34" s="727"/>
      <c r="Q34" s="727"/>
      <c r="R34" s="727"/>
    </row>
    <row r="35" spans="1:18" s="700" customFormat="1" ht="25.95" customHeight="1">
      <c r="A35" s="683"/>
      <c r="B35" s="1487" t="s">
        <v>2251</v>
      </c>
      <c r="C35" s="883"/>
      <c r="D35" s="883"/>
      <c r="E35" s="1898" t="s">
        <v>2252</v>
      </c>
      <c r="F35" s="1898"/>
      <c r="G35" s="1898"/>
      <c r="H35" s="1488" t="s">
        <v>2973</v>
      </c>
      <c r="I35" s="1488"/>
      <c r="J35" s="1488" t="s">
        <v>3009</v>
      </c>
      <c r="K35" s="1488" t="s">
        <v>2830</v>
      </c>
      <c r="L35" s="727"/>
      <c r="M35" s="727"/>
      <c r="N35" s="727"/>
      <c r="O35" s="727"/>
      <c r="P35" s="727"/>
      <c r="Q35" s="727"/>
      <c r="R35" s="727"/>
    </row>
    <row r="36" spans="1:18" s="700" customFormat="1">
      <c r="A36" s="683"/>
      <c r="B36" s="699"/>
      <c r="C36" s="699"/>
      <c r="D36" s="699"/>
      <c r="E36" s="699"/>
      <c r="F36" s="699"/>
      <c r="G36" s="699"/>
      <c r="H36" s="699"/>
      <c r="I36" s="699"/>
      <c r="J36" s="699"/>
      <c r="K36" s="699"/>
      <c r="L36" s="727"/>
      <c r="M36" s="727"/>
      <c r="N36" s="727"/>
      <c r="O36" s="727"/>
      <c r="P36" s="727"/>
      <c r="Q36" s="727"/>
      <c r="R36" s="727"/>
    </row>
    <row r="37" spans="1:18" s="700" customFormat="1">
      <c r="A37" s="683"/>
      <c r="B37" s="1159" t="s">
        <v>2265</v>
      </c>
      <c r="C37" s="699"/>
      <c r="D37" s="699"/>
      <c r="E37" s="1159" t="s">
        <v>2292</v>
      </c>
      <c r="F37" s="1159"/>
      <c r="G37" s="699"/>
      <c r="H37" s="1598" t="s">
        <v>2253</v>
      </c>
      <c r="I37" s="1598"/>
      <c r="J37" s="1285">
        <f>ROUND(8281185/Master!$B$23,0)</f>
        <v>8281185</v>
      </c>
      <c r="K37" s="1133">
        <f>ROUND(9286189/Master!$B$23,0)</f>
        <v>9286189</v>
      </c>
      <c r="L37" s="727"/>
      <c r="M37" s="727"/>
      <c r="N37" s="727"/>
      <c r="O37" s="727"/>
      <c r="P37" s="727"/>
      <c r="Q37" s="727"/>
      <c r="R37" s="727"/>
    </row>
    <row r="38" spans="1:18" s="700" customFormat="1" hidden="1">
      <c r="A38" s="683"/>
      <c r="B38" s="699"/>
      <c r="C38" s="699"/>
      <c r="D38" s="699"/>
      <c r="E38" s="1159" t="s">
        <v>411</v>
      </c>
      <c r="F38" s="1159"/>
      <c r="G38" s="699"/>
      <c r="H38" s="1159" t="s">
        <v>2253</v>
      </c>
      <c r="I38" s="1159"/>
      <c r="J38" s="1285">
        <f>ROUND(0/Master!$B$23,0)</f>
        <v>0</v>
      </c>
      <c r="K38" s="1133">
        <f>ROUND(0/Master!$B$23,0)</f>
        <v>0</v>
      </c>
      <c r="L38" s="727"/>
      <c r="M38" s="727"/>
      <c r="N38" s="727"/>
      <c r="O38" s="727"/>
      <c r="P38" s="727"/>
      <c r="Q38" s="727"/>
      <c r="R38" s="727"/>
    </row>
    <row r="39" spans="1:18" s="700" customFormat="1">
      <c r="A39" s="683"/>
      <c r="B39" s="699"/>
      <c r="C39" s="699"/>
      <c r="D39" s="699"/>
      <c r="E39" s="1159" t="s">
        <v>414</v>
      </c>
      <c r="F39" s="1159"/>
      <c r="G39" s="699"/>
      <c r="H39" s="1159" t="s">
        <v>2253</v>
      </c>
      <c r="I39" s="1159"/>
      <c r="J39" s="1285">
        <f>ROUND(0/Master!$B$23,0)</f>
        <v>0</v>
      </c>
      <c r="K39" s="764">
        <f>ROUND(2496610/Master!$B$23,0)</f>
        <v>2496610</v>
      </c>
      <c r="L39" s="727"/>
      <c r="M39" s="727"/>
      <c r="N39" s="727"/>
      <c r="O39" s="727"/>
      <c r="P39" s="727"/>
      <c r="Q39" s="727"/>
      <c r="R39" s="727"/>
    </row>
    <row r="40" spans="1:18" s="700" customFormat="1">
      <c r="A40" s="683"/>
      <c r="B40" s="699"/>
      <c r="C40" s="699"/>
      <c r="D40" s="699"/>
      <c r="E40" s="1159" t="s">
        <v>2561</v>
      </c>
      <c r="F40" s="1159"/>
      <c r="G40" s="699"/>
      <c r="H40" s="1159" t="s">
        <v>2253</v>
      </c>
      <c r="I40" s="1159"/>
      <c r="J40" s="1285">
        <f>ROUND(2703334/Master!$B$23,0)</f>
        <v>2703334</v>
      </c>
      <c r="K40" s="764">
        <f>ROUND(2697407/Master!$B$23,0)</f>
        <v>2697407</v>
      </c>
      <c r="L40" s="727"/>
      <c r="M40" s="727"/>
      <c r="N40" s="727"/>
      <c r="O40" s="727"/>
      <c r="P40" s="727"/>
      <c r="Q40" s="727"/>
      <c r="R40" s="727"/>
    </row>
    <row r="41" spans="1:18" s="700" customFormat="1">
      <c r="A41" s="683"/>
      <c r="B41" s="711"/>
      <c r="C41" s="711"/>
      <c r="D41" s="711"/>
      <c r="E41" s="1599" t="s">
        <v>2747</v>
      </c>
      <c r="F41" s="1599"/>
      <c r="G41" s="711"/>
      <c r="H41" s="1599" t="s">
        <v>2253</v>
      </c>
      <c r="I41" s="1599"/>
      <c r="J41" s="1699">
        <f>ROUND(0/Master!$B$23,0)</f>
        <v>0</v>
      </c>
      <c r="K41" s="772">
        <f>ROUND(0/Master!$B$23,0)</f>
        <v>0</v>
      </c>
      <c r="L41" s="727"/>
      <c r="M41" s="727"/>
      <c r="N41" s="727"/>
      <c r="O41" s="727"/>
      <c r="P41" s="727"/>
      <c r="Q41" s="727"/>
      <c r="R41" s="727"/>
    </row>
    <row r="42" spans="1:18" s="700" customFormat="1">
      <c r="A42" s="683"/>
      <c r="B42" s="699"/>
      <c r="C42" s="699"/>
      <c r="D42" s="699"/>
      <c r="E42" s="699"/>
      <c r="F42" s="699"/>
      <c r="G42" s="699"/>
      <c r="H42" s="699"/>
      <c r="I42" s="699"/>
      <c r="J42" s="1133"/>
      <c r="K42" s="1133"/>
      <c r="L42" s="727"/>
      <c r="M42" s="727"/>
      <c r="N42" s="727"/>
      <c r="O42" s="727"/>
      <c r="P42" s="727"/>
      <c r="Q42" s="727"/>
      <c r="R42" s="727"/>
    </row>
    <row r="43" spans="1:18" s="700" customFormat="1" ht="25.95" customHeight="1">
      <c r="A43" s="683"/>
      <c r="B43" s="1865" t="s">
        <v>2918</v>
      </c>
      <c r="C43" s="1865"/>
      <c r="D43" s="1865"/>
      <c r="E43" s="1599" t="s">
        <v>411</v>
      </c>
      <c r="F43" s="1599"/>
      <c r="G43" s="711"/>
      <c r="H43" s="1599" t="s">
        <v>2253</v>
      </c>
      <c r="I43" s="1599"/>
      <c r="J43" s="1699">
        <f>ROUND(0/Master!$B$23,0)</f>
        <v>0</v>
      </c>
      <c r="K43" s="772">
        <f>ROUND(20393931/Master!$B$23,0)</f>
        <v>20393931</v>
      </c>
      <c r="L43" s="727"/>
      <c r="M43" s="727"/>
      <c r="N43" s="727"/>
      <c r="O43" s="727"/>
      <c r="P43" s="727"/>
      <c r="Q43" s="727"/>
      <c r="R43" s="727"/>
    </row>
    <row r="44" spans="1:18" s="700" customFormat="1">
      <c r="A44" s="683"/>
      <c r="B44" s="699"/>
      <c r="C44" s="699"/>
      <c r="D44" s="699"/>
      <c r="E44" s="699"/>
      <c r="F44" s="699"/>
      <c r="G44" s="699"/>
      <c r="H44" s="699"/>
      <c r="I44" s="699"/>
      <c r="J44" s="1133"/>
      <c r="K44" s="1133"/>
      <c r="L44" s="727"/>
      <c r="M44" s="727"/>
      <c r="N44" s="727"/>
      <c r="O44" s="727"/>
      <c r="P44" s="727"/>
      <c r="Q44" s="727"/>
      <c r="R44" s="727"/>
    </row>
    <row r="45" spans="1:18" s="700" customFormat="1">
      <c r="A45" s="683"/>
      <c r="B45" s="1599" t="s">
        <v>2764</v>
      </c>
      <c r="C45" s="711"/>
      <c r="D45" s="711"/>
      <c r="E45" s="1599" t="s">
        <v>411</v>
      </c>
      <c r="F45" s="1599"/>
      <c r="G45" s="711"/>
      <c r="H45" s="1599" t="s">
        <v>2253</v>
      </c>
      <c r="I45" s="1599"/>
      <c r="J45" s="1699">
        <f>ROUND(4728160/Master!$B$23,0)</f>
        <v>4728160</v>
      </c>
      <c r="K45" s="772">
        <f>ROUND(3351781/Master!$B$23,0)</f>
        <v>3351781</v>
      </c>
      <c r="L45" s="727"/>
      <c r="M45" s="727"/>
      <c r="N45" s="727"/>
      <c r="O45" s="727"/>
      <c r="P45" s="727"/>
      <c r="Q45" s="727"/>
      <c r="R45" s="727"/>
    </row>
    <row r="46" spans="1:18" s="700" customFormat="1" hidden="1">
      <c r="A46" s="683"/>
      <c r="B46" s="699"/>
      <c r="C46" s="699"/>
      <c r="D46" s="699"/>
      <c r="E46" s="699"/>
      <c r="F46" s="699"/>
      <c r="G46" s="699"/>
      <c r="H46" s="699"/>
      <c r="I46" s="699"/>
      <c r="J46" s="699"/>
      <c r="K46" s="699"/>
      <c r="L46" s="727"/>
      <c r="M46" s="727"/>
      <c r="N46" s="727"/>
      <c r="O46" s="727"/>
      <c r="P46" s="727"/>
      <c r="Q46" s="727"/>
      <c r="R46" s="727"/>
    </row>
    <row r="47" spans="1:18" s="700" customFormat="1" hidden="1">
      <c r="A47" s="683"/>
      <c r="B47" s="1599" t="s">
        <v>307</v>
      </c>
      <c r="C47" s="711"/>
      <c r="D47" s="711"/>
      <c r="E47" s="1599" t="s">
        <v>412</v>
      </c>
      <c r="F47" s="1599"/>
      <c r="G47" s="711"/>
      <c r="H47" s="1599" t="s">
        <v>2253</v>
      </c>
      <c r="I47" s="1599"/>
      <c r="J47" s="772">
        <f>ROUND((0)/Master!$B$23,0)</f>
        <v>0</v>
      </c>
      <c r="K47" s="772">
        <f>ROUND((0)/Master!$B$23,0)</f>
        <v>0</v>
      </c>
      <c r="L47" s="727"/>
      <c r="M47" s="727"/>
      <c r="N47" s="727"/>
      <c r="O47" s="727"/>
      <c r="P47" s="727"/>
      <c r="Q47" s="727"/>
      <c r="R47" s="727"/>
    </row>
    <row r="48" spans="1:18" s="700" customFormat="1" hidden="1">
      <c r="A48" s="683"/>
      <c r="B48" s="699"/>
      <c r="C48" s="699"/>
      <c r="D48" s="699"/>
      <c r="E48" s="699"/>
      <c r="F48" s="699"/>
      <c r="G48" s="699"/>
      <c r="H48" s="699"/>
      <c r="I48" s="699"/>
      <c r="J48" s="699"/>
      <c r="K48" s="699"/>
      <c r="L48" s="727"/>
      <c r="M48" s="727"/>
      <c r="N48" s="727"/>
      <c r="O48" s="727"/>
      <c r="P48" s="727"/>
      <c r="Q48" s="727"/>
      <c r="R48" s="727"/>
    </row>
    <row r="49" spans="1:18" s="700" customFormat="1" hidden="1">
      <c r="A49" s="683"/>
      <c r="B49" s="1599" t="s">
        <v>423</v>
      </c>
      <c r="C49" s="711"/>
      <c r="D49" s="711"/>
      <c r="E49" s="1599" t="s">
        <v>411</v>
      </c>
      <c r="F49" s="1599"/>
      <c r="G49" s="711"/>
      <c r="H49" s="1600" t="s">
        <v>2253</v>
      </c>
      <c r="I49" s="1600"/>
      <c r="J49" s="772">
        <v>0</v>
      </c>
      <c r="K49" s="772">
        <f>ROUND(0/Master!$B$23,0)</f>
        <v>0</v>
      </c>
      <c r="L49" s="727"/>
      <c r="M49" s="727"/>
      <c r="N49" s="727"/>
      <c r="O49" s="727"/>
      <c r="P49" s="727"/>
      <c r="Q49" s="727"/>
      <c r="R49" s="727"/>
    </row>
    <row r="50" spans="1:18" s="700" customFormat="1">
      <c r="A50" s="683"/>
      <c r="B50" s="699"/>
      <c r="C50" s="699"/>
      <c r="D50" s="699"/>
      <c r="E50" s="699"/>
      <c r="F50" s="699"/>
      <c r="G50" s="699"/>
      <c r="H50" s="699"/>
      <c r="I50" s="699"/>
      <c r="J50" s="699"/>
      <c r="K50" s="699"/>
      <c r="L50" s="727"/>
      <c r="M50" s="727"/>
      <c r="N50" s="727"/>
      <c r="O50" s="727"/>
      <c r="P50" s="727"/>
      <c r="Q50" s="727"/>
      <c r="R50" s="727"/>
    </row>
    <row r="51" spans="1:18" s="700" customFormat="1">
      <c r="A51" s="683"/>
      <c r="B51" s="1159" t="s">
        <v>424</v>
      </c>
      <c r="C51" s="699"/>
      <c r="D51" s="699"/>
      <c r="E51" s="1159" t="s">
        <v>411</v>
      </c>
      <c r="F51" s="1159"/>
      <c r="G51" s="699"/>
      <c r="H51" s="699" t="s">
        <v>2253</v>
      </c>
      <c r="I51" s="699"/>
      <c r="J51" s="1285">
        <f>ROUND(295186/Master!$B$23,0)</f>
        <v>295186</v>
      </c>
      <c r="K51" s="1133">
        <f>ROUND(305090/Master!$B$23,0)</f>
        <v>305090</v>
      </c>
      <c r="L51" s="727"/>
      <c r="M51" s="1120">
        <v>3656871</v>
      </c>
      <c r="N51" s="1120">
        <v>5023345.8000000017</v>
      </c>
      <c r="O51" s="727"/>
      <c r="P51" s="727"/>
      <c r="Q51" s="727"/>
      <c r="R51" s="727"/>
    </row>
    <row r="52" spans="1:18" s="700" customFormat="1">
      <c r="A52" s="683"/>
      <c r="C52" s="699"/>
      <c r="D52" s="699"/>
      <c r="E52" s="1159" t="s">
        <v>2354</v>
      </c>
      <c r="F52" s="1159"/>
      <c r="G52" s="699"/>
      <c r="H52" s="699" t="s">
        <v>2253</v>
      </c>
      <c r="I52" s="699"/>
      <c r="J52" s="1285">
        <f>ROUND((351660)/Master!$B$23,0)</f>
        <v>351660</v>
      </c>
      <c r="K52" s="700">
        <f>ROUND((327578)/Master!$B$23,0)</f>
        <v>327578</v>
      </c>
      <c r="L52" s="727"/>
      <c r="M52" s="1120">
        <v>3351781</v>
      </c>
      <c r="N52" s="1120">
        <f>J45</f>
        <v>4728160</v>
      </c>
      <c r="O52" s="727"/>
      <c r="P52" s="727"/>
      <c r="Q52" s="727"/>
      <c r="R52" s="727"/>
    </row>
    <row r="53" spans="1:18" s="700" customFormat="1">
      <c r="A53" s="683"/>
      <c r="B53" s="711"/>
      <c r="C53" s="711"/>
      <c r="D53" s="711"/>
      <c r="E53" s="1599" t="s">
        <v>412</v>
      </c>
      <c r="F53" s="1599"/>
      <c r="G53" s="711"/>
      <c r="H53" s="711" t="s">
        <v>2253</v>
      </c>
      <c r="I53" s="711"/>
      <c r="J53" s="1699">
        <f>ROUND((404310)/Master!$B$23,0)</f>
        <v>404310</v>
      </c>
      <c r="K53" s="772">
        <f>ROUND((449265)/Master!$B$23,0)</f>
        <v>449265</v>
      </c>
      <c r="L53" s="727"/>
      <c r="M53" s="1120">
        <f>M51-M52</f>
        <v>305090</v>
      </c>
      <c r="N53" s="1120">
        <f>N51-N52</f>
        <v>295185.80000000168</v>
      </c>
      <c r="O53" s="727"/>
      <c r="P53" s="727"/>
      <c r="Q53" s="727"/>
      <c r="R53" s="727"/>
    </row>
    <row r="54" spans="1:18" s="700" customFormat="1">
      <c r="A54" s="683"/>
      <c r="B54" s="699"/>
      <c r="C54" s="699"/>
      <c r="D54" s="699"/>
      <c r="E54" s="699"/>
      <c r="F54" s="699"/>
      <c r="G54" s="699"/>
      <c r="H54" s="699"/>
      <c r="I54" s="699"/>
      <c r="J54" s="699"/>
      <c r="K54" s="699"/>
      <c r="L54" s="727"/>
      <c r="M54" s="727"/>
      <c r="N54" s="727"/>
      <c r="O54" s="727"/>
      <c r="P54" s="727"/>
      <c r="Q54" s="727"/>
      <c r="R54" s="727"/>
    </row>
    <row r="55" spans="1:18" s="700" customFormat="1" hidden="1">
      <c r="A55" s="683"/>
      <c r="B55" s="711" t="s">
        <v>2254</v>
      </c>
      <c r="C55" s="711"/>
      <c r="D55" s="711"/>
      <c r="E55" s="711" t="s">
        <v>2255</v>
      </c>
      <c r="F55" s="711"/>
      <c r="G55" s="711"/>
      <c r="H55" s="1599" t="s">
        <v>2256</v>
      </c>
      <c r="I55" s="1599"/>
      <c r="J55" s="772">
        <v>0</v>
      </c>
      <c r="K55" s="772">
        <f>ROUND((0)/Master!$B$23,0)</f>
        <v>0</v>
      </c>
      <c r="L55" s="727"/>
      <c r="M55" s="727"/>
      <c r="N55" s="727"/>
      <c r="O55" s="727"/>
      <c r="P55" s="727"/>
      <c r="Q55" s="727"/>
      <c r="R55" s="727"/>
    </row>
    <row r="56" spans="1:18" s="700" customFormat="1" hidden="1">
      <c r="A56" s="683"/>
      <c r="B56" s="699"/>
      <c r="C56" s="699"/>
      <c r="D56" s="699"/>
      <c r="E56" s="699"/>
      <c r="F56" s="699"/>
      <c r="G56" s="699"/>
      <c r="H56" s="699"/>
      <c r="I56" s="699"/>
      <c r="J56" s="699"/>
      <c r="K56" s="699"/>
      <c r="L56" s="727"/>
      <c r="M56" s="727"/>
      <c r="N56" s="727"/>
      <c r="O56" s="727"/>
      <c r="P56" s="727"/>
      <c r="Q56" s="727"/>
      <c r="R56" s="727"/>
    </row>
    <row r="57" spans="1:18" s="700" customFormat="1">
      <c r="A57" s="683"/>
      <c r="B57" s="1865" t="s">
        <v>65</v>
      </c>
      <c r="C57" s="1897"/>
      <c r="D57" s="1897"/>
      <c r="E57" s="1599" t="s">
        <v>411</v>
      </c>
      <c r="F57" s="1599"/>
      <c r="G57" s="711"/>
      <c r="H57" s="711" t="s">
        <v>2253</v>
      </c>
      <c r="I57" s="711"/>
      <c r="J57" s="1699">
        <f>ROUND(('PL Gr'!$E$377+'PL Gr'!E379+'PL Gr'!E400)/Master!$B$23,0)-J59</f>
        <v>11355849</v>
      </c>
      <c r="K57" s="772">
        <f>ROUND(('PL Gr'!$G$377+'PL Gr'!G379+'PL Gr'!G400)/Master!$B$23,0)-K59</f>
        <v>13389967</v>
      </c>
      <c r="L57" s="727"/>
      <c r="M57" s="727"/>
      <c r="N57" s="727"/>
      <c r="O57" s="727"/>
      <c r="P57" s="727"/>
      <c r="Q57" s="727"/>
      <c r="R57" s="727"/>
    </row>
    <row r="58" spans="1:18" s="700" customFormat="1">
      <c r="A58" s="683"/>
      <c r="B58" s="699"/>
      <c r="C58" s="699"/>
      <c r="D58" s="699"/>
      <c r="E58" s="699"/>
      <c r="F58" s="699"/>
      <c r="G58" s="699"/>
      <c r="H58" s="699"/>
      <c r="I58" s="699"/>
      <c r="J58" s="699"/>
      <c r="K58" s="699"/>
      <c r="L58" s="727"/>
      <c r="M58" s="727"/>
      <c r="N58" s="727"/>
      <c r="O58" s="727"/>
      <c r="P58" s="727"/>
      <c r="Q58" s="727"/>
      <c r="R58" s="727"/>
    </row>
    <row r="59" spans="1:18" s="700" customFormat="1" ht="27" customHeight="1">
      <c r="A59" s="683"/>
      <c r="B59" s="1865" t="s">
        <v>432</v>
      </c>
      <c r="C59" s="1865"/>
      <c r="D59" s="1865"/>
      <c r="E59" s="1599" t="s">
        <v>2355</v>
      </c>
      <c r="F59" s="1599"/>
      <c r="G59" s="711"/>
      <c r="H59" s="711" t="s">
        <v>2253</v>
      </c>
      <c r="I59" s="711"/>
      <c r="J59" s="1699">
        <f>ROUND((3360)/Master!$B$23,0)</f>
        <v>3360</v>
      </c>
      <c r="K59" s="772">
        <f>ROUND(3360/Master!$B$23,0)</f>
        <v>3360</v>
      </c>
      <c r="L59" s="727"/>
      <c r="M59" s="727"/>
      <c r="N59" s="727"/>
      <c r="O59" s="727"/>
      <c r="P59" s="727"/>
      <c r="Q59" s="727"/>
      <c r="R59" s="727"/>
    </row>
    <row r="60" spans="1:18" s="700" customFormat="1" hidden="1">
      <c r="A60" s="683"/>
      <c r="B60" s="699"/>
      <c r="C60" s="699"/>
      <c r="D60" s="699"/>
      <c r="E60" s="699"/>
      <c r="F60" s="699"/>
      <c r="G60" s="699"/>
      <c r="H60" s="699"/>
      <c r="I60" s="699"/>
      <c r="J60" s="699"/>
      <c r="K60" s="727"/>
      <c r="L60" s="727"/>
      <c r="M60" s="727"/>
      <c r="N60" s="727"/>
      <c r="O60" s="727"/>
      <c r="P60" s="727"/>
      <c r="Q60" s="727"/>
      <c r="R60" s="727"/>
    </row>
    <row r="61" spans="1:18" s="700" customFormat="1" hidden="1">
      <c r="A61" s="683"/>
      <c r="B61" s="1599" t="s">
        <v>2266</v>
      </c>
      <c r="C61" s="711"/>
      <c r="D61" s="711"/>
      <c r="E61" s="711" t="s">
        <v>412</v>
      </c>
      <c r="F61" s="711"/>
      <c r="G61" s="711"/>
      <c r="H61" s="711" t="s">
        <v>2253</v>
      </c>
      <c r="I61" s="711"/>
      <c r="J61" s="772">
        <f>ROUND(0/Master!$B$23,0)</f>
        <v>0</v>
      </c>
      <c r="K61" s="1489">
        <f>ROUND(0/Master!$B$23,0)</f>
        <v>0</v>
      </c>
      <c r="L61" s="727"/>
      <c r="M61" s="727"/>
      <c r="N61" s="727"/>
      <c r="O61" s="727"/>
      <c r="P61" s="727"/>
      <c r="Q61" s="727"/>
      <c r="R61" s="727"/>
    </row>
    <row r="62" spans="1:18" s="700" customFormat="1">
      <c r="A62" s="683"/>
      <c r="B62" s="699"/>
      <c r="C62" s="699"/>
      <c r="D62" s="699"/>
      <c r="E62" s="699"/>
      <c r="F62" s="699"/>
      <c r="G62" s="699"/>
      <c r="H62" s="699"/>
      <c r="I62" s="699"/>
      <c r="J62" s="699"/>
      <c r="K62" s="727"/>
      <c r="L62" s="727"/>
      <c r="M62" s="727"/>
      <c r="N62" s="727"/>
      <c r="O62" s="727"/>
      <c r="P62" s="727"/>
      <c r="Q62" s="727"/>
      <c r="R62" s="727"/>
    </row>
    <row r="63" spans="1:18" s="700" customFormat="1">
      <c r="A63" s="683"/>
      <c r="B63" s="1599" t="s">
        <v>2293</v>
      </c>
      <c r="C63" s="711"/>
      <c r="D63" s="711"/>
      <c r="E63" s="711" t="s">
        <v>412</v>
      </c>
      <c r="F63" s="711"/>
      <c r="G63" s="711"/>
      <c r="H63" s="711" t="s">
        <v>2253</v>
      </c>
      <c r="I63" s="711"/>
      <c r="J63" s="1699">
        <f>ROUND((0)/Master!$B$23,0)</f>
        <v>0</v>
      </c>
      <c r="K63" s="772">
        <f>ROUND((144240)/Master!$B$23,0)</f>
        <v>144240</v>
      </c>
      <c r="L63" s="727"/>
      <c r="M63" s="727"/>
      <c r="N63" s="727"/>
      <c r="O63" s="727"/>
      <c r="P63" s="727"/>
      <c r="Q63" s="727"/>
      <c r="R63" s="727"/>
    </row>
    <row r="64" spans="1:18" s="700" customFormat="1" ht="11.1" customHeight="1">
      <c r="A64" s="683"/>
      <c r="B64" s="1159"/>
      <c r="C64" s="699"/>
      <c r="D64" s="699"/>
      <c r="E64" s="699"/>
      <c r="F64" s="699"/>
      <c r="G64" s="699"/>
      <c r="H64" s="699"/>
      <c r="I64" s="699"/>
      <c r="J64" s="764"/>
      <c r="K64" s="953"/>
      <c r="L64" s="727"/>
      <c r="M64" s="727"/>
      <c r="N64" s="727"/>
      <c r="O64" s="727"/>
      <c r="P64" s="727"/>
      <c r="Q64" s="727"/>
      <c r="R64" s="727"/>
    </row>
    <row r="65" spans="1:18" s="700" customFormat="1">
      <c r="A65" s="683"/>
      <c r="B65" s="1865" t="s">
        <v>2313</v>
      </c>
      <c r="C65" s="1865"/>
      <c r="D65" s="1865"/>
      <c r="E65" s="711" t="s">
        <v>412</v>
      </c>
      <c r="F65" s="711"/>
      <c r="G65" s="711"/>
      <c r="H65" s="711" t="s">
        <v>2253</v>
      </c>
      <c r="I65" s="711"/>
      <c r="J65" s="1699">
        <f>'10-17'!K166</f>
        <v>-3233301</v>
      </c>
      <c r="K65" s="772">
        <f>'10-17'!K161</f>
        <v>-2996434</v>
      </c>
      <c r="L65" s="727"/>
      <c r="M65" s="727"/>
      <c r="N65" s="727"/>
      <c r="O65" s="727"/>
      <c r="P65" s="727"/>
      <c r="Q65" s="727"/>
      <c r="R65" s="727"/>
    </row>
    <row r="66" spans="1:18" s="700" customFormat="1">
      <c r="A66" s="683"/>
      <c r="B66" s="1159"/>
      <c r="C66" s="699"/>
      <c r="D66" s="699"/>
      <c r="E66" s="699"/>
      <c r="F66" s="699"/>
      <c r="G66" s="699"/>
      <c r="H66" s="699"/>
      <c r="I66" s="699"/>
      <c r="J66" s="764"/>
      <c r="K66" s="953"/>
      <c r="L66" s="727"/>
      <c r="M66" s="727"/>
      <c r="N66" s="727"/>
      <c r="O66" s="727"/>
      <c r="P66" s="727"/>
      <c r="Q66" s="727"/>
      <c r="R66" s="727"/>
    </row>
    <row r="67" spans="1:18" s="700" customFormat="1">
      <c r="A67" s="683"/>
      <c r="B67" s="1875" t="s">
        <v>2327</v>
      </c>
      <c r="C67" s="1875"/>
      <c r="D67" s="1875"/>
      <c r="E67" s="711" t="s">
        <v>412</v>
      </c>
      <c r="F67" s="711"/>
      <c r="G67" s="711"/>
      <c r="H67" s="711" t="s">
        <v>2253</v>
      </c>
      <c r="I67" s="711"/>
      <c r="J67" s="1699">
        <f>'10-17'!K167</f>
        <v>-401656</v>
      </c>
      <c r="K67" s="772">
        <f>'10-17'!K162</f>
        <v>-638522</v>
      </c>
      <c r="L67" s="727"/>
      <c r="M67" s="727"/>
      <c r="N67" s="727"/>
      <c r="O67" s="727"/>
      <c r="P67" s="727"/>
      <c r="Q67" s="727"/>
      <c r="R67" s="727"/>
    </row>
    <row r="68" spans="1:18" s="700" customFormat="1" ht="9.6" customHeight="1">
      <c r="A68" s="683"/>
      <c r="B68" s="1159"/>
      <c r="C68" s="699"/>
      <c r="D68" s="699"/>
      <c r="E68" s="699"/>
      <c r="F68" s="699"/>
      <c r="G68" s="699"/>
      <c r="H68" s="699"/>
      <c r="I68" s="699"/>
      <c r="J68" s="764"/>
      <c r="K68" s="953"/>
      <c r="L68" s="727"/>
      <c r="M68" s="727"/>
      <c r="N68" s="727"/>
      <c r="O68" s="727"/>
      <c r="P68" s="727"/>
      <c r="Q68" s="727"/>
      <c r="R68" s="727"/>
    </row>
    <row r="69" spans="1:18" s="700" customFormat="1" ht="27" customHeight="1">
      <c r="A69" s="683"/>
      <c r="B69" s="1865" t="s">
        <v>2765</v>
      </c>
      <c r="C69" s="1865"/>
      <c r="D69" s="1865"/>
      <c r="E69" s="711" t="s">
        <v>412</v>
      </c>
      <c r="F69" s="711"/>
      <c r="G69" s="711"/>
      <c r="H69" s="711" t="s">
        <v>2253</v>
      </c>
      <c r="I69" s="711"/>
      <c r="J69" s="1699">
        <f>'10-17'!K165</f>
        <v>401656</v>
      </c>
      <c r="K69" s="772">
        <f>'10-17'!K160</f>
        <v>638522</v>
      </c>
      <c r="L69" s="727"/>
      <c r="M69" s="727"/>
      <c r="N69" s="727"/>
      <c r="O69" s="727"/>
      <c r="P69" s="727"/>
      <c r="Q69" s="727"/>
      <c r="R69" s="727"/>
    </row>
    <row r="70" spans="1:18" s="700" customFormat="1">
      <c r="A70" s="683"/>
      <c r="B70" s="1159"/>
      <c r="C70" s="699"/>
      <c r="D70" s="699"/>
      <c r="E70" s="699"/>
      <c r="F70" s="699"/>
      <c r="G70" s="699"/>
      <c r="H70" s="699"/>
      <c r="I70" s="699"/>
      <c r="J70" s="764"/>
      <c r="K70" s="953"/>
      <c r="L70" s="727"/>
      <c r="M70" s="727"/>
      <c r="N70" s="727"/>
      <c r="O70" s="727"/>
      <c r="P70" s="727"/>
      <c r="Q70" s="727"/>
      <c r="R70" s="727"/>
    </row>
    <row r="71" spans="1:18" s="700" customFormat="1">
      <c r="A71" s="683"/>
      <c r="B71" s="1255" t="s">
        <v>2805</v>
      </c>
      <c r="C71" s="699"/>
      <c r="D71" s="699"/>
      <c r="E71" s="699"/>
      <c r="F71" s="699"/>
      <c r="G71" s="699"/>
      <c r="H71" s="699"/>
      <c r="I71" s="699"/>
      <c r="J71" s="699"/>
      <c r="K71" s="699"/>
      <c r="L71" s="727"/>
      <c r="M71" s="727"/>
      <c r="N71" s="727"/>
      <c r="O71" s="727"/>
      <c r="P71" s="727"/>
      <c r="Q71" s="727"/>
      <c r="R71" s="727"/>
    </row>
    <row r="72" spans="1:18" s="700" customFormat="1" ht="11.1" customHeight="1">
      <c r="A72" s="683"/>
      <c r="B72" s="1255"/>
      <c r="C72" s="699"/>
      <c r="D72" s="699"/>
      <c r="E72" s="699"/>
      <c r="F72" s="699"/>
      <c r="G72" s="699"/>
      <c r="H72" s="699"/>
      <c r="I72" s="699"/>
      <c r="J72" s="699"/>
      <c r="K72" s="699"/>
      <c r="L72" s="727"/>
      <c r="M72" s="727"/>
      <c r="N72" s="727"/>
      <c r="O72" s="727"/>
      <c r="P72" s="727"/>
      <c r="Q72" s="727"/>
      <c r="R72" s="727"/>
    </row>
    <row r="73" spans="1:18" s="700" customFormat="1" ht="17.55" customHeight="1">
      <c r="A73" s="683">
        <v>28</v>
      </c>
      <c r="B73" s="681" t="s">
        <v>2643</v>
      </c>
      <c r="C73" s="699"/>
      <c r="D73" s="699"/>
      <c r="E73" s="699"/>
      <c r="F73" s="699"/>
      <c r="G73" s="699"/>
      <c r="H73" s="699"/>
      <c r="I73" s="699"/>
      <c r="J73" s="699"/>
      <c r="K73" s="699"/>
      <c r="L73" s="727"/>
      <c r="M73" s="727"/>
      <c r="N73" s="727"/>
      <c r="O73" s="727"/>
      <c r="P73" s="727"/>
      <c r="Q73" s="727"/>
      <c r="R73" s="727"/>
    </row>
    <row r="74" spans="1:18" s="700" customFormat="1">
      <c r="A74" s="681" t="s">
        <v>2038</v>
      </c>
      <c r="B74" s="687" t="s">
        <v>2826</v>
      </c>
      <c r="C74" s="687"/>
      <c r="D74" s="687"/>
      <c r="E74" s="687"/>
      <c r="F74" s="687"/>
      <c r="G74" s="687"/>
      <c r="H74" s="699"/>
      <c r="I74" s="699"/>
      <c r="J74" s="699"/>
      <c r="K74" s="699"/>
      <c r="L74" s="727"/>
      <c r="M74" s="727"/>
      <c r="N74" s="727"/>
      <c r="O74" s="727"/>
      <c r="P74" s="727"/>
      <c r="Q74" s="727"/>
      <c r="R74" s="727"/>
    </row>
    <row r="75" spans="1:18" s="700" customFormat="1">
      <c r="A75" s="683"/>
      <c r="B75" s="699"/>
      <c r="C75" s="699"/>
      <c r="D75" s="699"/>
      <c r="E75" s="699"/>
      <c r="F75" s="699"/>
      <c r="G75" s="699"/>
      <c r="H75" s="699"/>
      <c r="I75" s="699"/>
      <c r="J75" s="699"/>
      <c r="K75" s="699"/>
      <c r="L75" s="727"/>
      <c r="M75" s="727"/>
      <c r="N75" s="727"/>
      <c r="O75" s="727"/>
      <c r="P75" s="727"/>
      <c r="Q75" s="727"/>
      <c r="R75" s="727"/>
    </row>
    <row r="76" spans="1:18" s="700" customFormat="1">
      <c r="A76" s="683"/>
      <c r="B76" s="699"/>
      <c r="C76" s="699"/>
      <c r="D76" s="699"/>
      <c r="E76" s="699"/>
      <c r="F76" s="699"/>
      <c r="G76" s="699"/>
      <c r="H76" s="699"/>
      <c r="I76" s="699"/>
      <c r="J76" s="699"/>
      <c r="K76" s="699"/>
      <c r="L76" s="727"/>
      <c r="M76" s="727"/>
      <c r="N76" s="727"/>
      <c r="O76" s="727"/>
      <c r="P76" s="727"/>
      <c r="Q76" s="727"/>
      <c r="R76" s="727"/>
    </row>
    <row r="77" spans="1:18" s="700" customFormat="1" ht="26.4">
      <c r="A77" s="683"/>
      <c r="B77" s="1487" t="s">
        <v>2251</v>
      </c>
      <c r="C77" s="883"/>
      <c r="D77" s="883"/>
      <c r="E77" s="1898" t="s">
        <v>2252</v>
      </c>
      <c r="F77" s="1898"/>
      <c r="G77" s="1898"/>
      <c r="H77" s="1488" t="s">
        <v>2973</v>
      </c>
      <c r="I77" s="1488"/>
      <c r="J77" s="1488" t="s">
        <v>2831</v>
      </c>
      <c r="K77" s="1488" t="s">
        <v>2723</v>
      </c>
      <c r="L77" s="727"/>
      <c r="M77" s="727"/>
      <c r="N77" s="727"/>
      <c r="O77" s="727"/>
      <c r="P77" s="727"/>
      <c r="Q77" s="727"/>
      <c r="R77" s="727"/>
    </row>
    <row r="78" spans="1:18" s="700" customFormat="1">
      <c r="A78" s="683"/>
      <c r="B78" s="699"/>
      <c r="C78" s="699"/>
      <c r="D78" s="699"/>
      <c r="E78" s="699"/>
      <c r="F78" s="699"/>
      <c r="G78" s="699"/>
      <c r="H78" s="699"/>
      <c r="I78" s="699"/>
      <c r="J78" s="699"/>
      <c r="K78" s="699"/>
      <c r="L78" s="727"/>
      <c r="M78" s="727"/>
      <c r="N78" s="727"/>
      <c r="O78" s="727"/>
      <c r="P78" s="727"/>
      <c r="Q78" s="727"/>
      <c r="R78" s="727"/>
    </row>
    <row r="79" spans="1:18" s="700" customFormat="1">
      <c r="A79" s="683"/>
      <c r="B79" s="1159" t="s">
        <v>25</v>
      </c>
      <c r="C79" s="699"/>
      <c r="D79" s="699"/>
      <c r="E79" s="1159" t="s">
        <v>2292</v>
      </c>
      <c r="F79" s="1159"/>
      <c r="G79" s="699"/>
      <c r="H79" s="1598" t="s">
        <v>2253</v>
      </c>
      <c r="I79" s="1598"/>
      <c r="J79" s="1700">
        <f>ROUND(5959636/Master!$B$23,0)</f>
        <v>5959636</v>
      </c>
      <c r="K79" s="1133">
        <f>ROUND(1045478/Master!$B$23,0)</f>
        <v>1045478</v>
      </c>
      <c r="L79" s="727"/>
      <c r="M79" s="727"/>
      <c r="N79" s="727"/>
      <c r="O79" s="727"/>
      <c r="P79" s="727"/>
      <c r="Q79" s="727"/>
      <c r="R79" s="727"/>
    </row>
    <row r="80" spans="1:18" s="700" customFormat="1">
      <c r="A80" s="683"/>
      <c r="B80" s="699"/>
      <c r="C80" s="699"/>
      <c r="D80" s="699"/>
      <c r="E80" s="1159" t="s">
        <v>411</v>
      </c>
      <c r="F80" s="1159"/>
      <c r="G80" s="699"/>
      <c r="H80" s="1159" t="s">
        <v>2253</v>
      </c>
      <c r="I80" s="1159"/>
      <c r="J80" s="1133">
        <f>ROUND(0/Master!$B$23,0)</f>
        <v>0</v>
      </c>
      <c r="K80" s="1133">
        <f>ROUND(0/Master!$B$23,0)</f>
        <v>0</v>
      </c>
      <c r="L80" s="727"/>
      <c r="M80" s="727"/>
      <c r="N80" s="727"/>
      <c r="O80" s="727"/>
      <c r="P80" s="727"/>
      <c r="Q80" s="727"/>
      <c r="R80" s="727"/>
    </row>
    <row r="81" spans="1:18" s="700" customFormat="1">
      <c r="A81" s="683"/>
      <c r="B81" s="699"/>
      <c r="C81" s="699"/>
      <c r="D81" s="699"/>
      <c r="E81" s="1159" t="s">
        <v>414</v>
      </c>
      <c r="F81" s="1159"/>
      <c r="G81" s="699"/>
      <c r="H81" s="1159" t="s">
        <v>2253</v>
      </c>
      <c r="I81" s="1159"/>
      <c r="J81" s="1700">
        <f>ROUND(190888/Master!$B$23,0)</f>
        <v>190888</v>
      </c>
      <c r="K81" s="764">
        <f>ROUND(202016/Master!$B$23,0)</f>
        <v>202016</v>
      </c>
      <c r="L81" s="727"/>
      <c r="M81" s="727"/>
      <c r="N81" s="727"/>
      <c r="O81" s="727"/>
      <c r="P81" s="727"/>
      <c r="Q81" s="727"/>
      <c r="R81" s="727"/>
    </row>
    <row r="82" spans="1:18" s="700" customFormat="1">
      <c r="A82" s="683"/>
      <c r="B82" s="699"/>
      <c r="C82" s="699"/>
      <c r="D82" s="699"/>
      <c r="E82" s="1159" t="s">
        <v>2561</v>
      </c>
      <c r="F82" s="1159"/>
      <c r="G82" s="699"/>
      <c r="H82" s="1159" t="s">
        <v>2253</v>
      </c>
      <c r="I82" s="1159"/>
      <c r="J82" s="1285">
        <f>ROUND(2332950/Master!$B$23,0)</f>
        <v>2332950</v>
      </c>
      <c r="K82" s="764">
        <f>ROUND(477823/Master!$B$23,0)</f>
        <v>477823</v>
      </c>
      <c r="L82" s="727"/>
      <c r="M82" s="727"/>
      <c r="N82" s="727"/>
      <c r="O82" s="727"/>
      <c r="P82" s="727"/>
      <c r="Q82" s="727"/>
      <c r="R82" s="727"/>
    </row>
    <row r="83" spans="1:18" s="700" customFormat="1">
      <c r="A83" s="683"/>
      <c r="B83" s="711"/>
      <c r="C83" s="711"/>
      <c r="D83" s="711"/>
      <c r="E83" s="1599" t="s">
        <v>2747</v>
      </c>
      <c r="F83" s="1599"/>
      <c r="G83" s="711"/>
      <c r="H83" s="1599" t="s">
        <v>2253</v>
      </c>
      <c r="I83" s="1599"/>
      <c r="J83" s="1699">
        <f>ROUND(171042/Master!$B$23,0)</f>
        <v>171042</v>
      </c>
      <c r="K83" s="772">
        <f>ROUND(167071/Master!$B$23,0)</f>
        <v>167071</v>
      </c>
      <c r="L83" s="727"/>
      <c r="M83" s="727"/>
      <c r="N83" s="727"/>
      <c r="O83" s="727"/>
      <c r="P83" s="727"/>
      <c r="Q83" s="727"/>
      <c r="R83" s="727"/>
    </row>
    <row r="84" spans="1:18" s="700" customFormat="1">
      <c r="A84" s="683"/>
      <c r="B84" s="699"/>
      <c r="C84" s="699"/>
      <c r="D84" s="699"/>
      <c r="E84" s="699"/>
      <c r="F84" s="699"/>
      <c r="G84" s="699"/>
      <c r="H84" s="699"/>
      <c r="I84" s="699"/>
      <c r="J84" s="699"/>
      <c r="K84" s="1133"/>
      <c r="L84" s="727"/>
      <c r="M84" s="727"/>
      <c r="N84" s="727"/>
      <c r="O84" s="727"/>
      <c r="P84" s="727"/>
      <c r="Q84" s="727"/>
      <c r="R84" s="727"/>
    </row>
    <row r="85" spans="1:18" s="700" customFormat="1">
      <c r="A85" s="683"/>
      <c r="B85" s="1599" t="s">
        <v>2009</v>
      </c>
      <c r="C85" s="711"/>
      <c r="D85" s="711"/>
      <c r="E85" s="1599" t="s">
        <v>2292</v>
      </c>
      <c r="F85" s="1599"/>
      <c r="G85" s="711"/>
      <c r="H85" s="1600" t="s">
        <v>2253</v>
      </c>
      <c r="I85" s="1600"/>
      <c r="J85" s="1699">
        <f>ROUND(697753/Master!$B$23,0)</f>
        <v>697753</v>
      </c>
      <c r="K85" s="772">
        <f>ROUND(693308.520000008/Master!$B$23,0)</f>
        <v>693309</v>
      </c>
      <c r="L85" s="727"/>
      <c r="M85" s="727"/>
      <c r="N85" s="727"/>
      <c r="O85" s="727"/>
      <c r="P85" s="727"/>
      <c r="Q85" s="727"/>
      <c r="R85" s="727"/>
    </row>
    <row r="86" spans="1:18" s="700" customFormat="1">
      <c r="A86" s="683"/>
      <c r="B86" s="699"/>
      <c r="C86" s="699"/>
      <c r="D86" s="699"/>
      <c r="E86" s="699"/>
      <c r="F86" s="699"/>
      <c r="G86" s="699"/>
      <c r="H86" s="699"/>
      <c r="I86" s="699"/>
      <c r="J86" s="699"/>
      <c r="K86" s="1133"/>
      <c r="L86" s="727"/>
      <c r="M86" s="727"/>
      <c r="N86" s="727"/>
      <c r="O86" s="727"/>
      <c r="P86" s="727"/>
      <c r="Q86" s="727"/>
      <c r="R86" s="727"/>
    </row>
    <row r="87" spans="1:18" s="700" customFormat="1">
      <c r="A87" s="683"/>
      <c r="B87" s="699" t="s">
        <v>46</v>
      </c>
      <c r="C87" s="699"/>
      <c r="D87" s="699"/>
      <c r="E87" s="1159" t="s">
        <v>411</v>
      </c>
      <c r="F87" s="1159"/>
      <c r="G87" s="699"/>
      <c r="H87" s="1159" t="s">
        <v>2253</v>
      </c>
      <c r="I87" s="1159"/>
      <c r="J87" s="1700">
        <f>ROUND((1263036+758523)/Master!$B$23,0)</f>
        <v>2021559</v>
      </c>
      <c r="K87" s="1133">
        <f>ROUND((246870+740912+314752)/Master!$B$23,0)</f>
        <v>1302534</v>
      </c>
      <c r="L87" s="727"/>
      <c r="M87" s="727"/>
      <c r="N87" s="727"/>
      <c r="O87" s="727"/>
      <c r="P87" s="727"/>
      <c r="Q87" s="727"/>
      <c r="R87" s="727"/>
    </row>
    <row r="88" spans="1:18" s="700" customFormat="1">
      <c r="A88" s="683"/>
      <c r="B88" s="699"/>
      <c r="C88" s="699"/>
      <c r="D88" s="699"/>
      <c r="E88" s="1159" t="s">
        <v>2356</v>
      </c>
      <c r="F88" s="1159"/>
      <c r="G88" s="699"/>
      <c r="H88" s="699" t="s">
        <v>2253</v>
      </c>
      <c r="I88" s="699"/>
      <c r="J88" s="1700">
        <f>ROUND((221779)/Master!$B$23,0)</f>
        <v>221779</v>
      </c>
      <c r="K88" s="1133">
        <f>ROUND((117877)/Master!$B$23,0)</f>
        <v>117877</v>
      </c>
      <c r="L88" s="727"/>
      <c r="M88" s="727"/>
      <c r="N88" s="727"/>
      <c r="O88" s="727"/>
      <c r="P88" s="727"/>
      <c r="Q88" s="727"/>
      <c r="R88" s="727"/>
    </row>
    <row r="89" spans="1:18" s="700" customFormat="1">
      <c r="A89" s="683"/>
      <c r="B89" s="1599"/>
      <c r="C89" s="711"/>
      <c r="D89" s="711"/>
      <c r="E89" s="1599" t="s">
        <v>412</v>
      </c>
      <c r="F89" s="1599"/>
      <c r="G89" s="711"/>
      <c r="H89" s="1599" t="s">
        <v>2253</v>
      </c>
      <c r="I89" s="1599"/>
      <c r="J89" s="1699">
        <f>ROUND(343787/Master!$B$23,0)</f>
        <v>343787</v>
      </c>
      <c r="K89" s="772">
        <f>ROUND(336308/Master!$B$23,0)</f>
        <v>336308</v>
      </c>
      <c r="L89" s="727"/>
      <c r="M89" s="727"/>
      <c r="N89" s="727"/>
      <c r="O89" s="727"/>
      <c r="P89" s="727"/>
      <c r="Q89" s="727"/>
      <c r="R89" s="727"/>
    </row>
    <row r="90" spans="1:18" s="700" customFormat="1" hidden="1">
      <c r="A90" s="683"/>
      <c r="B90" s="1159"/>
      <c r="C90" s="699"/>
      <c r="D90" s="699"/>
      <c r="E90" s="1159"/>
      <c r="F90" s="1159"/>
      <c r="G90" s="699"/>
      <c r="H90" s="1159"/>
      <c r="I90" s="1159"/>
      <c r="J90" s="764"/>
      <c r="K90" s="764"/>
      <c r="L90" s="727"/>
      <c r="M90" s="727"/>
      <c r="N90" s="727"/>
      <c r="O90" s="727"/>
      <c r="P90" s="727"/>
      <c r="Q90" s="727"/>
      <c r="R90" s="727"/>
    </row>
    <row r="91" spans="1:18" s="700" customFormat="1" hidden="1">
      <c r="A91" s="683"/>
      <c r="B91" s="1599" t="s">
        <v>47</v>
      </c>
      <c r="C91" s="711"/>
      <c r="D91" s="711"/>
      <c r="E91" s="1599" t="s">
        <v>411</v>
      </c>
      <c r="F91" s="1599"/>
      <c r="G91" s="711"/>
      <c r="H91" s="1599" t="s">
        <v>2253</v>
      </c>
      <c r="I91" s="1599"/>
      <c r="J91" s="772">
        <f>'10-17'!J358</f>
        <v>1017231</v>
      </c>
      <c r="K91" s="772">
        <f>'10-17'!K358</f>
        <v>1017231</v>
      </c>
      <c r="L91" s="727"/>
      <c r="M91" s="727"/>
      <c r="N91" s="727"/>
      <c r="O91" s="727"/>
      <c r="P91" s="727"/>
      <c r="Q91" s="727"/>
      <c r="R91" s="727"/>
    </row>
    <row r="92" spans="1:18" s="700" customFormat="1">
      <c r="A92" s="683"/>
      <c r="B92" s="699"/>
      <c r="C92" s="699"/>
      <c r="D92" s="699"/>
      <c r="E92" s="699"/>
      <c r="F92" s="699"/>
      <c r="G92" s="699"/>
      <c r="H92" s="699"/>
      <c r="I92" s="699"/>
      <c r="J92" s="699"/>
      <c r="K92" s="699"/>
      <c r="L92" s="727"/>
      <c r="M92" s="727"/>
      <c r="N92" s="727"/>
      <c r="O92" s="727"/>
      <c r="P92" s="727"/>
      <c r="Q92" s="727"/>
      <c r="R92" s="727"/>
    </row>
    <row r="93" spans="1:18" s="700" customFormat="1">
      <c r="A93" s="683"/>
      <c r="B93" s="1599" t="s">
        <v>39</v>
      </c>
      <c r="C93" s="711"/>
      <c r="D93" s="711"/>
      <c r="E93" s="1599" t="s">
        <v>411</v>
      </c>
      <c r="F93" s="1599"/>
      <c r="G93" s="711"/>
      <c r="H93" s="1599" t="s">
        <v>2253</v>
      </c>
      <c r="I93" s="1599"/>
      <c r="J93" s="1699">
        <f>BS!G56</f>
        <v>246681006.39768004</v>
      </c>
      <c r="K93" s="1489">
        <f>BS!I47</f>
        <v>235325157.6183489</v>
      </c>
      <c r="L93" s="727"/>
      <c r="M93" s="727"/>
      <c r="N93" s="727"/>
      <c r="O93" s="727"/>
      <c r="P93" s="727"/>
      <c r="Q93" s="727"/>
      <c r="R93" s="727"/>
    </row>
    <row r="94" spans="1:18" s="700" customFormat="1">
      <c r="A94" s="683"/>
      <c r="B94" s="699"/>
      <c r="C94" s="699"/>
      <c r="D94" s="699"/>
      <c r="E94" s="699"/>
      <c r="F94" s="699"/>
      <c r="G94" s="699"/>
      <c r="H94" s="699"/>
      <c r="I94" s="699"/>
      <c r="J94" s="699"/>
      <c r="K94" s="699"/>
      <c r="L94" s="727"/>
      <c r="M94" s="727"/>
      <c r="N94" s="727"/>
      <c r="O94" s="727"/>
      <c r="P94" s="727"/>
      <c r="Q94" s="727"/>
      <c r="R94" s="727"/>
    </row>
    <row r="95" spans="1:18" s="700" customFormat="1">
      <c r="A95" s="683"/>
      <c r="B95" s="1599" t="s">
        <v>2628</v>
      </c>
      <c r="C95" s="711"/>
      <c r="D95" s="711"/>
      <c r="E95" s="1599" t="s">
        <v>412</v>
      </c>
      <c r="F95" s="1599"/>
      <c r="G95" s="711"/>
      <c r="H95" s="711" t="s">
        <v>2253</v>
      </c>
      <c r="I95" s="711"/>
      <c r="J95" s="1699">
        <f>ROUND('BS Gr'!D462/Master!$B$23,0)</f>
        <v>2944464</v>
      </c>
      <c r="K95" s="772">
        <f>ROUND('BS Gr'!F462/Master!$B$23,0)</f>
        <v>2602787</v>
      </c>
      <c r="L95" s="727"/>
      <c r="M95" s="727"/>
      <c r="N95" s="727"/>
      <c r="O95" s="727"/>
      <c r="P95" s="727"/>
      <c r="Q95" s="727"/>
      <c r="R95" s="727"/>
    </row>
    <row r="96" spans="1:18" s="700" customFormat="1" hidden="1">
      <c r="A96" s="683"/>
      <c r="B96" s="699"/>
      <c r="C96" s="699"/>
      <c r="D96" s="699"/>
      <c r="E96" s="699"/>
      <c r="F96" s="699"/>
      <c r="G96" s="699"/>
      <c r="H96" s="699"/>
      <c r="I96" s="699"/>
      <c r="J96" s="699"/>
      <c r="K96" s="699"/>
      <c r="L96" s="727"/>
      <c r="M96" s="727"/>
      <c r="N96" s="727"/>
      <c r="O96" s="727"/>
      <c r="P96" s="727"/>
      <c r="Q96" s="727"/>
      <c r="R96" s="727"/>
    </row>
    <row r="97" spans="1:18" s="700" customFormat="1" hidden="1">
      <c r="A97" s="683"/>
      <c r="B97" s="1599" t="s">
        <v>2357</v>
      </c>
      <c r="C97" s="711"/>
      <c r="D97" s="711"/>
      <c r="E97" s="1599" t="s">
        <v>412</v>
      </c>
      <c r="F97" s="1599"/>
      <c r="G97" s="711"/>
      <c r="H97" s="711" t="s">
        <v>2253</v>
      </c>
      <c r="I97" s="711"/>
      <c r="J97" s="883">
        <f>ROUND(0/Master!$B$23,0)</f>
        <v>0</v>
      </c>
      <c r="K97" s="1490">
        <f>ROUND(0/Master!$B$23,0)</f>
        <v>0</v>
      </c>
      <c r="L97" s="727"/>
      <c r="M97" s="727"/>
      <c r="N97" s="727"/>
      <c r="O97" s="727"/>
      <c r="P97" s="727"/>
      <c r="Q97" s="727"/>
      <c r="R97" s="727"/>
    </row>
    <row r="98" spans="1:18" s="700" customFormat="1">
      <c r="A98" s="683"/>
      <c r="B98" s="699"/>
      <c r="C98" s="699"/>
      <c r="D98" s="699"/>
      <c r="E98" s="1159"/>
      <c r="F98" s="1159"/>
      <c r="G98" s="699"/>
      <c r="H98" s="699"/>
      <c r="I98" s="699"/>
      <c r="J98" s="882"/>
      <c r="K98" s="908"/>
      <c r="L98" s="727"/>
      <c r="M98" s="727"/>
      <c r="N98" s="727"/>
      <c r="O98" s="727"/>
      <c r="P98" s="727"/>
      <c r="Q98" s="727"/>
      <c r="R98" s="727"/>
    </row>
    <row r="99" spans="1:18" s="700" customFormat="1">
      <c r="A99" s="683"/>
      <c r="B99" s="1599" t="s">
        <v>2325</v>
      </c>
      <c r="C99" s="711"/>
      <c r="D99" s="711"/>
      <c r="E99" s="1599" t="s">
        <v>412</v>
      </c>
      <c r="F99" s="1599"/>
      <c r="G99" s="711"/>
      <c r="H99" s="711" t="s">
        <v>2253</v>
      </c>
      <c r="I99" s="711"/>
      <c r="J99" s="1699">
        <f>BS!G48+BS!G60</f>
        <v>3875013</v>
      </c>
      <c r="K99" s="1490">
        <f>BS!I48+BS!I60</f>
        <v>7290062</v>
      </c>
      <c r="L99" s="727"/>
      <c r="M99" s="727"/>
      <c r="N99" s="727"/>
      <c r="O99" s="727"/>
      <c r="P99" s="727"/>
      <c r="Q99" s="727"/>
      <c r="R99" s="727"/>
    </row>
    <row r="100" spans="1:18" s="700" customFormat="1">
      <c r="A100" s="683"/>
      <c r="B100" s="1159"/>
      <c r="C100" s="699"/>
      <c r="D100" s="699"/>
      <c r="E100" s="1159"/>
      <c r="F100" s="1159"/>
      <c r="G100" s="699"/>
      <c r="H100" s="699"/>
      <c r="I100" s="699"/>
      <c r="J100" s="764"/>
      <c r="K100" s="908"/>
      <c r="L100" s="727"/>
      <c r="M100" s="727"/>
      <c r="N100" s="727"/>
      <c r="O100" s="727"/>
      <c r="P100" s="727"/>
      <c r="Q100" s="727"/>
      <c r="R100" s="727"/>
    </row>
    <row r="101" spans="1:18" s="700" customFormat="1">
      <c r="A101" s="683"/>
      <c r="B101" s="1599" t="s">
        <v>2305</v>
      </c>
      <c r="C101" s="711"/>
      <c r="D101" s="711"/>
      <c r="E101" s="1599" t="s">
        <v>412</v>
      </c>
      <c r="F101" s="1599"/>
      <c r="G101" s="711"/>
      <c r="H101" s="711" t="s">
        <v>2253</v>
      </c>
      <c r="I101" s="711"/>
      <c r="J101" s="1699">
        <f>BS!G14</f>
        <v>3218600.4</v>
      </c>
      <c r="K101" s="1490">
        <f>BS!I14</f>
        <v>6258296</v>
      </c>
      <c r="L101" s="727"/>
      <c r="M101" s="727"/>
      <c r="N101" s="727"/>
      <c r="O101" s="727"/>
      <c r="P101" s="727"/>
      <c r="Q101" s="727"/>
      <c r="R101" s="727"/>
    </row>
    <row r="102" spans="1:18" s="700" customFormat="1">
      <c r="A102" s="683"/>
      <c r="B102" s="1601"/>
      <c r="C102" s="707"/>
      <c r="D102" s="707"/>
      <c r="E102" s="1601"/>
      <c r="F102" s="1601"/>
      <c r="G102" s="707"/>
      <c r="H102" s="707"/>
      <c r="I102" s="707"/>
      <c r="J102" s="766"/>
      <c r="K102" s="1510"/>
      <c r="L102" s="727"/>
      <c r="M102" s="727"/>
      <c r="N102" s="727"/>
      <c r="O102" s="727"/>
      <c r="P102" s="727"/>
      <c r="Q102" s="727"/>
      <c r="R102" s="727"/>
    </row>
    <row r="103" spans="1:18" s="700" customFormat="1" ht="80.55" customHeight="1">
      <c r="A103" s="683"/>
      <c r="B103" s="1729" t="s">
        <v>3119</v>
      </c>
      <c r="C103" s="1729"/>
      <c r="D103" s="1729"/>
      <c r="E103" s="1729"/>
      <c r="F103" s="1729"/>
      <c r="G103" s="1729"/>
      <c r="H103" s="1729"/>
      <c r="I103" s="1729"/>
      <c r="J103" s="1729"/>
      <c r="K103" s="1729"/>
      <c r="L103" s="727"/>
      <c r="M103" s="727"/>
      <c r="N103" s="727"/>
      <c r="O103" s="727"/>
      <c r="P103" s="727"/>
      <c r="Q103" s="727"/>
      <c r="R103" s="727"/>
    </row>
    <row r="104" spans="1:18" s="700" customFormat="1">
      <c r="A104" s="683"/>
      <c r="B104" s="1255" t="s">
        <v>2805</v>
      </c>
      <c r="C104" s="699"/>
      <c r="D104" s="699"/>
      <c r="E104" s="1159"/>
      <c r="F104" s="1159"/>
      <c r="G104" s="699"/>
      <c r="H104" s="699"/>
      <c r="I104" s="699"/>
      <c r="J104" s="764"/>
      <c r="K104" s="908"/>
      <c r="L104" s="727"/>
      <c r="M104" s="727"/>
      <c r="N104" s="727"/>
      <c r="O104" s="727"/>
      <c r="P104" s="727"/>
      <c r="Q104" s="727"/>
      <c r="R104" s="727"/>
    </row>
    <row r="105" spans="1:18" s="700" customFormat="1">
      <c r="A105" s="683"/>
      <c r="C105" s="699"/>
      <c r="D105" s="699"/>
      <c r="E105" s="699"/>
      <c r="F105" s="699"/>
      <c r="G105" s="699"/>
      <c r="H105" s="699"/>
      <c r="I105" s="699"/>
      <c r="J105" s="699"/>
      <c r="K105" s="699"/>
      <c r="L105" s="727"/>
      <c r="M105" s="727"/>
      <c r="N105" s="727"/>
      <c r="O105" s="727"/>
      <c r="P105" s="727"/>
      <c r="Q105" s="727"/>
      <c r="R105" s="727"/>
    </row>
    <row r="106" spans="1:18" s="700" customFormat="1" hidden="1">
      <c r="A106" s="683"/>
      <c r="B106" s="699"/>
      <c r="C106" s="699"/>
      <c r="D106" s="699"/>
      <c r="E106" s="699"/>
      <c r="F106" s="699"/>
      <c r="G106" s="699"/>
      <c r="H106" s="699"/>
      <c r="I106" s="699"/>
      <c r="J106" s="699"/>
      <c r="K106" s="699"/>
      <c r="L106" s="727"/>
      <c r="M106" s="727"/>
      <c r="N106" s="727"/>
      <c r="O106" s="727"/>
      <c r="P106" s="727"/>
      <c r="Q106" s="727"/>
      <c r="R106" s="727"/>
    </row>
    <row r="107" spans="1:18" s="700" customFormat="1" hidden="1">
      <c r="A107" s="683"/>
      <c r="B107" s="699"/>
      <c r="C107" s="699"/>
      <c r="D107" s="699"/>
      <c r="E107" s="699"/>
      <c r="F107" s="699"/>
      <c r="G107" s="699"/>
      <c r="H107" s="699"/>
      <c r="I107" s="699"/>
      <c r="J107" s="699"/>
      <c r="K107" s="699"/>
      <c r="L107" s="727"/>
      <c r="M107" s="727"/>
      <c r="N107" s="727"/>
      <c r="O107" s="727"/>
      <c r="P107" s="727"/>
      <c r="Q107" s="727"/>
      <c r="R107" s="727"/>
    </row>
    <row r="108" spans="1:18" s="700" customFormat="1" ht="5.0999999999999996" hidden="1" customHeight="1">
      <c r="A108" s="683"/>
      <c r="B108" s="699"/>
      <c r="C108" s="699"/>
      <c r="D108" s="699"/>
      <c r="E108" s="699"/>
      <c r="F108" s="699"/>
      <c r="G108" s="699"/>
      <c r="H108" s="699"/>
      <c r="I108" s="699"/>
      <c r="J108" s="699"/>
      <c r="K108" s="699"/>
      <c r="L108" s="727"/>
      <c r="M108" s="727"/>
      <c r="N108" s="727"/>
      <c r="O108" s="727"/>
      <c r="P108" s="727"/>
      <c r="Q108" s="727"/>
      <c r="R108" s="727"/>
    </row>
    <row r="109" spans="1:18" s="700" customFormat="1" ht="5.0999999999999996" hidden="1" customHeight="1">
      <c r="A109" s="683"/>
      <c r="B109" s="699"/>
      <c r="C109" s="699"/>
      <c r="D109" s="699"/>
      <c r="E109" s="699"/>
      <c r="F109" s="699"/>
      <c r="G109" s="699"/>
      <c r="H109" s="699"/>
      <c r="I109" s="699"/>
      <c r="J109" s="699"/>
      <c r="K109" s="699"/>
      <c r="L109" s="727"/>
      <c r="M109" s="727"/>
      <c r="N109" s="727"/>
      <c r="O109" s="727"/>
      <c r="P109" s="727"/>
      <c r="Q109" s="727"/>
      <c r="R109" s="727"/>
    </row>
    <row r="110" spans="1:18" s="700" customFormat="1" ht="15" hidden="1" customHeight="1">
      <c r="A110" s="683"/>
      <c r="B110" s="1878"/>
      <c r="C110" s="1878"/>
      <c r="D110" s="1878"/>
      <c r="E110" s="1878"/>
      <c r="F110" s="1881"/>
      <c r="G110" s="1881"/>
      <c r="H110" s="1878" t="s">
        <v>2061</v>
      </c>
      <c r="I110" s="685"/>
      <c r="J110" s="1878" t="s">
        <v>2035</v>
      </c>
      <c r="K110" s="1881" t="s">
        <v>173</v>
      </c>
      <c r="L110" s="727"/>
      <c r="M110" s="727"/>
      <c r="N110" s="727"/>
      <c r="O110" s="727"/>
      <c r="P110" s="727"/>
      <c r="Q110" s="727"/>
      <c r="R110" s="727"/>
    </row>
    <row r="111" spans="1:18" s="700" customFormat="1" ht="39.75" hidden="1" customHeight="1">
      <c r="A111" s="683"/>
      <c r="B111" s="1879"/>
      <c r="C111" s="1879"/>
      <c r="D111" s="1879"/>
      <c r="E111" s="1879"/>
      <c r="F111" s="1882"/>
      <c r="G111" s="1882"/>
      <c r="H111" s="1879"/>
      <c r="I111" s="1110"/>
      <c r="J111" s="1879"/>
      <c r="K111" s="1882"/>
      <c r="L111" s="727"/>
      <c r="M111" s="727"/>
      <c r="N111" s="727"/>
      <c r="O111" s="727"/>
      <c r="P111" s="727"/>
      <c r="Q111" s="727"/>
      <c r="R111" s="727"/>
    </row>
    <row r="112" spans="1:18" s="700" customFormat="1" ht="5.0999999999999996" hidden="1" customHeight="1">
      <c r="A112" s="683"/>
      <c r="B112" s="685"/>
      <c r="C112" s="685"/>
      <c r="D112" s="685"/>
      <c r="E112" s="685"/>
      <c r="F112" s="858"/>
      <c r="G112" s="858"/>
      <c r="H112" s="858"/>
      <c r="I112" s="858"/>
      <c r="J112" s="858"/>
      <c r="K112" s="858"/>
      <c r="L112" s="727"/>
      <c r="M112" s="727"/>
      <c r="N112" s="727"/>
      <c r="O112" s="727"/>
      <c r="P112" s="727"/>
      <c r="Q112" s="727"/>
      <c r="R112" s="727"/>
    </row>
    <row r="113" spans="1:18" s="700" customFormat="1" ht="14.1" hidden="1" customHeight="1">
      <c r="A113" s="683"/>
      <c r="B113" s="927" t="s">
        <v>416</v>
      </c>
      <c r="C113" s="849"/>
      <c r="D113" s="941"/>
      <c r="E113" s="941"/>
      <c r="F113" s="941"/>
      <c r="G113" s="941"/>
      <c r="H113" s="941"/>
      <c r="I113" s="941"/>
      <c r="J113" s="941"/>
      <c r="K113" s="1105"/>
      <c r="L113" s="727"/>
      <c r="M113" s="727"/>
      <c r="N113" s="727"/>
      <c r="O113" s="727"/>
      <c r="P113" s="727"/>
      <c r="Q113" s="727"/>
      <c r="R113" s="727"/>
    </row>
    <row r="114" spans="1:18" s="700" customFormat="1" ht="14.1" hidden="1" customHeight="1">
      <c r="A114" s="683"/>
      <c r="B114" s="687" t="s">
        <v>417</v>
      </c>
      <c r="C114" s="849"/>
      <c r="D114" s="849"/>
      <c r="E114" s="849"/>
      <c r="F114" s="838"/>
      <c r="G114" s="838"/>
      <c r="H114" s="838"/>
      <c r="I114" s="838"/>
      <c r="J114" s="838"/>
      <c r="K114" s="1106"/>
      <c r="L114" s="727"/>
      <c r="M114" s="727"/>
      <c r="N114" s="727"/>
      <c r="O114" s="727"/>
      <c r="P114" s="727"/>
      <c r="Q114" s="727"/>
      <c r="R114" s="727"/>
    </row>
    <row r="115" spans="1:18" s="700" customFormat="1" ht="14.1" hidden="1" customHeight="1">
      <c r="A115" s="683"/>
      <c r="B115" s="1107" t="s">
        <v>2059</v>
      </c>
      <c r="C115" s="849"/>
      <c r="D115" s="849"/>
      <c r="E115" s="849"/>
      <c r="F115" s="839"/>
      <c r="G115" s="839"/>
      <c r="H115" s="839">
        <f>ROUND(10629682/Master!$B$23,0)</f>
        <v>10629682</v>
      </c>
      <c r="I115" s="839"/>
      <c r="J115" s="839">
        <f>ROUND((2960897)/Master!$B$23,0)</f>
        <v>2960897</v>
      </c>
      <c r="K115" s="838">
        <f>SUM(F115:J115)</f>
        <v>13590579</v>
      </c>
      <c r="L115" s="727"/>
      <c r="M115" s="727"/>
      <c r="N115" s="727"/>
      <c r="O115" s="727"/>
      <c r="P115" s="727"/>
      <c r="Q115" s="727"/>
      <c r="R115" s="727"/>
    </row>
    <row r="116" spans="1:18" s="700" customFormat="1" ht="14.1" hidden="1" customHeight="1">
      <c r="A116" s="683"/>
      <c r="B116" s="683" t="s">
        <v>419</v>
      </c>
      <c r="C116" s="699"/>
      <c r="D116" s="699"/>
      <c r="E116" s="699"/>
      <c r="F116" s="777"/>
      <c r="G116" s="777"/>
      <c r="H116" s="777"/>
      <c r="I116" s="777"/>
      <c r="J116" s="777"/>
      <c r="K116" s="775"/>
      <c r="L116" s="727"/>
      <c r="M116" s="727"/>
      <c r="N116" s="727"/>
      <c r="O116" s="727"/>
      <c r="P116" s="727"/>
      <c r="Q116" s="727"/>
      <c r="R116" s="727"/>
    </row>
    <row r="117" spans="1:18" s="700" customFormat="1" ht="14.1" hidden="1" customHeight="1">
      <c r="A117" s="683"/>
      <c r="B117" s="1167" t="s">
        <v>2060</v>
      </c>
      <c r="C117" s="699"/>
      <c r="D117" s="699"/>
      <c r="E117" s="699"/>
      <c r="F117" s="839"/>
      <c r="G117" s="839"/>
      <c r="H117" s="926">
        <f>ROUND(0/Master!$B$23,0)</f>
        <v>0</v>
      </c>
      <c r="I117" s="926"/>
      <c r="J117" s="926">
        <f>ROUND(3038211/Master!$B$23,0)</f>
        <v>3038211</v>
      </c>
      <c r="K117" s="838">
        <f t="shared" ref="K117:K137" si="0">SUM(F117:J117)</f>
        <v>3038211</v>
      </c>
      <c r="L117" s="727"/>
      <c r="M117" s="727"/>
      <c r="N117" s="727"/>
      <c r="O117" s="727"/>
      <c r="P117" s="727"/>
      <c r="Q117" s="727"/>
      <c r="R117" s="727"/>
    </row>
    <row r="118" spans="1:18" s="700" customFormat="1" ht="14.1" hidden="1" customHeight="1">
      <c r="A118" s="956"/>
      <c r="B118" s="943" t="s">
        <v>306</v>
      </c>
      <c r="C118" s="699"/>
      <c r="D118" s="699"/>
      <c r="E118" s="699"/>
      <c r="F118" s="839"/>
      <c r="G118" s="839"/>
      <c r="H118" s="926">
        <f>ROUND(0/Master!$B$23,0)</f>
        <v>0</v>
      </c>
      <c r="I118" s="926"/>
      <c r="J118" s="926">
        <f>ROUND(0/Master!$B$23,0)</f>
        <v>0</v>
      </c>
      <c r="K118" s="838">
        <f t="shared" si="0"/>
        <v>0</v>
      </c>
      <c r="L118" s="727"/>
      <c r="M118" s="727"/>
      <c r="N118" s="727"/>
      <c r="O118" s="727"/>
      <c r="P118" s="727"/>
      <c r="Q118" s="727"/>
      <c r="R118" s="727"/>
    </row>
    <row r="119" spans="1:18" s="700" customFormat="1" ht="14.1" hidden="1" customHeight="1">
      <c r="A119" s="683"/>
      <c r="B119" s="1167" t="s">
        <v>307</v>
      </c>
      <c r="C119" s="699"/>
      <c r="D119" s="699"/>
      <c r="E119" s="699"/>
      <c r="F119" s="839"/>
      <c r="G119" s="839"/>
      <c r="H119" s="926">
        <f>ROUND(0/Master!$B$23,0)</f>
        <v>0</v>
      </c>
      <c r="I119" s="926"/>
      <c r="J119" s="926">
        <f>ROUND(2854938/Master!$B$23,0)</f>
        <v>2854938</v>
      </c>
      <c r="K119" s="838">
        <f t="shared" si="0"/>
        <v>2854938</v>
      </c>
      <c r="L119" s="727"/>
      <c r="M119" s="727"/>
      <c r="N119" s="727"/>
      <c r="O119" s="727"/>
      <c r="P119" s="727"/>
      <c r="Q119" s="727"/>
      <c r="R119" s="727"/>
    </row>
    <row r="120" spans="1:18" s="700" customFormat="1" ht="14.1" hidden="1" customHeight="1">
      <c r="A120" s="683"/>
      <c r="B120" s="683" t="s">
        <v>422</v>
      </c>
      <c r="C120" s="699"/>
      <c r="D120" s="699"/>
      <c r="E120" s="699"/>
      <c r="F120" s="777"/>
      <c r="G120" s="777"/>
      <c r="H120" s="777"/>
      <c r="I120" s="777"/>
      <c r="J120" s="777"/>
      <c r="K120" s="775">
        <f t="shared" si="0"/>
        <v>0</v>
      </c>
      <c r="L120" s="727"/>
      <c r="M120" s="727"/>
      <c r="N120" s="727"/>
      <c r="O120" s="727"/>
      <c r="P120" s="727"/>
      <c r="Q120" s="727"/>
      <c r="R120" s="727"/>
    </row>
    <row r="121" spans="1:18" s="700" customFormat="1" ht="14.1" hidden="1" customHeight="1">
      <c r="A121" s="683"/>
      <c r="B121" s="1167" t="s">
        <v>2229</v>
      </c>
      <c r="C121" s="699"/>
      <c r="D121" s="699"/>
      <c r="E121" s="699"/>
      <c r="F121" s="839"/>
      <c r="G121" s="839"/>
      <c r="H121" s="1248">
        <f>ROUND(45021/Master!$B$23,0)</f>
        <v>45021</v>
      </c>
      <c r="I121" s="1248"/>
      <c r="J121" s="839">
        <f>ROUND(0/Master!$B$23,0)</f>
        <v>0</v>
      </c>
      <c r="K121" s="838">
        <f t="shared" si="0"/>
        <v>45021</v>
      </c>
      <c r="L121" s="727"/>
      <c r="M121" s="727"/>
      <c r="N121" s="727"/>
      <c r="O121" s="727"/>
      <c r="P121" s="727"/>
      <c r="Q121" s="727"/>
      <c r="R121" s="727"/>
    </row>
    <row r="122" spans="1:18" s="700" customFormat="1" ht="14.1" hidden="1" customHeight="1">
      <c r="A122" s="683"/>
      <c r="B122" s="943" t="s">
        <v>424</v>
      </c>
      <c r="C122" s="699"/>
      <c r="D122" s="699"/>
      <c r="E122" s="699"/>
      <c r="F122" s="839"/>
      <c r="G122" s="839"/>
      <c r="H122" s="839">
        <f>ROUND(0/Master!$B$23,0)</f>
        <v>0</v>
      </c>
      <c r="I122" s="839"/>
      <c r="J122" s="839">
        <f>ROUND((3467316+559102-3038211)/Master!$B$23,0)</f>
        <v>988207</v>
      </c>
      <c r="K122" s="838">
        <f t="shared" si="0"/>
        <v>988207</v>
      </c>
      <c r="L122" s="727"/>
      <c r="M122" s="727"/>
      <c r="N122" s="727"/>
      <c r="O122" s="727"/>
      <c r="P122" s="727"/>
      <c r="Q122" s="727"/>
      <c r="R122" s="727"/>
    </row>
    <row r="123" spans="1:18" s="700" customFormat="1" ht="14.1" hidden="1" customHeight="1">
      <c r="A123" s="683"/>
      <c r="B123" s="943" t="s">
        <v>300</v>
      </c>
      <c r="C123" s="699"/>
      <c r="D123" s="699"/>
      <c r="E123" s="699"/>
      <c r="F123" s="839"/>
      <c r="G123" s="839">
        <f>ROUND(0/Master!$B$23,0)</f>
        <v>0</v>
      </c>
      <c r="H123" s="839">
        <f>ROUND(0/Master!$B$23,0)</f>
        <v>0</v>
      </c>
      <c r="I123" s="839"/>
      <c r="J123" s="839">
        <f>ROUND(0/Master!$B$23,0)</f>
        <v>0</v>
      </c>
      <c r="K123" s="838">
        <f t="shared" si="0"/>
        <v>0</v>
      </c>
      <c r="L123" s="727"/>
      <c r="M123" s="727"/>
      <c r="N123" s="727"/>
      <c r="O123" s="727"/>
      <c r="P123" s="727"/>
      <c r="Q123" s="727"/>
      <c r="R123" s="727"/>
    </row>
    <row r="124" spans="1:18" s="700" customFormat="1" ht="14.1" hidden="1" customHeight="1">
      <c r="A124" s="683"/>
      <c r="B124" s="943" t="s">
        <v>425</v>
      </c>
      <c r="C124" s="699"/>
      <c r="D124" s="699"/>
      <c r="E124" s="699"/>
      <c r="F124" s="839"/>
      <c r="G124" s="839">
        <f>ROUND(0/Master!$B$23,0)</f>
        <v>0</v>
      </c>
      <c r="H124" s="839">
        <f>ROUND(0/Master!$B$23,0)</f>
        <v>0</v>
      </c>
      <c r="I124" s="839"/>
      <c r="J124" s="839">
        <f>ROUND(0/Master!$B$23,0)</f>
        <v>0</v>
      </c>
      <c r="K124" s="838">
        <f t="shared" si="0"/>
        <v>0</v>
      </c>
      <c r="L124" s="727"/>
      <c r="M124" s="727"/>
      <c r="N124" s="727"/>
      <c r="O124" s="727"/>
      <c r="P124" s="727"/>
      <c r="Q124" s="727"/>
      <c r="R124" s="727"/>
    </row>
    <row r="125" spans="1:18" s="700" customFormat="1" ht="14.1" hidden="1" customHeight="1">
      <c r="A125" s="683"/>
      <c r="B125" s="683" t="s">
        <v>2012</v>
      </c>
      <c r="C125" s="699"/>
      <c r="D125" s="699"/>
      <c r="E125" s="699"/>
      <c r="F125" s="777"/>
      <c r="G125" s="777"/>
      <c r="H125" s="777"/>
      <c r="I125" s="777"/>
      <c r="J125" s="777"/>
      <c r="K125" s="775">
        <f t="shared" si="0"/>
        <v>0</v>
      </c>
      <c r="L125" s="727"/>
      <c r="M125" s="727"/>
      <c r="N125" s="727"/>
      <c r="O125" s="727"/>
      <c r="P125" s="727"/>
      <c r="Q125" s="727"/>
      <c r="R125" s="727"/>
    </row>
    <row r="126" spans="1:18" s="700" customFormat="1" ht="14.1" hidden="1" customHeight="1">
      <c r="A126" s="683"/>
      <c r="B126" s="943" t="s">
        <v>426</v>
      </c>
      <c r="C126" s="699"/>
      <c r="D126" s="699"/>
      <c r="E126" s="699"/>
      <c r="F126" s="839"/>
      <c r="G126" s="839">
        <f>ROUND(0/Master!$B$23,0)</f>
        <v>0</v>
      </c>
      <c r="H126" s="839">
        <f>ROUND(0/Master!$B$23,0)</f>
        <v>0</v>
      </c>
      <c r="I126" s="839"/>
      <c r="J126" s="839">
        <f>ROUND(0/Master!$B$23,0)</f>
        <v>0</v>
      </c>
      <c r="K126" s="838">
        <f t="shared" si="0"/>
        <v>0</v>
      </c>
      <c r="L126" s="727"/>
      <c r="M126" s="727"/>
      <c r="N126" s="727"/>
      <c r="O126" s="727"/>
      <c r="P126" s="727"/>
      <c r="Q126" s="727"/>
      <c r="R126" s="727"/>
    </row>
    <row r="127" spans="1:18" s="700" customFormat="1" ht="14.1" hidden="1" customHeight="1">
      <c r="A127" s="683"/>
      <c r="B127" s="1142" t="s">
        <v>2036</v>
      </c>
      <c r="C127" s="699"/>
      <c r="D127" s="699"/>
      <c r="E127" s="699"/>
      <c r="F127" s="839"/>
      <c r="G127" s="839"/>
      <c r="H127" s="839">
        <f>ROUND(0/Master!$B$23,0)</f>
        <v>0</v>
      </c>
      <c r="I127" s="839"/>
      <c r="J127" s="839">
        <f>ROUND(0/Master!$B$23,0)</f>
        <v>0</v>
      </c>
      <c r="K127" s="838">
        <f t="shared" si="0"/>
        <v>0</v>
      </c>
      <c r="L127" s="727"/>
      <c r="M127" s="727"/>
      <c r="N127" s="727"/>
      <c r="O127" s="727"/>
      <c r="P127" s="727"/>
      <c r="Q127" s="727"/>
      <c r="R127" s="727"/>
    </row>
    <row r="128" spans="1:18" s="700" customFormat="1" ht="14.1" hidden="1" customHeight="1">
      <c r="A128" s="683"/>
      <c r="B128" s="943" t="s">
        <v>427</v>
      </c>
      <c r="C128" s="699"/>
      <c r="D128" s="699"/>
      <c r="E128" s="699"/>
      <c r="F128" s="839"/>
      <c r="G128" s="839"/>
      <c r="H128" s="839">
        <f>ROUND(0/Master!$B$23,0)</f>
        <v>0</v>
      </c>
      <c r="I128" s="839"/>
      <c r="J128" s="839">
        <f>ROUND(0/Master!$B$23,0)</f>
        <v>0</v>
      </c>
      <c r="K128" s="838">
        <f t="shared" si="0"/>
        <v>0</v>
      </c>
      <c r="L128" s="727"/>
      <c r="M128" s="727"/>
      <c r="N128" s="727"/>
      <c r="O128" s="727"/>
      <c r="P128" s="727"/>
      <c r="Q128" s="727"/>
      <c r="R128" s="727"/>
    </row>
    <row r="129" spans="1:18" s="700" customFormat="1" ht="14.1" hidden="1" customHeight="1">
      <c r="A129" s="683"/>
      <c r="B129" s="943" t="s">
        <v>428</v>
      </c>
      <c r="C129" s="699"/>
      <c r="D129" s="699"/>
      <c r="E129" s="699"/>
      <c r="F129" s="839"/>
      <c r="G129" s="839"/>
      <c r="H129" s="839">
        <f>ROUND(0/Master!$B$23,0)</f>
        <v>0</v>
      </c>
      <c r="I129" s="839"/>
      <c r="J129" s="839">
        <f>ROUND(0/Master!$B$23,0)</f>
        <v>0</v>
      </c>
      <c r="K129" s="838">
        <f t="shared" si="0"/>
        <v>0</v>
      </c>
      <c r="L129" s="727"/>
      <c r="M129" s="727"/>
      <c r="N129" s="727"/>
      <c r="O129" s="727"/>
      <c r="P129" s="727"/>
      <c r="Q129" s="727"/>
      <c r="R129" s="727"/>
    </row>
    <row r="130" spans="1:18" s="700" customFormat="1" ht="14.1" hidden="1" customHeight="1">
      <c r="A130" s="683"/>
      <c r="B130" s="943" t="s">
        <v>429</v>
      </c>
      <c r="C130" s="699"/>
      <c r="D130" s="699"/>
      <c r="E130" s="699"/>
      <c r="F130" s="839"/>
      <c r="G130" s="839"/>
      <c r="H130" s="839">
        <f>ROUND(0/Master!$B$23,0)</f>
        <v>0</v>
      </c>
      <c r="I130" s="839"/>
      <c r="J130" s="839">
        <f>ROUND(0/Master!$B$23,0)</f>
        <v>0</v>
      </c>
      <c r="K130" s="838">
        <f t="shared" si="0"/>
        <v>0</v>
      </c>
      <c r="L130" s="727"/>
      <c r="M130" s="727"/>
      <c r="N130" s="727"/>
      <c r="O130" s="727"/>
      <c r="P130" s="727"/>
      <c r="Q130" s="727"/>
      <c r="R130" s="727"/>
    </row>
    <row r="131" spans="1:18" s="700" customFormat="1" ht="14.1" hidden="1" customHeight="1">
      <c r="A131" s="683"/>
      <c r="B131" s="943" t="s">
        <v>430</v>
      </c>
      <c r="C131" s="699"/>
      <c r="D131" s="699"/>
      <c r="E131" s="699"/>
      <c r="F131" s="839"/>
      <c r="G131" s="839"/>
      <c r="H131" s="839">
        <f>ROUND(0/Master!$B$23,0)</f>
        <v>0</v>
      </c>
      <c r="I131" s="839"/>
      <c r="J131" s="839">
        <f>ROUND(0/Master!$B$23,0)</f>
        <v>0</v>
      </c>
      <c r="K131" s="838">
        <f t="shared" si="0"/>
        <v>0</v>
      </c>
      <c r="L131" s="727"/>
      <c r="M131" s="727"/>
      <c r="N131" s="727"/>
      <c r="O131" s="727"/>
      <c r="P131" s="727"/>
      <c r="Q131" s="727"/>
      <c r="R131" s="727"/>
    </row>
    <row r="132" spans="1:18" s="700" customFormat="1" ht="14.1" hidden="1" customHeight="1">
      <c r="A132" s="683"/>
      <c r="B132" s="943" t="s">
        <v>431</v>
      </c>
      <c r="C132" s="699"/>
      <c r="D132" s="699"/>
      <c r="E132" s="699"/>
      <c r="F132" s="839"/>
      <c r="G132" s="839"/>
      <c r="H132" s="839">
        <f>ROUND(0/Master!$B$23,0)</f>
        <v>0</v>
      </c>
      <c r="I132" s="839"/>
      <c r="J132" s="839">
        <f>ROUND(0/Master!$B$23,0)</f>
        <v>0</v>
      </c>
      <c r="K132" s="838">
        <f t="shared" si="0"/>
        <v>0</v>
      </c>
      <c r="L132" s="727"/>
      <c r="M132" s="727"/>
      <c r="N132" s="727"/>
      <c r="O132" s="727"/>
      <c r="P132" s="727"/>
      <c r="Q132" s="727"/>
      <c r="R132" s="727"/>
    </row>
    <row r="133" spans="1:18" s="700" customFormat="1" hidden="1">
      <c r="A133" s="683"/>
      <c r="B133" s="1167" t="s">
        <v>2230</v>
      </c>
      <c r="C133" s="699"/>
      <c r="D133" s="699"/>
      <c r="E133" s="699"/>
      <c r="F133" s="839"/>
      <c r="G133" s="839"/>
      <c r="H133" s="839">
        <f>ROUND(0/Master!$B$23,0)</f>
        <v>0</v>
      </c>
      <c r="I133" s="839"/>
      <c r="J133" s="839">
        <f>ROUND(('PL Gr'!$E$377+'PL Gr'!E379)/Master!$B$23,0)-J134</f>
        <v>-3360</v>
      </c>
      <c r="K133" s="838">
        <f t="shared" si="0"/>
        <v>-3360</v>
      </c>
      <c r="L133" s="727"/>
      <c r="M133" s="727"/>
      <c r="N133" s="727"/>
      <c r="O133" s="727"/>
      <c r="P133" s="727"/>
      <c r="Q133" s="727"/>
      <c r="R133" s="727"/>
    </row>
    <row r="134" spans="1:18" s="700" customFormat="1" ht="14.1" hidden="1" customHeight="1">
      <c r="A134" s="683"/>
      <c r="B134" s="1142" t="s">
        <v>2031</v>
      </c>
      <c r="C134" s="699"/>
      <c r="D134" s="699"/>
      <c r="E134" s="699"/>
      <c r="F134" s="839"/>
      <c r="G134" s="839"/>
      <c r="H134" s="839">
        <f>ROUND(0/Master!$B$23,0)</f>
        <v>0</v>
      </c>
      <c r="I134" s="839"/>
      <c r="J134" s="1248">
        <f>ROUND(3360/Master!$B$23,0)</f>
        <v>3360</v>
      </c>
      <c r="K134" s="1153">
        <f t="shared" si="0"/>
        <v>3360</v>
      </c>
      <c r="L134" s="727"/>
      <c r="M134" s="727"/>
      <c r="N134" s="727"/>
      <c r="O134" s="727"/>
      <c r="P134" s="727"/>
      <c r="Q134" s="727"/>
      <c r="R134" s="727"/>
    </row>
    <row r="135" spans="1:18" s="700" customFormat="1" ht="14.1" hidden="1" customHeight="1">
      <c r="A135" s="683"/>
      <c r="B135" s="1167" t="s">
        <v>2240</v>
      </c>
      <c r="C135" s="699"/>
      <c r="D135" s="699"/>
      <c r="E135" s="699"/>
      <c r="F135" s="839"/>
      <c r="G135" s="839"/>
      <c r="H135" s="839">
        <f>ROUND(0/Master!$B$23,0)</f>
        <v>0</v>
      </c>
      <c r="I135" s="839"/>
      <c r="J135" s="1248">
        <f>ROUND(339340/Master!$B$23,0)</f>
        <v>339340</v>
      </c>
      <c r="K135" s="1153">
        <f t="shared" si="0"/>
        <v>339340</v>
      </c>
      <c r="L135" s="727"/>
      <c r="M135" s="727"/>
      <c r="N135" s="727"/>
      <c r="O135" s="727"/>
      <c r="P135" s="727"/>
      <c r="Q135" s="727"/>
      <c r="R135" s="727"/>
    </row>
    <row r="136" spans="1:18" s="700" customFormat="1" ht="14.1" hidden="1" customHeight="1">
      <c r="A136" s="683"/>
      <c r="B136" s="943" t="s">
        <v>433</v>
      </c>
      <c r="C136" s="699"/>
      <c r="D136" s="699"/>
      <c r="E136" s="699"/>
      <c r="F136" s="839"/>
      <c r="G136" s="839"/>
      <c r="H136" s="839">
        <f>ROUND(0/Master!$B$23,0)</f>
        <v>0</v>
      </c>
      <c r="I136" s="839"/>
      <c r="J136" s="839">
        <f>ROUND(0/Master!$B$23,0)</f>
        <v>0</v>
      </c>
      <c r="K136" s="838">
        <f t="shared" si="0"/>
        <v>0</v>
      </c>
      <c r="L136" s="727"/>
      <c r="M136" s="727"/>
      <c r="N136" s="727"/>
      <c r="O136" s="727"/>
      <c r="P136" s="727"/>
      <c r="Q136" s="727"/>
      <c r="R136" s="727"/>
    </row>
    <row r="137" spans="1:18" s="700" customFormat="1" ht="14.1" hidden="1" customHeight="1">
      <c r="A137" s="683"/>
      <c r="B137" s="683" t="s">
        <v>434</v>
      </c>
      <c r="C137" s="699"/>
      <c r="D137" s="699"/>
      <c r="E137" s="699"/>
      <c r="F137" s="839"/>
      <c r="G137" s="839"/>
      <c r="H137" s="839">
        <f>ROUND(0/Master!$B$23,0)</f>
        <v>0</v>
      </c>
      <c r="I137" s="839"/>
      <c r="J137" s="839">
        <f>ROUND(0/Master!$B$23,0)</f>
        <v>0</v>
      </c>
      <c r="K137" s="838">
        <f t="shared" si="0"/>
        <v>0</v>
      </c>
      <c r="L137" s="727"/>
      <c r="M137" s="727"/>
      <c r="N137" s="727"/>
      <c r="O137" s="727"/>
      <c r="P137" s="727"/>
      <c r="Q137" s="727"/>
      <c r="R137" s="727"/>
    </row>
    <row r="138" spans="1:18" s="700" customFormat="1" ht="14.1" hidden="1" customHeight="1">
      <c r="A138" s="683"/>
      <c r="B138" s="683"/>
      <c r="C138" s="699"/>
      <c r="D138" s="699"/>
      <c r="E138" s="699"/>
      <c r="F138" s="839"/>
      <c r="G138" s="839"/>
      <c r="H138" s="839"/>
      <c r="I138" s="839"/>
      <c r="J138" s="839"/>
      <c r="K138" s="838"/>
      <c r="L138" s="727"/>
      <c r="M138" s="727"/>
      <c r="N138" s="727"/>
      <c r="O138" s="727"/>
      <c r="P138" s="727"/>
      <c r="Q138" s="727"/>
      <c r="R138" s="727"/>
    </row>
    <row r="139" spans="1:18" s="700" customFormat="1" ht="14.1" hidden="1" customHeight="1">
      <c r="A139" s="683"/>
      <c r="B139" s="683" t="s">
        <v>435</v>
      </c>
      <c r="C139" s="699"/>
      <c r="D139" s="699"/>
      <c r="E139" s="699"/>
      <c r="F139" s="839"/>
      <c r="G139" s="839"/>
      <c r="H139" s="839"/>
      <c r="I139" s="839"/>
      <c r="J139" s="839"/>
      <c r="K139" s="838"/>
      <c r="L139" s="727"/>
      <c r="M139" s="727"/>
      <c r="N139" s="727"/>
      <c r="O139" s="727"/>
      <c r="P139" s="727"/>
      <c r="Q139" s="727"/>
      <c r="R139" s="727"/>
    </row>
    <row r="140" spans="1:18" s="700" customFormat="1" ht="14.1" hidden="1" customHeight="1">
      <c r="A140" s="683"/>
      <c r="B140" s="943" t="s">
        <v>25</v>
      </c>
      <c r="C140" s="699"/>
      <c r="D140" s="699"/>
      <c r="E140" s="699"/>
      <c r="F140" s="839"/>
      <c r="G140" s="839"/>
      <c r="H140" s="839">
        <f>ROUND(4765751/Master!$B$23,0)</f>
        <v>4765751</v>
      </c>
      <c r="I140" s="839"/>
      <c r="J140" s="839">
        <f>ROUND(1675218/Master!$B$23,0)-1</f>
        <v>1675217</v>
      </c>
      <c r="K140" s="838">
        <f t="shared" ref="K140:K145" si="1">SUM(F140:J140)</f>
        <v>6440968</v>
      </c>
      <c r="L140" s="727"/>
      <c r="M140" s="727"/>
      <c r="N140" s="727"/>
      <c r="O140" s="727"/>
      <c r="P140" s="727"/>
      <c r="Q140" s="727"/>
      <c r="R140" s="727"/>
    </row>
    <row r="141" spans="1:18" s="700" customFormat="1" ht="14.1" hidden="1" customHeight="1">
      <c r="A141" s="683"/>
      <c r="B141" s="1142" t="s">
        <v>2009</v>
      </c>
      <c r="C141" s="699"/>
      <c r="D141" s="699"/>
      <c r="E141" s="699"/>
      <c r="F141" s="839"/>
      <c r="G141" s="839"/>
      <c r="H141" s="839">
        <f>ROUND(619503/Master!$B$23,0)</f>
        <v>619503</v>
      </c>
      <c r="I141" s="839"/>
      <c r="J141" s="839">
        <f>ROUND(0/Master!$B$23,0)</f>
        <v>0</v>
      </c>
      <c r="K141" s="838">
        <f t="shared" si="1"/>
        <v>619503</v>
      </c>
      <c r="L141" s="727"/>
      <c r="M141" s="727"/>
      <c r="N141" s="727"/>
      <c r="O141" s="727"/>
      <c r="P141" s="727"/>
      <c r="Q141" s="727"/>
      <c r="R141" s="727"/>
    </row>
    <row r="142" spans="1:18" s="700" customFormat="1" ht="14.1" hidden="1" customHeight="1">
      <c r="A142" s="683"/>
      <c r="B142" s="943" t="s">
        <v>46</v>
      </c>
      <c r="C142" s="699"/>
      <c r="D142" s="699"/>
      <c r="E142" s="699"/>
      <c r="F142" s="839"/>
      <c r="G142" s="839"/>
      <c r="H142" s="839">
        <f>ROUND(0/Master!$B$23,0)</f>
        <v>0</v>
      </c>
      <c r="I142" s="839"/>
      <c r="J142" s="839">
        <f>ROUND(1580061/Master!$B$23,0)</f>
        <v>1580061</v>
      </c>
      <c r="K142" s="838">
        <f t="shared" si="1"/>
        <v>1580061</v>
      </c>
      <c r="L142" s="727">
        <f>-587620+25239</f>
        <v>-562381</v>
      </c>
      <c r="M142" s="727"/>
      <c r="N142" s="727"/>
      <c r="O142" s="727"/>
      <c r="P142" s="727"/>
      <c r="Q142" s="727"/>
      <c r="R142" s="727"/>
    </row>
    <row r="143" spans="1:18" s="700" customFormat="1" ht="14.1" hidden="1" customHeight="1">
      <c r="A143" s="683"/>
      <c r="B143" s="1167" t="s">
        <v>2231</v>
      </c>
      <c r="C143" s="699"/>
      <c r="D143" s="699"/>
      <c r="E143" s="699"/>
      <c r="F143" s="839"/>
      <c r="G143" s="839"/>
      <c r="H143" s="839">
        <f>ROUND(0/Master!$B$23,0)</f>
        <v>0</v>
      </c>
      <c r="I143" s="839"/>
      <c r="J143" s="839">
        <f>+BS!G47</f>
        <v>0</v>
      </c>
      <c r="K143" s="838">
        <f t="shared" si="1"/>
        <v>0</v>
      </c>
      <c r="L143" s="727"/>
      <c r="M143" s="727"/>
      <c r="N143" s="727"/>
      <c r="O143" s="727"/>
      <c r="P143" s="727"/>
      <c r="Q143" s="727"/>
      <c r="R143" s="727"/>
    </row>
    <row r="144" spans="1:18" s="700" customFormat="1" ht="14.1" hidden="1" customHeight="1">
      <c r="A144" s="683"/>
      <c r="B144" s="1142" t="s">
        <v>2010</v>
      </c>
      <c r="C144" s="699"/>
      <c r="D144" s="699"/>
      <c r="E144" s="699"/>
      <c r="F144" s="839"/>
      <c r="G144" s="839"/>
      <c r="H144" s="839">
        <f>ROUND(0/Master!$B$23,0)</f>
        <v>0</v>
      </c>
      <c r="I144" s="839"/>
      <c r="J144" s="839">
        <f>ROUND(2264632/Master!$B$23,0)</f>
        <v>2264632</v>
      </c>
      <c r="K144" s="838">
        <f t="shared" si="1"/>
        <v>2264632</v>
      </c>
      <c r="L144" s="727"/>
      <c r="M144" s="727"/>
      <c r="N144" s="727"/>
      <c r="O144" s="727"/>
      <c r="P144" s="727"/>
      <c r="Q144" s="727"/>
      <c r="R144" s="727"/>
    </row>
    <row r="145" spans="1:18" s="700" customFormat="1" ht="14.1" hidden="1" customHeight="1">
      <c r="A145" s="683"/>
      <c r="B145" s="1167" t="s">
        <v>293</v>
      </c>
      <c r="C145" s="699"/>
      <c r="D145" s="699"/>
      <c r="E145" s="699"/>
      <c r="F145" s="838"/>
      <c r="G145" s="838">
        <f>ROUND(0/Master!$B$23,0)</f>
        <v>0</v>
      </c>
      <c r="H145" s="838">
        <f>ROUND(0/Master!$B$23,0)</f>
        <v>0</v>
      </c>
      <c r="I145" s="838"/>
      <c r="J145" s="838">
        <f>ROUND(339340/Master!$B$23,0)</f>
        <v>339340</v>
      </c>
      <c r="K145" s="838">
        <f t="shared" si="1"/>
        <v>339340</v>
      </c>
      <c r="L145" s="727"/>
      <c r="M145" s="727"/>
      <c r="N145" s="727"/>
      <c r="O145" s="727"/>
      <c r="P145" s="727"/>
      <c r="Q145" s="727"/>
      <c r="R145" s="727"/>
    </row>
    <row r="146" spans="1:18" s="700" customFormat="1" ht="6" hidden="1" customHeight="1">
      <c r="A146" s="683"/>
      <c r="B146" s="943"/>
      <c r="C146" s="699"/>
      <c r="D146" s="699"/>
      <c r="E146" s="699"/>
      <c r="F146" s="838"/>
      <c r="G146" s="838"/>
      <c r="H146" s="838"/>
      <c r="I146" s="838"/>
      <c r="J146" s="838"/>
      <c r="K146" s="838"/>
      <c r="L146" s="727"/>
      <c r="M146" s="727"/>
      <c r="N146" s="727"/>
      <c r="O146" s="727"/>
      <c r="P146" s="727"/>
      <c r="Q146" s="727"/>
      <c r="R146" s="727"/>
    </row>
    <row r="147" spans="1:18" s="700" customFormat="1" hidden="1">
      <c r="A147" s="683"/>
      <c r="B147" s="1149" t="s">
        <v>2023</v>
      </c>
      <c r="C147" s="699"/>
      <c r="D147" s="699"/>
      <c r="E147" s="699"/>
      <c r="F147" s="838"/>
      <c r="G147" s="838"/>
      <c r="H147" s="838"/>
      <c r="I147" s="838"/>
      <c r="J147" s="838"/>
      <c r="K147" s="1106"/>
      <c r="L147" s="727"/>
      <c r="M147" s="727"/>
      <c r="N147" s="727"/>
      <c r="O147" s="727"/>
      <c r="P147" s="727"/>
      <c r="Q147" s="727"/>
      <c r="R147" s="727"/>
    </row>
    <row r="148" spans="1:18" s="700" customFormat="1" hidden="1">
      <c r="A148" s="683"/>
      <c r="B148" s="699"/>
      <c r="C148" s="699"/>
      <c r="D148" s="699"/>
      <c r="E148" s="699"/>
      <c r="F148" s="872"/>
      <c r="G148" s="872"/>
      <c r="H148" s="872"/>
      <c r="I148" s="872"/>
      <c r="J148" s="872"/>
      <c r="K148" s="872"/>
      <c r="L148" s="727"/>
      <c r="M148" s="727"/>
      <c r="N148" s="727"/>
      <c r="O148" s="727"/>
      <c r="P148" s="727"/>
      <c r="Q148" s="727"/>
      <c r="R148" s="727"/>
    </row>
    <row r="149" spans="1:18" s="700" customFormat="1" hidden="1">
      <c r="A149" s="683"/>
      <c r="B149" s="699"/>
      <c r="C149" s="699"/>
      <c r="D149" s="699"/>
      <c r="E149" s="699"/>
      <c r="F149" s="872"/>
      <c r="G149" s="872"/>
      <c r="H149" s="872"/>
      <c r="I149" s="872"/>
      <c r="J149" s="872"/>
      <c r="K149" s="872"/>
      <c r="L149" s="727"/>
      <c r="M149" s="727"/>
      <c r="N149" s="727"/>
      <c r="O149" s="727"/>
      <c r="P149" s="727"/>
      <c r="Q149" s="727"/>
      <c r="R149" s="727"/>
    </row>
    <row r="150" spans="1:18" s="700" customFormat="1" hidden="1">
      <c r="A150" s="681"/>
      <c r="B150" s="1159" t="s">
        <v>1802</v>
      </c>
      <c r="C150" s="699"/>
      <c r="D150" s="699"/>
      <c r="E150" s="699"/>
      <c r="F150" s="699"/>
      <c r="G150" s="699"/>
      <c r="H150" s="699"/>
      <c r="I150" s="699"/>
      <c r="J150" s="699"/>
      <c r="K150" s="699"/>
      <c r="L150" s="727"/>
      <c r="M150" s="727"/>
      <c r="N150" s="727"/>
      <c r="O150" s="727"/>
      <c r="P150" s="727"/>
      <c r="Q150" s="727"/>
      <c r="R150" s="727"/>
    </row>
    <row r="151" spans="1:18" s="700" customFormat="1" ht="5.0999999999999996" hidden="1" customHeight="1">
      <c r="A151" s="683"/>
      <c r="B151" s="699"/>
      <c r="C151" s="699"/>
      <c r="D151" s="699"/>
      <c r="E151" s="699"/>
      <c r="F151" s="699"/>
      <c r="G151" s="699"/>
      <c r="H151" s="699"/>
      <c r="I151" s="699"/>
      <c r="J151" s="699"/>
      <c r="K151" s="699"/>
      <c r="L151" s="727"/>
      <c r="M151" s="727"/>
      <c r="N151" s="727"/>
      <c r="O151" s="727"/>
      <c r="P151" s="727"/>
      <c r="Q151" s="727"/>
      <c r="R151" s="727"/>
    </row>
    <row r="152" spans="1:18" s="700" customFormat="1" ht="56.25" hidden="1" customHeight="1">
      <c r="A152" s="683"/>
      <c r="B152" s="1878"/>
      <c r="C152" s="1878"/>
      <c r="D152" s="1878"/>
      <c r="E152" s="1878"/>
      <c r="F152" s="1881"/>
      <c r="G152" s="1881"/>
      <c r="H152" s="1881" t="str">
        <f>+H110</f>
        <v>Ultimate holding company</v>
      </c>
      <c r="I152" s="858"/>
      <c r="J152" s="1881" t="str">
        <f>+J110</f>
        <v>Fellow subsidiaries/ Company over which KMPs having significant influence</v>
      </c>
      <c r="K152" s="1881" t="s">
        <v>173</v>
      </c>
      <c r="L152" s="727"/>
      <c r="M152" s="727"/>
      <c r="N152" s="727"/>
      <c r="O152" s="727"/>
      <c r="P152" s="727"/>
      <c r="Q152" s="727"/>
      <c r="R152" s="727"/>
    </row>
    <row r="153" spans="1:18" s="700" customFormat="1" ht="3.75" hidden="1" customHeight="1">
      <c r="A153" s="683"/>
      <c r="B153" s="1879"/>
      <c r="C153" s="1879"/>
      <c r="D153" s="1879"/>
      <c r="E153" s="1879"/>
      <c r="F153" s="1882"/>
      <c r="G153" s="1882"/>
      <c r="H153" s="1882"/>
      <c r="I153" s="1055"/>
      <c r="J153" s="1882"/>
      <c r="K153" s="1882"/>
      <c r="L153" s="727"/>
      <c r="M153" s="727"/>
      <c r="N153" s="727"/>
      <c r="O153" s="727"/>
      <c r="P153" s="727"/>
      <c r="Q153" s="727"/>
      <c r="R153" s="727"/>
    </row>
    <row r="154" spans="1:18" s="700" customFormat="1" ht="5.0999999999999996" hidden="1" customHeight="1">
      <c r="A154" s="683"/>
      <c r="B154" s="685"/>
      <c r="C154" s="685"/>
      <c r="D154" s="685"/>
      <c r="E154" s="685"/>
      <c r="F154" s="858"/>
      <c r="G154" s="858"/>
      <c r="H154" s="858"/>
      <c r="I154" s="858"/>
      <c r="J154" s="858"/>
      <c r="K154" s="858"/>
      <c r="L154" s="727"/>
      <c r="M154" s="727"/>
      <c r="N154" s="727"/>
      <c r="O154" s="727"/>
      <c r="P154" s="727"/>
      <c r="Q154" s="727"/>
      <c r="R154" s="727"/>
    </row>
    <row r="155" spans="1:18" s="700" customFormat="1" ht="14.1" hidden="1" customHeight="1">
      <c r="A155" s="683"/>
      <c r="B155" s="944" t="s">
        <v>416</v>
      </c>
      <c r="C155" s="699"/>
      <c r="D155" s="905"/>
      <c r="E155" s="905"/>
      <c r="F155" s="942"/>
      <c r="G155" s="942"/>
      <c r="H155" s="942"/>
      <c r="I155" s="942"/>
      <c r="J155" s="942"/>
      <c r="K155" s="1105"/>
      <c r="L155" s="727"/>
      <c r="M155" s="727"/>
      <c r="N155" s="727"/>
      <c r="O155" s="727"/>
      <c r="P155" s="727"/>
      <c r="Q155" s="727"/>
      <c r="R155" s="727"/>
    </row>
    <row r="156" spans="1:18" s="700" customFormat="1" ht="14.1" hidden="1" customHeight="1">
      <c r="A156" s="683"/>
      <c r="B156" s="683" t="s">
        <v>417</v>
      </c>
      <c r="C156" s="699"/>
      <c r="D156" s="699"/>
      <c r="E156" s="699"/>
      <c r="F156" s="777"/>
      <c r="G156" s="777"/>
      <c r="H156" s="777"/>
      <c r="I156" s="777"/>
      <c r="J156" s="777"/>
      <c r="K156" s="1108"/>
      <c r="L156" s="727"/>
      <c r="M156" s="727"/>
      <c r="N156" s="727"/>
      <c r="O156" s="727"/>
      <c r="P156" s="727"/>
      <c r="Q156" s="727"/>
      <c r="R156" s="727"/>
    </row>
    <row r="157" spans="1:18" s="700" customFormat="1" ht="14.1" hidden="1" customHeight="1">
      <c r="A157" s="683"/>
      <c r="B157" s="1167" t="s">
        <v>2059</v>
      </c>
      <c r="C157" s="699"/>
      <c r="D157" s="699"/>
      <c r="E157" s="699"/>
      <c r="F157" s="839"/>
      <c r="G157" s="839"/>
      <c r="H157" s="839">
        <f>ROUND(15829398/Master!$B$23,0)</f>
        <v>15829398</v>
      </c>
      <c r="I157" s="839"/>
      <c r="J157" s="839">
        <f>ROUND((1792300+260104)/Master!$B$23,0)</f>
        <v>2052404</v>
      </c>
      <c r="K157" s="838">
        <f>SUM(F157:J157)</f>
        <v>17881802</v>
      </c>
      <c r="L157" s="727"/>
      <c r="M157" s="727"/>
      <c r="N157" s="727"/>
      <c r="O157" s="727"/>
      <c r="P157" s="727"/>
      <c r="Q157" s="727"/>
      <c r="R157" s="727"/>
    </row>
    <row r="158" spans="1:18" s="700" customFormat="1" ht="14.1" hidden="1" customHeight="1">
      <c r="A158" s="683"/>
      <c r="B158" s="683" t="s">
        <v>419</v>
      </c>
      <c r="C158" s="699"/>
      <c r="D158" s="699"/>
      <c r="E158" s="699"/>
      <c r="F158" s="839"/>
      <c r="G158" s="839"/>
      <c r="H158" s="839"/>
      <c r="I158" s="839"/>
      <c r="J158" s="839"/>
      <c r="K158" s="838"/>
      <c r="L158" s="727"/>
      <c r="M158" s="727"/>
      <c r="N158" s="727"/>
      <c r="O158" s="727"/>
      <c r="P158" s="727"/>
      <c r="Q158" s="727"/>
      <c r="R158" s="727"/>
    </row>
    <row r="159" spans="1:18" s="700" customFormat="1" ht="14.1" hidden="1" customHeight="1">
      <c r="A159" s="683"/>
      <c r="B159" s="1167" t="s">
        <v>2060</v>
      </c>
      <c r="C159" s="699"/>
      <c r="D159" s="699"/>
      <c r="E159" s="699"/>
      <c r="F159" s="839"/>
      <c r="G159" s="839"/>
      <c r="H159" s="839">
        <f>ROUND(0/Master!$B$23,0)</f>
        <v>0</v>
      </c>
      <c r="I159" s="839"/>
      <c r="J159" s="839">
        <f>ROUND(3093716/Master!$B$23,0)</f>
        <v>3093716</v>
      </c>
      <c r="K159" s="838">
        <f>SUM(F159:J159)</f>
        <v>3093716</v>
      </c>
      <c r="L159" s="727"/>
      <c r="M159" s="727"/>
      <c r="N159" s="727"/>
      <c r="O159" s="727"/>
      <c r="P159" s="727"/>
      <c r="Q159" s="727"/>
      <c r="R159" s="727"/>
    </row>
    <row r="160" spans="1:18" s="700" customFormat="1" ht="14.1" hidden="1" customHeight="1">
      <c r="A160" s="683"/>
      <c r="B160" s="943" t="s">
        <v>306</v>
      </c>
      <c r="C160" s="699"/>
      <c r="D160" s="699"/>
      <c r="E160" s="699"/>
      <c r="F160" s="839"/>
      <c r="G160" s="839"/>
      <c r="H160" s="839">
        <f>ROUND(0/Master!$B$23,0)</f>
        <v>0</v>
      </c>
      <c r="I160" s="839"/>
      <c r="J160" s="839">
        <f>ROUND(0/Master!$B$23,0)</f>
        <v>0</v>
      </c>
      <c r="K160" s="838">
        <f>SUM(F160:J160)</f>
        <v>0</v>
      </c>
      <c r="L160" s="727"/>
      <c r="M160" s="727"/>
      <c r="N160" s="727"/>
      <c r="O160" s="727"/>
      <c r="P160" s="727"/>
      <c r="Q160" s="727"/>
      <c r="R160" s="727"/>
    </row>
    <row r="161" spans="1:18" s="700" customFormat="1" ht="14.1" hidden="1" customHeight="1">
      <c r="A161" s="683"/>
      <c r="B161" s="1167" t="s">
        <v>307</v>
      </c>
      <c r="C161" s="699"/>
      <c r="D161" s="699"/>
      <c r="E161" s="699"/>
      <c r="F161" s="839"/>
      <c r="G161" s="839"/>
      <c r="H161" s="839">
        <f>ROUND(0/Master!$B$23,0)</f>
        <v>0</v>
      </c>
      <c r="I161" s="839"/>
      <c r="J161" s="839">
        <f>ROUND(2848154/Master!$B$23,0)</f>
        <v>2848154</v>
      </c>
      <c r="K161" s="838">
        <f>SUM(F161:J161)</f>
        <v>2848154</v>
      </c>
      <c r="L161" s="727"/>
      <c r="M161" s="727"/>
      <c r="N161" s="727"/>
      <c r="O161" s="727"/>
      <c r="P161" s="727"/>
      <c r="Q161" s="727"/>
      <c r="R161" s="727"/>
    </row>
    <row r="162" spans="1:18" s="700" customFormat="1" ht="14.1" hidden="1" customHeight="1">
      <c r="A162" s="683"/>
      <c r="B162" s="683" t="s">
        <v>422</v>
      </c>
      <c r="C162" s="699"/>
      <c r="D162" s="699"/>
      <c r="E162" s="699"/>
      <c r="F162" s="839"/>
      <c r="G162" s="839"/>
      <c r="H162" s="839"/>
      <c r="I162" s="839"/>
      <c r="J162" s="839"/>
      <c r="K162" s="838"/>
      <c r="L162" s="727"/>
      <c r="M162" s="727"/>
      <c r="N162" s="727"/>
      <c r="O162" s="727"/>
      <c r="P162" s="727"/>
      <c r="Q162" s="727"/>
      <c r="R162" s="727"/>
    </row>
    <row r="163" spans="1:18" s="700" customFormat="1" ht="14.1" hidden="1" customHeight="1">
      <c r="A163" s="683"/>
      <c r="B163" s="943" t="s">
        <v>423</v>
      </c>
      <c r="C163" s="699"/>
      <c r="D163" s="699"/>
      <c r="E163" s="699"/>
      <c r="F163" s="839"/>
      <c r="G163" s="839"/>
      <c r="H163" s="839">
        <f>ROUND(525431/Master!$B$23,0)</f>
        <v>525431</v>
      </c>
      <c r="I163" s="839"/>
      <c r="J163" s="839">
        <f>ROUND(0/Master!$B$23,0)</f>
        <v>0</v>
      </c>
      <c r="K163" s="838">
        <f>SUM(F163:J163)</f>
        <v>525431</v>
      </c>
      <c r="L163" s="727"/>
      <c r="M163" s="727"/>
      <c r="N163" s="727"/>
      <c r="O163" s="727"/>
      <c r="P163" s="727"/>
      <c r="Q163" s="727"/>
      <c r="R163" s="727"/>
    </row>
    <row r="164" spans="1:18" s="700" customFormat="1" ht="14.1" hidden="1" customHeight="1">
      <c r="A164" s="683"/>
      <c r="B164" s="943" t="s">
        <v>424</v>
      </c>
      <c r="C164" s="699"/>
      <c r="D164" s="699"/>
      <c r="E164" s="699"/>
      <c r="F164" s="839"/>
      <c r="G164" s="839"/>
      <c r="H164" s="839">
        <f>ROUND(172494/Master!$B$23,0)</f>
        <v>172494</v>
      </c>
      <c r="I164" s="839"/>
      <c r="J164" s="839">
        <f>ROUND((3917632+51508+514102-3093716)/Master!$B$23,0)</f>
        <v>1389526</v>
      </c>
      <c r="K164" s="838">
        <f>SUM(F164:J164)</f>
        <v>1562020</v>
      </c>
      <c r="L164" s="727"/>
      <c r="M164" s="727"/>
      <c r="N164" s="727"/>
      <c r="O164" s="727"/>
      <c r="P164" s="727"/>
      <c r="Q164" s="727"/>
      <c r="R164" s="727"/>
    </row>
    <row r="165" spans="1:18" s="700" customFormat="1" ht="14.1" hidden="1" customHeight="1">
      <c r="A165" s="683"/>
      <c r="B165" s="943" t="s">
        <v>300</v>
      </c>
      <c r="C165" s="699"/>
      <c r="D165" s="699"/>
      <c r="E165" s="699"/>
      <c r="F165" s="839"/>
      <c r="G165" s="839"/>
      <c r="H165" s="839">
        <f>ROUND(0/Master!$B$23,0)</f>
        <v>0</v>
      </c>
      <c r="I165" s="839"/>
      <c r="J165" s="839">
        <f>ROUND(0/Master!$B$23,0)</f>
        <v>0</v>
      </c>
      <c r="K165" s="838">
        <f>SUM(F165:J165)</f>
        <v>0</v>
      </c>
      <c r="L165" s="727"/>
      <c r="M165" s="727"/>
      <c r="N165" s="727"/>
      <c r="O165" s="727"/>
      <c r="P165" s="727"/>
      <c r="Q165" s="727"/>
      <c r="R165" s="727"/>
    </row>
    <row r="166" spans="1:18" s="700" customFormat="1" ht="14.1" hidden="1" customHeight="1">
      <c r="A166" s="683"/>
      <c r="B166" s="943" t="s">
        <v>425</v>
      </c>
      <c r="C166" s="699"/>
      <c r="D166" s="699"/>
      <c r="E166" s="699"/>
      <c r="F166" s="839"/>
      <c r="G166" s="839"/>
      <c r="H166" s="839">
        <f>ROUND(0/Master!$B$23,0)</f>
        <v>0</v>
      </c>
      <c r="I166" s="839"/>
      <c r="J166" s="839">
        <f>ROUND(0/Master!$B$23,0)</f>
        <v>0</v>
      </c>
      <c r="K166" s="838">
        <f>SUM(F166:J166)</f>
        <v>0</v>
      </c>
      <c r="L166" s="727"/>
      <c r="M166" s="727"/>
      <c r="N166" s="727"/>
      <c r="O166" s="727"/>
      <c r="P166" s="727"/>
      <c r="Q166" s="727"/>
      <c r="R166" s="727"/>
    </row>
    <row r="167" spans="1:18" s="700" customFormat="1" ht="14.1" hidden="1" customHeight="1">
      <c r="A167" s="683"/>
      <c r="B167" s="683" t="s">
        <v>2012</v>
      </c>
      <c r="C167" s="699"/>
      <c r="D167" s="699"/>
      <c r="E167" s="699"/>
      <c r="F167" s="839"/>
      <c r="G167" s="839"/>
      <c r="H167" s="839"/>
      <c r="I167" s="839"/>
      <c r="J167" s="839"/>
      <c r="K167" s="838"/>
      <c r="L167" s="727"/>
      <c r="M167" s="727"/>
      <c r="N167" s="727"/>
      <c r="O167" s="727"/>
      <c r="P167" s="727"/>
      <c r="Q167" s="727"/>
      <c r="R167" s="727"/>
    </row>
    <row r="168" spans="1:18" s="700" customFormat="1" ht="14.1" hidden="1" customHeight="1">
      <c r="A168" s="683"/>
      <c r="B168" s="943" t="s">
        <v>426</v>
      </c>
      <c r="C168" s="699"/>
      <c r="D168" s="699"/>
      <c r="E168" s="699"/>
      <c r="F168" s="839"/>
      <c r="G168" s="839"/>
      <c r="H168" s="839">
        <f>ROUND(0/Master!$B$23,0)</f>
        <v>0</v>
      </c>
      <c r="I168" s="839"/>
      <c r="J168" s="839">
        <f>ROUND(0/Master!$B$23,0)</f>
        <v>0</v>
      </c>
      <c r="K168" s="838">
        <f t="shared" ref="K168:K181" si="2">SUM(F168:J168)</f>
        <v>0</v>
      </c>
      <c r="L168" s="727"/>
      <c r="M168" s="727"/>
      <c r="N168" s="727"/>
      <c r="O168" s="727"/>
      <c r="P168" s="727"/>
      <c r="Q168" s="727"/>
      <c r="R168" s="727"/>
    </row>
    <row r="169" spans="1:18" s="700" customFormat="1" ht="14.1" hidden="1" customHeight="1">
      <c r="A169" s="683"/>
      <c r="B169" s="943" t="s">
        <v>427</v>
      </c>
      <c r="C169" s="943"/>
      <c r="D169" s="699"/>
      <c r="E169" s="699"/>
      <c r="F169" s="839"/>
      <c r="G169" s="839"/>
      <c r="H169" s="839">
        <f>ROUND(0/Master!$B$23,0)</f>
        <v>0</v>
      </c>
      <c r="I169" s="839"/>
      <c r="J169" s="839">
        <f>ROUND(0/Master!$B$23,0)</f>
        <v>0</v>
      </c>
      <c r="K169" s="838">
        <f t="shared" si="2"/>
        <v>0</v>
      </c>
      <c r="L169" s="727"/>
      <c r="M169" s="727"/>
      <c r="N169" s="727"/>
      <c r="O169" s="727"/>
      <c r="P169" s="727"/>
      <c r="Q169" s="727"/>
      <c r="R169" s="727"/>
    </row>
    <row r="170" spans="1:18" s="700" customFormat="1" ht="14.1" hidden="1" customHeight="1">
      <c r="A170" s="683"/>
      <c r="B170" s="943" t="s">
        <v>428</v>
      </c>
      <c r="C170" s="943"/>
      <c r="D170" s="699"/>
      <c r="E170" s="699"/>
      <c r="F170" s="839"/>
      <c r="G170" s="839"/>
      <c r="H170" s="839">
        <f>ROUND(0/Master!$B$23,0)</f>
        <v>0</v>
      </c>
      <c r="I170" s="839"/>
      <c r="J170" s="839">
        <f>ROUND(0/Master!$B$23,0)</f>
        <v>0</v>
      </c>
      <c r="K170" s="838">
        <f t="shared" si="2"/>
        <v>0</v>
      </c>
      <c r="L170" s="727"/>
      <c r="M170" s="727"/>
      <c r="N170" s="727"/>
      <c r="O170" s="727"/>
      <c r="P170" s="727"/>
      <c r="Q170" s="727"/>
      <c r="R170" s="727"/>
    </row>
    <row r="171" spans="1:18" s="700" customFormat="1" ht="14.1" hidden="1" customHeight="1">
      <c r="A171" s="683"/>
      <c r="B171" s="943" t="s">
        <v>429</v>
      </c>
      <c r="C171" s="943"/>
      <c r="D171" s="699"/>
      <c r="E171" s="699"/>
      <c r="F171" s="839"/>
      <c r="G171" s="839"/>
      <c r="H171" s="839">
        <f>ROUND(0/Master!$B$23,0)</f>
        <v>0</v>
      </c>
      <c r="I171" s="839"/>
      <c r="J171" s="839">
        <f>ROUND(0/Master!$B$23,0)</f>
        <v>0</v>
      </c>
      <c r="K171" s="838">
        <f t="shared" si="2"/>
        <v>0</v>
      </c>
      <c r="L171" s="727"/>
      <c r="M171" s="727"/>
      <c r="N171" s="727"/>
      <c r="O171" s="727"/>
      <c r="P171" s="727"/>
      <c r="Q171" s="727"/>
      <c r="R171" s="727"/>
    </row>
    <row r="172" spans="1:18" s="700" customFormat="1" ht="14.1" hidden="1" customHeight="1">
      <c r="A172" s="683"/>
      <c r="B172" s="943" t="s">
        <v>430</v>
      </c>
      <c r="C172" s="943"/>
      <c r="D172" s="699"/>
      <c r="E172" s="699"/>
      <c r="F172" s="839"/>
      <c r="G172" s="839"/>
      <c r="H172" s="839">
        <f>ROUND(0/Master!$B$23,0)</f>
        <v>0</v>
      </c>
      <c r="I172" s="839"/>
      <c r="J172" s="839">
        <f>ROUND(0/Master!$B$23,0)</f>
        <v>0</v>
      </c>
      <c r="K172" s="838">
        <f t="shared" si="2"/>
        <v>0</v>
      </c>
      <c r="L172" s="727"/>
      <c r="M172" s="727"/>
      <c r="N172" s="727"/>
      <c r="O172" s="727"/>
      <c r="P172" s="727"/>
      <c r="Q172" s="727"/>
      <c r="R172" s="727"/>
    </row>
    <row r="173" spans="1:18" s="700" customFormat="1" ht="14.1" hidden="1" customHeight="1">
      <c r="A173" s="683"/>
      <c r="B173" s="1142" t="s">
        <v>2036</v>
      </c>
      <c r="C173" s="943"/>
      <c r="D173" s="699"/>
      <c r="E173" s="699"/>
      <c r="F173" s="839"/>
      <c r="G173" s="839"/>
      <c r="H173" s="839">
        <v>0</v>
      </c>
      <c r="I173" s="839"/>
      <c r="J173" s="839">
        <f>ROUND(591391/Master!$B$23,0)</f>
        <v>591391</v>
      </c>
      <c r="K173" s="838">
        <f t="shared" si="2"/>
        <v>591391</v>
      </c>
      <c r="L173" s="727"/>
      <c r="M173" s="727"/>
      <c r="N173" s="727"/>
      <c r="O173" s="727"/>
      <c r="P173" s="727"/>
      <c r="Q173" s="727"/>
      <c r="R173" s="727"/>
    </row>
    <row r="174" spans="1:18" s="700" customFormat="1" ht="14.1" hidden="1" customHeight="1">
      <c r="A174" s="683"/>
      <c r="B174" s="943" t="s">
        <v>431</v>
      </c>
      <c r="C174" s="943"/>
      <c r="D174" s="699"/>
      <c r="E174" s="699"/>
      <c r="F174" s="839"/>
      <c r="G174" s="839"/>
      <c r="H174" s="839">
        <f>ROUND(0/Master!$B$23,0)</f>
        <v>0</v>
      </c>
      <c r="I174" s="839"/>
      <c r="J174" s="839">
        <f>ROUND(0/Master!$B$23,0)</f>
        <v>0</v>
      </c>
      <c r="K174" s="838">
        <f t="shared" si="2"/>
        <v>0</v>
      </c>
      <c r="L174" s="727"/>
      <c r="M174" s="727"/>
      <c r="N174" s="727"/>
      <c r="O174" s="727"/>
      <c r="P174" s="727"/>
      <c r="Q174" s="727"/>
      <c r="R174" s="727"/>
    </row>
    <row r="175" spans="1:18" s="700" customFormat="1" hidden="1">
      <c r="A175" s="683"/>
      <c r="B175" s="943" t="s">
        <v>65</v>
      </c>
      <c r="C175" s="943"/>
      <c r="D175" s="699"/>
      <c r="E175" s="699"/>
      <c r="F175" s="839"/>
      <c r="G175" s="839"/>
      <c r="H175" s="839">
        <v>0</v>
      </c>
      <c r="I175" s="839"/>
      <c r="J175" s="839">
        <f>ROUND(('PL Gr'!$G$377+'PL Gr'!G379)/Master!$B$23,0)-J134</f>
        <v>-3360</v>
      </c>
      <c r="K175" s="838">
        <f t="shared" si="2"/>
        <v>-3360</v>
      </c>
      <c r="L175" s="727"/>
      <c r="M175" s="727"/>
      <c r="N175" s="727"/>
      <c r="O175" s="727"/>
      <c r="P175" s="727"/>
      <c r="Q175" s="727"/>
      <c r="R175" s="727"/>
    </row>
    <row r="176" spans="1:18" s="700" customFormat="1" hidden="1">
      <c r="A176" s="683"/>
      <c r="B176" s="1142" t="s">
        <v>2031</v>
      </c>
      <c r="C176" s="943"/>
      <c r="D176" s="699"/>
      <c r="E176" s="699"/>
      <c r="F176" s="839"/>
      <c r="G176" s="839"/>
      <c r="H176" s="839">
        <v>0</v>
      </c>
      <c r="I176" s="839"/>
      <c r="J176" s="1150">
        <f>ROUND(3360/Master!$B$23,0)</f>
        <v>3360</v>
      </c>
      <c r="K176" s="1153">
        <f t="shared" si="2"/>
        <v>3360</v>
      </c>
      <c r="L176" s="727"/>
      <c r="M176" s="727"/>
      <c r="N176" s="727"/>
      <c r="O176" s="727"/>
      <c r="P176" s="727"/>
      <c r="Q176" s="727"/>
      <c r="R176" s="727"/>
    </row>
    <row r="177" spans="1:18" s="700" customFormat="1" hidden="1">
      <c r="A177" s="683"/>
      <c r="B177" s="943" t="s">
        <v>433</v>
      </c>
      <c r="C177" s="943"/>
      <c r="D177" s="699"/>
      <c r="E177" s="699"/>
      <c r="F177" s="839"/>
      <c r="G177" s="839"/>
      <c r="H177" s="839">
        <f>ROUND(0/Master!$B$23,0)</f>
        <v>0</v>
      </c>
      <c r="I177" s="839"/>
      <c r="J177" s="839">
        <f>ROUND(0/Master!$B$23,0)</f>
        <v>0</v>
      </c>
      <c r="K177" s="838">
        <f t="shared" si="2"/>
        <v>0</v>
      </c>
      <c r="L177" s="727"/>
      <c r="M177" s="727"/>
      <c r="N177" s="727"/>
      <c r="O177" s="727"/>
      <c r="P177" s="727"/>
      <c r="Q177" s="727"/>
      <c r="R177" s="727"/>
    </row>
    <row r="178" spans="1:18" s="700" customFormat="1" hidden="1">
      <c r="A178" s="683"/>
      <c r="B178" s="943" t="s">
        <v>439</v>
      </c>
      <c r="C178" s="943"/>
      <c r="D178" s="699"/>
      <c r="E178" s="699"/>
      <c r="F178" s="839"/>
      <c r="G178" s="839"/>
      <c r="H178" s="839">
        <f>ROUND(0/Master!$B$23,0)</f>
        <v>0</v>
      </c>
      <c r="I178" s="839"/>
      <c r="J178" s="839">
        <f>ROUND(0/Master!$B$23,0)</f>
        <v>0</v>
      </c>
      <c r="K178" s="838">
        <f t="shared" si="2"/>
        <v>0</v>
      </c>
      <c r="L178" s="727"/>
      <c r="M178" s="727"/>
      <c r="N178" s="727"/>
      <c r="O178" s="727"/>
      <c r="P178" s="727"/>
      <c r="Q178" s="727"/>
      <c r="R178" s="727"/>
    </row>
    <row r="179" spans="1:18" s="700" customFormat="1" ht="14.1" hidden="1" customHeight="1">
      <c r="A179" s="683"/>
      <c r="B179" s="683" t="s">
        <v>440</v>
      </c>
      <c r="C179" s="699"/>
      <c r="D179" s="699"/>
      <c r="E179" s="699"/>
      <c r="F179" s="839"/>
      <c r="G179" s="839"/>
      <c r="H179" s="839">
        <f>ROUND(0/Master!$B$23,0)</f>
        <v>0</v>
      </c>
      <c r="I179" s="839"/>
      <c r="J179" s="839">
        <f>ROUND(0/Master!$B$23,0)</f>
        <v>0</v>
      </c>
      <c r="K179" s="838">
        <f t="shared" si="2"/>
        <v>0</v>
      </c>
      <c r="L179" s="727"/>
      <c r="M179" s="727"/>
      <c r="N179" s="727"/>
      <c r="O179" s="727"/>
      <c r="P179" s="727"/>
      <c r="Q179" s="727"/>
      <c r="R179" s="727"/>
    </row>
    <row r="180" spans="1:18" s="700" customFormat="1" ht="14.1" hidden="1" customHeight="1">
      <c r="A180" s="683"/>
      <c r="B180" s="683" t="s">
        <v>441</v>
      </c>
      <c r="C180" s="699"/>
      <c r="D180" s="699"/>
      <c r="E180" s="699"/>
      <c r="F180" s="839"/>
      <c r="G180" s="839"/>
      <c r="H180" s="839">
        <f>ROUND(0/Master!$B$23,0)</f>
        <v>0</v>
      </c>
      <c r="I180" s="839"/>
      <c r="J180" s="839">
        <f>ROUND(0/Master!$B$23,0)</f>
        <v>0</v>
      </c>
      <c r="K180" s="838">
        <f t="shared" si="2"/>
        <v>0</v>
      </c>
      <c r="L180" s="727"/>
      <c r="M180" s="727"/>
      <c r="N180" s="727"/>
      <c r="O180" s="727"/>
      <c r="P180" s="727"/>
      <c r="Q180" s="727"/>
      <c r="R180" s="727"/>
    </row>
    <row r="181" spans="1:18" s="700" customFormat="1" ht="14.1" hidden="1" customHeight="1">
      <c r="A181" s="683"/>
      <c r="B181" s="683" t="s">
        <v>434</v>
      </c>
      <c r="C181" s="699"/>
      <c r="D181" s="699"/>
      <c r="E181" s="699"/>
      <c r="F181" s="839"/>
      <c r="G181" s="839"/>
      <c r="H181" s="839">
        <f>ROUND(0/Master!$B$23,0)</f>
        <v>0</v>
      </c>
      <c r="I181" s="839"/>
      <c r="J181" s="839">
        <f>ROUND(0/Master!$B$23,0)</f>
        <v>0</v>
      </c>
      <c r="K181" s="838">
        <f t="shared" si="2"/>
        <v>0</v>
      </c>
      <c r="L181" s="727"/>
      <c r="M181" s="727"/>
      <c r="N181" s="727"/>
      <c r="O181" s="727"/>
      <c r="P181" s="727"/>
      <c r="Q181" s="727"/>
      <c r="R181" s="727"/>
    </row>
    <row r="182" spans="1:18" s="700" customFormat="1" ht="14.1" hidden="1" customHeight="1">
      <c r="A182" s="683"/>
      <c r="B182" s="683"/>
      <c r="C182" s="699"/>
      <c r="D182" s="699"/>
      <c r="E182" s="699"/>
      <c r="F182" s="839"/>
      <c r="G182" s="839"/>
      <c r="H182" s="839"/>
      <c r="I182" s="839"/>
      <c r="J182" s="839"/>
      <c r="K182" s="838"/>
      <c r="L182" s="727"/>
      <c r="M182" s="727"/>
      <c r="N182" s="727"/>
      <c r="O182" s="727"/>
      <c r="P182" s="727"/>
      <c r="Q182" s="727"/>
      <c r="R182" s="727"/>
    </row>
    <row r="183" spans="1:18" ht="14.1" hidden="1" customHeight="1">
      <c r="B183" s="681" t="s">
        <v>435</v>
      </c>
      <c r="F183" s="839"/>
      <c r="G183" s="839"/>
      <c r="H183" s="839"/>
      <c r="I183" s="839"/>
      <c r="J183" s="839"/>
      <c r="K183" s="838"/>
      <c r="L183" s="727"/>
      <c r="M183" s="727"/>
      <c r="N183" s="727"/>
      <c r="O183" s="727"/>
      <c r="P183" s="727"/>
      <c r="Q183" s="727"/>
      <c r="R183" s="727"/>
    </row>
    <row r="184" spans="1:18" ht="14.1" hidden="1" customHeight="1">
      <c r="B184" s="943" t="s">
        <v>25</v>
      </c>
      <c r="F184" s="839"/>
      <c r="G184" s="839"/>
      <c r="H184" s="839">
        <f>ROUND((15587723-7)/Master!$B$23,0)</f>
        <v>15587716</v>
      </c>
      <c r="I184" s="839"/>
      <c r="J184" s="839">
        <f>ROUND((394027+260267)/Master!$B$23,0)-1</f>
        <v>654293</v>
      </c>
      <c r="K184" s="838">
        <f t="shared" ref="K184:K189" si="3">SUM(F184:J184)</f>
        <v>16242009</v>
      </c>
      <c r="L184" s="727"/>
      <c r="M184" s="727"/>
      <c r="N184" s="727"/>
      <c r="O184" s="727"/>
      <c r="P184" s="727"/>
      <c r="Q184" s="727"/>
      <c r="R184" s="727"/>
    </row>
    <row r="185" spans="1:18" ht="14.1" hidden="1" customHeight="1">
      <c r="B185" s="1142" t="s">
        <v>2009</v>
      </c>
      <c r="F185" s="839"/>
      <c r="G185" s="839"/>
      <c r="H185" s="839">
        <f>ROUND((515393+587620-25239)/Master!$B$23,0)</f>
        <v>1077774</v>
      </c>
      <c r="I185" s="839"/>
      <c r="J185" s="839">
        <f>ROUND(0/Master!$B$23,0)</f>
        <v>0</v>
      </c>
      <c r="K185" s="838">
        <f t="shared" si="3"/>
        <v>1077774</v>
      </c>
      <c r="L185" s="727"/>
      <c r="M185" s="727"/>
      <c r="N185" s="727"/>
      <c r="O185" s="727"/>
      <c r="P185" s="727"/>
      <c r="Q185" s="727"/>
      <c r="R185" s="727"/>
    </row>
    <row r="186" spans="1:18" ht="14.1" hidden="1" customHeight="1">
      <c r="B186" s="943" t="s">
        <v>46</v>
      </c>
      <c r="F186" s="839"/>
      <c r="G186" s="839"/>
      <c r="H186" s="839">
        <f>ROUND(0/Master!$B$23,0)</f>
        <v>0</v>
      </c>
      <c r="I186" s="839"/>
      <c r="J186" s="839">
        <f>ROUND((1260564+611330+948238)/Master!$B$23,0)</f>
        <v>2820132</v>
      </c>
      <c r="K186" s="838">
        <f t="shared" si="3"/>
        <v>2820132</v>
      </c>
      <c r="L186" s="727"/>
      <c r="M186" s="727"/>
      <c r="N186" s="727"/>
      <c r="O186" s="727"/>
      <c r="P186" s="727"/>
      <c r="Q186" s="727"/>
      <c r="R186" s="727"/>
    </row>
    <row r="187" spans="1:18" ht="14.1" hidden="1" customHeight="1">
      <c r="B187" s="1167" t="s">
        <v>39</v>
      </c>
      <c r="F187" s="839"/>
      <c r="G187" s="839"/>
      <c r="H187" s="839">
        <f>ROUND(0/Master!$B$23,0)</f>
        <v>0</v>
      </c>
      <c r="I187" s="839"/>
      <c r="J187" s="839">
        <f>+BS!I47</f>
        <v>235325157.6183489</v>
      </c>
      <c r="K187" s="838">
        <f t="shared" si="3"/>
        <v>235325157.6183489</v>
      </c>
      <c r="L187" s="727"/>
      <c r="M187" s="727"/>
      <c r="N187" s="727"/>
      <c r="O187" s="727"/>
      <c r="P187" s="727"/>
      <c r="Q187" s="727"/>
      <c r="R187" s="727"/>
    </row>
    <row r="188" spans="1:18" ht="15" hidden="1" customHeight="1">
      <c r="B188" s="1142" t="s">
        <v>2010</v>
      </c>
      <c r="F188" s="839"/>
      <c r="G188" s="839"/>
      <c r="H188" s="839">
        <f>ROUND(0/Master!$B$23,0)</f>
        <v>0</v>
      </c>
      <c r="I188" s="839"/>
      <c r="J188" s="839">
        <f>ROUND(2152800/Master!$B$23,0)-1</f>
        <v>2152799</v>
      </c>
      <c r="K188" s="838">
        <f t="shared" si="3"/>
        <v>2152799</v>
      </c>
      <c r="L188" s="727"/>
      <c r="M188" s="727"/>
      <c r="N188" s="727"/>
      <c r="O188" s="727"/>
      <c r="P188" s="727"/>
      <c r="Q188" s="727"/>
      <c r="R188" s="727"/>
    </row>
    <row r="189" spans="1:18" ht="14.25" hidden="1" customHeight="1">
      <c r="B189" s="943" t="s">
        <v>438</v>
      </c>
      <c r="F189" s="764"/>
      <c r="G189" s="839">
        <f>ROUND(0/Master!$B$23,0)</f>
        <v>0</v>
      </c>
      <c r="H189" s="839">
        <f>ROUND(0/Master!$B$23,0)</f>
        <v>0</v>
      </c>
      <c r="I189" s="839"/>
      <c r="J189" s="839">
        <f>ROUND(0/Master!$B$23,0)</f>
        <v>0</v>
      </c>
      <c r="K189" s="839">
        <f t="shared" si="3"/>
        <v>0</v>
      </c>
      <c r="L189" s="727"/>
      <c r="M189" s="727"/>
      <c r="N189" s="727"/>
      <c r="O189" s="727"/>
      <c r="P189" s="727"/>
      <c r="Q189" s="727"/>
      <c r="R189" s="727"/>
    </row>
    <row r="190" spans="1:18" ht="14.25" hidden="1" customHeight="1">
      <c r="B190" s="943"/>
      <c r="F190" s="764"/>
      <c r="G190" s="839"/>
      <c r="H190" s="839"/>
      <c r="I190" s="839"/>
      <c r="J190" s="839"/>
      <c r="K190" s="839"/>
      <c r="L190" s="727"/>
      <c r="M190" s="727"/>
      <c r="N190" s="727"/>
      <c r="O190" s="727"/>
      <c r="P190" s="727"/>
      <c r="Q190" s="727"/>
      <c r="R190" s="727"/>
    </row>
    <row r="191" spans="1:18" ht="14.25" hidden="1" customHeight="1">
      <c r="B191" s="1149" t="s">
        <v>2023</v>
      </c>
      <c r="F191" s="764"/>
      <c r="G191" s="839"/>
      <c r="H191" s="839"/>
      <c r="I191" s="839"/>
      <c r="J191" s="839"/>
      <c r="K191" s="839"/>
      <c r="L191" s="727"/>
      <c r="M191" s="727"/>
      <c r="N191" s="727"/>
      <c r="O191" s="727"/>
      <c r="P191" s="727"/>
      <c r="Q191" s="727"/>
      <c r="R191" s="727"/>
    </row>
    <row r="192" spans="1:18" hidden="1">
      <c r="B192" s="681"/>
      <c r="F192" s="872"/>
      <c r="G192" s="872"/>
      <c r="H192" s="872"/>
      <c r="I192" s="872"/>
      <c r="J192" s="872"/>
      <c r="K192" s="872"/>
      <c r="L192" s="727"/>
      <c r="M192" s="727"/>
      <c r="N192" s="727"/>
      <c r="O192" s="727"/>
      <c r="P192" s="727"/>
      <c r="Q192" s="727"/>
      <c r="R192" s="727"/>
    </row>
    <row r="193" spans="1:21" hidden="1">
      <c r="A193" s="683">
        <f>+A7</f>
        <v>28</v>
      </c>
      <c r="B193" s="681" t="s">
        <v>1870</v>
      </c>
      <c r="F193" s="872"/>
      <c r="G193" s="872"/>
      <c r="H193" s="872"/>
      <c r="I193" s="872"/>
      <c r="J193" s="872"/>
      <c r="K193" s="872"/>
      <c r="L193" s="727"/>
      <c r="M193" s="727"/>
      <c r="N193" s="727"/>
      <c r="O193" s="727"/>
      <c r="P193" s="727"/>
      <c r="Q193" s="727"/>
      <c r="R193" s="727"/>
    </row>
    <row r="194" spans="1:21" hidden="1">
      <c r="B194" s="681"/>
      <c r="F194" s="872"/>
      <c r="G194" s="872"/>
      <c r="H194" s="872"/>
      <c r="I194" s="872"/>
      <c r="J194" s="872"/>
      <c r="K194" s="872"/>
      <c r="L194" s="727"/>
      <c r="M194" s="727"/>
      <c r="N194" s="727"/>
      <c r="O194" s="727"/>
      <c r="P194" s="727"/>
      <c r="Q194" s="727"/>
      <c r="R194" s="727"/>
    </row>
    <row r="195" spans="1:21" hidden="1">
      <c r="B195" s="699" t="s">
        <v>442</v>
      </c>
      <c r="C195" s="681"/>
      <c r="L195" s="727"/>
      <c r="M195" s="727"/>
      <c r="N195" s="727"/>
      <c r="O195" s="727"/>
      <c r="P195" s="727"/>
      <c r="Q195" s="727"/>
      <c r="R195" s="727"/>
    </row>
    <row r="196" spans="1:21" ht="5.0999999999999996" hidden="1" customHeight="1">
      <c r="L196" s="727"/>
      <c r="M196" s="727"/>
      <c r="N196" s="727"/>
      <c r="O196" s="727"/>
      <c r="P196" s="727"/>
      <c r="Q196" s="727"/>
      <c r="R196" s="727"/>
    </row>
    <row r="197" spans="1:21" ht="15" hidden="1" customHeight="1">
      <c r="B197" s="889"/>
      <c r="C197" s="889"/>
      <c r="D197" s="889"/>
      <c r="E197" s="889"/>
      <c r="F197" s="713"/>
      <c r="G197" s="713"/>
      <c r="H197" s="713"/>
      <c r="I197" s="713"/>
      <c r="J197" s="684" t="s">
        <v>1872</v>
      </c>
      <c r="K197" s="684" t="s">
        <v>1872</v>
      </c>
      <c r="L197" s="727"/>
      <c r="M197" s="727"/>
      <c r="N197" s="727"/>
      <c r="O197" s="727"/>
      <c r="P197" s="727"/>
      <c r="Q197" s="727"/>
      <c r="R197" s="727"/>
    </row>
    <row r="198" spans="1:21" ht="15" hidden="1" customHeight="1">
      <c r="B198" s="887" t="s">
        <v>82</v>
      </c>
      <c r="C198" s="1104"/>
      <c r="D198" s="1104"/>
      <c r="E198" s="1104"/>
      <c r="F198" s="1109"/>
      <c r="G198" s="1109"/>
      <c r="H198" s="1109"/>
      <c r="I198" s="1109"/>
      <c r="J198" s="760">
        <f>BS!$G$7</f>
        <v>45747</v>
      </c>
      <c r="K198" s="760">
        <f>BS!$I$7</f>
        <v>45382</v>
      </c>
      <c r="L198" s="727"/>
      <c r="M198" s="727"/>
      <c r="N198" s="727"/>
      <c r="O198" s="727"/>
      <c r="P198" s="727"/>
      <c r="Q198" s="727"/>
      <c r="R198" s="727"/>
    </row>
    <row r="199" spans="1:21" ht="5.0999999999999996" hidden="1" customHeight="1">
      <c r="B199" s="685"/>
      <c r="C199" s="685"/>
      <c r="D199" s="685"/>
      <c r="E199" s="685"/>
      <c r="F199" s="940"/>
      <c r="G199" s="940"/>
      <c r="H199" s="940"/>
      <c r="I199" s="940"/>
      <c r="J199" s="735"/>
      <c r="K199" s="736"/>
      <c r="L199" s="727"/>
      <c r="M199" s="727"/>
      <c r="N199" s="727"/>
      <c r="O199" s="727"/>
      <c r="P199" s="727"/>
      <c r="Q199" s="727"/>
      <c r="R199" s="727"/>
    </row>
    <row r="200" spans="1:21" ht="14.1" hidden="1" customHeight="1">
      <c r="B200" s="944" t="s">
        <v>416</v>
      </c>
      <c r="C200" s="944"/>
      <c r="D200" s="905"/>
      <c r="E200" s="905"/>
      <c r="F200" s="905"/>
      <c r="G200" s="905"/>
      <c r="H200" s="905"/>
      <c r="I200" s="905"/>
      <c r="J200" s="905"/>
      <c r="K200" s="940"/>
      <c r="L200" s="727"/>
      <c r="M200" s="727"/>
      <c r="N200" s="727"/>
      <c r="O200" s="727"/>
      <c r="P200" s="727"/>
      <c r="Q200" s="727"/>
      <c r="R200" s="727"/>
    </row>
    <row r="201" spans="1:21" ht="14.1" hidden="1" customHeight="1">
      <c r="B201" s="683" t="s">
        <v>418</v>
      </c>
      <c r="C201" s="681"/>
      <c r="D201" s="681"/>
      <c r="E201" s="681"/>
      <c r="F201" s="764"/>
      <c r="G201" s="764"/>
      <c r="H201" s="764"/>
      <c r="I201" s="764"/>
      <c r="J201" s="763" t="s">
        <v>629</v>
      </c>
      <c r="K201" s="764" t="s">
        <v>629</v>
      </c>
      <c r="L201" s="727"/>
      <c r="M201" s="727"/>
      <c r="N201" s="727"/>
      <c r="O201" s="727"/>
      <c r="P201" s="727"/>
      <c r="Q201" s="727"/>
      <c r="R201" s="727"/>
    </row>
    <row r="202" spans="1:21" ht="14.1" hidden="1" customHeight="1">
      <c r="B202" s="1167" t="s">
        <v>2081</v>
      </c>
      <c r="F202" s="764"/>
      <c r="G202" s="764"/>
      <c r="H202" s="764"/>
      <c r="I202" s="764"/>
      <c r="J202" s="764">
        <f>ROUND(10629682/Master!$B$23,0)</f>
        <v>10629682</v>
      </c>
      <c r="K202" s="764">
        <f>ROUND(15829398/Master!$B$23,0)</f>
        <v>15829398</v>
      </c>
      <c r="L202" s="727"/>
      <c r="M202" s="727"/>
      <c r="N202" s="727"/>
      <c r="O202" s="727"/>
      <c r="P202" s="727"/>
      <c r="Q202" s="727"/>
      <c r="R202" s="727"/>
    </row>
    <row r="203" spans="1:21" ht="14.1" hidden="1" customHeight="1">
      <c r="B203" s="943" t="s">
        <v>402</v>
      </c>
      <c r="F203" s="764"/>
      <c r="G203" s="764"/>
      <c r="H203" s="764"/>
      <c r="I203" s="764"/>
      <c r="J203" s="764">
        <f>ROUND(1882549/Master!$B$23,0)</f>
        <v>1882549</v>
      </c>
      <c r="K203" s="764">
        <f>ROUND(1792300/Master!$B$23,0)</f>
        <v>1792300</v>
      </c>
      <c r="L203" s="727"/>
      <c r="M203" s="727"/>
      <c r="N203" s="727"/>
      <c r="O203" s="727"/>
      <c r="P203" s="727"/>
      <c r="Q203" s="727"/>
      <c r="R203" s="727"/>
    </row>
    <row r="204" spans="1:21" s="700" customFormat="1" ht="14.1" hidden="1" customHeight="1">
      <c r="A204" s="683"/>
      <c r="B204" s="683" t="s">
        <v>420</v>
      </c>
      <c r="C204" s="681"/>
      <c r="D204" s="681"/>
      <c r="E204" s="681"/>
      <c r="F204" s="764"/>
      <c r="G204" s="764"/>
      <c r="H204" s="764"/>
      <c r="I204" s="764"/>
      <c r="J204" s="764"/>
      <c r="K204" s="764"/>
      <c r="L204" s="727"/>
      <c r="M204" s="727"/>
      <c r="N204" s="727"/>
      <c r="O204" s="727"/>
      <c r="P204" s="727"/>
      <c r="Q204" s="727"/>
      <c r="R204" s="727"/>
    </row>
    <row r="205" spans="1:21" s="700" customFormat="1" ht="14.1" hidden="1" customHeight="1">
      <c r="A205" s="683"/>
      <c r="B205" s="943" t="s">
        <v>403</v>
      </c>
      <c r="C205" s="681"/>
      <c r="D205" s="681"/>
      <c r="E205" s="681"/>
      <c r="F205" s="764"/>
      <c r="G205" s="764"/>
      <c r="H205" s="764"/>
      <c r="I205" s="764"/>
      <c r="J205" s="764">
        <f>ROUND(0/Master!$B$23,0)</f>
        <v>0</v>
      </c>
      <c r="K205" s="764">
        <f>ROUND(0/Master!$B$23,0)</f>
        <v>0</v>
      </c>
      <c r="L205" s="727"/>
      <c r="M205" s="727"/>
      <c r="N205" s="727"/>
      <c r="O205" s="727"/>
      <c r="P205" s="727"/>
      <c r="Q205" s="727"/>
      <c r="R205" s="727"/>
    </row>
    <row r="206" spans="1:21" s="700" customFormat="1" ht="14.1" hidden="1" customHeight="1">
      <c r="A206" s="683"/>
      <c r="B206" s="943" t="s">
        <v>402</v>
      </c>
      <c r="C206" s="699"/>
      <c r="D206" s="699"/>
      <c r="E206" s="699"/>
      <c r="F206" s="764"/>
      <c r="G206" s="764"/>
      <c r="H206" s="764"/>
      <c r="I206" s="764"/>
      <c r="J206" s="764">
        <f>ROUND(3038211/Master!$B$23,0)</f>
        <v>3038211</v>
      </c>
      <c r="K206" s="764">
        <f>ROUND(3093716/Master!$B$23,0)</f>
        <v>3093716</v>
      </c>
      <c r="L206" s="727"/>
      <c r="M206" s="727"/>
      <c r="N206" s="727"/>
      <c r="O206" s="727"/>
      <c r="P206" s="727"/>
      <c r="Q206" s="727"/>
      <c r="R206" s="727"/>
    </row>
    <row r="207" spans="1:21" s="700" customFormat="1" ht="14.1" hidden="1" customHeight="1">
      <c r="A207" s="683"/>
      <c r="B207" s="943" t="s">
        <v>443</v>
      </c>
      <c r="C207" s="699"/>
      <c r="D207" s="699"/>
      <c r="E207" s="699"/>
      <c r="F207" s="764"/>
      <c r="G207" s="764"/>
      <c r="H207" s="764"/>
      <c r="I207" s="764"/>
      <c r="J207" s="764">
        <f>ROUND(0/Master!$B$23,0)</f>
        <v>0</v>
      </c>
      <c r="K207" s="764">
        <f>ROUND(0/Master!$B$23,0)</f>
        <v>0</v>
      </c>
      <c r="L207" s="727"/>
      <c r="M207" s="727"/>
      <c r="N207" s="727"/>
      <c r="O207" s="727"/>
      <c r="P207" s="727"/>
      <c r="Q207" s="727"/>
      <c r="R207" s="727"/>
    </row>
    <row r="208" spans="1:21" s="700" customFormat="1" ht="14.1" hidden="1" customHeight="1">
      <c r="A208" s="683"/>
      <c r="B208" s="683" t="s">
        <v>306</v>
      </c>
      <c r="C208" s="699"/>
      <c r="D208" s="699"/>
      <c r="E208" s="699"/>
      <c r="F208" s="764"/>
      <c r="G208" s="764"/>
      <c r="H208" s="764"/>
      <c r="I208" s="764"/>
      <c r="J208" s="764"/>
      <c r="K208" s="764"/>
      <c r="L208" s="727"/>
      <c r="M208" s="727"/>
      <c r="N208" s="727"/>
      <c r="O208" s="727"/>
      <c r="P208" s="727"/>
      <c r="Q208" s="727"/>
      <c r="R208" s="727"/>
      <c r="S208" s="727"/>
      <c r="T208" s="727"/>
      <c r="U208" s="727"/>
    </row>
    <row r="209" spans="1:21" s="700" customFormat="1" ht="14.1" hidden="1" customHeight="1">
      <c r="A209" s="683"/>
      <c r="B209" s="943" t="s">
        <v>403</v>
      </c>
      <c r="C209" s="699"/>
      <c r="D209" s="699"/>
      <c r="E209" s="699"/>
      <c r="F209" s="764"/>
      <c r="G209" s="764"/>
      <c r="H209" s="764"/>
      <c r="I209" s="764"/>
      <c r="J209" s="764">
        <f>ROUND(0/Master!$B$23,0)</f>
        <v>0</v>
      </c>
      <c r="K209" s="764">
        <f>ROUND(0/Master!$B$23,0)</f>
        <v>0</v>
      </c>
      <c r="L209" s="727"/>
      <c r="M209" s="727"/>
      <c r="N209" s="727"/>
      <c r="O209" s="727"/>
      <c r="P209" s="727"/>
      <c r="Q209" s="727"/>
      <c r="R209" s="727"/>
      <c r="S209" s="727"/>
      <c r="T209" s="727"/>
      <c r="U209" s="727"/>
    </row>
    <row r="210" spans="1:21" s="700" customFormat="1" ht="14.1" hidden="1" customHeight="1">
      <c r="A210" s="683"/>
      <c r="B210" s="683" t="s">
        <v>421</v>
      </c>
      <c r="C210" s="681"/>
      <c r="D210" s="681"/>
      <c r="E210" s="681"/>
      <c r="F210" s="764"/>
      <c r="G210" s="764"/>
      <c r="H210" s="764"/>
      <c r="I210" s="764"/>
      <c r="J210" s="764"/>
      <c r="K210" s="764"/>
      <c r="L210" s="727"/>
      <c r="M210" s="727"/>
      <c r="N210" s="727"/>
      <c r="O210" s="727"/>
      <c r="P210" s="727"/>
      <c r="Q210" s="727"/>
      <c r="R210" s="727"/>
      <c r="S210" s="727"/>
      <c r="T210" s="727"/>
      <c r="U210" s="727"/>
    </row>
    <row r="211" spans="1:21" s="700" customFormat="1" ht="14.1" hidden="1" customHeight="1">
      <c r="A211" s="683"/>
      <c r="B211" s="943" t="s">
        <v>185</v>
      </c>
      <c r="C211" s="699"/>
      <c r="D211" s="699"/>
      <c r="E211" s="699"/>
      <c r="F211" s="764"/>
      <c r="G211" s="764"/>
      <c r="H211" s="764"/>
      <c r="I211" s="764"/>
      <c r="J211" s="764">
        <f>ROUND((2854938+192943)/Master!$B$23,0)</f>
        <v>3047881</v>
      </c>
      <c r="K211" s="764">
        <f>ROUND((2848154)/Master!$B$23,0)</f>
        <v>2848154</v>
      </c>
      <c r="L211" s="727"/>
      <c r="M211" s="727"/>
      <c r="N211" s="727"/>
      <c r="O211" s="727"/>
      <c r="P211" s="727"/>
      <c r="Q211" s="727"/>
      <c r="R211" s="727"/>
      <c r="S211" s="727"/>
      <c r="T211" s="727"/>
      <c r="U211" s="727"/>
    </row>
    <row r="212" spans="1:21" s="700" customFormat="1" ht="14.1" hidden="1" customHeight="1">
      <c r="A212" s="683"/>
      <c r="B212" s="683" t="s">
        <v>423</v>
      </c>
      <c r="C212" s="681"/>
      <c r="D212" s="681"/>
      <c r="E212" s="681"/>
      <c r="F212" s="764"/>
      <c r="G212" s="764"/>
      <c r="H212" s="764"/>
      <c r="I212" s="764"/>
      <c r="J212" s="764"/>
      <c r="K212" s="764"/>
      <c r="L212" s="727"/>
      <c r="M212" s="727"/>
      <c r="N212" s="727"/>
      <c r="O212" s="727"/>
      <c r="P212" s="727"/>
      <c r="Q212" s="727"/>
      <c r="R212" s="727"/>
      <c r="S212" s="727"/>
      <c r="T212" s="727"/>
      <c r="U212" s="727"/>
    </row>
    <row r="213" spans="1:21" s="700" customFormat="1" ht="14.1" hidden="1" customHeight="1">
      <c r="A213" s="683"/>
      <c r="B213" s="1167" t="s">
        <v>2232</v>
      </c>
      <c r="C213" s="681"/>
      <c r="D213" s="681"/>
      <c r="E213" s="681"/>
      <c r="F213" s="764"/>
      <c r="G213" s="764"/>
      <c r="H213" s="764"/>
      <c r="I213" s="764"/>
      <c r="J213" s="1226">
        <f>ROUND(45021/Master!$B$23,0)</f>
        <v>45021</v>
      </c>
      <c r="K213" s="764">
        <f>ROUND(525431/Master!$B$23,0)</f>
        <v>525431</v>
      </c>
      <c r="L213" s="727"/>
      <c r="M213" s="727"/>
      <c r="N213" s="727"/>
      <c r="O213" s="727"/>
      <c r="P213" s="727"/>
      <c r="Q213" s="727"/>
      <c r="R213" s="727"/>
      <c r="S213" s="727"/>
      <c r="T213" s="727"/>
      <c r="U213" s="727"/>
    </row>
    <row r="214" spans="1:21" s="700" customFormat="1" ht="14.1" hidden="1" customHeight="1">
      <c r="A214" s="683"/>
      <c r="B214" s="943" t="s">
        <v>443</v>
      </c>
      <c r="C214" s="681"/>
      <c r="D214" s="681"/>
      <c r="E214" s="681"/>
      <c r="F214" s="764"/>
      <c r="G214" s="764"/>
      <c r="H214" s="764"/>
      <c r="I214" s="764"/>
      <c r="J214" s="764">
        <f>ROUND(0/Master!$B$23,0)</f>
        <v>0</v>
      </c>
      <c r="K214" s="764">
        <f>ROUND(0/Master!$B$23,0)</f>
        <v>0</v>
      </c>
      <c r="L214" s="727"/>
      <c r="M214" s="727"/>
      <c r="N214" s="727"/>
      <c r="O214" s="727"/>
      <c r="P214" s="727"/>
      <c r="Q214" s="727"/>
      <c r="R214" s="727"/>
      <c r="S214" s="727"/>
      <c r="T214" s="727"/>
      <c r="U214" s="727"/>
    </row>
    <row r="215" spans="1:21" s="700" customFormat="1" ht="14.1" hidden="1" customHeight="1">
      <c r="A215" s="683"/>
      <c r="B215" s="683" t="s">
        <v>424</v>
      </c>
      <c r="C215" s="699"/>
      <c r="D215" s="699"/>
      <c r="E215" s="699"/>
      <c r="F215" s="764"/>
      <c r="G215" s="764"/>
      <c r="H215" s="764"/>
      <c r="I215" s="764"/>
      <c r="J215" s="764"/>
      <c r="K215" s="764"/>
      <c r="L215" s="727"/>
      <c r="M215" s="727"/>
      <c r="N215" s="727"/>
      <c r="O215" s="727"/>
      <c r="P215" s="727"/>
      <c r="Q215" s="727"/>
      <c r="R215" s="727"/>
      <c r="S215" s="727"/>
      <c r="T215" s="727"/>
      <c r="U215" s="727"/>
    </row>
    <row r="216" spans="1:21" s="700" customFormat="1" hidden="1">
      <c r="A216" s="683"/>
      <c r="B216" s="1167" t="s">
        <v>2081</v>
      </c>
      <c r="C216" s="699"/>
      <c r="D216" s="699"/>
      <c r="E216" s="699"/>
      <c r="F216" s="764"/>
      <c r="G216" s="764"/>
      <c r="H216" s="764"/>
      <c r="I216" s="764"/>
      <c r="J216" s="764">
        <f>ROUND(0/Master!$B$23,0)</f>
        <v>0</v>
      </c>
      <c r="K216" s="764">
        <f>ROUND(172494/Master!$B$23,0)</f>
        <v>172494</v>
      </c>
      <c r="L216" s="727"/>
      <c r="M216" s="727"/>
      <c r="N216" s="727"/>
      <c r="O216" s="727"/>
      <c r="P216" s="727"/>
      <c r="Q216" s="727"/>
      <c r="R216" s="727"/>
      <c r="S216" s="727"/>
      <c r="T216" s="727"/>
      <c r="U216" s="727"/>
    </row>
    <row r="217" spans="1:21" s="700" customFormat="1" hidden="1">
      <c r="A217" s="683"/>
      <c r="B217" s="943" t="s">
        <v>402</v>
      </c>
      <c r="C217" s="699"/>
      <c r="D217" s="699"/>
      <c r="E217" s="699"/>
      <c r="F217" s="764"/>
      <c r="G217" s="764"/>
      <c r="H217" s="764"/>
      <c r="I217" s="764"/>
      <c r="J217" s="764">
        <f>ROUND(420606/Master!$B$23,0)</f>
        <v>420606</v>
      </c>
      <c r="K217" s="764">
        <f>ROUND(823915.94/Master!$B$23,0)</f>
        <v>823916</v>
      </c>
      <c r="L217" s="727"/>
      <c r="M217" s="727"/>
      <c r="N217" s="727"/>
      <c r="O217" s="727"/>
      <c r="P217" s="727"/>
      <c r="Q217" s="727"/>
      <c r="R217" s="727"/>
      <c r="S217" s="727"/>
      <c r="T217" s="727"/>
      <c r="U217" s="727"/>
    </row>
    <row r="218" spans="1:21" s="700" customFormat="1" ht="14.1" hidden="1" customHeight="1">
      <c r="A218" s="683"/>
      <c r="B218" s="943" t="s">
        <v>185</v>
      </c>
      <c r="C218" s="699"/>
      <c r="D218" s="699"/>
      <c r="E218" s="699"/>
      <c r="F218" s="764"/>
      <c r="G218" s="764"/>
      <c r="H218" s="764"/>
      <c r="I218" s="764"/>
      <c r="J218" s="764">
        <f>ROUND(567601/Master!$B$23,0)</f>
        <v>567601</v>
      </c>
      <c r="K218" s="764">
        <f>ROUND(565610/Master!$B$23,0)</f>
        <v>565610</v>
      </c>
      <c r="L218" s="727"/>
      <c r="M218" s="727"/>
      <c r="N218" s="727"/>
      <c r="O218" s="727"/>
      <c r="P218" s="727"/>
      <c r="Q218" s="727"/>
      <c r="R218" s="727"/>
      <c r="S218" s="727"/>
      <c r="T218" s="727"/>
      <c r="U218" s="727"/>
    </row>
    <row r="219" spans="1:21" s="700" customFormat="1" ht="5.0999999999999996" hidden="1" customHeight="1">
      <c r="A219" s="683"/>
      <c r="B219" s="943"/>
      <c r="C219" s="699"/>
      <c r="D219" s="699"/>
      <c r="E219" s="699"/>
      <c r="F219" s="764"/>
      <c r="G219" s="764"/>
      <c r="H219" s="764"/>
      <c r="I219" s="764"/>
      <c r="J219" s="763"/>
      <c r="K219" s="764"/>
      <c r="L219" s="727"/>
      <c r="M219" s="727"/>
      <c r="N219" s="727"/>
      <c r="O219" s="727"/>
      <c r="P219" s="727"/>
      <c r="Q219" s="727"/>
      <c r="R219" s="727"/>
      <c r="S219" s="727"/>
      <c r="T219" s="727"/>
      <c r="U219" s="727"/>
    </row>
    <row r="220" spans="1:21" s="700" customFormat="1" hidden="1">
      <c r="A220" s="683"/>
      <c r="B220" s="1149" t="s">
        <v>2023</v>
      </c>
      <c r="C220" s="699"/>
      <c r="D220" s="699"/>
      <c r="E220" s="699"/>
      <c r="F220" s="764"/>
      <c r="G220" s="764"/>
      <c r="H220" s="764"/>
      <c r="I220" s="764"/>
      <c r="J220" s="763"/>
      <c r="K220" s="764"/>
      <c r="L220" s="727"/>
      <c r="M220" s="727"/>
      <c r="N220" s="727"/>
      <c r="O220" s="727"/>
      <c r="P220" s="727"/>
      <c r="Q220" s="727"/>
      <c r="R220" s="727"/>
      <c r="S220" s="727"/>
      <c r="T220" s="727"/>
      <c r="U220" s="727"/>
    </row>
    <row r="221" spans="1:21" s="700" customFormat="1" ht="10.050000000000001" hidden="1" customHeight="1">
      <c r="A221" s="683"/>
      <c r="B221" s="681"/>
      <c r="C221" s="699"/>
      <c r="D221" s="699"/>
      <c r="E221" s="699"/>
      <c r="F221" s="699"/>
      <c r="G221" s="699"/>
      <c r="H221" s="699"/>
      <c r="I221" s="699"/>
      <c r="J221" s="699"/>
      <c r="K221" s="699"/>
      <c r="L221" s="727"/>
      <c r="M221" s="727"/>
      <c r="N221" s="727"/>
      <c r="O221" s="727"/>
      <c r="P221" s="727"/>
      <c r="Q221" s="727"/>
      <c r="R221" s="727"/>
      <c r="S221" s="727"/>
      <c r="T221" s="727"/>
      <c r="U221" s="727"/>
    </row>
    <row r="222" spans="1:21" s="700" customFormat="1" ht="13.95" hidden="1" customHeight="1">
      <c r="A222" s="683"/>
      <c r="B222" s="685"/>
      <c r="C222" s="685"/>
      <c r="D222" s="685"/>
      <c r="E222" s="685"/>
      <c r="F222" s="1894"/>
      <c r="G222" s="1894"/>
      <c r="H222" s="1894"/>
      <c r="I222" s="940"/>
      <c r="J222" s="684" t="s">
        <v>1872</v>
      </c>
      <c r="K222" s="684" t="s">
        <v>1872</v>
      </c>
      <c r="L222" s="727"/>
      <c r="M222" s="727"/>
      <c r="N222" s="727"/>
      <c r="O222" s="727"/>
      <c r="P222" s="727"/>
      <c r="Q222" s="727"/>
      <c r="R222" s="727"/>
      <c r="S222" s="727"/>
      <c r="T222" s="727"/>
      <c r="U222" s="727"/>
    </row>
    <row r="223" spans="1:21" s="700" customFormat="1" ht="15" hidden="1" customHeight="1">
      <c r="A223" s="683"/>
      <c r="B223" s="923" t="s">
        <v>82</v>
      </c>
      <c r="C223" s="1110"/>
      <c r="D223" s="1110"/>
      <c r="E223" s="1110"/>
      <c r="F223" s="1895"/>
      <c r="G223" s="1895"/>
      <c r="H223" s="1895"/>
      <c r="I223" s="1454"/>
      <c r="J223" s="760">
        <f>BS!$G$7</f>
        <v>45747</v>
      </c>
      <c r="K223" s="760">
        <f>BS!$I$7</f>
        <v>45382</v>
      </c>
      <c r="L223" s="727"/>
      <c r="M223" s="727"/>
      <c r="N223" s="727"/>
      <c r="O223" s="727"/>
      <c r="P223" s="727"/>
      <c r="Q223" s="727"/>
      <c r="R223" s="727"/>
      <c r="S223" s="727"/>
      <c r="T223" s="727"/>
      <c r="U223" s="727"/>
    </row>
    <row r="224" spans="1:21" s="700" customFormat="1" ht="14.1" hidden="1" customHeight="1">
      <c r="A224" s="683"/>
      <c r="B224" s="681" t="s">
        <v>439</v>
      </c>
      <c r="C224" s="681"/>
      <c r="D224" s="681"/>
      <c r="E224" s="681"/>
      <c r="F224" s="764"/>
      <c r="G224" s="764"/>
      <c r="H224" s="764"/>
      <c r="I224" s="764"/>
      <c r="J224" s="763"/>
      <c r="K224" s="764"/>
      <c r="L224" s="727"/>
      <c r="M224" s="727"/>
      <c r="N224" s="727"/>
      <c r="O224" s="727"/>
      <c r="P224" s="727"/>
      <c r="Q224" s="727"/>
      <c r="R224" s="727"/>
      <c r="S224" s="727"/>
      <c r="T224" s="727"/>
      <c r="U224" s="727"/>
    </row>
    <row r="225" spans="1:18" s="700" customFormat="1" ht="14.1" hidden="1" customHeight="1">
      <c r="A225" s="683"/>
      <c r="B225" s="943" t="s">
        <v>403</v>
      </c>
      <c r="C225" s="699"/>
      <c r="D225" s="699"/>
      <c r="E225" s="699"/>
      <c r="F225" s="764"/>
      <c r="G225" s="764"/>
      <c r="H225" s="764"/>
      <c r="I225" s="764"/>
      <c r="J225" s="763">
        <f>ROUND(0/Master!$B$23,0)</f>
        <v>0</v>
      </c>
      <c r="K225" s="764">
        <f>ROUND(0/Master!$B$23,0)</f>
        <v>0</v>
      </c>
      <c r="L225" s="727"/>
      <c r="M225" s="727"/>
      <c r="N225" s="727"/>
      <c r="O225" s="727"/>
      <c r="P225" s="727"/>
      <c r="Q225" s="727"/>
      <c r="R225" s="727"/>
    </row>
    <row r="226" spans="1:18" s="700" customFormat="1" ht="14.1" hidden="1" customHeight="1">
      <c r="A226" s="683"/>
      <c r="B226" s="681" t="s">
        <v>444</v>
      </c>
      <c r="C226" s="699"/>
      <c r="D226" s="699"/>
      <c r="E226" s="699"/>
      <c r="F226" s="764"/>
      <c r="G226" s="764"/>
      <c r="H226" s="764"/>
      <c r="I226" s="764"/>
      <c r="J226" s="763"/>
      <c r="K226" s="764"/>
      <c r="L226" s="727"/>
      <c r="M226" s="727"/>
      <c r="N226" s="727"/>
      <c r="O226" s="727"/>
      <c r="P226" s="727"/>
      <c r="Q226" s="727"/>
      <c r="R226" s="727"/>
    </row>
    <row r="227" spans="1:18" s="700" customFormat="1" ht="14.1" hidden="1" customHeight="1">
      <c r="A227" s="683"/>
      <c r="B227" s="943" t="s">
        <v>185</v>
      </c>
      <c r="C227" s="681"/>
      <c r="D227" s="681"/>
      <c r="E227" s="681"/>
      <c r="F227" s="764"/>
      <c r="G227" s="764"/>
      <c r="H227" s="764"/>
      <c r="I227" s="764"/>
      <c r="J227" s="764">
        <f>ROUND(0/Master!$B$23,0)</f>
        <v>0</v>
      </c>
      <c r="K227" s="764">
        <f>ROUND(0/Master!$B$23,0)</f>
        <v>0</v>
      </c>
      <c r="L227" s="727"/>
      <c r="M227" s="727"/>
      <c r="N227" s="727"/>
      <c r="O227" s="727"/>
      <c r="P227" s="727"/>
      <c r="Q227" s="727"/>
      <c r="R227" s="727"/>
    </row>
    <row r="228" spans="1:18" s="700" customFormat="1" ht="14.1" hidden="1" customHeight="1">
      <c r="A228" s="683"/>
      <c r="B228" s="681" t="s">
        <v>319</v>
      </c>
      <c r="C228" s="681"/>
      <c r="D228" s="681"/>
      <c r="E228" s="681"/>
      <c r="F228" s="764"/>
      <c r="G228" s="764"/>
      <c r="H228" s="764"/>
      <c r="I228" s="764"/>
      <c r="J228" s="764"/>
      <c r="K228" s="764"/>
      <c r="L228" s="727"/>
      <c r="M228" s="727"/>
      <c r="N228" s="727"/>
      <c r="O228" s="727"/>
      <c r="P228" s="727"/>
      <c r="Q228" s="727"/>
      <c r="R228" s="727"/>
    </row>
    <row r="229" spans="1:18" s="700" customFormat="1" ht="14.1" hidden="1" customHeight="1">
      <c r="A229" s="683"/>
      <c r="B229" s="943" t="s">
        <v>402</v>
      </c>
      <c r="C229" s="681"/>
      <c r="D229" s="681"/>
      <c r="E229" s="681"/>
      <c r="F229" s="764"/>
      <c r="G229" s="764"/>
      <c r="H229" s="764"/>
      <c r="I229" s="764"/>
      <c r="J229" s="764">
        <f>ROUND('PL Gr'!E379/Master!$B$23,0)-J231</f>
        <v>0</v>
      </c>
      <c r="K229" s="764">
        <f>ROUND('PL Gr'!G379/Master!$B$23,0)-K231</f>
        <v>0</v>
      </c>
      <c r="L229" s="727"/>
      <c r="M229" s="727"/>
      <c r="N229" s="727"/>
      <c r="O229" s="727"/>
      <c r="P229" s="727"/>
      <c r="Q229" s="727"/>
      <c r="R229" s="727"/>
    </row>
    <row r="230" spans="1:18" s="700" customFormat="1" ht="14.1" hidden="1" customHeight="1">
      <c r="A230" s="683"/>
      <c r="B230" s="681" t="s">
        <v>432</v>
      </c>
      <c r="C230" s="681"/>
      <c r="D230" s="681"/>
      <c r="E230" s="681"/>
      <c r="F230" s="764"/>
      <c r="G230" s="764"/>
      <c r="H230" s="764"/>
      <c r="I230" s="764"/>
      <c r="J230" s="764"/>
      <c r="K230" s="764"/>
      <c r="L230" s="727"/>
      <c r="M230" s="727"/>
      <c r="N230" s="727"/>
      <c r="O230" s="727"/>
      <c r="P230" s="727"/>
      <c r="Q230" s="727"/>
      <c r="R230" s="727"/>
    </row>
    <row r="231" spans="1:18" s="700" customFormat="1" ht="14.1" hidden="1" customHeight="1">
      <c r="A231" s="683"/>
      <c r="B231" s="1142" t="s">
        <v>2019</v>
      </c>
      <c r="C231" s="681"/>
      <c r="D231" s="681"/>
      <c r="E231" s="681"/>
      <c r="F231" s="764"/>
      <c r="G231" s="764"/>
      <c r="H231" s="764"/>
      <c r="I231" s="764"/>
      <c r="J231" s="1146">
        <f>H134</f>
        <v>0</v>
      </c>
      <c r="K231" s="1146">
        <f>H176</f>
        <v>0</v>
      </c>
      <c r="L231" s="727"/>
      <c r="M231" s="727"/>
      <c r="N231" s="727"/>
      <c r="O231" s="727"/>
      <c r="P231" s="727"/>
      <c r="Q231" s="727"/>
      <c r="R231" s="727"/>
    </row>
    <row r="232" spans="1:18" s="700" customFormat="1" ht="14.1" hidden="1" customHeight="1">
      <c r="A232" s="683"/>
      <c r="B232" s="681" t="s">
        <v>445</v>
      </c>
      <c r="C232" s="681"/>
      <c r="D232" s="681"/>
      <c r="E232" s="681"/>
      <c r="F232" s="764"/>
      <c r="G232" s="764"/>
      <c r="H232" s="764"/>
      <c r="I232" s="764"/>
      <c r="J232" s="764"/>
      <c r="K232" s="764"/>
      <c r="L232" s="727"/>
      <c r="M232" s="727"/>
      <c r="N232" s="727"/>
      <c r="O232" s="727"/>
      <c r="P232" s="727"/>
      <c r="Q232" s="727"/>
      <c r="R232" s="727"/>
    </row>
    <row r="233" spans="1:18" s="700" customFormat="1" ht="14.1" hidden="1" customHeight="1">
      <c r="A233" s="683"/>
      <c r="B233" s="943" t="s">
        <v>410</v>
      </c>
      <c r="C233" s="681"/>
      <c r="D233" s="681"/>
      <c r="E233" s="681"/>
      <c r="F233" s="764"/>
      <c r="G233" s="764"/>
      <c r="H233" s="764"/>
      <c r="I233" s="764"/>
      <c r="J233" s="764">
        <f>ROUND(0/Master!$B$23,0)</f>
        <v>0</v>
      </c>
      <c r="K233" s="764">
        <f>ROUND(0/Master!$B$23,0)</f>
        <v>0</v>
      </c>
      <c r="L233" s="727"/>
      <c r="M233" s="727"/>
      <c r="N233" s="727"/>
      <c r="O233" s="727"/>
      <c r="P233" s="727"/>
      <c r="Q233" s="727"/>
      <c r="R233" s="727"/>
    </row>
    <row r="234" spans="1:18" s="700" customFormat="1" ht="14.1" hidden="1" customHeight="1">
      <c r="A234" s="683"/>
      <c r="B234" s="681" t="s">
        <v>25</v>
      </c>
      <c r="C234" s="699"/>
      <c r="D234" s="699"/>
      <c r="E234" s="699"/>
      <c r="F234" s="764"/>
      <c r="G234" s="764"/>
      <c r="H234" s="764"/>
      <c r="I234" s="764"/>
      <c r="J234" s="764"/>
      <c r="K234" s="764"/>
      <c r="L234" s="727"/>
      <c r="M234" s="727"/>
      <c r="N234" s="727"/>
      <c r="O234" s="727"/>
      <c r="P234" s="727"/>
      <c r="Q234" s="727"/>
      <c r="R234" s="727"/>
    </row>
    <row r="235" spans="1:18" s="700" customFormat="1" ht="14.1" hidden="1" customHeight="1">
      <c r="A235" s="683"/>
      <c r="B235" s="1167" t="s">
        <v>2081</v>
      </c>
      <c r="C235" s="681"/>
      <c r="D235" s="681"/>
      <c r="E235" s="681"/>
      <c r="F235" s="764"/>
      <c r="G235" s="764"/>
      <c r="H235" s="764"/>
      <c r="I235" s="764"/>
      <c r="J235" s="764">
        <f>ROUND(4765751/Master!$B$23,0)</f>
        <v>4765751</v>
      </c>
      <c r="K235" s="764">
        <f>ROUND(15587723/Master!$B$23,0)</f>
        <v>15587723</v>
      </c>
      <c r="L235" s="1120">
        <v>16242010</v>
      </c>
      <c r="M235" s="742">
        <f>L235-J235</f>
        <v>11476259</v>
      </c>
      <c r="N235" s="727"/>
      <c r="O235" s="727"/>
      <c r="P235" s="727"/>
      <c r="Q235" s="727"/>
      <c r="R235" s="727"/>
    </row>
    <row r="236" spans="1:18" s="700" customFormat="1" ht="14.1" hidden="1" customHeight="1">
      <c r="A236" s="683"/>
      <c r="B236" s="1167" t="s">
        <v>1813</v>
      </c>
      <c r="C236" s="681"/>
      <c r="D236" s="681"/>
      <c r="E236" s="681"/>
      <c r="F236" s="764"/>
      <c r="G236" s="764"/>
      <c r="H236" s="764"/>
      <c r="I236" s="764"/>
      <c r="J236" s="764">
        <f>ROUND(1158059/Master!$B$23,0)</f>
        <v>1158059</v>
      </c>
      <c r="K236" s="764">
        <f>ROUND(0/Master!$B$23,0)</f>
        <v>0</v>
      </c>
      <c r="L236" s="1120"/>
      <c r="M236" s="742"/>
      <c r="N236" s="727"/>
      <c r="O236" s="727"/>
      <c r="P236" s="727"/>
      <c r="Q236" s="727"/>
      <c r="R236" s="727"/>
    </row>
    <row r="237" spans="1:18" s="700" customFormat="1" ht="14.1" hidden="1" customHeight="1">
      <c r="A237" s="683"/>
      <c r="B237" s="681" t="s">
        <v>436</v>
      </c>
      <c r="C237" s="699"/>
      <c r="D237" s="699"/>
      <c r="E237" s="699"/>
      <c r="F237" s="764"/>
      <c r="G237" s="764"/>
      <c r="H237" s="764"/>
      <c r="I237" s="764"/>
      <c r="J237" s="764"/>
      <c r="K237" s="764"/>
      <c r="L237" s="727"/>
      <c r="M237" s="727"/>
      <c r="N237" s="727"/>
      <c r="O237" s="727"/>
      <c r="P237" s="727"/>
      <c r="Q237" s="727"/>
      <c r="R237" s="727"/>
    </row>
    <row r="238" spans="1:18" s="700" customFormat="1" ht="14.1" hidden="1" customHeight="1">
      <c r="A238" s="683"/>
      <c r="B238" s="1167" t="s">
        <v>2081</v>
      </c>
      <c r="C238" s="699"/>
      <c r="D238" s="699"/>
      <c r="E238" s="699"/>
      <c r="F238" s="764"/>
      <c r="G238" s="764"/>
      <c r="H238" s="764"/>
      <c r="I238" s="764"/>
      <c r="J238" s="764">
        <f>H141</f>
        <v>619503</v>
      </c>
      <c r="K238" s="764">
        <f>+H185</f>
        <v>1077774</v>
      </c>
      <c r="L238" s="727"/>
      <c r="M238" s="727"/>
      <c r="N238" s="727"/>
      <c r="O238" s="727"/>
      <c r="P238" s="727"/>
      <c r="Q238" s="727"/>
      <c r="R238" s="727"/>
    </row>
    <row r="239" spans="1:18" s="700" customFormat="1" ht="14.1" hidden="1" customHeight="1">
      <c r="A239" s="683"/>
      <c r="B239" s="943" t="s">
        <v>443</v>
      </c>
      <c r="C239" s="682"/>
      <c r="D239" s="699"/>
      <c r="E239" s="699"/>
      <c r="F239" s="764"/>
      <c r="G239" s="764"/>
      <c r="H239" s="764"/>
      <c r="I239" s="764"/>
      <c r="J239" s="764">
        <f>ROUND(0/Master!$B$23,0)</f>
        <v>0</v>
      </c>
      <c r="K239" s="764">
        <f>ROUND(0/Master!$B$23,0)</f>
        <v>0</v>
      </c>
      <c r="L239" s="727"/>
      <c r="M239" s="727"/>
      <c r="N239" s="727"/>
      <c r="O239" s="727"/>
      <c r="P239" s="727"/>
      <c r="Q239" s="727"/>
      <c r="R239" s="727"/>
    </row>
    <row r="240" spans="1:18" s="700" customFormat="1" ht="14.1" hidden="1" customHeight="1">
      <c r="A240" s="683"/>
      <c r="B240" s="681" t="s">
        <v>46</v>
      </c>
      <c r="C240" s="681"/>
      <c r="D240" s="681"/>
      <c r="E240" s="681"/>
      <c r="F240" s="764"/>
      <c r="G240" s="764"/>
      <c r="H240" s="764"/>
      <c r="I240" s="764"/>
      <c r="J240" s="764"/>
      <c r="K240" s="764"/>
      <c r="L240" s="727"/>
      <c r="M240" s="727"/>
      <c r="N240" s="727"/>
      <c r="O240" s="727"/>
      <c r="P240" s="727"/>
      <c r="Q240" s="727"/>
      <c r="R240" s="727"/>
    </row>
    <row r="241" spans="1:18" s="700" customFormat="1" ht="14.1" hidden="1" customHeight="1">
      <c r="A241" s="683"/>
      <c r="B241" s="943" t="s">
        <v>443</v>
      </c>
      <c r="C241" s="681"/>
      <c r="D241" s="681"/>
      <c r="E241" s="681"/>
      <c r="F241" s="764"/>
      <c r="G241" s="764"/>
      <c r="H241" s="764"/>
      <c r="I241" s="764"/>
      <c r="J241" s="764">
        <f>ROUND((0)/Master!$B$23,0)</f>
        <v>0</v>
      </c>
      <c r="K241" s="764">
        <f>ROUND(0/Master!$B$23,0)</f>
        <v>0</v>
      </c>
      <c r="L241" s="727"/>
      <c r="M241" s="727"/>
      <c r="N241" s="727"/>
      <c r="O241" s="727"/>
      <c r="P241" s="727"/>
      <c r="Q241" s="727"/>
      <c r="R241" s="727"/>
    </row>
    <row r="242" spans="1:18" s="700" customFormat="1" ht="14.1" hidden="1" customHeight="1">
      <c r="A242" s="683"/>
      <c r="B242" s="943" t="s">
        <v>402</v>
      </c>
      <c r="C242" s="699"/>
      <c r="D242" s="699"/>
      <c r="E242" s="699"/>
      <c r="F242" s="764"/>
      <c r="G242" s="764"/>
      <c r="H242" s="764"/>
      <c r="I242" s="764"/>
      <c r="J242" s="764">
        <f>ROUND((1111136)/Master!$B$23,0)</f>
        <v>1111136</v>
      </c>
      <c r="K242" s="764">
        <f>ROUND((1871895)/Master!$B$23,0)</f>
        <v>1871895</v>
      </c>
      <c r="L242" s="727"/>
      <c r="M242" s="727"/>
      <c r="N242" s="727"/>
      <c r="O242" s="727"/>
      <c r="P242" s="727"/>
      <c r="Q242" s="727"/>
      <c r="R242" s="727"/>
    </row>
    <row r="243" spans="1:18" s="700" customFormat="1" ht="14.1" hidden="1" customHeight="1">
      <c r="A243" s="683"/>
      <c r="B243" s="943" t="s">
        <v>185</v>
      </c>
      <c r="C243" s="699"/>
      <c r="D243" s="699"/>
      <c r="E243" s="699"/>
      <c r="F243" s="764"/>
      <c r="G243" s="764"/>
      <c r="H243" s="764"/>
      <c r="I243" s="764"/>
      <c r="J243" s="764">
        <f>ROUND((468925)/Master!$B$23,0)</f>
        <v>468925</v>
      </c>
      <c r="K243" s="764">
        <f>ROUND((1213032*0+948238)/Master!$B$23,0)</f>
        <v>948238</v>
      </c>
      <c r="L243" s="727"/>
      <c r="M243" s="727"/>
      <c r="N243" s="727"/>
      <c r="O243" s="727"/>
      <c r="P243" s="727"/>
      <c r="Q243" s="727"/>
      <c r="R243" s="727"/>
    </row>
    <row r="244" spans="1:18" s="700" customFormat="1" ht="14.1" hidden="1" customHeight="1">
      <c r="A244" s="683"/>
      <c r="B244" s="681" t="s">
        <v>446</v>
      </c>
      <c r="C244" s="681"/>
      <c r="D244" s="681"/>
      <c r="E244" s="681"/>
      <c r="F244" s="764"/>
      <c r="G244" s="764"/>
      <c r="H244" s="764"/>
      <c r="I244" s="764"/>
      <c r="J244" s="764"/>
      <c r="K244" s="764"/>
      <c r="L244" s="727"/>
      <c r="M244" s="727"/>
      <c r="N244" s="727"/>
      <c r="O244" s="727"/>
      <c r="P244" s="727"/>
      <c r="Q244" s="727"/>
      <c r="R244" s="727"/>
    </row>
    <row r="245" spans="1:18" s="700" customFormat="1" ht="14.1" hidden="1" customHeight="1">
      <c r="A245" s="683"/>
      <c r="B245" s="943" t="s">
        <v>402</v>
      </c>
      <c r="C245" s="681"/>
      <c r="D245" s="681"/>
      <c r="E245" s="681"/>
      <c r="F245" s="764"/>
      <c r="G245" s="764"/>
      <c r="H245" s="764"/>
      <c r="I245" s="764"/>
      <c r="J245" s="764">
        <f>+H143</f>
        <v>0</v>
      </c>
      <c r="K245" s="764">
        <f>+H187</f>
        <v>0</v>
      </c>
      <c r="L245" s="727"/>
      <c r="M245" s="727"/>
      <c r="N245" s="727"/>
      <c r="O245" s="727"/>
      <c r="P245" s="727"/>
      <c r="Q245" s="727"/>
      <c r="R245" s="727"/>
    </row>
    <row r="246" spans="1:18" s="700" customFormat="1" hidden="1">
      <c r="A246" s="683"/>
      <c r="B246" s="681" t="s">
        <v>437</v>
      </c>
      <c r="C246" s="699"/>
      <c r="D246" s="699"/>
      <c r="E246" s="699"/>
      <c r="F246" s="764"/>
      <c r="G246" s="764"/>
      <c r="H246" s="764"/>
      <c r="I246" s="764"/>
      <c r="J246" s="764"/>
      <c r="K246" s="764"/>
      <c r="L246" s="727"/>
      <c r="M246" s="727"/>
      <c r="N246" s="727"/>
      <c r="O246" s="727"/>
      <c r="P246" s="727"/>
      <c r="Q246" s="727"/>
      <c r="R246" s="727"/>
    </row>
    <row r="247" spans="1:18" s="700" customFormat="1" ht="15.75" hidden="1" customHeight="1">
      <c r="A247" s="683"/>
      <c r="B247" s="943" t="s">
        <v>185</v>
      </c>
      <c r="C247" s="699"/>
      <c r="D247" s="681"/>
      <c r="E247" s="681"/>
      <c r="F247" s="764"/>
      <c r="G247" s="764"/>
      <c r="H247" s="764"/>
      <c r="I247" s="764"/>
      <c r="J247" s="764">
        <f>+H144</f>
        <v>0</v>
      </c>
      <c r="K247" s="764">
        <f>+H188</f>
        <v>0</v>
      </c>
      <c r="L247" s="727"/>
      <c r="M247" s="727"/>
      <c r="N247" s="727"/>
      <c r="O247" s="727"/>
      <c r="P247" s="727"/>
      <c r="Q247" s="727"/>
      <c r="R247" s="727"/>
    </row>
    <row r="248" spans="1:18" s="700" customFormat="1" ht="15.75" hidden="1" customHeight="1">
      <c r="A248" s="683"/>
      <c r="B248" s="943"/>
      <c r="C248" s="699"/>
      <c r="D248" s="681"/>
      <c r="E248" s="681"/>
      <c r="F248" s="764"/>
      <c r="G248" s="764"/>
      <c r="H248" s="764"/>
      <c r="I248" s="764"/>
      <c r="J248" s="764"/>
      <c r="K248" s="764"/>
      <c r="L248" s="727"/>
      <c r="M248" s="727"/>
      <c r="N248" s="727"/>
      <c r="O248" s="727"/>
      <c r="P248" s="727"/>
      <c r="Q248" s="727"/>
      <c r="R248" s="727"/>
    </row>
    <row r="249" spans="1:18" s="700" customFormat="1" hidden="1">
      <c r="A249" s="683"/>
      <c r="B249" s="1896" t="s">
        <v>2016</v>
      </c>
      <c r="C249" s="1896"/>
      <c r="D249" s="1896"/>
      <c r="E249" s="1896"/>
      <c r="F249" s="1896"/>
      <c r="G249" s="1896"/>
      <c r="H249" s="1896"/>
      <c r="I249" s="1896"/>
      <c r="J249" s="1896"/>
      <c r="K249" s="1896"/>
      <c r="L249" s="727"/>
      <c r="M249" s="727"/>
      <c r="N249" s="727"/>
      <c r="O249" s="727"/>
      <c r="P249" s="727"/>
      <c r="Q249" s="727"/>
      <c r="R249" s="727"/>
    </row>
    <row r="250" spans="1:18" s="700" customFormat="1" hidden="1">
      <c r="A250" s="683" t="s">
        <v>1</v>
      </c>
      <c r="B250" s="1186"/>
      <c r="C250" s="1186"/>
      <c r="D250" s="1186"/>
      <c r="E250" s="1186"/>
      <c r="F250" s="1186"/>
      <c r="G250" s="1186"/>
      <c r="H250" s="1186"/>
      <c r="I250" s="1186"/>
      <c r="J250" s="1186"/>
      <c r="K250" s="1186"/>
      <c r="L250" s="727"/>
      <c r="M250" s="727"/>
      <c r="N250" s="727"/>
      <c r="O250" s="727"/>
      <c r="P250" s="727"/>
      <c r="Q250" s="727"/>
      <c r="R250" s="727"/>
    </row>
    <row r="251" spans="1:18" s="700" customFormat="1" hidden="1">
      <c r="A251" s="682"/>
      <c r="B251" s="1186"/>
      <c r="C251" s="1186"/>
      <c r="D251" s="1186"/>
      <c r="E251" s="1186"/>
      <c r="F251" s="1186"/>
      <c r="G251" s="1186"/>
      <c r="H251" s="1186"/>
      <c r="I251" s="1186"/>
      <c r="J251" s="1186"/>
      <c r="K251" s="1186"/>
      <c r="L251" s="727"/>
      <c r="M251" s="727"/>
      <c r="N251" s="727"/>
      <c r="O251" s="727"/>
      <c r="P251" s="727"/>
      <c r="Q251" s="727"/>
      <c r="R251" s="727"/>
    </row>
    <row r="252" spans="1:18" s="700" customFormat="1" hidden="1">
      <c r="A252" s="683" t="str">
        <f>'10-17'!A3</f>
        <v>Summary of material accounting policies and other explanatory information</v>
      </c>
      <c r="B252" s="1186"/>
      <c r="C252" s="1186"/>
      <c r="D252" s="1186"/>
      <c r="E252" s="1186"/>
      <c r="F252" s="1186"/>
      <c r="G252" s="1186"/>
      <c r="H252" s="1186"/>
      <c r="I252" s="1186"/>
      <c r="J252" s="1186"/>
      <c r="K252" s="1186"/>
      <c r="L252" s="727"/>
      <c r="M252" s="727"/>
      <c r="N252" s="727"/>
      <c r="O252" s="727"/>
      <c r="P252" s="727"/>
      <c r="Q252" s="727"/>
      <c r="R252" s="727"/>
    </row>
    <row r="253" spans="1:18" s="700" customFormat="1" hidden="1">
      <c r="A253" s="1066" t="str">
        <f>'10-17'!A4</f>
        <v>(Amounts are stated in ₹ Lakhs unless otherwise stated)</v>
      </c>
      <c r="B253" s="1186"/>
      <c r="C253" s="1186"/>
      <c r="D253" s="1186"/>
      <c r="E253" s="1186"/>
      <c r="F253" s="1186"/>
      <c r="G253" s="1186"/>
      <c r="H253" s="1186"/>
      <c r="I253" s="1186"/>
      <c r="J253" s="1186"/>
      <c r="K253" s="1186"/>
      <c r="L253" s="727"/>
      <c r="M253" s="727"/>
      <c r="N253" s="727"/>
      <c r="O253" s="727"/>
      <c r="P253" s="727"/>
      <c r="Q253" s="727"/>
      <c r="R253" s="727"/>
    </row>
    <row r="254" spans="1:18" s="700" customFormat="1" hidden="1">
      <c r="A254" s="683"/>
      <c r="B254" s="1186"/>
      <c r="C254" s="1186"/>
      <c r="D254" s="1186"/>
      <c r="E254" s="1186"/>
      <c r="F254" s="1186"/>
      <c r="G254" s="1186"/>
      <c r="H254" s="1186"/>
      <c r="I254" s="1186"/>
      <c r="J254" s="1186"/>
      <c r="K254" s="1186"/>
      <c r="L254" s="727"/>
      <c r="M254" s="727"/>
      <c r="N254" s="727"/>
      <c r="O254" s="727"/>
      <c r="P254" s="727"/>
      <c r="Q254" s="727"/>
      <c r="R254" s="727"/>
    </row>
    <row r="255" spans="1:18" s="700" customFormat="1" hidden="1">
      <c r="A255" s="683"/>
      <c r="B255" s="1186"/>
      <c r="C255" s="1186"/>
      <c r="D255" s="1186"/>
      <c r="E255" s="1186"/>
      <c r="F255" s="1186"/>
      <c r="G255" s="1186"/>
      <c r="H255" s="1186"/>
      <c r="I255" s="1186"/>
      <c r="J255" s="1186"/>
      <c r="K255" s="1186"/>
      <c r="L255" s="727"/>
      <c r="M255" s="727"/>
      <c r="N255" s="727"/>
      <c r="O255" s="727"/>
      <c r="P255" s="727"/>
      <c r="Q255" s="727"/>
      <c r="R255" s="727"/>
    </row>
    <row r="256" spans="1:18" s="700" customFormat="1" hidden="1">
      <c r="A256" s="683"/>
      <c r="B256" s="681" t="s">
        <v>39</v>
      </c>
      <c r="C256" s="1186"/>
      <c r="D256" s="1186"/>
      <c r="E256" s="1186"/>
      <c r="F256" s="1186"/>
      <c r="G256" s="1186"/>
      <c r="H256" s="1186"/>
      <c r="I256" s="1186"/>
      <c r="J256" s="1186"/>
      <c r="K256" s="1186"/>
      <c r="L256" s="727"/>
      <c r="M256" s="727"/>
      <c r="N256" s="727"/>
      <c r="O256" s="727"/>
      <c r="P256" s="727"/>
      <c r="Q256" s="727"/>
      <c r="R256" s="727"/>
    </row>
    <row r="257" spans="1:18" s="700" customFormat="1" hidden="1">
      <c r="A257" s="683"/>
      <c r="B257" s="943" t="s">
        <v>402</v>
      </c>
      <c r="C257" s="1186"/>
      <c r="D257" s="1186"/>
      <c r="E257" s="1186"/>
      <c r="F257" s="1186"/>
      <c r="G257" s="1186"/>
      <c r="H257" s="1186"/>
      <c r="I257" s="1186"/>
      <c r="J257" s="764">
        <f>J143</f>
        <v>0</v>
      </c>
      <c r="K257" s="764">
        <f>J187</f>
        <v>235325157.6183489</v>
      </c>
      <c r="L257" s="727"/>
      <c r="M257" s="727"/>
      <c r="N257" s="727"/>
      <c r="O257" s="727"/>
      <c r="P257" s="727"/>
      <c r="Q257" s="727"/>
      <c r="R257" s="727"/>
    </row>
    <row r="258" spans="1:18" s="700" customFormat="1" hidden="1">
      <c r="A258" s="683"/>
      <c r="B258" s="681" t="s">
        <v>2010</v>
      </c>
      <c r="C258" s="1186"/>
      <c r="D258" s="1186"/>
      <c r="E258" s="1186"/>
      <c r="F258" s="1186"/>
      <c r="G258" s="1186"/>
      <c r="H258" s="1186"/>
      <c r="I258" s="1186"/>
      <c r="J258" s="764"/>
      <c r="K258" s="764"/>
      <c r="L258" s="727"/>
      <c r="M258" s="727"/>
      <c r="N258" s="727"/>
      <c r="O258" s="727"/>
      <c r="P258" s="727"/>
      <c r="Q258" s="727"/>
      <c r="R258" s="727"/>
    </row>
    <row r="259" spans="1:18" s="700" customFormat="1" hidden="1">
      <c r="A259" s="683"/>
      <c r="B259" s="943" t="s">
        <v>402</v>
      </c>
      <c r="C259" s="1186"/>
      <c r="D259" s="1186"/>
      <c r="E259" s="1186"/>
      <c r="F259" s="1186"/>
      <c r="G259" s="1186"/>
      <c r="H259" s="1186"/>
      <c r="I259" s="1186"/>
      <c r="J259" s="764">
        <f>J144</f>
        <v>2264632</v>
      </c>
      <c r="K259" s="764">
        <f>J188</f>
        <v>2152799</v>
      </c>
      <c r="L259" s="727"/>
      <c r="M259" s="727"/>
      <c r="N259" s="727"/>
      <c r="O259" s="727"/>
      <c r="P259" s="727"/>
      <c r="Q259" s="727"/>
      <c r="R259" s="727"/>
    </row>
    <row r="260" spans="1:18" s="700" customFormat="1" hidden="1">
      <c r="A260" s="683"/>
      <c r="B260" s="1186"/>
      <c r="C260" s="1186"/>
      <c r="D260" s="1186"/>
      <c r="E260" s="1186"/>
      <c r="F260" s="1186"/>
      <c r="G260" s="1186"/>
      <c r="H260" s="1186"/>
      <c r="I260" s="1186"/>
      <c r="J260" s="1186"/>
      <c r="K260" s="1186"/>
      <c r="L260" s="727"/>
      <c r="M260" s="727"/>
      <c r="N260" s="727"/>
      <c r="O260" s="727"/>
      <c r="P260" s="727"/>
      <c r="Q260" s="727"/>
      <c r="R260" s="727"/>
    </row>
    <row r="261" spans="1:18">
      <c r="A261" s="683">
        <f>+A7+1</f>
        <v>29</v>
      </c>
      <c r="B261" s="681" t="s">
        <v>2948</v>
      </c>
      <c r="L261" s="727"/>
      <c r="M261" s="727"/>
      <c r="N261" s="727"/>
      <c r="O261" s="727"/>
      <c r="P261" s="727"/>
      <c r="Q261" s="727"/>
      <c r="R261" s="727"/>
    </row>
    <row r="262" spans="1:18">
      <c r="J262" s="684" t="s">
        <v>1872</v>
      </c>
      <c r="K262" s="684" t="s">
        <v>1872</v>
      </c>
      <c r="L262" s="727"/>
      <c r="M262" s="727"/>
      <c r="N262" s="727"/>
      <c r="O262" s="727"/>
      <c r="P262" s="727"/>
      <c r="Q262" s="727"/>
      <c r="R262" s="727"/>
    </row>
    <row r="263" spans="1:18">
      <c r="B263" s="711"/>
      <c r="C263" s="711"/>
      <c r="D263" s="711"/>
      <c r="E263" s="711"/>
      <c r="F263" s="711"/>
      <c r="G263" s="711"/>
      <c r="H263" s="711"/>
      <c r="I263" s="711"/>
      <c r="J263" s="760">
        <f>BS!$G$7</f>
        <v>45747</v>
      </c>
      <c r="K263" s="760">
        <f>BS!$I$7</f>
        <v>45382</v>
      </c>
      <c r="L263" s="727"/>
      <c r="M263" s="727"/>
      <c r="N263" s="727"/>
      <c r="O263" s="727"/>
      <c r="P263" s="727"/>
      <c r="Q263" s="727"/>
      <c r="R263" s="727"/>
    </row>
    <row r="264" spans="1:18" ht="3" customHeight="1">
      <c r="L264" s="727"/>
      <c r="M264" s="727"/>
      <c r="N264" s="727"/>
      <c r="O264" s="727"/>
      <c r="P264" s="727"/>
      <c r="Q264" s="727"/>
      <c r="R264" s="727"/>
    </row>
    <row r="265" spans="1:18">
      <c r="B265" s="1160" t="s">
        <v>2927</v>
      </c>
      <c r="D265" s="701"/>
      <c r="E265" s="701"/>
      <c r="J265" s="1285">
        <f>+PL!F37</f>
        <v>-49022014</v>
      </c>
      <c r="K265" s="764">
        <f>+PL!H37</f>
        <v>41395539</v>
      </c>
      <c r="L265" s="727"/>
      <c r="M265" s="727"/>
      <c r="N265" s="727"/>
      <c r="O265" s="727"/>
      <c r="P265" s="727"/>
      <c r="Q265" s="727"/>
      <c r="R265" s="727"/>
    </row>
    <row r="266" spans="1:18">
      <c r="B266" s="701" t="s">
        <v>447</v>
      </c>
      <c r="D266" s="701"/>
      <c r="E266" s="701"/>
      <c r="J266" s="1285">
        <v>10000</v>
      </c>
      <c r="K266" s="764">
        <v>10000</v>
      </c>
      <c r="L266" s="727"/>
      <c r="M266" s="727"/>
      <c r="N266" s="727"/>
      <c r="O266" s="727"/>
      <c r="P266" s="727"/>
      <c r="Q266" s="727"/>
      <c r="R266" s="727"/>
    </row>
    <row r="267" spans="1:18">
      <c r="B267" s="1160" t="s">
        <v>1983</v>
      </c>
      <c r="D267" s="701"/>
      <c r="E267" s="701"/>
      <c r="J267" s="1285">
        <f>+J265/J266*Master!$B$23</f>
        <v>-4902.2013999999999</v>
      </c>
      <c r="K267" s="764">
        <f>+K265/K266*Master!$B$23</f>
        <v>4139.5538999999999</v>
      </c>
      <c r="L267" s="727"/>
      <c r="M267" s="727"/>
      <c r="N267" s="727"/>
      <c r="O267" s="727"/>
      <c r="P267" s="727"/>
      <c r="Q267" s="727"/>
      <c r="R267" s="727"/>
    </row>
    <row r="268" spans="1:18" ht="5.0999999999999996" customHeight="1">
      <c r="J268" s="764"/>
      <c r="K268" s="764"/>
      <c r="L268" s="727"/>
      <c r="M268" s="727"/>
      <c r="N268" s="727"/>
      <c r="O268" s="727"/>
      <c r="P268" s="727"/>
      <c r="Q268" s="727"/>
      <c r="R268" s="727"/>
    </row>
    <row r="269" spans="1:18">
      <c r="B269" s="686" t="s">
        <v>448</v>
      </c>
      <c r="L269" s="727"/>
      <c r="M269" s="727"/>
      <c r="N269" s="727"/>
    </row>
    <row r="270" spans="1:18">
      <c r="L270" s="727"/>
      <c r="M270" s="727"/>
      <c r="N270" s="727"/>
    </row>
    <row r="271" spans="1:18" hidden="1">
      <c r="A271" s="1271">
        <f>+A261+1</f>
        <v>30</v>
      </c>
      <c r="B271" s="1286" t="s">
        <v>1949</v>
      </c>
      <c r="C271" s="1286"/>
      <c r="D271" s="1284"/>
      <c r="E271" s="1284"/>
      <c r="F271" s="1284"/>
      <c r="G271" s="1284"/>
      <c r="H271" s="1284"/>
      <c r="I271" s="1284"/>
      <c r="J271" s="1284"/>
      <c r="K271" s="1284"/>
      <c r="L271" s="727"/>
      <c r="M271" s="727"/>
      <c r="N271" s="727"/>
    </row>
    <row r="272" spans="1:18" hidden="1">
      <c r="A272" s="1271"/>
      <c r="B272" s="1286"/>
      <c r="C272" s="1286"/>
      <c r="D272" s="1284"/>
      <c r="E272" s="1284"/>
      <c r="F272" s="1284"/>
      <c r="G272" s="1284"/>
      <c r="H272" s="1284"/>
      <c r="I272" s="1284"/>
      <c r="J272" s="1284"/>
      <c r="K272" s="1284"/>
      <c r="L272" s="727"/>
      <c r="M272" s="727"/>
      <c r="N272" s="727"/>
    </row>
    <row r="273" spans="1:18" hidden="1">
      <c r="A273" s="1271"/>
      <c r="B273" s="1286" t="s">
        <v>1948</v>
      </c>
      <c r="C273" s="1284"/>
      <c r="D273" s="1284"/>
      <c r="E273" s="1284"/>
      <c r="F273" s="1284"/>
      <c r="G273" s="1284"/>
      <c r="H273" s="1284"/>
      <c r="I273" s="1284"/>
      <c r="J273" s="1284"/>
      <c r="K273" s="1284"/>
      <c r="L273" s="727"/>
      <c r="M273" s="727"/>
      <c r="N273" s="727"/>
    </row>
    <row r="274" spans="1:18" ht="39.75" hidden="1" customHeight="1">
      <c r="A274" s="1271"/>
      <c r="B274" s="1885" t="s">
        <v>2257</v>
      </c>
      <c r="C274" s="1885"/>
      <c r="D274" s="1885"/>
      <c r="E274" s="1885"/>
      <c r="F274" s="1885"/>
      <c r="G274" s="1885"/>
      <c r="H274" s="1885"/>
      <c r="I274" s="1885"/>
      <c r="J274" s="1885"/>
      <c r="K274" s="1885"/>
      <c r="L274" s="727"/>
      <c r="M274" s="727"/>
      <c r="N274" s="727"/>
    </row>
    <row r="275" spans="1:18" hidden="1">
      <c r="A275" s="1271"/>
      <c r="B275" s="1284"/>
      <c r="C275" s="1284"/>
      <c r="D275" s="1284"/>
      <c r="E275" s="1284"/>
      <c r="F275" s="1284"/>
      <c r="G275" s="1284"/>
      <c r="H275" s="1284"/>
      <c r="I275" s="1284"/>
      <c r="J275" s="1287" t="s">
        <v>1872</v>
      </c>
      <c r="K275" s="1287" t="s">
        <v>1872</v>
      </c>
      <c r="L275" s="727"/>
      <c r="M275" s="727"/>
      <c r="N275" s="727"/>
    </row>
    <row r="276" spans="1:18" hidden="1">
      <c r="A276" s="1271"/>
      <c r="B276" s="1289"/>
      <c r="C276" s="1289"/>
      <c r="D276" s="1289"/>
      <c r="E276" s="1289"/>
      <c r="F276" s="1289"/>
      <c r="G276" s="1289"/>
      <c r="H276" s="1289"/>
      <c r="I276" s="1289"/>
      <c r="J276" s="1495">
        <f>BS!$G$7</f>
        <v>45747</v>
      </c>
      <c r="K276" s="1495">
        <f>BS!$I$7</f>
        <v>45382</v>
      </c>
      <c r="L276" s="727"/>
      <c r="M276" s="727"/>
      <c r="N276" s="727"/>
    </row>
    <row r="277" spans="1:18" s="713" customFormat="1" ht="3" hidden="1" customHeight="1">
      <c r="A277" s="1271"/>
      <c r="B277" s="1284"/>
      <c r="C277" s="1284"/>
      <c r="D277" s="1284"/>
      <c r="E277" s="1284"/>
      <c r="F277" s="1284"/>
      <c r="G277" s="1284"/>
      <c r="H277" s="1284"/>
      <c r="I277" s="1284"/>
      <c r="J277" s="1284"/>
      <c r="K277" s="1284"/>
      <c r="L277" s="727"/>
      <c r="M277" s="727"/>
      <c r="N277" s="727"/>
    </row>
    <row r="278" spans="1:18" hidden="1">
      <c r="A278" s="1271"/>
      <c r="B278" s="1496" t="s">
        <v>449</v>
      </c>
      <c r="C278" s="1284"/>
      <c r="D278" s="1496"/>
      <c r="E278" s="1496"/>
      <c r="F278" s="1284"/>
      <c r="G278" s="1284"/>
      <c r="H278" s="1284"/>
      <c r="I278" s="1284"/>
      <c r="J278" s="1285">
        <f>ROUND('PL Gr'!E162/Master!$B$23,0)</f>
        <v>207</v>
      </c>
      <c r="K278" s="1285">
        <f>ROUND('PL Gr'!G162/Master!$B$23,0)</f>
        <v>26385</v>
      </c>
      <c r="L278" s="727"/>
      <c r="M278" s="727"/>
      <c r="N278" s="727"/>
    </row>
    <row r="279" spans="1:18" hidden="1">
      <c r="A279" s="1271"/>
      <c r="B279" s="1497" t="s">
        <v>450</v>
      </c>
      <c r="C279" s="1284"/>
      <c r="D279" s="1498"/>
      <c r="E279" s="1498"/>
      <c r="F279" s="1284"/>
      <c r="G279" s="1284"/>
      <c r="H279" s="1284"/>
      <c r="I279" s="1284"/>
      <c r="J279" s="1285"/>
      <c r="K279" s="1285"/>
      <c r="L279" s="727"/>
      <c r="M279" s="727"/>
      <c r="N279" s="727"/>
    </row>
    <row r="280" spans="1:18" hidden="1">
      <c r="A280" s="1271"/>
      <c r="B280" s="1496" t="s">
        <v>451</v>
      </c>
      <c r="C280" s="1284"/>
      <c r="D280" s="1496"/>
      <c r="E280" s="1496"/>
      <c r="F280" s="1284"/>
      <c r="G280" s="1284"/>
      <c r="H280" s="1284"/>
      <c r="I280" s="1284"/>
      <c r="J280" s="1499">
        <f>ROUND((0)/Master!$B$23,0)</f>
        <v>0</v>
      </c>
      <c r="K280" s="1499">
        <f>ROUND(0/Master!$B$23,0)</f>
        <v>0</v>
      </c>
      <c r="L280" s="727"/>
      <c r="M280" s="727"/>
      <c r="N280" s="727"/>
    </row>
    <row r="281" spans="1:18" hidden="1">
      <c r="A281" s="1271"/>
      <c r="B281" s="1496" t="s">
        <v>452</v>
      </c>
      <c r="C281" s="1284"/>
      <c r="D281" s="1496"/>
      <c r="E281" s="1496"/>
      <c r="F281" s="1284"/>
      <c r="G281" s="1284"/>
      <c r="H281" s="1284"/>
      <c r="I281" s="1284"/>
      <c r="J281" s="1499">
        <f>ROUND((0)/Master!$B$23,0)</f>
        <v>0</v>
      </c>
      <c r="K281" s="1499">
        <f>ROUND((0)/Master!$B$23,0)</f>
        <v>0</v>
      </c>
      <c r="L281" s="742"/>
      <c r="M281" s="727"/>
      <c r="N281" s="727"/>
    </row>
    <row r="282" spans="1:18" ht="5.0999999999999996" hidden="1" customHeight="1">
      <c r="J282" s="763"/>
      <c r="K282" s="764"/>
      <c r="L282" s="727"/>
      <c r="M282" s="727"/>
      <c r="N282" s="727"/>
    </row>
    <row r="283" spans="1:18" ht="8.1" hidden="1" customHeight="1">
      <c r="L283" s="727"/>
      <c r="M283" s="727"/>
      <c r="N283" s="727"/>
    </row>
    <row r="284" spans="1:18" hidden="1">
      <c r="B284" s="683"/>
      <c r="L284" s="727"/>
      <c r="M284" s="727"/>
      <c r="N284" s="727"/>
    </row>
    <row r="285" spans="1:18" ht="10.050000000000001" hidden="1" customHeight="1">
      <c r="J285" s="763"/>
      <c r="K285" s="764"/>
      <c r="L285" s="727"/>
      <c r="M285" s="727"/>
      <c r="N285" s="727"/>
      <c r="O285" s="727"/>
      <c r="P285" s="727"/>
      <c r="Q285" s="727"/>
      <c r="R285" s="727"/>
    </row>
    <row r="286" spans="1:18" hidden="1">
      <c r="A286" s="754"/>
      <c r="L286" s="727"/>
      <c r="M286" s="727"/>
      <c r="N286" s="727"/>
      <c r="O286" s="727"/>
      <c r="P286" s="727"/>
      <c r="Q286" s="727"/>
      <c r="R286" s="727"/>
    </row>
    <row r="287" spans="1:18" hidden="1">
      <c r="A287" s="754"/>
      <c r="L287" s="727"/>
      <c r="M287" s="727"/>
      <c r="N287" s="727"/>
      <c r="O287" s="727"/>
      <c r="P287" s="727"/>
      <c r="Q287" s="727"/>
      <c r="R287" s="727"/>
    </row>
    <row r="288" spans="1:18" hidden="1">
      <c r="A288" s="748"/>
      <c r="L288" s="727"/>
      <c r="M288" s="727"/>
      <c r="N288" s="727"/>
      <c r="O288" s="727"/>
      <c r="P288" s="727"/>
      <c r="Q288" s="727"/>
      <c r="R288" s="727"/>
    </row>
    <row r="289" spans="1:18" ht="18.75" hidden="1" customHeight="1">
      <c r="A289" s="683">
        <f>A271+1</f>
        <v>31</v>
      </c>
      <c r="B289" s="681" t="s">
        <v>453</v>
      </c>
      <c r="J289" s="710"/>
      <c r="K289" s="710"/>
      <c r="L289" s="727"/>
      <c r="M289" s="727"/>
      <c r="N289" s="727"/>
      <c r="O289" s="727"/>
      <c r="P289" s="727"/>
      <c r="Q289" s="727"/>
      <c r="R289" s="727"/>
    </row>
    <row r="290" spans="1:18" ht="5.0999999999999996" hidden="1" customHeight="1">
      <c r="B290" s="681"/>
      <c r="J290" s="710"/>
      <c r="K290" s="710"/>
      <c r="L290" s="727"/>
      <c r="M290" s="727"/>
      <c r="N290" s="727"/>
      <c r="O290" s="727"/>
      <c r="P290" s="727"/>
      <c r="Q290" s="727"/>
      <c r="R290" s="727"/>
    </row>
    <row r="291" spans="1:18" hidden="1">
      <c r="B291" s="699" t="s">
        <v>454</v>
      </c>
      <c r="L291" s="727"/>
      <c r="M291" s="727"/>
      <c r="N291" s="727"/>
      <c r="O291" s="727"/>
      <c r="P291" s="727"/>
      <c r="Q291" s="727"/>
      <c r="R291" s="727"/>
    </row>
    <row r="292" spans="1:18" ht="5.0999999999999996" hidden="1" customHeight="1">
      <c r="L292" s="727"/>
      <c r="M292" s="727"/>
      <c r="N292" s="727"/>
      <c r="O292" s="727"/>
      <c r="P292" s="727"/>
      <c r="Q292" s="727"/>
      <c r="R292" s="727"/>
    </row>
    <row r="293" spans="1:18" ht="12" hidden="1" customHeight="1">
      <c r="B293" s="890"/>
      <c r="C293" s="708"/>
      <c r="D293" s="708"/>
      <c r="E293" s="708"/>
      <c r="F293" s="708"/>
      <c r="G293" s="1886">
        <f>BS!$E$7</f>
        <v>0</v>
      </c>
      <c r="H293" s="1886"/>
      <c r="I293" s="1265"/>
      <c r="J293" s="1887">
        <f>BS!$G$7</f>
        <v>45747</v>
      </c>
      <c r="K293" s="1888"/>
      <c r="L293" s="727"/>
      <c r="M293" s="727"/>
      <c r="N293" s="727"/>
      <c r="O293" s="727"/>
      <c r="P293" s="727"/>
      <c r="Q293" s="727"/>
      <c r="R293" s="727"/>
    </row>
    <row r="294" spans="1:18" s="713" customFormat="1" ht="39.6" hidden="1">
      <c r="A294" s="685"/>
      <c r="B294" s="945"/>
      <c r="C294" s="940"/>
      <c r="D294" s="940"/>
      <c r="E294" s="940"/>
      <c r="F294" s="940"/>
      <c r="G294" s="858" t="s">
        <v>455</v>
      </c>
      <c r="H294" s="858" t="s">
        <v>456</v>
      </c>
      <c r="I294" s="858"/>
      <c r="J294" s="946" t="s">
        <v>457</v>
      </c>
      <c r="K294" s="947" t="s">
        <v>258</v>
      </c>
      <c r="L294" s="727"/>
      <c r="M294" s="727"/>
      <c r="N294" s="727"/>
      <c r="O294" s="727"/>
      <c r="P294" s="727"/>
      <c r="Q294" s="727"/>
      <c r="R294" s="727"/>
    </row>
    <row r="295" spans="1:18" ht="5.0999999999999996" hidden="1" customHeight="1">
      <c r="B295" s="861"/>
      <c r="G295" s="681"/>
      <c r="H295" s="681"/>
      <c r="I295" s="681"/>
      <c r="K295" s="860"/>
      <c r="L295" s="727"/>
      <c r="M295" s="727"/>
      <c r="N295" s="727"/>
      <c r="O295" s="727"/>
      <c r="P295" s="727"/>
      <c r="Q295" s="727"/>
      <c r="R295" s="727"/>
    </row>
    <row r="296" spans="1:18" ht="14.1" hidden="1" customHeight="1">
      <c r="B296" s="859" t="s">
        <v>458</v>
      </c>
      <c r="G296" s="867"/>
      <c r="H296" s="867"/>
      <c r="I296" s="867"/>
      <c r="J296" s="873"/>
      <c r="K296" s="877"/>
      <c r="L296" s="727"/>
      <c r="M296" s="727"/>
      <c r="N296" s="727"/>
      <c r="O296" s="727"/>
      <c r="P296" s="727"/>
      <c r="Q296" s="727"/>
      <c r="R296" s="727"/>
    </row>
    <row r="297" spans="1:18" ht="14.1" hidden="1" customHeight="1">
      <c r="B297" s="861" t="s">
        <v>459</v>
      </c>
      <c r="G297" s="867">
        <f>+ROUND(424503/Master!$B$23,0)</f>
        <v>424503</v>
      </c>
      <c r="H297" s="867">
        <f>+ROUND(27210665/Master!$B$23,0)</f>
        <v>27210665</v>
      </c>
      <c r="I297" s="867"/>
      <c r="J297" s="873">
        <f>+ROUND(346181/Master!$B$23,0)</f>
        <v>346181</v>
      </c>
      <c r="K297" s="877">
        <f>+ROUND(22820225/Master!$B$23,0)</f>
        <v>22820225</v>
      </c>
      <c r="L297" s="727"/>
      <c r="M297" s="727"/>
      <c r="N297" s="727"/>
      <c r="O297" s="727"/>
      <c r="P297" s="727"/>
      <c r="Q297" s="727"/>
      <c r="R297" s="727"/>
    </row>
    <row r="298" spans="1:18" ht="14.1" hidden="1" customHeight="1">
      <c r="B298" s="861" t="s">
        <v>460</v>
      </c>
      <c r="G298" s="867">
        <f>+ROUND(0/Master!$B$23,0)</f>
        <v>0</v>
      </c>
      <c r="H298" s="867">
        <f>+ROUND(0/Master!$B$23,0)</f>
        <v>0</v>
      </c>
      <c r="I298" s="867"/>
      <c r="J298" s="873">
        <f>+ROUND(0/Master!$B$23,0)</f>
        <v>0</v>
      </c>
      <c r="K298" s="877">
        <f>+ROUND(0/Master!$B$23,0)</f>
        <v>0</v>
      </c>
      <c r="L298" s="727"/>
      <c r="M298" s="727"/>
      <c r="N298" s="727"/>
      <c r="O298" s="727"/>
      <c r="P298" s="727"/>
      <c r="Q298" s="727"/>
      <c r="R298" s="727"/>
    </row>
    <row r="299" spans="1:18" s="700" customFormat="1" ht="14.1" hidden="1" customHeight="1">
      <c r="A299" s="683"/>
      <c r="B299" s="861" t="s">
        <v>461</v>
      </c>
      <c r="C299" s="699"/>
      <c r="D299" s="699"/>
      <c r="E299" s="699"/>
      <c r="F299" s="699"/>
      <c r="G299" s="867">
        <f>+ROUND(0/Master!$B$23,0)</f>
        <v>0</v>
      </c>
      <c r="H299" s="867">
        <f>+ROUND(0/Master!$B$23,0)</f>
        <v>0</v>
      </c>
      <c r="I299" s="867"/>
      <c r="J299" s="873">
        <f>+ROUND(0/Master!$B$23,0)</f>
        <v>0</v>
      </c>
      <c r="K299" s="877">
        <f>+ROUND(0/Master!$B$23,0)</f>
        <v>0</v>
      </c>
      <c r="L299" s="727"/>
      <c r="M299" s="727"/>
      <c r="N299" s="727"/>
      <c r="O299" s="727"/>
      <c r="P299" s="727"/>
      <c r="Q299" s="727"/>
      <c r="R299" s="727"/>
    </row>
    <row r="300" spans="1:18" s="700" customFormat="1" ht="14.1" hidden="1" customHeight="1">
      <c r="A300" s="683"/>
      <c r="B300" s="861" t="s">
        <v>462</v>
      </c>
      <c r="C300" s="699"/>
      <c r="D300" s="699"/>
      <c r="E300" s="699"/>
      <c r="F300" s="699"/>
      <c r="G300" s="867">
        <f>+ROUND(0/Master!$B$23,0)</f>
        <v>0</v>
      </c>
      <c r="H300" s="867">
        <f>+ROUND(0/Master!$B$23,0)</f>
        <v>0</v>
      </c>
      <c r="I300" s="867"/>
      <c r="J300" s="873">
        <f>+ROUND(0/Master!$B$23,0)</f>
        <v>0</v>
      </c>
      <c r="K300" s="877">
        <f>+ROUND(0/Master!$B$23,0)</f>
        <v>0</v>
      </c>
      <c r="L300" s="727"/>
      <c r="M300" s="727"/>
      <c r="N300" s="727"/>
      <c r="O300" s="727"/>
      <c r="P300" s="727"/>
      <c r="Q300" s="727"/>
      <c r="R300" s="727"/>
    </row>
    <row r="301" spans="1:18" s="700" customFormat="1" ht="3" hidden="1" customHeight="1">
      <c r="A301" s="683"/>
      <c r="B301" s="861"/>
      <c r="C301" s="699"/>
      <c r="D301" s="699"/>
      <c r="E301" s="699"/>
      <c r="F301" s="699"/>
      <c r="G301" s="699"/>
      <c r="H301" s="699"/>
      <c r="I301" s="699"/>
      <c r="J301" s="873"/>
      <c r="K301" s="877"/>
      <c r="L301" s="727"/>
      <c r="M301" s="727"/>
      <c r="N301" s="727"/>
      <c r="O301" s="727"/>
      <c r="P301" s="727"/>
      <c r="Q301" s="727"/>
      <c r="R301" s="727"/>
    </row>
    <row r="302" spans="1:18" s="700" customFormat="1" ht="14.1" hidden="1" customHeight="1">
      <c r="A302" s="683"/>
      <c r="B302" s="859" t="s">
        <v>463</v>
      </c>
      <c r="C302" s="699"/>
      <c r="D302" s="699"/>
      <c r="E302" s="699"/>
      <c r="F302" s="699"/>
      <c r="G302" s="699"/>
      <c r="H302" s="699"/>
      <c r="I302" s="699"/>
      <c r="J302" s="873"/>
      <c r="K302" s="877"/>
      <c r="L302" s="727"/>
      <c r="M302" s="727"/>
      <c r="N302" s="727"/>
      <c r="O302" s="727"/>
      <c r="P302" s="727"/>
      <c r="Q302" s="727"/>
      <c r="R302" s="727"/>
    </row>
    <row r="303" spans="1:18" s="700" customFormat="1" ht="14.1" hidden="1" customHeight="1">
      <c r="A303" s="683"/>
      <c r="B303" s="861" t="s">
        <v>459</v>
      </c>
      <c r="C303" s="699"/>
      <c r="D303" s="699"/>
      <c r="E303" s="699"/>
      <c r="F303" s="699"/>
      <c r="G303" s="867">
        <f>+ROUND(9378/Master!$B$23,0)</f>
        <v>9378</v>
      </c>
      <c r="H303" s="867">
        <f>+ROUND(601105/Master!$B$23,0)</f>
        <v>601105</v>
      </c>
      <c r="I303" s="867"/>
      <c r="J303" s="873">
        <f>+ROUND(31338/Master!$B$23,0)</f>
        <v>31338</v>
      </c>
      <c r="K303" s="877">
        <f>+ROUND(2065829/Master!$B$23,0)</f>
        <v>2065829</v>
      </c>
      <c r="L303" s="727"/>
      <c r="M303" s="727"/>
      <c r="N303" s="727"/>
      <c r="O303" s="727"/>
      <c r="P303" s="727"/>
      <c r="Q303" s="727"/>
      <c r="R303" s="727"/>
    </row>
    <row r="304" spans="1:18" s="700" customFormat="1" ht="14.1" hidden="1" customHeight="1">
      <c r="A304" s="683"/>
      <c r="B304" s="861" t="s">
        <v>460</v>
      </c>
      <c r="C304" s="699"/>
      <c r="D304" s="699"/>
      <c r="E304" s="699"/>
      <c r="F304" s="699"/>
      <c r="G304" s="867">
        <f>+ROUND(4559468/Master!$B$23,0)</f>
        <v>4559468</v>
      </c>
      <c r="H304" s="867">
        <f>+ROUND(230298728.68/Master!$B$23,0)</f>
        <v>230298729</v>
      </c>
      <c r="I304" s="867"/>
      <c r="J304" s="873">
        <f>+ROUND(4559468/Master!$B$23,0)</f>
        <v>4559468</v>
      </c>
      <c r="K304" s="877">
        <f>+ROUND(230298728.68/Master!$B$23,0)</f>
        <v>230298729</v>
      </c>
      <c r="L304" s="727"/>
      <c r="M304" s="727"/>
      <c r="N304" s="727"/>
      <c r="O304" s="727"/>
      <c r="P304" s="727"/>
      <c r="Q304" s="727"/>
      <c r="R304" s="727"/>
    </row>
    <row r="305" spans="1:18" s="700" customFormat="1" ht="14.1" hidden="1" customHeight="1">
      <c r="A305" s="683"/>
      <c r="B305" s="861" t="s">
        <v>461</v>
      </c>
      <c r="C305" s="699"/>
      <c r="D305" s="699"/>
      <c r="E305" s="699"/>
      <c r="F305" s="699"/>
      <c r="G305" s="867">
        <f>+ROUND(3620424/Master!$B$23,0)</f>
        <v>3620424</v>
      </c>
      <c r="H305" s="867">
        <f>+ROUND(341297370.48/Master!$B$23,0)</f>
        <v>341297370</v>
      </c>
      <c r="I305" s="867"/>
      <c r="J305" s="873">
        <f>+ROUND(3620424/Master!$B$23,0)</f>
        <v>3620424</v>
      </c>
      <c r="K305" s="877">
        <f>+ROUND(341297370.48/Master!$B$23,0)</f>
        <v>341297370</v>
      </c>
      <c r="L305" s="727"/>
      <c r="M305" s="727"/>
      <c r="N305" s="727"/>
      <c r="O305" s="727"/>
      <c r="P305" s="727"/>
      <c r="Q305" s="727"/>
      <c r="R305" s="727"/>
    </row>
    <row r="306" spans="1:18" s="700" customFormat="1" ht="14.1" hidden="1" customHeight="1">
      <c r="A306" s="683"/>
      <c r="B306" s="861" t="s">
        <v>462</v>
      </c>
      <c r="C306" s="699"/>
      <c r="D306" s="699"/>
      <c r="E306" s="699"/>
      <c r="F306" s="699"/>
      <c r="G306" s="867">
        <f>+ROUND(79526/Master!$B$23,0)</f>
        <v>79526</v>
      </c>
      <c r="H306" s="867">
        <f>+ROUND(5897648.16/Master!$B$23,0)</f>
        <v>5897648</v>
      </c>
      <c r="I306" s="867"/>
      <c r="J306" s="873">
        <f>+ROUND(79526/Master!$B$23,0)</f>
        <v>79526</v>
      </c>
      <c r="K306" s="877">
        <f>+ROUND(5897648.16/Master!$B$23,0)</f>
        <v>5897648</v>
      </c>
      <c r="L306" s="727"/>
      <c r="M306" s="727"/>
      <c r="N306" s="727"/>
      <c r="O306" s="727"/>
      <c r="P306" s="727"/>
      <c r="Q306" s="727"/>
      <c r="R306" s="727"/>
    </row>
    <row r="307" spans="1:18" s="700" customFormat="1" ht="14.1" hidden="1" customHeight="1">
      <c r="A307" s="683"/>
      <c r="B307" s="861" t="s">
        <v>464</v>
      </c>
      <c r="C307" s="699"/>
      <c r="D307" s="699"/>
      <c r="E307" s="699"/>
      <c r="F307" s="699"/>
      <c r="G307" s="867">
        <f>+ROUND(228984/Master!$B$23,0)</f>
        <v>228984</v>
      </c>
      <c r="H307" s="867">
        <f>+ROUND(234068.752121209/Master!$B$23,0)</f>
        <v>234069</v>
      </c>
      <c r="I307" s="867"/>
      <c r="J307" s="873">
        <f>+ROUND(228984/Master!$B$23,0)</f>
        <v>228984</v>
      </c>
      <c r="K307" s="877">
        <f>+ROUND(234068.752121209/Master!$B$23,0)</f>
        <v>234069</v>
      </c>
      <c r="L307" s="727"/>
      <c r="M307" s="727"/>
      <c r="N307" s="727"/>
      <c r="O307" s="727"/>
      <c r="P307" s="727"/>
      <c r="Q307" s="727"/>
      <c r="R307" s="727"/>
    </row>
    <row r="308" spans="1:18" s="700" customFormat="1" ht="14.1" hidden="1" customHeight="1">
      <c r="A308" s="683"/>
      <c r="B308" s="861" t="s">
        <v>465</v>
      </c>
      <c r="C308" s="699"/>
      <c r="D308" s="699"/>
      <c r="E308" s="699"/>
      <c r="F308" s="699"/>
      <c r="G308" s="867">
        <f>+ROUND(0/Master!$B$23,0)</f>
        <v>0</v>
      </c>
      <c r="H308" s="867">
        <f>+ROUND(0/Master!$B$23,0)</f>
        <v>0</v>
      </c>
      <c r="I308" s="867"/>
      <c r="J308" s="873">
        <f>+ROUND(0/Master!$B$23,0)</f>
        <v>0</v>
      </c>
      <c r="K308" s="877">
        <f>+ROUND(0/Master!$B$23,0)</f>
        <v>0</v>
      </c>
      <c r="L308" s="727"/>
      <c r="M308" s="727"/>
      <c r="N308" s="727"/>
      <c r="O308" s="727"/>
      <c r="P308" s="727"/>
      <c r="Q308" s="727"/>
      <c r="R308" s="727"/>
    </row>
    <row r="309" spans="1:18" s="700" customFormat="1" ht="14.1" hidden="1" customHeight="1">
      <c r="A309" s="683"/>
      <c r="B309" s="861" t="s">
        <v>466</v>
      </c>
      <c r="C309" s="699" t="s">
        <v>467</v>
      </c>
      <c r="D309" s="699"/>
      <c r="E309" s="699"/>
      <c r="F309" s="699"/>
      <c r="G309" s="867">
        <f>+ROUND(18498/Master!$B$23,0)</f>
        <v>18498</v>
      </c>
      <c r="H309" s="867">
        <f>+ROUND(926749.8/Master!$B$23,0)</f>
        <v>926750</v>
      </c>
      <c r="I309" s="867"/>
      <c r="J309" s="873">
        <f>+ROUND(18498/Master!$B$23,0)</f>
        <v>18498</v>
      </c>
      <c r="K309" s="877">
        <f>+ROUND(926749.8/Master!$B$23,0)</f>
        <v>926750</v>
      </c>
      <c r="L309" s="727"/>
      <c r="M309" s="727"/>
      <c r="N309" s="727"/>
      <c r="O309" s="727"/>
      <c r="P309" s="727"/>
      <c r="Q309" s="727"/>
      <c r="R309" s="727"/>
    </row>
    <row r="310" spans="1:18" s="700" customFormat="1" ht="3" hidden="1" customHeight="1">
      <c r="A310" s="683"/>
      <c r="B310" s="948"/>
      <c r="C310" s="949"/>
      <c r="D310" s="949"/>
      <c r="E310" s="949"/>
      <c r="F310" s="949"/>
      <c r="G310" s="950"/>
      <c r="H310" s="950"/>
      <c r="I310" s="950"/>
      <c r="J310" s="873"/>
      <c r="K310" s="877"/>
      <c r="L310" s="727"/>
      <c r="M310" s="727"/>
      <c r="N310" s="727"/>
      <c r="O310" s="727"/>
      <c r="P310" s="727"/>
      <c r="Q310" s="727"/>
      <c r="R310" s="727"/>
    </row>
    <row r="311" spans="1:18" s="700" customFormat="1" ht="14.1" hidden="1" customHeight="1">
      <c r="A311" s="683"/>
      <c r="B311" s="859" t="s">
        <v>436</v>
      </c>
      <c r="C311" s="699"/>
      <c r="D311" s="699"/>
      <c r="E311" s="699"/>
      <c r="F311" s="699"/>
      <c r="G311" s="867"/>
      <c r="H311" s="867"/>
      <c r="I311" s="867"/>
      <c r="J311" s="873"/>
      <c r="K311" s="877"/>
      <c r="L311" s="727"/>
      <c r="M311" s="727"/>
      <c r="N311" s="727"/>
      <c r="O311" s="727"/>
      <c r="P311" s="727"/>
      <c r="Q311" s="727"/>
      <c r="R311" s="727"/>
    </row>
    <row r="312" spans="1:18" s="700" customFormat="1" ht="14.1" hidden="1" customHeight="1">
      <c r="A312" s="683"/>
      <c r="B312" s="861" t="s">
        <v>459</v>
      </c>
      <c r="C312" s="699"/>
      <c r="D312" s="699"/>
      <c r="E312" s="699"/>
      <c r="F312" s="699"/>
      <c r="G312" s="867">
        <v>11160018</v>
      </c>
      <c r="H312" s="867">
        <v>735668396</v>
      </c>
      <c r="I312" s="867"/>
      <c r="J312" s="873">
        <v>4198514</v>
      </c>
      <c r="K312" s="877">
        <v>261231537</v>
      </c>
      <c r="L312" s="727"/>
      <c r="M312" s="727"/>
      <c r="N312" s="727"/>
      <c r="O312" s="727"/>
      <c r="P312" s="727"/>
      <c r="Q312" s="727"/>
      <c r="R312" s="727"/>
    </row>
    <row r="313" spans="1:18" s="700" customFormat="1" ht="14.1" hidden="1" customHeight="1">
      <c r="A313" s="683"/>
      <c r="B313" s="861" t="s">
        <v>460</v>
      </c>
      <c r="C313" s="699" t="s">
        <v>467</v>
      </c>
      <c r="D313" s="699"/>
      <c r="E313" s="699"/>
      <c r="F313" s="699"/>
      <c r="G313" s="867">
        <v>52334</v>
      </c>
      <c r="H313" s="867">
        <v>2643397</v>
      </c>
      <c r="I313" s="867"/>
      <c r="J313" s="873">
        <v>5444</v>
      </c>
      <c r="K313" s="877">
        <v>265675</v>
      </c>
      <c r="L313" s="727"/>
      <c r="M313" s="727"/>
      <c r="N313" s="727"/>
      <c r="O313" s="727"/>
      <c r="P313" s="727"/>
      <c r="Q313" s="727"/>
      <c r="R313" s="727"/>
    </row>
    <row r="314" spans="1:18" s="700" customFormat="1" ht="14.1" hidden="1" customHeight="1">
      <c r="A314" s="683"/>
      <c r="B314" s="861" t="s">
        <v>461</v>
      </c>
      <c r="C314" s="699"/>
      <c r="D314" s="699"/>
      <c r="E314" s="699"/>
      <c r="F314" s="699"/>
      <c r="G314" s="867">
        <v>466820</v>
      </c>
      <c r="H314" s="867">
        <v>44007166</v>
      </c>
      <c r="I314" s="867"/>
      <c r="J314" s="873">
        <v>283273</v>
      </c>
      <c r="K314" s="877">
        <v>25953459</v>
      </c>
      <c r="L314" s="727"/>
      <c r="M314" s="727"/>
      <c r="N314" s="727"/>
      <c r="O314" s="727"/>
      <c r="P314" s="727"/>
      <c r="Q314" s="727"/>
      <c r="R314" s="727"/>
    </row>
    <row r="315" spans="1:18" ht="14.1" hidden="1" customHeight="1">
      <c r="B315" s="861" t="s">
        <v>462</v>
      </c>
      <c r="C315" s="699" t="s">
        <v>467</v>
      </c>
      <c r="G315" s="867">
        <v>40006</v>
      </c>
      <c r="H315" s="867">
        <v>2966857</v>
      </c>
      <c r="I315" s="867"/>
      <c r="J315" s="873">
        <v>3984</v>
      </c>
      <c r="K315" s="877">
        <v>266481</v>
      </c>
      <c r="L315" s="727"/>
      <c r="M315" s="727"/>
      <c r="N315" s="727"/>
      <c r="O315" s="727"/>
      <c r="P315" s="727"/>
      <c r="Q315" s="727"/>
      <c r="R315" s="727"/>
    </row>
    <row r="316" spans="1:18" hidden="1">
      <c r="B316" s="861" t="s">
        <v>466</v>
      </c>
      <c r="G316" s="867">
        <v>83275</v>
      </c>
      <c r="H316" s="867">
        <v>4172101</v>
      </c>
      <c r="I316" s="867"/>
      <c r="J316" s="873">
        <v>73031</v>
      </c>
      <c r="K316" s="877">
        <v>3441972</v>
      </c>
      <c r="L316" s="727"/>
      <c r="M316" s="727"/>
      <c r="N316" s="727"/>
      <c r="O316" s="727"/>
      <c r="P316" s="727"/>
      <c r="Q316" s="727"/>
      <c r="R316" s="727"/>
    </row>
    <row r="317" spans="1:18" hidden="1">
      <c r="B317" s="861" t="s">
        <v>465</v>
      </c>
      <c r="C317" s="699" t="s">
        <v>467</v>
      </c>
      <c r="G317" s="867">
        <v>6347</v>
      </c>
      <c r="H317" s="867">
        <v>308785</v>
      </c>
      <c r="I317" s="867"/>
      <c r="J317" s="873">
        <v>6347</v>
      </c>
      <c r="K317" s="877">
        <v>286189</v>
      </c>
      <c r="L317" s="727"/>
      <c r="M317" s="727"/>
      <c r="N317" s="727"/>
      <c r="O317" s="727"/>
      <c r="P317" s="727"/>
      <c r="Q317" s="727"/>
      <c r="R317" s="727"/>
    </row>
    <row r="318" spans="1:18" hidden="1">
      <c r="B318" s="861" t="s">
        <v>468</v>
      </c>
      <c r="C318" s="699" t="s">
        <v>467</v>
      </c>
      <c r="G318" s="867">
        <v>0</v>
      </c>
      <c r="H318" s="867">
        <v>57631</v>
      </c>
      <c r="I318" s="867"/>
      <c r="J318" s="873">
        <v>0</v>
      </c>
      <c r="K318" s="877">
        <v>0</v>
      </c>
      <c r="L318" s="727"/>
      <c r="M318" s="727"/>
      <c r="N318" s="727"/>
      <c r="O318" s="727"/>
      <c r="P318" s="727"/>
      <c r="Q318" s="727"/>
      <c r="R318" s="727"/>
    </row>
    <row r="319" spans="1:18" ht="3" hidden="1" customHeight="1">
      <c r="B319" s="861"/>
      <c r="G319" s="867"/>
      <c r="H319" s="867"/>
      <c r="I319" s="867"/>
      <c r="J319" s="873"/>
      <c r="K319" s="877"/>
      <c r="L319" s="727"/>
      <c r="M319" s="727"/>
      <c r="N319" s="727"/>
      <c r="O319" s="727"/>
      <c r="P319" s="727"/>
      <c r="Q319" s="727"/>
      <c r="R319" s="727"/>
    </row>
    <row r="320" spans="1:18" ht="14.1" hidden="1" customHeight="1">
      <c r="B320" s="859" t="s">
        <v>27</v>
      </c>
      <c r="G320" s="867"/>
      <c r="H320" s="867"/>
      <c r="I320" s="867"/>
      <c r="J320" s="873"/>
      <c r="K320" s="877"/>
      <c r="L320" s="727"/>
      <c r="M320" s="727"/>
      <c r="N320" s="727"/>
      <c r="O320" s="727"/>
      <c r="P320" s="727"/>
      <c r="Q320" s="727"/>
      <c r="R320" s="727"/>
    </row>
    <row r="321" spans="1:18" ht="14.1" hidden="1" customHeight="1">
      <c r="B321" s="861" t="s">
        <v>459</v>
      </c>
      <c r="G321" s="867">
        <v>470693896</v>
      </c>
      <c r="H321" s="867">
        <v>36316235</v>
      </c>
      <c r="I321" s="867"/>
      <c r="J321" s="873">
        <v>134963044</v>
      </c>
      <c r="K321" s="877">
        <v>8397400569</v>
      </c>
      <c r="L321" s="727"/>
      <c r="M321" s="727"/>
      <c r="N321" s="727"/>
      <c r="O321" s="727"/>
      <c r="P321" s="727"/>
      <c r="Q321" s="727"/>
      <c r="R321" s="727"/>
    </row>
    <row r="322" spans="1:18" ht="14.1" hidden="1" customHeight="1">
      <c r="B322" s="861" t="s">
        <v>460</v>
      </c>
      <c r="G322" s="867">
        <v>7266920</v>
      </c>
      <c r="H322" s="867">
        <v>0</v>
      </c>
      <c r="I322" s="867"/>
      <c r="J322" s="873">
        <v>1585754</v>
      </c>
      <c r="K322" s="877">
        <v>77384807</v>
      </c>
      <c r="L322" s="727"/>
      <c r="M322" s="727"/>
      <c r="N322" s="727"/>
      <c r="O322" s="727"/>
      <c r="P322" s="727"/>
      <c r="Q322" s="727"/>
      <c r="R322" s="727"/>
    </row>
    <row r="323" spans="1:18" ht="5.0999999999999996" hidden="1" customHeight="1">
      <c r="B323" s="870"/>
      <c r="C323" s="711"/>
      <c r="D323" s="711"/>
      <c r="E323" s="711"/>
      <c r="F323" s="711"/>
      <c r="G323" s="871"/>
      <c r="H323" s="871"/>
      <c r="I323" s="871"/>
      <c r="J323" s="874"/>
      <c r="K323" s="868"/>
      <c r="L323" s="727"/>
      <c r="M323" s="727"/>
      <c r="N323" s="727"/>
      <c r="O323" s="727"/>
      <c r="P323" s="727"/>
      <c r="Q323" s="727"/>
      <c r="R323" s="727"/>
    </row>
    <row r="324" spans="1:18" ht="15" hidden="1" customHeight="1">
      <c r="B324" s="1889"/>
      <c r="C324" s="1889"/>
      <c r="D324" s="1889"/>
      <c r="E324" s="1889"/>
      <c r="F324" s="1889"/>
      <c r="G324" s="1889"/>
      <c r="H324" s="1889"/>
      <c r="I324" s="1889"/>
      <c r="J324" s="1889"/>
      <c r="K324" s="1889"/>
      <c r="L324" s="727"/>
      <c r="M324" s="727"/>
      <c r="N324" s="727"/>
      <c r="O324" s="727"/>
      <c r="P324" s="727"/>
      <c r="Q324" s="727"/>
      <c r="R324" s="727"/>
    </row>
    <row r="325" spans="1:18" hidden="1">
      <c r="A325" s="754"/>
      <c r="L325" s="727"/>
      <c r="M325" s="727"/>
      <c r="N325" s="727"/>
      <c r="O325" s="727"/>
      <c r="P325" s="727"/>
      <c r="Q325" s="727"/>
      <c r="R325" s="727"/>
    </row>
    <row r="326" spans="1:18" hidden="1">
      <c r="A326" s="754"/>
      <c r="L326" s="727"/>
      <c r="M326" s="727"/>
      <c r="N326" s="727"/>
      <c r="O326" s="727"/>
      <c r="P326" s="727"/>
      <c r="Q326" s="727"/>
      <c r="R326" s="727"/>
    </row>
    <row r="327" spans="1:18" hidden="1">
      <c r="A327" s="748"/>
      <c r="L327" s="727"/>
      <c r="M327" s="727"/>
      <c r="N327" s="727"/>
      <c r="O327" s="727"/>
      <c r="P327" s="727"/>
      <c r="Q327" s="727"/>
      <c r="R327" s="727"/>
    </row>
    <row r="328" spans="1:18" hidden="1">
      <c r="A328" s="683">
        <f>+A289+1</f>
        <v>32</v>
      </c>
      <c r="B328" s="681" t="s">
        <v>469</v>
      </c>
      <c r="C328" s="681"/>
      <c r="L328" s="727"/>
      <c r="M328" s="727"/>
      <c r="N328" s="727"/>
      <c r="O328" s="727"/>
      <c r="P328" s="727"/>
      <c r="Q328" s="727"/>
      <c r="R328" s="727"/>
    </row>
    <row r="329" spans="1:18" ht="5.0999999999999996" hidden="1" customHeight="1">
      <c r="L329" s="727"/>
      <c r="M329" s="727"/>
      <c r="N329" s="727"/>
      <c r="O329" s="727"/>
      <c r="P329" s="727"/>
      <c r="Q329" s="727"/>
      <c r="R329" s="727"/>
    </row>
    <row r="330" spans="1:18" ht="12" hidden="1" customHeight="1">
      <c r="B330" s="864"/>
      <c r="C330" s="707"/>
      <c r="D330" s="707"/>
      <c r="E330" s="707"/>
      <c r="F330" s="707"/>
      <c r="G330" s="707"/>
      <c r="H330" s="707"/>
      <c r="I330" s="707"/>
      <c r="J330" s="865">
        <f>BS!$G$7</f>
        <v>45747</v>
      </c>
      <c r="K330" s="903">
        <f>BS!$I$7</f>
        <v>45382</v>
      </c>
      <c r="L330" s="727"/>
      <c r="M330" s="727"/>
      <c r="N330" s="727"/>
      <c r="O330" s="727"/>
      <c r="P330" s="727"/>
      <c r="Q330" s="727"/>
      <c r="R330" s="727"/>
    </row>
    <row r="331" spans="1:18" ht="3" hidden="1" customHeight="1">
      <c r="B331" s="861"/>
      <c r="K331" s="860"/>
      <c r="L331" s="727"/>
      <c r="M331" s="727"/>
      <c r="N331" s="727"/>
      <c r="O331" s="727"/>
      <c r="P331" s="727"/>
      <c r="Q331" s="727"/>
      <c r="R331" s="727"/>
    </row>
    <row r="332" spans="1:18" hidden="1">
      <c r="B332" s="709" t="s">
        <v>470</v>
      </c>
      <c r="D332" s="701"/>
      <c r="E332" s="701"/>
      <c r="J332" s="763">
        <f>ROUND(('PL Gr'!E18+'PL Gr'!E21)/Master!$B$23,0)</f>
        <v>10984519</v>
      </c>
      <c r="K332" s="862">
        <f>+'Sch - PL'!G7+(('PL Gr'!G21-'PL Gr'!G14-'PL Gr'!G20)/Master!B23)</f>
        <v>14480207</v>
      </c>
      <c r="L332" s="727"/>
      <c r="M332" s="727"/>
      <c r="N332" s="727"/>
      <c r="O332" s="727"/>
      <c r="P332" s="727"/>
      <c r="Q332" s="727"/>
      <c r="R332" s="727"/>
    </row>
    <row r="333" spans="1:18" hidden="1">
      <c r="B333" s="709" t="s">
        <v>471</v>
      </c>
      <c r="D333" s="701"/>
      <c r="E333" s="701"/>
      <c r="J333" s="763">
        <f>ROUND('PL Gr'!E32/Master!$B$23,0)</f>
        <v>0</v>
      </c>
      <c r="K333" s="862">
        <f>ROUND('PL Gr'!G32/Master!$B$23,0)</f>
        <v>0</v>
      </c>
      <c r="L333" s="727"/>
      <c r="M333" s="727"/>
      <c r="N333" s="727"/>
      <c r="O333" s="727"/>
      <c r="P333" s="727"/>
      <c r="Q333" s="727"/>
      <c r="R333" s="727"/>
    </row>
    <row r="334" spans="1:18" ht="5.0999999999999996" hidden="1" customHeight="1">
      <c r="B334" s="870"/>
      <c r="C334" s="711"/>
      <c r="D334" s="711"/>
      <c r="E334" s="711"/>
      <c r="F334" s="711"/>
      <c r="G334" s="711"/>
      <c r="H334" s="711"/>
      <c r="I334" s="711"/>
      <c r="J334" s="772"/>
      <c r="K334" s="875"/>
      <c r="L334" s="727"/>
      <c r="M334" s="727"/>
      <c r="N334" s="727"/>
      <c r="O334" s="727"/>
      <c r="P334" s="727"/>
      <c r="Q334" s="727"/>
      <c r="R334" s="727"/>
    </row>
    <row r="335" spans="1:18" ht="10.050000000000001" hidden="1" customHeight="1">
      <c r="L335" s="727"/>
      <c r="M335" s="727"/>
      <c r="N335" s="727"/>
      <c r="O335" s="727"/>
      <c r="P335" s="727"/>
      <c r="Q335" s="727"/>
      <c r="R335" s="727"/>
    </row>
    <row r="336" spans="1:18" hidden="1">
      <c r="A336" s="683">
        <f>+A328+1</f>
        <v>33</v>
      </c>
      <c r="B336" s="681" t="s">
        <v>472</v>
      </c>
      <c r="C336" s="681"/>
      <c r="L336" s="727"/>
      <c r="M336" s="727"/>
      <c r="N336" s="727"/>
      <c r="O336" s="727"/>
      <c r="P336" s="727"/>
      <c r="Q336" s="727"/>
      <c r="R336" s="727"/>
    </row>
    <row r="337" spans="1:18" ht="5.0999999999999996" hidden="1" customHeight="1">
      <c r="L337" s="727"/>
      <c r="M337" s="727"/>
      <c r="N337" s="727"/>
      <c r="O337" s="727"/>
      <c r="P337" s="727"/>
      <c r="Q337" s="727"/>
      <c r="R337" s="727"/>
    </row>
    <row r="338" spans="1:18" ht="12.75" hidden="1" customHeight="1">
      <c r="B338" s="864"/>
      <c r="C338" s="707"/>
      <c r="D338" s="707"/>
      <c r="E338" s="707"/>
      <c r="F338" s="707"/>
      <c r="G338" s="707"/>
      <c r="H338" s="707"/>
      <c r="I338" s="707"/>
      <c r="J338" s="865">
        <f>BS!$E$7</f>
        <v>0</v>
      </c>
      <c r="K338" s="903">
        <f>BS!$G$7</f>
        <v>45747</v>
      </c>
      <c r="L338" s="727"/>
      <c r="M338" s="727"/>
      <c r="N338" s="727"/>
      <c r="O338" s="727"/>
      <c r="P338" s="727"/>
      <c r="Q338" s="727"/>
      <c r="R338" s="727"/>
    </row>
    <row r="339" spans="1:18" ht="3" hidden="1" customHeight="1">
      <c r="B339" s="861"/>
      <c r="K339" s="860"/>
      <c r="L339" s="727"/>
      <c r="M339" s="727"/>
      <c r="N339" s="727"/>
      <c r="O339" s="727"/>
      <c r="P339" s="727"/>
      <c r="Q339" s="727"/>
      <c r="R339" s="727"/>
    </row>
    <row r="340" spans="1:18" hidden="1">
      <c r="B340" s="709" t="s">
        <v>63</v>
      </c>
      <c r="D340" s="701"/>
      <c r="E340" s="701"/>
      <c r="J340" s="763">
        <f>ROUND(0/Master!$B$23,0)</f>
        <v>0</v>
      </c>
      <c r="K340" s="862">
        <f>ROUND(('PL Gr'!G201-'PL Gr'!G194-352000)/Master!$B$23,0)</f>
        <v>-352000</v>
      </c>
      <c r="L340" s="727"/>
      <c r="M340" s="727"/>
      <c r="N340" s="727"/>
      <c r="O340" s="727"/>
      <c r="P340" s="727"/>
      <c r="Q340" s="727"/>
      <c r="R340" s="727"/>
    </row>
    <row r="341" spans="1:18" hidden="1">
      <c r="B341" s="709" t="s">
        <v>306</v>
      </c>
      <c r="D341" s="701"/>
      <c r="E341" s="701"/>
      <c r="J341" s="763">
        <f>ROUND(0/Master!$B$23,0)</f>
        <v>0</v>
      </c>
      <c r="K341" s="862">
        <f>ROUND('PL Gr'!G351/Master!$B$23,0)</f>
        <v>0</v>
      </c>
      <c r="L341" s="727"/>
      <c r="M341" s="727"/>
      <c r="N341" s="727"/>
      <c r="O341" s="727"/>
      <c r="P341" s="727"/>
      <c r="Q341" s="727"/>
      <c r="R341" s="727"/>
    </row>
    <row r="342" spans="1:18" hidden="1">
      <c r="B342" s="709" t="s">
        <v>473</v>
      </c>
      <c r="D342" s="701"/>
      <c r="E342" s="701"/>
      <c r="J342" s="763">
        <f>ROUND(0/Master!$B$23,0)</f>
        <v>0</v>
      </c>
      <c r="K342" s="862">
        <f>ROUND('PL Gr'!G361/Master!$B$23,0)</f>
        <v>0</v>
      </c>
      <c r="L342" s="727"/>
      <c r="M342" s="727"/>
      <c r="N342" s="727"/>
      <c r="O342" s="727"/>
      <c r="P342" s="727"/>
      <c r="Q342" s="727"/>
      <c r="R342" s="727"/>
    </row>
    <row r="343" spans="1:18" hidden="1">
      <c r="B343" s="709" t="s">
        <v>64</v>
      </c>
      <c r="D343" s="701"/>
      <c r="E343" s="701"/>
      <c r="J343" s="763">
        <f>ROUND(103423.94/Master!$B$23,0)</f>
        <v>103424</v>
      </c>
      <c r="K343" s="862">
        <f>ROUND(0/Master!$B$23,0)</f>
        <v>0</v>
      </c>
      <c r="L343" s="727"/>
      <c r="M343" s="727"/>
      <c r="N343" s="727"/>
      <c r="O343" s="727"/>
      <c r="P343" s="727"/>
      <c r="Q343" s="727"/>
      <c r="R343" s="727"/>
    </row>
    <row r="344" spans="1:18" ht="5.0999999999999996" hidden="1" customHeight="1">
      <c r="B344" s="870"/>
      <c r="C344" s="711"/>
      <c r="D344" s="711"/>
      <c r="E344" s="711"/>
      <c r="F344" s="711"/>
      <c r="G344" s="711"/>
      <c r="H344" s="711"/>
      <c r="I344" s="711"/>
      <c r="J344" s="771"/>
      <c r="K344" s="875"/>
      <c r="L344" s="727"/>
      <c r="M344" s="727"/>
      <c r="N344" s="727"/>
      <c r="O344" s="727"/>
      <c r="P344" s="727"/>
      <c r="Q344" s="727"/>
      <c r="R344" s="727"/>
    </row>
    <row r="345" spans="1:18">
      <c r="A345" s="687">
        <f>+A261+1</f>
        <v>30</v>
      </c>
      <c r="B345" s="681" t="s">
        <v>474</v>
      </c>
      <c r="C345" s="812"/>
      <c r="D345" s="812"/>
      <c r="E345" s="812"/>
      <c r="F345" s="812"/>
      <c r="G345" s="812"/>
      <c r="H345" s="812"/>
      <c r="I345" s="812"/>
      <c r="J345" s="812"/>
      <c r="K345" s="812"/>
      <c r="L345" s="727"/>
      <c r="M345" s="727"/>
      <c r="N345" s="727"/>
      <c r="O345" s="727"/>
      <c r="P345" s="727"/>
      <c r="Q345" s="727"/>
      <c r="R345" s="727"/>
    </row>
    <row r="346" spans="1:18" ht="8.25" customHeight="1">
      <c r="A346" s="687"/>
      <c r="J346" s="764"/>
      <c r="K346" s="764"/>
      <c r="L346" s="727"/>
      <c r="M346" s="727"/>
      <c r="N346" s="727"/>
      <c r="O346" s="727"/>
      <c r="P346" s="727"/>
      <c r="Q346" s="727"/>
      <c r="R346" s="727"/>
    </row>
    <row r="347" spans="1:18" ht="27" customHeight="1">
      <c r="A347" s="687"/>
      <c r="B347" s="1854" t="s">
        <v>475</v>
      </c>
      <c r="C347" s="1854"/>
      <c r="D347" s="1854"/>
      <c r="E347" s="1854"/>
      <c r="F347" s="1854"/>
      <c r="G347" s="1854"/>
      <c r="H347" s="1854"/>
      <c r="I347" s="1854"/>
      <c r="J347" s="1854"/>
      <c r="K347" s="1854"/>
      <c r="L347" s="727"/>
      <c r="M347" s="727"/>
      <c r="N347" s="727"/>
      <c r="O347" s="727"/>
      <c r="P347" s="727"/>
      <c r="Q347" s="727"/>
      <c r="R347" s="727"/>
    </row>
    <row r="348" spans="1:18" ht="6.75" customHeight="1">
      <c r="A348" s="687"/>
      <c r="J348" s="764"/>
      <c r="K348" s="764"/>
      <c r="L348" s="727"/>
      <c r="M348" s="727"/>
      <c r="N348" s="727"/>
      <c r="O348" s="727"/>
      <c r="P348" s="727"/>
      <c r="Q348" s="727"/>
      <c r="R348" s="727"/>
    </row>
    <row r="349" spans="1:18" ht="15" customHeight="1">
      <c r="A349" s="687"/>
      <c r="B349" s="1854" t="s">
        <v>476</v>
      </c>
      <c r="C349" s="1854"/>
      <c r="D349" s="1854"/>
      <c r="E349" s="1854"/>
      <c r="F349" s="1854"/>
      <c r="G349" s="1854"/>
      <c r="H349" s="1854"/>
      <c r="I349" s="1854"/>
      <c r="J349" s="1854"/>
      <c r="K349" s="1854"/>
      <c r="L349" s="727"/>
      <c r="M349" s="727"/>
      <c r="N349" s="727"/>
    </row>
    <row r="350" spans="1:18" ht="26.1" customHeight="1">
      <c r="A350" s="687"/>
      <c r="B350" s="1854" t="s">
        <v>477</v>
      </c>
      <c r="C350" s="1854"/>
      <c r="D350" s="1854"/>
      <c r="E350" s="1854"/>
      <c r="F350" s="1854"/>
      <c r="G350" s="1854"/>
      <c r="H350" s="1854"/>
      <c r="I350" s="1854"/>
      <c r="J350" s="1854"/>
      <c r="K350" s="1854"/>
      <c r="L350" s="727"/>
      <c r="M350" s="727"/>
      <c r="N350" s="727"/>
    </row>
    <row r="351" spans="1:18" ht="3" customHeight="1">
      <c r="A351" s="687"/>
      <c r="J351" s="764"/>
      <c r="K351" s="764"/>
      <c r="L351" s="727"/>
      <c r="M351" s="727"/>
      <c r="N351" s="727"/>
    </row>
    <row r="352" spans="1:18" ht="90.6" customHeight="1">
      <c r="A352" s="687"/>
      <c r="B352" s="1854" t="s">
        <v>478</v>
      </c>
      <c r="C352" s="1854"/>
      <c r="D352" s="1854"/>
      <c r="E352" s="1854"/>
      <c r="F352" s="1854"/>
      <c r="G352" s="1854"/>
      <c r="H352" s="1854"/>
      <c r="I352" s="1854"/>
      <c r="J352" s="1854"/>
      <c r="K352" s="1854"/>
      <c r="L352" s="727"/>
      <c r="M352" s="727"/>
      <c r="N352" s="727"/>
    </row>
    <row r="353" spans="1:14" ht="11.1" customHeight="1">
      <c r="A353" s="687"/>
      <c r="B353" s="1061"/>
      <c r="C353" s="1061"/>
      <c r="D353" s="1061"/>
      <c r="E353" s="1061"/>
      <c r="F353" s="1061"/>
      <c r="G353" s="1061"/>
      <c r="H353" s="1061"/>
      <c r="I353" s="1061"/>
      <c r="J353" s="1061"/>
      <c r="K353" s="1061"/>
      <c r="L353" s="727"/>
      <c r="M353" s="727"/>
      <c r="N353" s="727"/>
    </row>
    <row r="354" spans="1:14">
      <c r="A354" s="687">
        <f>A345</f>
        <v>30</v>
      </c>
      <c r="B354" s="681" t="s">
        <v>2166</v>
      </c>
      <c r="J354" s="764"/>
      <c r="K354" s="764"/>
      <c r="L354" s="727"/>
      <c r="M354" s="727"/>
      <c r="N354" s="727"/>
    </row>
    <row r="355" spans="1:14" ht="15" customHeight="1">
      <c r="A355" s="957"/>
      <c r="B355" s="1770"/>
      <c r="C355" s="1770"/>
      <c r="D355" s="1770"/>
      <c r="E355" s="1770"/>
      <c r="F355" s="1770"/>
      <c r="G355" s="1874" t="s">
        <v>479</v>
      </c>
      <c r="H355" s="1866" t="s">
        <v>480</v>
      </c>
      <c r="I355" s="1866"/>
      <c r="J355" s="1866"/>
      <c r="K355" s="1866"/>
      <c r="L355" s="727"/>
      <c r="M355" s="727"/>
      <c r="N355" s="727"/>
    </row>
    <row r="356" spans="1:14">
      <c r="A356" s="957"/>
      <c r="B356" s="1770"/>
      <c r="C356" s="1770"/>
      <c r="D356" s="1770"/>
      <c r="E356" s="1770"/>
      <c r="F356" s="1770"/>
      <c r="G356" s="1890"/>
      <c r="H356" s="1867"/>
      <c r="I356" s="1867"/>
      <c r="J356" s="1867"/>
      <c r="K356" s="1867"/>
      <c r="L356" s="727"/>
      <c r="M356" s="727"/>
      <c r="N356" s="727"/>
    </row>
    <row r="357" spans="1:14" ht="26.4">
      <c r="A357" s="957"/>
      <c r="B357" s="1880"/>
      <c r="C357" s="1880"/>
      <c r="D357" s="1880"/>
      <c r="E357" s="1880"/>
      <c r="F357" s="1880"/>
      <c r="G357" s="1090" t="s">
        <v>2998</v>
      </c>
      <c r="H357" s="1063" t="s">
        <v>481</v>
      </c>
      <c r="I357" s="1063"/>
      <c r="J357" s="1063" t="s">
        <v>482</v>
      </c>
      <c r="K357" s="1063" t="s">
        <v>483</v>
      </c>
      <c r="L357" s="727"/>
      <c r="M357" s="727"/>
      <c r="N357" s="727"/>
    </row>
    <row r="358" spans="1:14" ht="5.0999999999999996" customHeight="1">
      <c r="A358" s="958"/>
      <c r="B358" s="727"/>
      <c r="C358" s="727"/>
      <c r="D358" s="727"/>
      <c r="E358" s="727"/>
      <c r="F358" s="727"/>
      <c r="G358" s="795"/>
      <c r="H358" s="795"/>
      <c r="I358" s="795"/>
      <c r="J358" s="795"/>
      <c r="K358" s="795"/>
      <c r="L358" s="727"/>
      <c r="M358" s="727"/>
      <c r="N358" s="727"/>
    </row>
    <row r="359" spans="1:14">
      <c r="A359" s="958"/>
      <c r="B359" s="812" t="s">
        <v>484</v>
      </c>
      <c r="C359" s="727"/>
      <c r="D359" s="727"/>
      <c r="E359" s="727"/>
      <c r="F359" s="727"/>
      <c r="G359" s="795"/>
      <c r="H359" s="795"/>
      <c r="I359" s="795"/>
      <c r="J359" s="795"/>
      <c r="K359" s="795"/>
      <c r="L359" s="727"/>
      <c r="M359" s="727"/>
      <c r="N359" s="727"/>
    </row>
    <row r="360" spans="1:14" ht="5.0999999999999996" customHeight="1">
      <c r="A360" s="958"/>
      <c r="B360" s="727"/>
      <c r="C360" s="727"/>
      <c r="D360" s="727"/>
      <c r="E360" s="727"/>
      <c r="F360" s="727"/>
      <c r="G360" s="795"/>
      <c r="H360" s="795"/>
      <c r="I360" s="795"/>
      <c r="J360" s="795"/>
      <c r="K360" s="795"/>
      <c r="L360" s="727"/>
      <c r="M360" s="727"/>
      <c r="N360" s="727"/>
    </row>
    <row r="361" spans="1:14">
      <c r="A361" s="958"/>
      <c r="B361" s="727" t="s">
        <v>25</v>
      </c>
      <c r="C361" s="727"/>
      <c r="D361" s="727"/>
      <c r="E361" s="727"/>
      <c r="F361" s="727"/>
      <c r="G361" s="1705">
        <f>BS!G27</f>
        <v>8607499.1199999992</v>
      </c>
      <c r="H361" s="795">
        <v>0</v>
      </c>
      <c r="I361" s="795"/>
      <c r="J361" s="795">
        <v>0</v>
      </c>
      <c r="K361" s="795">
        <v>0</v>
      </c>
      <c r="L361" s="727"/>
      <c r="M361" s="727"/>
      <c r="N361" s="727"/>
    </row>
    <row r="362" spans="1:14">
      <c r="A362" s="958"/>
      <c r="B362" s="727" t="s">
        <v>179</v>
      </c>
      <c r="C362" s="727"/>
      <c r="D362" s="727"/>
      <c r="E362" s="727"/>
      <c r="F362" s="727"/>
      <c r="G362" s="1705">
        <f>+BS!G18</f>
        <v>0</v>
      </c>
      <c r="H362" s="795">
        <v>0</v>
      </c>
      <c r="I362" s="795"/>
      <c r="J362" s="795">
        <v>0</v>
      </c>
      <c r="K362" s="802">
        <v>0</v>
      </c>
      <c r="L362" s="727"/>
      <c r="M362" s="727"/>
      <c r="N362" s="727"/>
    </row>
    <row r="363" spans="1:14">
      <c r="A363" s="958"/>
      <c r="B363" s="727" t="s">
        <v>485</v>
      </c>
      <c r="C363" s="727"/>
      <c r="D363" s="727"/>
      <c r="E363" s="727"/>
      <c r="F363" s="727"/>
      <c r="G363" s="1705">
        <f>+BS!G31</f>
        <v>5526491</v>
      </c>
      <c r="H363" s="795">
        <v>0</v>
      </c>
      <c r="I363" s="795"/>
      <c r="J363" s="795">
        <v>0</v>
      </c>
      <c r="K363" s="802">
        <v>0</v>
      </c>
      <c r="L363" s="727"/>
      <c r="M363" s="727"/>
      <c r="N363" s="727"/>
    </row>
    <row r="364" spans="1:14">
      <c r="A364" s="958"/>
      <c r="B364" s="727" t="s">
        <v>26</v>
      </c>
      <c r="C364" s="727"/>
      <c r="D364" s="727"/>
      <c r="E364" s="727"/>
      <c r="F364" s="727"/>
      <c r="G364" s="1705">
        <f>+BS!G28</f>
        <v>243659518</v>
      </c>
      <c r="H364" s="795">
        <v>0</v>
      </c>
      <c r="I364" s="795"/>
      <c r="J364" s="795">
        <v>0</v>
      </c>
      <c r="K364" s="795">
        <v>0</v>
      </c>
      <c r="L364" s="727"/>
      <c r="M364" s="727"/>
      <c r="N364" s="727"/>
    </row>
    <row r="365" spans="1:14" hidden="1">
      <c r="A365" s="958"/>
      <c r="B365" s="727" t="s">
        <v>27</v>
      </c>
      <c r="C365" s="727"/>
      <c r="D365" s="727"/>
      <c r="E365" s="727"/>
      <c r="F365" s="727"/>
      <c r="G365" s="1705">
        <f>+BS!G29</f>
        <v>0</v>
      </c>
      <c r="H365" s="795">
        <v>0</v>
      </c>
      <c r="I365" s="795"/>
      <c r="J365" s="795">
        <v>0</v>
      </c>
      <c r="K365" s="795">
        <v>0</v>
      </c>
      <c r="L365" s="727"/>
      <c r="M365" s="727"/>
      <c r="N365" s="727"/>
    </row>
    <row r="366" spans="1:14">
      <c r="A366" s="957"/>
      <c r="B366" s="1091" t="s">
        <v>173</v>
      </c>
      <c r="C366" s="1091"/>
      <c r="D366" s="1091"/>
      <c r="E366" s="1091"/>
      <c r="F366" s="1091"/>
      <c r="G366" s="1706">
        <f>+SUM(G361:G365)</f>
        <v>257793508.12</v>
      </c>
      <c r="H366" s="808">
        <f>+SUM(H361:H365)</f>
        <v>0</v>
      </c>
      <c r="I366" s="808"/>
      <c r="J366" s="808">
        <f>+SUM(J361:J365)</f>
        <v>0</v>
      </c>
      <c r="K366" s="808">
        <f>+SUM(K361:K365)</f>
        <v>0</v>
      </c>
      <c r="L366" s="727"/>
      <c r="M366" s="727"/>
      <c r="N366" s="727"/>
    </row>
    <row r="367" spans="1:14" ht="5.0999999999999996" hidden="1" customHeight="1">
      <c r="A367" s="958"/>
      <c r="B367" s="727"/>
      <c r="C367" s="727"/>
      <c r="D367" s="727"/>
      <c r="E367" s="727"/>
      <c r="F367" s="727"/>
      <c r="G367" s="795"/>
      <c r="H367" s="795"/>
      <c r="I367" s="795"/>
      <c r="J367" s="795"/>
      <c r="K367" s="795"/>
      <c r="L367" s="727"/>
      <c r="M367" s="727"/>
      <c r="N367" s="727"/>
    </row>
    <row r="368" spans="1:14" hidden="1">
      <c r="A368" s="958"/>
      <c r="B368" s="812" t="s">
        <v>486</v>
      </c>
      <c r="C368" s="727"/>
      <c r="D368" s="727"/>
      <c r="E368" s="727"/>
      <c r="F368" s="727"/>
      <c r="G368" s="795"/>
      <c r="H368" s="795"/>
      <c r="I368" s="795"/>
      <c r="J368" s="795"/>
      <c r="K368" s="795"/>
      <c r="L368" s="727"/>
      <c r="M368" s="727"/>
      <c r="N368" s="727"/>
    </row>
    <row r="369" spans="1:14" hidden="1">
      <c r="A369" s="958"/>
      <c r="B369" s="727" t="s">
        <v>487</v>
      </c>
      <c r="C369" s="727"/>
      <c r="D369" s="727"/>
      <c r="E369" s="727"/>
      <c r="F369" s="727"/>
      <c r="G369" s="802">
        <f>+BS!G26</f>
        <v>-10</v>
      </c>
      <c r="H369" s="802">
        <v>0</v>
      </c>
      <c r="I369" s="802"/>
      <c r="J369" s="802">
        <f>G369</f>
        <v>-10</v>
      </c>
      <c r="K369" s="795">
        <v>0</v>
      </c>
      <c r="L369" s="727"/>
      <c r="M369" s="727"/>
      <c r="N369" s="727"/>
    </row>
    <row r="370" spans="1:14" ht="5.0999999999999996" hidden="1" customHeight="1">
      <c r="A370" s="958"/>
      <c r="B370" s="727"/>
      <c r="C370" s="727"/>
      <c r="D370" s="727"/>
      <c r="E370" s="727"/>
      <c r="F370" s="727"/>
      <c r="G370" s="795"/>
      <c r="H370" s="795"/>
      <c r="I370" s="795"/>
      <c r="J370" s="795"/>
      <c r="K370" s="795"/>
      <c r="L370" s="727"/>
      <c r="M370" s="727"/>
      <c r="N370" s="727"/>
    </row>
    <row r="371" spans="1:14" hidden="1">
      <c r="A371" s="957"/>
      <c r="B371" s="1091" t="s">
        <v>173</v>
      </c>
      <c r="C371" s="1091"/>
      <c r="D371" s="1091"/>
      <c r="E371" s="1091"/>
      <c r="F371" s="1091"/>
      <c r="G371" s="808">
        <f>+SUM(G369:G369)</f>
        <v>-10</v>
      </c>
      <c r="H371" s="808">
        <f>+SUM(H369:H369)</f>
        <v>0</v>
      </c>
      <c r="I371" s="808"/>
      <c r="J371" s="808">
        <f>+SUM(J369:J369)</f>
        <v>-10</v>
      </c>
      <c r="K371" s="808">
        <f>+SUM(K369:K369)</f>
        <v>0</v>
      </c>
      <c r="L371" s="727"/>
      <c r="M371" s="727"/>
      <c r="N371" s="727"/>
    </row>
    <row r="372" spans="1:14">
      <c r="A372" s="958"/>
      <c r="B372" s="812" t="s">
        <v>488</v>
      </c>
      <c r="C372" s="727"/>
      <c r="D372" s="727"/>
      <c r="E372" s="727"/>
      <c r="F372" s="727"/>
      <c r="G372" s="795"/>
      <c r="H372" s="795"/>
      <c r="I372" s="795"/>
      <c r="J372" s="795"/>
      <c r="K372" s="795"/>
      <c r="L372" s="727"/>
      <c r="M372" s="727"/>
      <c r="N372" s="727"/>
    </row>
    <row r="373" spans="1:14">
      <c r="A373" s="958"/>
      <c r="B373" s="727" t="s">
        <v>46</v>
      </c>
      <c r="C373" s="727"/>
      <c r="D373" s="727"/>
      <c r="E373" s="727"/>
      <c r="F373" s="727"/>
      <c r="G373" s="1705">
        <f>+BS!G59</f>
        <v>4084430</v>
      </c>
      <c r="H373" s="795">
        <v>0</v>
      </c>
      <c r="I373" s="795"/>
      <c r="J373" s="795">
        <v>0</v>
      </c>
      <c r="K373" s="795">
        <v>0</v>
      </c>
      <c r="L373" s="727"/>
      <c r="M373" s="727"/>
      <c r="N373" s="727"/>
    </row>
    <row r="374" spans="1:14">
      <c r="A374" s="958"/>
      <c r="B374" s="727" t="s">
        <v>39</v>
      </c>
      <c r="C374" s="727"/>
      <c r="D374" s="727"/>
      <c r="E374" s="727"/>
      <c r="F374" s="727"/>
      <c r="G374" s="1705">
        <f>+BS!G47+BS!G56</f>
        <v>246681006.39768004</v>
      </c>
      <c r="H374" s="795">
        <v>0</v>
      </c>
      <c r="I374" s="795"/>
      <c r="J374" s="795">
        <v>0</v>
      </c>
      <c r="K374" s="802">
        <v>0</v>
      </c>
      <c r="L374" s="727"/>
      <c r="M374" s="727"/>
      <c r="N374" s="727"/>
    </row>
    <row r="375" spans="1:14">
      <c r="A375" s="958"/>
      <c r="B375" s="699" t="s">
        <v>2325</v>
      </c>
      <c r="C375" s="727"/>
      <c r="D375" s="727"/>
      <c r="E375" s="727"/>
      <c r="F375" s="727"/>
      <c r="G375" s="1705">
        <f>+BS!G48+BS!G60</f>
        <v>3875013</v>
      </c>
      <c r="H375" s="802">
        <v>0</v>
      </c>
      <c r="I375" s="802"/>
      <c r="J375" s="802">
        <v>0</v>
      </c>
      <c r="K375" s="802">
        <v>0</v>
      </c>
      <c r="L375" s="727"/>
      <c r="M375" s="727"/>
      <c r="N375" s="727"/>
    </row>
    <row r="376" spans="1:14">
      <c r="A376" s="958"/>
      <c r="B376" s="727" t="s">
        <v>489</v>
      </c>
      <c r="C376" s="727"/>
      <c r="D376" s="727"/>
      <c r="E376" s="727"/>
      <c r="F376" s="727"/>
      <c r="G376" s="1705">
        <f>+BS!G61</f>
        <v>574907.60231995583</v>
      </c>
      <c r="H376" s="795">
        <v>0</v>
      </c>
      <c r="I376" s="795"/>
      <c r="J376" s="795">
        <v>0</v>
      </c>
      <c r="K376" s="795">
        <v>0</v>
      </c>
      <c r="L376" s="727"/>
      <c r="M376" s="727"/>
      <c r="N376" s="727"/>
    </row>
    <row r="377" spans="1:14">
      <c r="A377" s="957"/>
      <c r="B377" s="1091" t="s">
        <v>173</v>
      </c>
      <c r="C377" s="1091"/>
      <c r="D377" s="1091"/>
      <c r="E377" s="1091"/>
      <c r="F377" s="1091"/>
      <c r="G377" s="1706">
        <f>+SUM(G373:G376)</f>
        <v>255215357</v>
      </c>
      <c r="H377" s="1092">
        <f>+SUM(H373:H376)</f>
        <v>0</v>
      </c>
      <c r="I377" s="1092"/>
      <c r="J377" s="1092">
        <f>+SUM(J373:J376)</f>
        <v>0</v>
      </c>
      <c r="K377" s="808">
        <f>+SUM(K373:K376)</f>
        <v>0</v>
      </c>
      <c r="L377" s="727"/>
      <c r="M377" s="727"/>
      <c r="N377" s="727"/>
    </row>
    <row r="378" spans="1:14" ht="5.0999999999999996" hidden="1" customHeight="1">
      <c r="A378" s="958"/>
      <c r="B378" s="727"/>
      <c r="C378" s="727"/>
      <c r="D378" s="727"/>
      <c r="E378" s="727"/>
      <c r="F378" s="727"/>
      <c r="G378" s="795"/>
      <c r="H378" s="795"/>
      <c r="I378" s="795"/>
      <c r="J378" s="795"/>
      <c r="K378" s="795"/>
      <c r="L378" s="727"/>
      <c r="M378" s="727"/>
      <c r="N378" s="727"/>
    </row>
    <row r="379" spans="1:14" hidden="1">
      <c r="A379" s="683" t="s">
        <v>1</v>
      </c>
      <c r="B379" s="727"/>
      <c r="C379" s="727"/>
      <c r="D379" s="727"/>
      <c r="E379" s="727"/>
      <c r="F379" s="727"/>
      <c r="G379" s="813"/>
      <c r="H379" s="813"/>
      <c r="I379" s="813"/>
      <c r="J379" s="813"/>
      <c r="K379" s="813"/>
      <c r="L379" s="727"/>
      <c r="M379" s="727"/>
      <c r="N379" s="727"/>
    </row>
    <row r="380" spans="1:14" hidden="1">
      <c r="A380" s="682"/>
      <c r="B380" s="727"/>
      <c r="C380" s="727"/>
      <c r="D380" s="727"/>
      <c r="E380" s="727"/>
      <c r="F380" s="727"/>
      <c r="G380" s="813"/>
      <c r="H380" s="813"/>
      <c r="I380" s="813"/>
      <c r="J380" s="813"/>
      <c r="K380" s="813"/>
      <c r="L380" s="727"/>
      <c r="M380" s="727"/>
      <c r="N380" s="727"/>
    </row>
    <row r="381" spans="1:14" hidden="1">
      <c r="A381" s="683" t="str">
        <f>'10-17'!A3</f>
        <v>Summary of material accounting policies and other explanatory information</v>
      </c>
      <c r="B381" s="727"/>
      <c r="C381" s="727"/>
      <c r="D381" s="727"/>
      <c r="E381" s="727"/>
      <c r="F381" s="727"/>
      <c r="G381" s="813"/>
      <c r="H381" s="813"/>
      <c r="I381" s="813"/>
      <c r="J381" s="813"/>
      <c r="K381" s="813"/>
      <c r="L381" s="727"/>
      <c r="M381" s="727"/>
      <c r="N381" s="727"/>
    </row>
    <row r="382" spans="1:14" hidden="1">
      <c r="A382" s="1066" t="str">
        <f>'10-17'!A4</f>
        <v>(Amounts are stated in ₹ Lakhs unless otherwise stated)</v>
      </c>
      <c r="B382" s="727"/>
      <c r="C382" s="727"/>
      <c r="D382" s="727"/>
      <c r="E382" s="727"/>
      <c r="F382" s="727"/>
      <c r="G382" s="813"/>
      <c r="H382" s="813"/>
      <c r="I382" s="813"/>
      <c r="J382" s="813"/>
      <c r="K382" s="813"/>
      <c r="L382" s="727"/>
      <c r="M382" s="727"/>
      <c r="N382" s="727"/>
    </row>
    <row r="383" spans="1:14" hidden="1">
      <c r="A383" s="958"/>
      <c r="B383" s="727"/>
      <c r="C383" s="727"/>
      <c r="D383" s="727"/>
      <c r="E383" s="727"/>
      <c r="F383" s="727"/>
      <c r="G383" s="813"/>
      <c r="H383" s="813"/>
      <c r="I383" s="813"/>
      <c r="J383" s="813"/>
      <c r="K383" s="813"/>
      <c r="L383" s="727"/>
      <c r="M383" s="727"/>
      <c r="N383" s="727"/>
    </row>
    <row r="384" spans="1:14" hidden="1">
      <c r="A384" s="958"/>
      <c r="B384" s="727"/>
      <c r="C384" s="727"/>
      <c r="D384" s="727"/>
      <c r="E384" s="727"/>
      <c r="F384" s="727"/>
      <c r="G384" s="813"/>
      <c r="H384" s="813"/>
      <c r="I384" s="813"/>
      <c r="J384" s="813"/>
      <c r="K384" s="813"/>
      <c r="L384" s="727"/>
      <c r="M384" s="727"/>
      <c r="N384" s="727"/>
    </row>
    <row r="385" spans="1:14" hidden="1">
      <c r="A385" s="958"/>
      <c r="B385" s="727"/>
      <c r="C385" s="727"/>
      <c r="D385" s="727"/>
      <c r="E385" s="727"/>
      <c r="F385" s="727"/>
      <c r="G385" s="813"/>
      <c r="H385" s="813"/>
      <c r="I385" s="813"/>
      <c r="J385" s="813"/>
      <c r="K385" s="813"/>
      <c r="L385" s="727"/>
      <c r="M385" s="727"/>
      <c r="N385" s="727"/>
    </row>
    <row r="386" spans="1:14" hidden="1">
      <c r="A386" s="958"/>
      <c r="B386" s="727"/>
      <c r="C386" s="727"/>
      <c r="D386" s="727"/>
      <c r="E386" s="727"/>
      <c r="F386" s="727"/>
      <c r="G386" s="813"/>
      <c r="H386" s="813"/>
      <c r="I386" s="813"/>
      <c r="J386" s="813"/>
      <c r="K386" s="813"/>
      <c r="L386" s="727"/>
      <c r="M386" s="727"/>
      <c r="N386" s="727"/>
    </row>
    <row r="387" spans="1:14">
      <c r="A387" s="958"/>
      <c r="B387" s="727"/>
      <c r="C387" s="727"/>
      <c r="D387" s="727"/>
      <c r="E387" s="727"/>
      <c r="F387" s="727"/>
      <c r="G387" s="813"/>
      <c r="H387" s="813"/>
      <c r="I387" s="813"/>
      <c r="J387" s="813"/>
      <c r="K387" s="813"/>
      <c r="L387" s="727"/>
      <c r="M387" s="727"/>
      <c r="N387" s="727"/>
    </row>
    <row r="388" spans="1:14">
      <c r="A388" s="957"/>
      <c r="B388" s="1770"/>
      <c r="C388" s="1770"/>
      <c r="D388" s="1770"/>
      <c r="E388" s="1770"/>
      <c r="F388" s="1770"/>
      <c r="G388" s="1874" t="s">
        <v>479</v>
      </c>
      <c r="H388" s="1866" t="s">
        <v>480</v>
      </c>
      <c r="I388" s="1866"/>
      <c r="J388" s="1866"/>
      <c r="K388" s="1866"/>
      <c r="L388" s="727"/>
      <c r="M388" s="727"/>
      <c r="N388" s="727"/>
    </row>
    <row r="389" spans="1:14">
      <c r="A389" s="957"/>
      <c r="B389" s="1770"/>
      <c r="C389" s="1770"/>
      <c r="D389" s="1770"/>
      <c r="E389" s="1770"/>
      <c r="F389" s="1770"/>
      <c r="G389" s="1890" t="s">
        <v>490</v>
      </c>
      <c r="H389" s="1867"/>
      <c r="I389" s="1867"/>
      <c r="J389" s="1867"/>
      <c r="K389" s="1867"/>
      <c r="L389" s="727"/>
      <c r="M389" s="727"/>
      <c r="N389" s="727"/>
    </row>
    <row r="390" spans="1:14" ht="26.4">
      <c r="A390" s="957"/>
      <c r="B390" s="1880"/>
      <c r="C390" s="1880"/>
      <c r="D390" s="1880"/>
      <c r="E390" s="1880"/>
      <c r="F390" s="1880"/>
      <c r="G390" s="1090" t="s">
        <v>2829</v>
      </c>
      <c r="H390" s="1063" t="s">
        <v>481</v>
      </c>
      <c r="I390" s="1063"/>
      <c r="J390" s="1063" t="s">
        <v>482</v>
      </c>
      <c r="K390" s="1063" t="s">
        <v>483</v>
      </c>
      <c r="L390" s="727"/>
      <c r="M390" s="727"/>
      <c r="N390" s="727"/>
    </row>
    <row r="391" spans="1:14">
      <c r="A391" s="958"/>
      <c r="B391" s="812" t="s">
        <v>484</v>
      </c>
      <c r="C391" s="727"/>
      <c r="D391" s="727"/>
      <c r="E391" s="727"/>
      <c r="F391" s="727"/>
      <c r="G391" s="795"/>
      <c r="H391" s="795"/>
      <c r="I391" s="795"/>
      <c r="J391" s="795"/>
      <c r="K391" s="795"/>
      <c r="L391" s="727"/>
      <c r="M391" s="727"/>
      <c r="N391" s="727"/>
    </row>
    <row r="392" spans="1:14">
      <c r="A392" s="958"/>
      <c r="B392" s="727" t="s">
        <v>25</v>
      </c>
      <c r="C392" s="727"/>
      <c r="D392" s="727"/>
      <c r="E392" s="727"/>
      <c r="F392" s="727"/>
      <c r="G392" s="1705">
        <f>+BS!I27</f>
        <v>2012487</v>
      </c>
      <c r="H392" s="802">
        <v>0</v>
      </c>
      <c r="I392" s="802"/>
      <c r="J392" s="802">
        <v>0</v>
      </c>
      <c r="K392" s="802">
        <v>0</v>
      </c>
      <c r="L392" s="727"/>
      <c r="M392" s="727"/>
      <c r="N392" s="727"/>
    </row>
    <row r="393" spans="1:14">
      <c r="A393" s="958"/>
      <c r="B393" s="727" t="s">
        <v>179</v>
      </c>
      <c r="C393" s="727"/>
      <c r="D393" s="727"/>
      <c r="E393" s="727"/>
      <c r="F393" s="727"/>
      <c r="G393" s="1705">
        <f>+BS!I18</f>
        <v>2602786</v>
      </c>
      <c r="H393" s="1093" t="s">
        <v>1942</v>
      </c>
      <c r="I393" s="1093"/>
      <c r="J393" s="802">
        <v>0</v>
      </c>
      <c r="K393" s="802">
        <v>0</v>
      </c>
      <c r="L393" s="727"/>
      <c r="M393" s="727"/>
      <c r="N393" s="727"/>
    </row>
    <row r="394" spans="1:14">
      <c r="A394" s="958"/>
      <c r="B394" s="727" t="s">
        <v>485</v>
      </c>
      <c r="C394" s="727"/>
      <c r="D394" s="727"/>
      <c r="E394" s="727"/>
      <c r="F394" s="727"/>
      <c r="G394" s="1705">
        <f>+BS!I31</f>
        <v>2678928</v>
      </c>
      <c r="H394" s="802">
        <v>0</v>
      </c>
      <c r="I394" s="802"/>
      <c r="J394" s="802">
        <v>0</v>
      </c>
      <c r="K394" s="802">
        <v>0</v>
      </c>
      <c r="L394" s="727"/>
      <c r="M394" s="727"/>
      <c r="N394" s="727"/>
    </row>
    <row r="395" spans="1:14">
      <c r="A395" s="958"/>
      <c r="B395" s="727" t="s">
        <v>26</v>
      </c>
      <c r="C395" s="727"/>
      <c r="D395" s="727"/>
      <c r="E395" s="727"/>
      <c r="F395" s="727"/>
      <c r="G395" s="1705">
        <f>+BS!I28</f>
        <v>243805184</v>
      </c>
      <c r="H395" s="802">
        <v>0</v>
      </c>
      <c r="I395" s="802"/>
      <c r="J395" s="802">
        <v>0</v>
      </c>
      <c r="K395" s="802">
        <v>0</v>
      </c>
      <c r="L395" s="727"/>
      <c r="M395" s="727"/>
      <c r="N395" s="727"/>
    </row>
    <row r="396" spans="1:14" hidden="1">
      <c r="A396" s="958"/>
      <c r="B396" s="727" t="s">
        <v>27</v>
      </c>
      <c r="C396" s="727"/>
      <c r="D396" s="727"/>
      <c r="E396" s="727"/>
      <c r="F396" s="727"/>
      <c r="G396" s="1705">
        <f>+BS!I29</f>
        <v>0</v>
      </c>
      <c r="H396" s="802">
        <v>0</v>
      </c>
      <c r="I396" s="802"/>
      <c r="J396" s="802">
        <v>0</v>
      </c>
      <c r="K396" s="802">
        <v>0</v>
      </c>
      <c r="L396" s="727"/>
      <c r="M396" s="727"/>
      <c r="N396" s="727"/>
    </row>
    <row r="397" spans="1:14">
      <c r="A397" s="957"/>
      <c r="B397" s="1091" t="s">
        <v>173</v>
      </c>
      <c r="C397" s="1091"/>
      <c r="D397" s="1091"/>
      <c r="E397" s="1091"/>
      <c r="F397" s="1091"/>
      <c r="G397" s="1706">
        <f>+SUM(G392:G396)</f>
        <v>251099385</v>
      </c>
      <c r="H397" s="808">
        <f>+SUM(H392:H396)</f>
        <v>0</v>
      </c>
      <c r="I397" s="808"/>
      <c r="J397" s="808">
        <f>+SUM(J392:J396)</f>
        <v>0</v>
      </c>
      <c r="K397" s="808">
        <f>+SUM(K392:K396)</f>
        <v>0</v>
      </c>
      <c r="L397" s="727"/>
      <c r="M397" s="727"/>
      <c r="N397" s="727"/>
    </row>
    <row r="398" spans="1:14" ht="5.0999999999999996" hidden="1" customHeight="1">
      <c r="A398" s="958"/>
      <c r="B398" s="727"/>
      <c r="C398" s="727"/>
      <c r="D398" s="727"/>
      <c r="E398" s="727"/>
      <c r="F398" s="727"/>
      <c r="G398" s="795"/>
      <c r="H398" s="795"/>
      <c r="I398" s="795"/>
      <c r="J398" s="795"/>
      <c r="K398" s="795"/>
      <c r="L398" s="727"/>
      <c r="M398" s="727"/>
      <c r="N398" s="727"/>
    </row>
    <row r="399" spans="1:14" hidden="1">
      <c r="A399" s="958"/>
      <c r="B399" s="812" t="s">
        <v>486</v>
      </c>
      <c r="C399" s="727"/>
      <c r="D399" s="727"/>
      <c r="E399" s="727"/>
      <c r="F399" s="727"/>
      <c r="G399" s="795"/>
      <c r="H399" s="795"/>
      <c r="I399" s="795"/>
      <c r="J399" s="795"/>
      <c r="K399" s="795"/>
      <c r="L399" s="727"/>
      <c r="M399" s="727"/>
      <c r="N399" s="727"/>
    </row>
    <row r="400" spans="1:14" hidden="1">
      <c r="A400" s="958"/>
      <c r="B400" s="727" t="s">
        <v>487</v>
      </c>
      <c r="C400" s="727"/>
      <c r="D400" s="727"/>
      <c r="E400" s="727"/>
      <c r="F400" s="727"/>
      <c r="G400" s="802">
        <f>+BS!I26</f>
        <v>-10</v>
      </c>
      <c r="H400" s="802">
        <v>0</v>
      </c>
      <c r="I400" s="802"/>
      <c r="J400" s="802">
        <f>G400</f>
        <v>-10</v>
      </c>
      <c r="K400" s="802">
        <v>0</v>
      </c>
      <c r="L400" s="727"/>
      <c r="M400" s="727"/>
      <c r="N400" s="727"/>
    </row>
    <row r="401" spans="1:14" ht="5.0999999999999996" hidden="1" customHeight="1">
      <c r="A401" s="958"/>
      <c r="B401" s="727"/>
      <c r="C401" s="727"/>
      <c r="D401" s="727"/>
      <c r="E401" s="727"/>
      <c r="F401" s="727"/>
      <c r="G401" s="795"/>
      <c r="H401" s="795"/>
      <c r="I401" s="795"/>
      <c r="J401" s="795"/>
      <c r="K401" s="795"/>
      <c r="L401" s="727"/>
      <c r="M401" s="727"/>
      <c r="N401" s="727"/>
    </row>
    <row r="402" spans="1:14" hidden="1">
      <c r="A402" s="957"/>
      <c r="B402" s="1091" t="s">
        <v>173</v>
      </c>
      <c r="C402" s="1091"/>
      <c r="D402" s="1091"/>
      <c r="E402" s="1091"/>
      <c r="F402" s="1091"/>
      <c r="G402" s="808">
        <f>+SUM(G400:G400)</f>
        <v>-10</v>
      </c>
      <c r="H402" s="808">
        <f>+SUM(H400:H400)</f>
        <v>0</v>
      </c>
      <c r="I402" s="808"/>
      <c r="J402" s="808">
        <f>+SUM(J400:J400)</f>
        <v>-10</v>
      </c>
      <c r="K402" s="808">
        <f>+SUM(K400:K400)</f>
        <v>0</v>
      </c>
      <c r="L402" s="727"/>
      <c r="M402" s="727"/>
      <c r="N402" s="727"/>
    </row>
    <row r="403" spans="1:14" ht="5.0999999999999996" customHeight="1">
      <c r="A403" s="958"/>
      <c r="B403" s="727"/>
      <c r="C403" s="727"/>
      <c r="D403" s="727"/>
      <c r="E403" s="727"/>
      <c r="F403" s="727"/>
      <c r="G403" s="795"/>
      <c r="H403" s="795"/>
      <c r="I403" s="795"/>
      <c r="J403" s="795"/>
      <c r="K403" s="795"/>
      <c r="L403" s="727"/>
      <c r="M403" s="727"/>
      <c r="N403" s="727"/>
    </row>
    <row r="404" spans="1:14">
      <c r="A404" s="958"/>
      <c r="B404" s="812" t="s">
        <v>488</v>
      </c>
      <c r="C404" s="727"/>
      <c r="D404" s="727"/>
      <c r="E404" s="727"/>
      <c r="F404" s="727"/>
      <c r="G404" s="795"/>
      <c r="H404" s="795"/>
      <c r="I404" s="795"/>
      <c r="J404" s="795"/>
      <c r="K404" s="795"/>
      <c r="L404" s="727"/>
      <c r="M404" s="727"/>
      <c r="N404" s="727"/>
    </row>
    <row r="405" spans="1:14">
      <c r="A405" s="958"/>
      <c r="B405" s="727" t="s">
        <v>46</v>
      </c>
      <c r="C405" s="727"/>
      <c r="D405" s="727"/>
      <c r="E405" s="727"/>
      <c r="F405" s="727"/>
      <c r="G405" s="1705">
        <f>+BS!I59</f>
        <v>3086080</v>
      </c>
      <c r="H405" s="802">
        <v>0</v>
      </c>
      <c r="I405" s="802"/>
      <c r="J405" s="802">
        <v>0</v>
      </c>
      <c r="K405" s="802">
        <v>0</v>
      </c>
      <c r="L405" s="727"/>
      <c r="M405" s="727"/>
      <c r="N405" s="727"/>
    </row>
    <row r="406" spans="1:14">
      <c r="A406" s="958"/>
      <c r="B406" s="727" t="s">
        <v>39</v>
      </c>
      <c r="C406" s="727"/>
      <c r="D406" s="727"/>
      <c r="E406" s="727"/>
      <c r="F406" s="727"/>
      <c r="G406" s="1705">
        <f>+BS!I47</f>
        <v>235325157.6183489</v>
      </c>
      <c r="H406" s="802">
        <v>0</v>
      </c>
      <c r="I406" s="802"/>
      <c r="J406" s="802">
        <v>0</v>
      </c>
      <c r="K406" s="802">
        <v>0</v>
      </c>
      <c r="L406" s="727"/>
      <c r="M406" s="727"/>
      <c r="N406" s="727"/>
    </row>
    <row r="407" spans="1:14">
      <c r="A407" s="958"/>
      <c r="B407" s="1169" t="s">
        <v>2325</v>
      </c>
      <c r="C407" s="727"/>
      <c r="D407" s="727"/>
      <c r="E407" s="727"/>
      <c r="F407" s="727"/>
      <c r="G407" s="1705">
        <f>+BS!I60+BS!I48</f>
        <v>7290062</v>
      </c>
      <c r="H407" s="802"/>
      <c r="I407" s="802"/>
      <c r="J407" s="802"/>
      <c r="K407" s="802"/>
      <c r="L407" s="727"/>
      <c r="M407" s="727"/>
      <c r="N407" s="727"/>
    </row>
    <row r="408" spans="1:14">
      <c r="A408" s="958"/>
      <c r="B408" s="727" t="s">
        <v>489</v>
      </c>
      <c r="C408" s="727"/>
      <c r="D408" s="727"/>
      <c r="E408" s="727"/>
      <c r="F408" s="727"/>
      <c r="G408" s="1705">
        <f>+BS!I61</f>
        <v>830147</v>
      </c>
      <c r="H408" s="802">
        <v>0</v>
      </c>
      <c r="I408" s="802"/>
      <c r="J408" s="802">
        <v>0</v>
      </c>
      <c r="K408" s="802">
        <v>0</v>
      </c>
      <c r="L408" s="727"/>
      <c r="M408" s="727"/>
      <c r="N408" s="727"/>
    </row>
    <row r="409" spans="1:14">
      <c r="A409" s="957"/>
      <c r="B409" s="1091" t="s">
        <v>173</v>
      </c>
      <c r="C409" s="1091"/>
      <c r="D409" s="1091"/>
      <c r="E409" s="1091"/>
      <c r="F409" s="1091"/>
      <c r="G409" s="1706">
        <f>+SUM(G405:G408)</f>
        <v>246531446.6183489</v>
      </c>
      <c r="H409" s="1092">
        <f>+SUM(H405:H408)</f>
        <v>0</v>
      </c>
      <c r="I409" s="1092"/>
      <c r="J409" s="1092">
        <f>+SUM(J405:J408)</f>
        <v>0</v>
      </c>
      <c r="K409" s="808">
        <f>+SUM(K405:K408)</f>
        <v>0</v>
      </c>
      <c r="L409" s="727"/>
      <c r="M409" s="727"/>
      <c r="N409" s="727"/>
    </row>
    <row r="410" spans="1:14" ht="5.0999999999999996" customHeight="1">
      <c r="A410" s="958"/>
      <c r="B410" s="727"/>
      <c r="C410" s="795"/>
      <c r="D410" s="795"/>
      <c r="E410" s="795"/>
      <c r="F410" s="795"/>
      <c r="G410" s="795"/>
      <c r="H410" s="727"/>
      <c r="I410" s="727"/>
      <c r="J410" s="727"/>
      <c r="K410" s="727"/>
      <c r="L410" s="727"/>
      <c r="M410" s="727"/>
      <c r="N410" s="727"/>
    </row>
    <row r="411" spans="1:14" ht="15" hidden="1" customHeight="1">
      <c r="A411" s="957"/>
      <c r="B411" s="1770"/>
      <c r="C411" s="1770"/>
      <c r="D411" s="1770"/>
      <c r="E411" s="1770"/>
      <c r="F411" s="1770"/>
      <c r="G411" s="1874" t="s">
        <v>479</v>
      </c>
      <c r="H411" s="1866" t="s">
        <v>480</v>
      </c>
      <c r="I411" s="1866"/>
      <c r="J411" s="1866"/>
      <c r="K411" s="1866"/>
      <c r="L411" s="727"/>
      <c r="M411" s="727"/>
      <c r="N411" s="727"/>
    </row>
    <row r="412" spans="1:14" hidden="1">
      <c r="A412" s="957"/>
      <c r="B412" s="1770"/>
      <c r="C412" s="1770"/>
      <c r="D412" s="1770"/>
      <c r="E412" s="1770"/>
      <c r="F412" s="1770"/>
      <c r="G412" s="1874" t="s">
        <v>490</v>
      </c>
      <c r="H412" s="1866"/>
      <c r="I412" s="1866"/>
      <c r="J412" s="1866"/>
      <c r="K412" s="1866"/>
      <c r="L412" s="727"/>
      <c r="M412" s="727"/>
      <c r="N412" s="727"/>
    </row>
    <row r="413" spans="1:14" ht="26.4" hidden="1">
      <c r="A413" s="957"/>
      <c r="B413" s="1770"/>
      <c r="C413" s="1770"/>
      <c r="D413" s="1770"/>
      <c r="E413" s="1770"/>
      <c r="F413" s="1770"/>
      <c r="G413" s="1087" t="s">
        <v>491</v>
      </c>
      <c r="H413" s="1088" t="s">
        <v>481</v>
      </c>
      <c r="I413" s="1088"/>
      <c r="J413" s="1088" t="s">
        <v>482</v>
      </c>
      <c r="K413" s="1088" t="s">
        <v>483</v>
      </c>
      <c r="L413" s="727"/>
      <c r="M413" s="727"/>
      <c r="N413" s="727"/>
    </row>
    <row r="414" spans="1:14" hidden="1">
      <c r="A414" s="958"/>
      <c r="B414" s="727"/>
      <c r="C414" s="727"/>
      <c r="D414" s="727"/>
      <c r="E414" s="727"/>
      <c r="F414" s="727"/>
      <c r="G414" s="795"/>
      <c r="H414" s="795"/>
      <c r="I414" s="795"/>
      <c r="J414" s="795"/>
      <c r="K414" s="795"/>
      <c r="L414" s="727"/>
      <c r="M414" s="727"/>
      <c r="N414" s="727"/>
    </row>
    <row r="415" spans="1:14" hidden="1">
      <c r="A415" s="958"/>
      <c r="B415" s="812" t="s">
        <v>484</v>
      </c>
      <c r="C415" s="727"/>
      <c r="D415" s="727"/>
      <c r="E415" s="727"/>
      <c r="F415" s="727"/>
      <c r="G415" s="795"/>
      <c r="H415" s="795"/>
      <c r="I415" s="795"/>
      <c r="J415" s="795"/>
      <c r="K415" s="795"/>
      <c r="L415" s="727"/>
      <c r="M415" s="727"/>
      <c r="N415" s="727"/>
    </row>
    <row r="416" spans="1:14" hidden="1">
      <c r="A416" s="958"/>
      <c r="B416" s="727"/>
      <c r="C416" s="727"/>
      <c r="D416" s="727"/>
      <c r="E416" s="727"/>
      <c r="F416" s="727"/>
      <c r="G416" s="795"/>
      <c r="H416" s="795"/>
      <c r="I416" s="795"/>
      <c r="J416" s="795"/>
      <c r="K416" s="795"/>
      <c r="L416" s="727"/>
      <c r="M416" s="727"/>
      <c r="N416" s="727"/>
    </row>
    <row r="417" spans="1:14" hidden="1">
      <c r="A417" s="958"/>
      <c r="B417" s="727" t="s">
        <v>25</v>
      </c>
      <c r="C417" s="727"/>
      <c r="D417" s="727"/>
      <c r="E417" s="727"/>
      <c r="F417" s="727"/>
      <c r="G417" s="802">
        <f>+BS!I27</f>
        <v>2012487</v>
      </c>
      <c r="H417" s="802">
        <v>0</v>
      </c>
      <c r="I417" s="802"/>
      <c r="J417" s="802">
        <v>0</v>
      </c>
      <c r="K417" s="802">
        <v>0</v>
      </c>
      <c r="L417" s="727"/>
      <c r="M417" s="727"/>
      <c r="N417" s="727"/>
    </row>
    <row r="418" spans="1:14" hidden="1">
      <c r="A418" s="958"/>
      <c r="B418" s="727" t="s">
        <v>179</v>
      </c>
      <c r="C418" s="727"/>
      <c r="D418" s="727"/>
      <c r="E418" s="727"/>
      <c r="F418" s="727"/>
      <c r="G418" s="802">
        <f>+BS!I18</f>
        <v>2602786</v>
      </c>
      <c r="H418" s="802">
        <v>0</v>
      </c>
      <c r="I418" s="802"/>
      <c r="J418" s="802">
        <v>0</v>
      </c>
      <c r="K418" s="802">
        <v>0</v>
      </c>
      <c r="L418" s="727"/>
      <c r="M418" s="727"/>
      <c r="N418" s="727"/>
    </row>
    <row r="419" spans="1:14" hidden="1">
      <c r="A419" s="958"/>
      <c r="B419" s="727" t="s">
        <v>485</v>
      </c>
      <c r="C419" s="727"/>
      <c r="D419" s="727"/>
      <c r="E419" s="727"/>
      <c r="F419" s="727"/>
      <c r="G419" s="802">
        <f>+BS!I31</f>
        <v>2678928</v>
      </c>
      <c r="H419" s="802">
        <v>0</v>
      </c>
      <c r="I419" s="802"/>
      <c r="J419" s="802">
        <v>0</v>
      </c>
      <c r="K419" s="802">
        <v>0</v>
      </c>
      <c r="L419" s="727"/>
      <c r="M419" s="727"/>
      <c r="N419" s="727"/>
    </row>
    <row r="420" spans="1:14" hidden="1">
      <c r="A420" s="958"/>
      <c r="B420" s="727" t="s">
        <v>26</v>
      </c>
      <c r="C420" s="727"/>
      <c r="D420" s="727"/>
      <c r="E420" s="727"/>
      <c r="F420" s="727"/>
      <c r="G420" s="802">
        <f>+BS!I28</f>
        <v>243805184</v>
      </c>
      <c r="H420" s="802">
        <v>0</v>
      </c>
      <c r="I420" s="802"/>
      <c r="J420" s="802">
        <v>0</v>
      </c>
      <c r="K420" s="802">
        <v>0</v>
      </c>
      <c r="L420" s="727"/>
      <c r="M420" s="727"/>
      <c r="N420" s="727"/>
    </row>
    <row r="421" spans="1:14" hidden="1">
      <c r="A421" s="958"/>
      <c r="B421" s="727" t="s">
        <v>27</v>
      </c>
      <c r="C421" s="727"/>
      <c r="D421" s="727"/>
      <c r="E421" s="727"/>
      <c r="F421" s="727"/>
      <c r="G421" s="802">
        <f>+BS!I29</f>
        <v>0</v>
      </c>
      <c r="H421" s="802">
        <v>0</v>
      </c>
      <c r="I421" s="802"/>
      <c r="J421" s="802">
        <v>0</v>
      </c>
      <c r="K421" s="802">
        <v>0</v>
      </c>
      <c r="L421" s="727"/>
      <c r="M421" s="727"/>
      <c r="N421" s="727"/>
    </row>
    <row r="422" spans="1:14" hidden="1">
      <c r="A422" s="958"/>
      <c r="B422" s="727"/>
      <c r="C422" s="727"/>
      <c r="D422" s="727"/>
      <c r="E422" s="727"/>
      <c r="F422" s="727"/>
      <c r="G422" s="795"/>
      <c r="H422" s="795"/>
      <c r="I422" s="795"/>
      <c r="J422" s="795"/>
      <c r="K422" s="795"/>
      <c r="L422" s="727"/>
      <c r="M422" s="727"/>
      <c r="N422" s="727"/>
    </row>
    <row r="423" spans="1:14" hidden="1">
      <c r="A423" s="957"/>
      <c r="B423" s="812" t="s">
        <v>173</v>
      </c>
      <c r="C423" s="812"/>
      <c r="D423" s="812"/>
      <c r="E423" s="812"/>
      <c r="F423" s="812"/>
      <c r="G423" s="811">
        <f>+SUM(G417:G421)</f>
        <v>251099385</v>
      </c>
      <c r="H423" s="811">
        <f>+SUM(H417:H421)</f>
        <v>0</v>
      </c>
      <c r="I423" s="811"/>
      <c r="J423" s="811">
        <f>+SUM(J417:J421)</f>
        <v>0</v>
      </c>
      <c r="K423" s="811">
        <f>+SUM(K417:K421)</f>
        <v>0</v>
      </c>
      <c r="L423" s="727"/>
      <c r="M423" s="727"/>
      <c r="N423" s="727"/>
    </row>
    <row r="424" spans="1:14" hidden="1">
      <c r="A424" s="958"/>
      <c r="B424" s="727"/>
      <c r="C424" s="727"/>
      <c r="D424" s="727"/>
      <c r="E424" s="727"/>
      <c r="F424" s="727"/>
      <c r="G424" s="795"/>
      <c r="H424" s="795"/>
      <c r="I424" s="795"/>
      <c r="J424" s="795"/>
      <c r="K424" s="795"/>
      <c r="L424" s="727"/>
      <c r="M424" s="727"/>
      <c r="N424" s="727"/>
    </row>
    <row r="425" spans="1:14" hidden="1">
      <c r="A425" s="958"/>
      <c r="B425" s="812" t="s">
        <v>486</v>
      </c>
      <c r="C425" s="727"/>
      <c r="D425" s="727"/>
      <c r="E425" s="727"/>
      <c r="F425" s="727"/>
      <c r="G425" s="795"/>
      <c r="H425" s="795"/>
      <c r="I425" s="795"/>
      <c r="J425" s="795"/>
      <c r="K425" s="795"/>
      <c r="L425" s="727"/>
      <c r="M425" s="727"/>
      <c r="N425" s="727"/>
    </row>
    <row r="426" spans="1:14" hidden="1">
      <c r="A426" s="958"/>
      <c r="B426" s="727" t="s">
        <v>487</v>
      </c>
      <c r="C426" s="727"/>
      <c r="D426" s="727"/>
      <c r="E426" s="727"/>
      <c r="F426" s="727"/>
      <c r="G426" s="802">
        <f>+BS!I26</f>
        <v>-10</v>
      </c>
      <c r="H426" s="802"/>
      <c r="I426" s="802"/>
      <c r="J426" s="802">
        <f>G426</f>
        <v>-10</v>
      </c>
      <c r="K426" s="795"/>
      <c r="L426" s="727"/>
      <c r="M426" s="727"/>
      <c r="N426" s="727"/>
    </row>
    <row r="427" spans="1:14" hidden="1">
      <c r="A427" s="958"/>
      <c r="B427" s="727"/>
      <c r="C427" s="727"/>
      <c r="D427" s="727"/>
      <c r="E427" s="727"/>
      <c r="F427" s="727"/>
      <c r="G427" s="795"/>
      <c r="H427" s="795"/>
      <c r="I427" s="795"/>
      <c r="J427" s="795"/>
      <c r="K427" s="795"/>
      <c r="L427" s="727"/>
      <c r="M427" s="727"/>
      <c r="N427" s="727"/>
    </row>
    <row r="428" spans="1:14" hidden="1">
      <c r="A428" s="957"/>
      <c r="B428" s="812" t="s">
        <v>173</v>
      </c>
      <c r="C428" s="812"/>
      <c r="D428" s="812"/>
      <c r="E428" s="812"/>
      <c r="F428" s="812"/>
      <c r="G428" s="811">
        <f>+SUM(G426:G426)</f>
        <v>-10</v>
      </c>
      <c r="H428" s="811">
        <f>+SUM(H426:H426)</f>
        <v>0</v>
      </c>
      <c r="I428" s="811"/>
      <c r="J428" s="811">
        <f>+SUM(J426:J426)</f>
        <v>-10</v>
      </c>
      <c r="K428" s="811">
        <f>+SUM(K426:K426)</f>
        <v>0</v>
      </c>
      <c r="L428" s="727"/>
      <c r="M428" s="727"/>
      <c r="N428" s="727"/>
    </row>
    <row r="429" spans="1:14" hidden="1">
      <c r="A429" s="958"/>
      <c r="B429" s="727"/>
      <c r="C429" s="727"/>
      <c r="D429" s="727"/>
      <c r="E429" s="727"/>
      <c r="F429" s="727"/>
      <c r="G429" s="795"/>
      <c r="H429" s="795"/>
      <c r="I429" s="795"/>
      <c r="J429" s="795"/>
      <c r="K429" s="795"/>
      <c r="L429" s="727"/>
      <c r="M429" s="727"/>
      <c r="N429" s="727"/>
    </row>
    <row r="430" spans="1:14" hidden="1">
      <c r="A430" s="958"/>
      <c r="B430" s="812" t="s">
        <v>488</v>
      </c>
      <c r="C430" s="727"/>
      <c r="D430" s="727"/>
      <c r="E430" s="727"/>
      <c r="F430" s="727"/>
      <c r="G430" s="795"/>
      <c r="H430" s="795"/>
      <c r="I430" s="795"/>
      <c r="J430" s="795"/>
      <c r="K430" s="795"/>
      <c r="L430" s="727"/>
      <c r="M430" s="727"/>
      <c r="N430" s="727"/>
    </row>
    <row r="431" spans="1:14" hidden="1">
      <c r="A431" s="958"/>
      <c r="B431" s="727" t="s">
        <v>46</v>
      </c>
      <c r="C431" s="727"/>
      <c r="D431" s="727"/>
      <c r="E431" s="727"/>
      <c r="F431" s="727"/>
      <c r="G431" s="802">
        <f>+BS!I59</f>
        <v>3086080</v>
      </c>
      <c r="H431" s="802">
        <v>0</v>
      </c>
      <c r="I431" s="802"/>
      <c r="J431" s="802">
        <v>0</v>
      </c>
      <c r="K431" s="802">
        <v>0</v>
      </c>
      <c r="L431" s="727"/>
      <c r="M431" s="727"/>
      <c r="N431" s="727"/>
    </row>
    <row r="432" spans="1:14" hidden="1">
      <c r="A432" s="958"/>
      <c r="B432" s="727" t="s">
        <v>39</v>
      </c>
      <c r="C432" s="727"/>
      <c r="D432" s="727"/>
      <c r="E432" s="727"/>
      <c r="F432" s="727"/>
      <c r="G432" s="802">
        <f>+BS!I47</f>
        <v>235325157.6183489</v>
      </c>
      <c r="H432" s="802">
        <v>0</v>
      </c>
      <c r="I432" s="802"/>
      <c r="J432" s="802">
        <v>0</v>
      </c>
      <c r="K432" s="802">
        <f>+G432</f>
        <v>235325157.6183489</v>
      </c>
      <c r="L432" s="727"/>
      <c r="M432" s="727"/>
      <c r="N432" s="727"/>
    </row>
    <row r="433" spans="1:14" hidden="1">
      <c r="A433" s="958"/>
      <c r="B433" s="727" t="s">
        <v>489</v>
      </c>
      <c r="C433" s="727"/>
      <c r="D433" s="727"/>
      <c r="E433" s="727"/>
      <c r="F433" s="727"/>
      <c r="G433" s="802">
        <f>+BS!I61</f>
        <v>830147</v>
      </c>
      <c r="H433" s="802">
        <v>0</v>
      </c>
      <c r="I433" s="802"/>
      <c r="J433" s="802">
        <v>0</v>
      </c>
      <c r="K433" s="802">
        <v>0</v>
      </c>
      <c r="L433" s="727"/>
      <c r="M433" s="727"/>
      <c r="N433" s="727"/>
    </row>
    <row r="434" spans="1:14" hidden="1">
      <c r="A434" s="958"/>
      <c r="B434" s="727"/>
      <c r="C434" s="727"/>
      <c r="D434" s="727"/>
      <c r="E434" s="727"/>
      <c r="F434" s="727"/>
      <c r="G434" s="802"/>
      <c r="H434" s="795"/>
      <c r="I434" s="795"/>
      <c r="J434" s="795"/>
      <c r="K434" s="795"/>
      <c r="L434" s="727"/>
      <c r="M434" s="727"/>
      <c r="N434" s="727"/>
    </row>
    <row r="435" spans="1:14" hidden="1">
      <c r="A435" s="957"/>
      <c r="B435" s="812" t="s">
        <v>173</v>
      </c>
      <c r="C435" s="812"/>
      <c r="D435" s="812"/>
      <c r="E435" s="812"/>
      <c r="F435" s="812"/>
      <c r="G435" s="811">
        <f>+SUM(G431:G433)</f>
        <v>239241384.6183489</v>
      </c>
      <c r="H435" s="1089">
        <f>+SUM(H431:H433)</f>
        <v>0</v>
      </c>
      <c r="I435" s="1089"/>
      <c r="J435" s="1089">
        <f>+SUM(J431:J433)</f>
        <v>0</v>
      </c>
      <c r="K435" s="811">
        <f>+SUM(K431:K433)</f>
        <v>235325157.6183489</v>
      </c>
      <c r="L435" s="727"/>
      <c r="M435" s="727"/>
      <c r="N435" s="727"/>
    </row>
    <row r="436" spans="1:14" hidden="1">
      <c r="A436" s="958"/>
      <c r="B436" s="727"/>
      <c r="C436" s="727"/>
      <c r="D436" s="727"/>
      <c r="E436" s="727"/>
      <c r="F436" s="727"/>
      <c r="G436" s="795"/>
      <c r="H436" s="795"/>
      <c r="I436" s="795"/>
      <c r="J436" s="795"/>
      <c r="K436" s="795"/>
      <c r="L436" s="727"/>
      <c r="M436" s="727"/>
      <c r="N436" s="727"/>
    </row>
    <row r="437" spans="1:14" hidden="1">
      <c r="A437" s="687"/>
      <c r="J437" s="764"/>
      <c r="K437" s="764"/>
      <c r="L437" s="727"/>
      <c r="M437" s="727"/>
      <c r="N437" s="727"/>
    </row>
    <row r="438" spans="1:14">
      <c r="A438" s="687"/>
      <c r="B438" s="1729" t="s">
        <v>3010</v>
      </c>
      <c r="C438" s="1734"/>
      <c r="D438" s="1734"/>
      <c r="E438" s="1734"/>
      <c r="F438" s="1734"/>
      <c r="G438" s="1734"/>
      <c r="H438" s="1734"/>
      <c r="I438" s="1734"/>
      <c r="J438" s="1734"/>
      <c r="K438" s="1734"/>
      <c r="L438" s="727"/>
      <c r="M438" s="727"/>
      <c r="N438" s="727"/>
    </row>
    <row r="439" spans="1:14">
      <c r="B439" s="704"/>
      <c r="C439" s="704"/>
      <c r="D439" s="704"/>
      <c r="E439" s="704"/>
      <c r="F439" s="704"/>
      <c r="G439" s="704"/>
      <c r="H439" s="704"/>
      <c r="I439" s="704"/>
      <c r="J439" s="704"/>
      <c r="K439" s="704"/>
      <c r="L439" s="727"/>
      <c r="M439" s="727"/>
      <c r="N439" s="727"/>
    </row>
    <row r="440" spans="1:14">
      <c r="A440" s="687"/>
      <c r="B440" s="704"/>
      <c r="C440" s="704"/>
      <c r="D440" s="704"/>
      <c r="E440" s="704"/>
      <c r="F440" s="704"/>
      <c r="G440" s="704"/>
      <c r="H440" s="704"/>
      <c r="I440" s="704"/>
      <c r="J440" s="704"/>
      <c r="K440" s="704"/>
      <c r="L440" s="727"/>
      <c r="M440" s="727"/>
      <c r="N440" s="727"/>
    </row>
    <row r="441" spans="1:14">
      <c r="A441" s="687">
        <f>A345+1</f>
        <v>31</v>
      </c>
      <c r="B441" s="681" t="s">
        <v>492</v>
      </c>
      <c r="C441" s="704"/>
      <c r="D441" s="704"/>
      <c r="E441" s="704"/>
      <c r="F441" s="704"/>
      <c r="G441" s="704"/>
      <c r="H441" s="704"/>
      <c r="I441" s="704"/>
      <c r="J441" s="704"/>
      <c r="K441" s="704"/>
      <c r="L441" s="727"/>
      <c r="M441" s="727"/>
      <c r="N441" s="727"/>
    </row>
    <row r="442" spans="1:14">
      <c r="A442" s="687"/>
      <c r="B442" s="704"/>
      <c r="C442" s="704"/>
      <c r="D442" s="704"/>
      <c r="E442" s="704"/>
      <c r="F442" s="704"/>
      <c r="G442" s="704"/>
      <c r="H442" s="704"/>
      <c r="I442" s="704"/>
      <c r="J442" s="704"/>
      <c r="K442" s="704"/>
      <c r="L442" s="727"/>
      <c r="M442" s="727"/>
      <c r="N442" s="727"/>
    </row>
    <row r="443" spans="1:14" ht="66" customHeight="1">
      <c r="A443" s="687"/>
      <c r="B443" s="1729" t="s">
        <v>2950</v>
      </c>
      <c r="C443" s="1734"/>
      <c r="D443" s="1734"/>
      <c r="E443" s="1734"/>
      <c r="F443" s="1734"/>
      <c r="G443" s="1734"/>
      <c r="H443" s="1734"/>
      <c r="I443" s="1734"/>
      <c r="J443" s="1734"/>
      <c r="K443" s="1734"/>
      <c r="L443" s="727"/>
      <c r="M443" s="727"/>
      <c r="N443" s="727"/>
    </row>
    <row r="444" spans="1:14">
      <c r="A444" s="687"/>
      <c r="B444" s="704"/>
      <c r="C444" s="704"/>
      <c r="D444" s="704"/>
      <c r="E444" s="704"/>
      <c r="F444" s="704"/>
      <c r="G444" s="704"/>
      <c r="H444" s="704"/>
      <c r="I444" s="704"/>
      <c r="J444" s="704"/>
      <c r="K444" s="704"/>
      <c r="L444" s="727"/>
      <c r="M444" s="727"/>
      <c r="N444" s="727"/>
    </row>
    <row r="445" spans="1:14">
      <c r="A445" s="687"/>
      <c r="B445" s="812" t="s">
        <v>493</v>
      </c>
      <c r="C445" s="704"/>
      <c r="D445" s="704"/>
      <c r="E445" s="704"/>
      <c r="F445" s="704"/>
      <c r="G445" s="704"/>
      <c r="H445" s="704"/>
      <c r="I445" s="704"/>
      <c r="J445" s="704"/>
      <c r="K445" s="704"/>
      <c r="L445" s="727"/>
      <c r="M445" s="727"/>
      <c r="N445" s="727"/>
    </row>
    <row r="446" spans="1:14" ht="5.0999999999999996" customHeight="1">
      <c r="A446" s="687"/>
      <c r="B446" s="812"/>
      <c r="C446" s="704"/>
      <c r="D446" s="704"/>
      <c r="E446" s="704"/>
      <c r="F446" s="704"/>
      <c r="G446" s="704"/>
      <c r="H446" s="704"/>
      <c r="I446" s="704"/>
      <c r="J446" s="704"/>
      <c r="K446" s="704"/>
      <c r="L446" s="727"/>
      <c r="M446" s="727"/>
      <c r="N446" s="727"/>
    </row>
    <row r="447" spans="1:14" ht="53.25" customHeight="1">
      <c r="A447" s="687"/>
      <c r="B447" s="1734" t="s">
        <v>494</v>
      </c>
      <c r="C447" s="1734"/>
      <c r="D447" s="1734"/>
      <c r="E447" s="1734"/>
      <c r="F447" s="1734"/>
      <c r="G447" s="1734"/>
      <c r="H447" s="1734"/>
      <c r="I447" s="1734"/>
      <c r="J447" s="1734"/>
      <c r="K447" s="1734"/>
      <c r="L447" s="727"/>
      <c r="M447" s="727"/>
      <c r="N447" s="727"/>
    </row>
    <row r="448" spans="1:14" ht="57" customHeight="1">
      <c r="A448" s="687"/>
      <c r="B448" s="1729" t="s">
        <v>2268</v>
      </c>
      <c r="C448" s="1734"/>
      <c r="D448" s="1734"/>
      <c r="E448" s="1734"/>
      <c r="F448" s="1734"/>
      <c r="G448" s="1734"/>
      <c r="H448" s="1734"/>
      <c r="I448" s="1734"/>
      <c r="J448" s="1734"/>
      <c r="K448" s="1734"/>
      <c r="L448" s="727"/>
      <c r="M448" s="727"/>
      <c r="N448" s="727"/>
    </row>
    <row r="449" spans="1:14" hidden="1">
      <c r="A449" s="687"/>
      <c r="B449" s="704"/>
      <c r="C449" s="704"/>
      <c r="D449" s="704"/>
      <c r="E449" s="704"/>
      <c r="F449" s="1734"/>
      <c r="G449" s="1734"/>
      <c r="H449" s="1734"/>
      <c r="I449" s="704"/>
      <c r="J449" s="704"/>
      <c r="K449" s="704"/>
      <c r="L449" s="727"/>
      <c r="M449" s="727"/>
      <c r="N449" s="727"/>
    </row>
    <row r="450" spans="1:14" hidden="1">
      <c r="A450" s="687">
        <f>A345+1</f>
        <v>31</v>
      </c>
      <c r="B450" s="681" t="s">
        <v>2188</v>
      </c>
      <c r="C450" s="704"/>
      <c r="D450" s="704"/>
      <c r="E450" s="704"/>
      <c r="F450" s="704"/>
      <c r="G450" s="704"/>
      <c r="H450" s="704"/>
      <c r="I450" s="704"/>
      <c r="J450" s="704"/>
      <c r="K450" s="704"/>
      <c r="L450" s="727"/>
      <c r="M450" s="727"/>
      <c r="N450" s="727"/>
    </row>
    <row r="451" spans="1:14">
      <c r="A451" s="687"/>
      <c r="B451" s="704"/>
      <c r="C451" s="704"/>
      <c r="D451" s="704"/>
      <c r="E451" s="704"/>
      <c r="F451" s="704"/>
      <c r="G451" s="704"/>
      <c r="H451" s="704"/>
      <c r="I451" s="704"/>
      <c r="J451" s="704"/>
      <c r="K451" s="704"/>
      <c r="L451" s="727"/>
      <c r="M451" s="727"/>
      <c r="N451" s="727"/>
    </row>
    <row r="452" spans="1:14">
      <c r="A452" s="687"/>
      <c r="B452" s="812" t="s">
        <v>495</v>
      </c>
      <c r="C452" s="795"/>
      <c r="D452" s="795"/>
      <c r="E452" s="795"/>
      <c r="F452" s="795"/>
      <c r="G452" s="795"/>
      <c r="H452" s="795"/>
      <c r="I452" s="795"/>
      <c r="J452" s="704"/>
      <c r="K452" s="704"/>
      <c r="L452" s="727"/>
      <c r="M452" s="727"/>
      <c r="N452" s="727"/>
    </row>
    <row r="453" spans="1:14" ht="5.0999999999999996" customHeight="1">
      <c r="A453" s="687"/>
      <c r="B453" s="727"/>
      <c r="C453" s="795"/>
      <c r="D453" s="795"/>
      <c r="E453" s="795"/>
      <c r="F453" s="795"/>
      <c r="G453" s="795"/>
      <c r="H453" s="795"/>
      <c r="I453" s="795"/>
      <c r="J453" s="704"/>
      <c r="K453" s="704"/>
      <c r="L453" s="727"/>
      <c r="M453" s="727"/>
      <c r="N453" s="727"/>
    </row>
    <row r="454" spans="1:14" ht="40.049999999999997" customHeight="1">
      <c r="A454" s="687"/>
      <c r="B454" s="1734" t="s">
        <v>496</v>
      </c>
      <c r="C454" s="1734"/>
      <c r="D454" s="1734"/>
      <c r="E454" s="1734"/>
      <c r="F454" s="1734"/>
      <c r="G454" s="1734"/>
      <c r="H454" s="1734"/>
      <c r="I454" s="1734"/>
      <c r="J454" s="1734"/>
      <c r="K454" s="1734"/>
      <c r="L454" s="727"/>
      <c r="M454" s="727"/>
      <c r="N454" s="727"/>
    </row>
    <row r="455" spans="1:14" ht="3.75" customHeight="1">
      <c r="A455" s="687"/>
      <c r="B455" s="727"/>
      <c r="C455" s="795"/>
      <c r="D455" s="795"/>
      <c r="E455" s="795"/>
      <c r="F455" s="795"/>
      <c r="G455" s="795"/>
      <c r="H455" s="795"/>
      <c r="I455" s="795"/>
      <c r="J455" s="704"/>
      <c r="K455" s="704"/>
      <c r="L455" s="727"/>
      <c r="M455" s="727"/>
      <c r="N455" s="727"/>
    </row>
    <row r="456" spans="1:14" ht="30" customHeight="1">
      <c r="A456" s="687"/>
      <c r="B456" s="1729" t="s">
        <v>2269</v>
      </c>
      <c r="C456" s="1734"/>
      <c r="D456" s="1734"/>
      <c r="E456" s="1734"/>
      <c r="F456" s="1734"/>
      <c r="G456" s="1734"/>
      <c r="H456" s="1734"/>
      <c r="I456" s="1734"/>
      <c r="J456" s="1734"/>
      <c r="K456" s="1734"/>
      <c r="L456" s="1169" t="s">
        <v>2270</v>
      </c>
      <c r="M456" s="727"/>
      <c r="N456" s="727"/>
    </row>
    <row r="457" spans="1:14">
      <c r="A457" s="687"/>
      <c r="B457" s="704"/>
      <c r="C457" s="704"/>
      <c r="D457" s="704"/>
      <c r="E457" s="704"/>
      <c r="F457" s="704"/>
      <c r="G457" s="704"/>
      <c r="H457" s="704"/>
      <c r="I457" s="704"/>
      <c r="J457" s="704"/>
      <c r="K457" s="704"/>
      <c r="L457" s="727"/>
      <c r="M457" s="727"/>
      <c r="N457" s="727"/>
    </row>
    <row r="458" spans="1:14" ht="26.4">
      <c r="A458" s="687"/>
      <c r="B458" s="887" t="s">
        <v>3011</v>
      </c>
      <c r="C458" s="963"/>
      <c r="D458" s="963"/>
      <c r="E458" s="963"/>
      <c r="F458" s="963"/>
      <c r="G458" s="1441" t="s">
        <v>25</v>
      </c>
      <c r="H458" s="1441" t="s">
        <v>46</v>
      </c>
      <c r="I458" s="1441"/>
      <c r="J458" s="1441" t="s">
        <v>2949</v>
      </c>
      <c r="K458" s="1442" t="s">
        <v>27</v>
      </c>
      <c r="L458" s="727"/>
      <c r="M458" s="727"/>
      <c r="N458" s="727"/>
    </row>
    <row r="459" spans="1:14">
      <c r="A459" s="687"/>
      <c r="B459" s="701" t="s">
        <v>2062</v>
      </c>
      <c r="C459" s="704"/>
      <c r="D459" s="704"/>
      <c r="E459" s="704"/>
      <c r="F459" s="704"/>
      <c r="G459" s="1622">
        <f>ROUND((100672)/1,0)</f>
        <v>100672</v>
      </c>
      <c r="H459" s="1622">
        <f>ROUND((0)/1,0)</f>
        <v>0</v>
      </c>
      <c r="I459" s="1622"/>
      <c r="J459" s="1622">
        <f>ROUND((1999)/1,0)</f>
        <v>1999</v>
      </c>
      <c r="K459" s="1622">
        <f>ROUND((0)/1,0)</f>
        <v>0</v>
      </c>
      <c r="L459" s="742"/>
      <c r="M459" s="727"/>
      <c r="N459" s="727"/>
    </row>
    <row r="460" spans="1:14">
      <c r="A460" s="687"/>
      <c r="B460" s="701" t="s">
        <v>2267</v>
      </c>
      <c r="C460" s="704"/>
      <c r="D460" s="704"/>
      <c r="E460" s="704"/>
      <c r="F460" s="704"/>
      <c r="G460" s="1622">
        <f>ROUND((8613844)/Master!$B$23,0)</f>
        <v>8613844</v>
      </c>
      <c r="H460" s="1622">
        <f>ROUND((0)/Master!$B$23,0)</f>
        <v>0</v>
      </c>
      <c r="I460" s="1622"/>
      <c r="J460" s="1622">
        <f>ROUND((171042)/Master!$B$23,0)</f>
        <v>171042</v>
      </c>
      <c r="K460" s="1622">
        <f>ROUND((0)/Master!$B$23,0)</f>
        <v>0</v>
      </c>
      <c r="L460" s="1169" t="s">
        <v>2821</v>
      </c>
      <c r="M460" s="742">
        <f>G460-H460+J460</f>
        <v>8784886</v>
      </c>
      <c r="N460" s="727"/>
    </row>
    <row r="461" spans="1:14">
      <c r="A461" s="687"/>
      <c r="B461" s="701" t="s">
        <v>2359</v>
      </c>
      <c r="C461" s="704"/>
      <c r="D461" s="704"/>
      <c r="E461" s="704"/>
      <c r="F461" s="704"/>
      <c r="G461" s="1622">
        <f>ROUND((0)/1,0)</f>
        <v>0</v>
      </c>
      <c r="H461" s="1622">
        <f>ROUND((2005)/1,0)</f>
        <v>2005</v>
      </c>
      <c r="I461" s="1622"/>
      <c r="J461" s="1622">
        <f>ROUND((0)/1,0)</f>
        <v>0</v>
      </c>
      <c r="K461" s="1622">
        <f>ROUND((0)/1,0)</f>
        <v>0</v>
      </c>
      <c r="L461" s="727"/>
      <c r="M461" s="727"/>
      <c r="N461" s="727"/>
    </row>
    <row r="462" spans="1:14">
      <c r="A462" s="687"/>
      <c r="B462" s="701" t="s">
        <v>2004</v>
      </c>
      <c r="C462" s="704"/>
      <c r="D462" s="704"/>
      <c r="E462" s="704"/>
      <c r="F462" s="704"/>
      <c r="G462" s="1622">
        <f>ROUND((0)/Master!$B$23,0)</f>
        <v>0</v>
      </c>
      <c r="H462" s="1707">
        <f>ROUND((179307)/Master!$B$23,0)</f>
        <v>179307</v>
      </c>
      <c r="I462" s="1622"/>
      <c r="J462" s="1622">
        <f>ROUND((0)/Master!$B$23,0)</f>
        <v>0</v>
      </c>
      <c r="K462" s="1622">
        <f>ROUND((0)/Master!$B$23,0)</f>
        <v>0</v>
      </c>
      <c r="L462" s="727"/>
      <c r="M462" s="742">
        <f>G462-H462+J462</f>
        <v>-179307</v>
      </c>
      <c r="N462" s="727"/>
    </row>
    <row r="463" spans="1:14">
      <c r="A463" s="687"/>
      <c r="B463" s="1160" t="s">
        <v>2633</v>
      </c>
      <c r="C463" s="704"/>
      <c r="D463" s="704"/>
      <c r="E463" s="704"/>
      <c r="F463" s="704"/>
      <c r="G463" s="1622">
        <f>ROUND((-708)/1,0)</f>
        <v>-708</v>
      </c>
      <c r="H463" s="1622">
        <f>ROUND((0)/1,0)</f>
        <v>0</v>
      </c>
      <c r="I463" s="1622"/>
      <c r="J463" s="1622">
        <f>ROUND((0)/1,0)</f>
        <v>0</v>
      </c>
      <c r="K463" s="1622">
        <f>ROUND((0)/1,0)</f>
        <v>0</v>
      </c>
      <c r="L463" s="727"/>
      <c r="M463" s="727"/>
      <c r="N463" s="727"/>
    </row>
    <row r="464" spans="1:14">
      <c r="A464" s="687"/>
      <c r="B464" s="701" t="s">
        <v>2004</v>
      </c>
      <c r="C464" s="704"/>
      <c r="D464" s="704"/>
      <c r="E464" s="704"/>
      <c r="F464" s="704"/>
      <c r="G464" s="1622">
        <f>ROUND((-78210)/Master!$B$23,0)</f>
        <v>-78210</v>
      </c>
      <c r="H464" s="1622">
        <f>ROUND((0)/Master!$B$23,0)</f>
        <v>0</v>
      </c>
      <c r="I464" s="1622"/>
      <c r="J464" s="1622">
        <f>ROUND((0)/Master!$B$23,0)</f>
        <v>0</v>
      </c>
      <c r="K464" s="1622">
        <f>ROUND((0)/Master!$B$23,0)</f>
        <v>0</v>
      </c>
      <c r="L464" s="727"/>
      <c r="M464" s="742">
        <f>G464-H464+J464</f>
        <v>-78210</v>
      </c>
      <c r="N464" s="727"/>
    </row>
    <row r="465" spans="1:14" hidden="1">
      <c r="A465" s="687"/>
      <c r="B465" s="1160" t="s">
        <v>2634</v>
      </c>
      <c r="C465" s="704"/>
      <c r="D465" s="704"/>
      <c r="E465" s="704"/>
      <c r="F465" s="704"/>
      <c r="G465" s="962">
        <f>ROUND((0)/Master!$B$23,0)</f>
        <v>0</v>
      </c>
      <c r="H465" s="962">
        <f>ROUND((0)/1,0)</f>
        <v>0</v>
      </c>
      <c r="I465" s="962"/>
      <c r="J465" s="962">
        <f>ROUND((0)/1,0)</f>
        <v>0</v>
      </c>
      <c r="K465" s="962">
        <f>ROUND((0)/1,0)</f>
        <v>0</v>
      </c>
      <c r="L465" s="727"/>
      <c r="M465" s="727"/>
      <c r="N465" s="727"/>
    </row>
    <row r="466" spans="1:14" hidden="1">
      <c r="A466" s="687"/>
      <c r="B466" s="701" t="s">
        <v>2004</v>
      </c>
      <c r="C466" s="704"/>
      <c r="D466" s="704"/>
      <c r="E466" s="704"/>
      <c r="F466" s="704"/>
      <c r="G466" s="962">
        <f>ROUND((0)/Master!$B$23,0)</f>
        <v>0</v>
      </c>
      <c r="H466" s="962">
        <f>ROUND((0)/Master!$B$23,0)</f>
        <v>0</v>
      </c>
      <c r="I466" s="962"/>
      <c r="J466" s="962">
        <f>ROUND((0)/Master!$B$23,0)</f>
        <v>0</v>
      </c>
      <c r="K466" s="962">
        <f>ROUND((0)/Master!$B$23,0)</f>
        <v>0</v>
      </c>
      <c r="L466" s="727"/>
      <c r="M466" s="727"/>
      <c r="N466" s="727"/>
    </row>
    <row r="467" spans="1:14">
      <c r="A467" s="687"/>
      <c r="B467" s="704"/>
      <c r="C467" s="704"/>
      <c r="D467" s="704"/>
      <c r="E467" s="704"/>
      <c r="F467" s="704"/>
      <c r="G467" s="704"/>
      <c r="H467" s="704"/>
      <c r="I467" s="704"/>
      <c r="J467" s="704"/>
      <c r="K467" s="704"/>
      <c r="L467" s="727"/>
      <c r="M467" s="742">
        <f>SUM(M460:M464)</f>
        <v>8527369</v>
      </c>
      <c r="N467" s="727"/>
    </row>
    <row r="468" spans="1:14" ht="26.4">
      <c r="A468" s="687"/>
      <c r="B468" s="887" t="s">
        <v>2833</v>
      </c>
      <c r="C468" s="963"/>
      <c r="D468" s="963"/>
      <c r="E468" s="963"/>
      <c r="F468" s="963"/>
      <c r="G468" s="1441" t="s">
        <v>25</v>
      </c>
      <c r="H468" s="1441" t="s">
        <v>46</v>
      </c>
      <c r="I468" s="1441"/>
      <c r="J468" s="1441" t="s">
        <v>2949</v>
      </c>
      <c r="K468" s="1442" t="s">
        <v>27</v>
      </c>
      <c r="L468" s="727"/>
      <c r="M468" s="727"/>
      <c r="N468" s="727"/>
    </row>
    <row r="469" spans="1:14">
      <c r="A469" s="687"/>
      <c r="B469" s="701" t="s">
        <v>2062</v>
      </c>
      <c r="C469" s="704"/>
      <c r="D469" s="704"/>
      <c r="E469" s="704"/>
      <c r="F469" s="704"/>
      <c r="G469" s="962">
        <f>ROUND((22902+886)/1,0)</f>
        <v>23788</v>
      </c>
      <c r="H469" s="962">
        <f>ROUND((0)/1,0)</f>
        <v>0</v>
      </c>
      <c r="I469" s="962"/>
      <c r="J469" s="962">
        <f>ROUND((1999)/1,0)</f>
        <v>1999</v>
      </c>
      <c r="K469" s="962">
        <f>ROUND((0)/1,0)</f>
        <v>0</v>
      </c>
      <c r="L469" s="727"/>
      <c r="M469" s="727"/>
      <c r="N469" s="727"/>
    </row>
    <row r="470" spans="1:14">
      <c r="A470" s="687"/>
      <c r="B470" s="701" t="s">
        <v>2267</v>
      </c>
      <c r="C470" s="704"/>
      <c r="D470" s="704"/>
      <c r="E470" s="704"/>
      <c r="F470" s="704"/>
      <c r="G470" s="962">
        <f>ROUND((1878372-79767+153498)/Master!$B$23,0)</f>
        <v>1952103</v>
      </c>
      <c r="H470" s="962">
        <f>ROUND((0)/Master!$B$23,0)</f>
        <v>0</v>
      </c>
      <c r="I470" s="962"/>
      <c r="J470" s="962">
        <f>ROUND((165303)/Master!$B$23,0)</f>
        <v>165303</v>
      </c>
      <c r="K470" s="962">
        <f>ROUND((0)/Master!$B$23,0)</f>
        <v>0</v>
      </c>
      <c r="L470" s="727"/>
      <c r="M470" s="742">
        <f>G470-H470+J470</f>
        <v>2117406</v>
      </c>
      <c r="N470" s="727"/>
    </row>
    <row r="471" spans="1:14" hidden="1">
      <c r="A471" s="687"/>
      <c r="B471" s="701" t="s">
        <v>2359</v>
      </c>
      <c r="C471" s="704"/>
      <c r="D471" s="704"/>
      <c r="E471" s="704"/>
      <c r="F471" s="704"/>
      <c r="G471" s="962">
        <f>ROUND((0)/1,0)</f>
        <v>0</v>
      </c>
      <c r="H471" s="962">
        <f>ROUND((0)/1,0)</f>
        <v>0</v>
      </c>
      <c r="I471" s="962"/>
      <c r="J471" s="962">
        <f>ROUND((0)/1,0)</f>
        <v>0</v>
      </c>
      <c r="K471" s="962">
        <f>ROUND((0)/1,0)</f>
        <v>0</v>
      </c>
      <c r="L471" s="727"/>
      <c r="M471" s="727"/>
      <c r="N471" s="727"/>
    </row>
    <row r="472" spans="1:14" hidden="1">
      <c r="A472" s="687"/>
      <c r="B472" s="701" t="s">
        <v>2004</v>
      </c>
      <c r="C472" s="704"/>
      <c r="D472" s="704"/>
      <c r="E472" s="704"/>
      <c r="F472" s="704"/>
      <c r="G472" s="962">
        <f>ROUND((0)/Master!$B$23,0)</f>
        <v>0</v>
      </c>
      <c r="H472" s="962">
        <f>ROUND((0)/Master!$B$23,0)</f>
        <v>0</v>
      </c>
      <c r="I472" s="962"/>
      <c r="J472" s="962">
        <f>ROUND((0)/Master!$B$23,0)</f>
        <v>0</v>
      </c>
      <c r="K472" s="962">
        <f>ROUND((0)/Master!$B$23,0)</f>
        <v>0</v>
      </c>
      <c r="L472" s="727"/>
      <c r="M472" s="727"/>
      <c r="N472" s="727"/>
    </row>
    <row r="473" spans="1:14">
      <c r="A473" s="687"/>
      <c r="B473" s="701" t="s">
        <v>2359</v>
      </c>
      <c r="C473" s="704"/>
      <c r="D473" s="704"/>
      <c r="E473" s="704"/>
      <c r="F473" s="704"/>
      <c r="G473" s="962">
        <f>ROUND((0)/1,0)</f>
        <v>0</v>
      </c>
      <c r="H473" s="962">
        <f>ROUND((196+1316)/1,0)</f>
        <v>1512</v>
      </c>
      <c r="I473" s="1516"/>
      <c r="J473" s="962">
        <f>ROUND((0)/1,0)</f>
        <v>0</v>
      </c>
      <c r="K473" s="1516">
        <f>ROUND((0)/1,0)</f>
        <v>0</v>
      </c>
      <c r="L473" s="727"/>
      <c r="M473" s="727"/>
      <c r="N473" s="727"/>
    </row>
    <row r="474" spans="1:14">
      <c r="A474" s="687"/>
      <c r="B474" s="701" t="s">
        <v>2004</v>
      </c>
      <c r="C474" s="704"/>
      <c r="D474" s="704"/>
      <c r="E474" s="704"/>
      <c r="F474" s="704"/>
      <c r="G474" s="962">
        <f>ROUND((0)/Master!$B$23,0)</f>
        <v>0</v>
      </c>
      <c r="H474" s="1593">
        <f>ROUND((17372+117877)/Master!$B$23,0)</f>
        <v>135249</v>
      </c>
      <c r="I474" s="1516"/>
      <c r="J474" s="962">
        <f>ROUND((0)/Master!$B$23,0)</f>
        <v>0</v>
      </c>
      <c r="K474" s="1516">
        <f>ROUND((0)/[101]Master!$B$23,0)</f>
        <v>0</v>
      </c>
      <c r="L474" s="727"/>
      <c r="M474" s="742">
        <f>G474-H474+J474</f>
        <v>-135249</v>
      </c>
      <c r="N474" s="727"/>
    </row>
    <row r="475" spans="1:14">
      <c r="A475" s="687"/>
      <c r="B475" s="1160" t="s">
        <v>2633</v>
      </c>
      <c r="C475" s="704"/>
      <c r="D475" s="704"/>
      <c r="E475" s="704"/>
      <c r="F475" s="704"/>
      <c r="G475" s="962">
        <f>ROUND((-2567-130)/1,0)</f>
        <v>-2697</v>
      </c>
      <c r="H475" s="962">
        <f>ROUND((0)/1,0)</f>
        <v>0</v>
      </c>
      <c r="I475" s="1516"/>
      <c r="J475" s="962">
        <f>ROUND((0)/1,0)</f>
        <v>0</v>
      </c>
      <c r="K475" s="1516">
        <f>ROUND((0)/1,0)</f>
        <v>0</v>
      </c>
      <c r="L475" s="727"/>
      <c r="M475" s="727"/>
      <c r="N475" s="727"/>
    </row>
    <row r="476" spans="1:14">
      <c r="A476" s="687"/>
      <c r="B476" s="701" t="s">
        <v>2004</v>
      </c>
      <c r="C476" s="704"/>
      <c r="D476" s="704"/>
      <c r="E476" s="704"/>
      <c r="F476" s="704"/>
      <c r="G476" s="962">
        <f>ROUND((-61414-13724)/Master!$B$23,0)</f>
        <v>-75138</v>
      </c>
      <c r="H476" s="962">
        <f>ROUND((0)/Master!$B$23,0)</f>
        <v>0</v>
      </c>
      <c r="I476" s="1516"/>
      <c r="J476" s="962">
        <f>ROUND((0)/Master!$B$23,0)</f>
        <v>0</v>
      </c>
      <c r="K476" s="1516">
        <f>ROUND((0)/[101]Master!$B$23,0)</f>
        <v>0</v>
      </c>
      <c r="L476" s="727"/>
      <c r="M476" s="742">
        <f>G476-H476+J476</f>
        <v>-75138</v>
      </c>
      <c r="N476" s="727"/>
    </row>
    <row r="477" spans="1:14" hidden="1">
      <c r="A477" s="687"/>
      <c r="B477" s="704"/>
      <c r="C477" s="704"/>
      <c r="D477" s="704"/>
      <c r="E477" s="704"/>
      <c r="F477" s="704"/>
      <c r="G477" s="704"/>
      <c r="H477" s="704"/>
      <c r="I477" s="704"/>
      <c r="J477" s="704"/>
      <c r="K477" s="704"/>
      <c r="L477" s="727"/>
      <c r="M477" s="727"/>
      <c r="N477" s="727"/>
    </row>
    <row r="478" spans="1:14" hidden="1">
      <c r="A478" s="687"/>
      <c r="B478" s="704"/>
      <c r="C478" s="704"/>
      <c r="D478" s="704"/>
      <c r="E478" s="704"/>
      <c r="F478" s="704"/>
      <c r="G478" s="704"/>
      <c r="H478" s="704"/>
      <c r="I478" s="704"/>
      <c r="J478" s="704"/>
      <c r="K478" s="704"/>
      <c r="L478" s="727"/>
      <c r="M478" s="727"/>
      <c r="N478" s="727"/>
    </row>
    <row r="479" spans="1:14" hidden="1">
      <c r="A479" s="687"/>
      <c r="B479" s="704"/>
      <c r="C479" s="704"/>
      <c r="D479" s="704"/>
      <c r="E479" s="704"/>
      <c r="F479" s="704"/>
      <c r="G479" s="704"/>
      <c r="H479" s="704"/>
      <c r="I479" s="704"/>
      <c r="J479" s="704"/>
      <c r="K479" s="704"/>
      <c r="L479" s="727"/>
      <c r="M479" s="727"/>
      <c r="N479" s="727"/>
    </row>
    <row r="480" spans="1:14" ht="15" hidden="1" customHeight="1">
      <c r="A480" s="687"/>
      <c r="B480" s="887" t="s">
        <v>2374</v>
      </c>
      <c r="C480" s="887"/>
      <c r="D480" s="887"/>
      <c r="E480" s="1095"/>
      <c r="F480" s="1095"/>
      <c r="G480" s="1883" t="s">
        <v>2722</v>
      </c>
      <c r="H480" s="1883"/>
      <c r="I480" s="1883"/>
      <c r="J480" s="1883"/>
      <c r="K480" s="1883"/>
      <c r="L480" s="727"/>
      <c r="M480" s="727"/>
      <c r="N480" s="727"/>
    </row>
    <row r="481" spans="1:14" ht="26.4" hidden="1">
      <c r="A481" s="687"/>
      <c r="B481" s="812"/>
      <c r="E481" s="951"/>
      <c r="F481" s="951"/>
      <c r="G481" s="1168" t="s">
        <v>2062</v>
      </c>
      <c r="H481" s="1258" t="s">
        <v>2267</v>
      </c>
      <c r="I481" s="1258"/>
      <c r="J481" s="1168" t="s">
        <v>2359</v>
      </c>
      <c r="K481" s="1258" t="s">
        <v>2004</v>
      </c>
      <c r="L481" s="727"/>
      <c r="M481" s="727"/>
      <c r="N481" s="727"/>
    </row>
    <row r="482" spans="1:14" ht="5.0999999999999996" hidden="1" customHeight="1">
      <c r="A482" s="687"/>
      <c r="B482" s="812"/>
      <c r="E482" s="951"/>
      <c r="F482" s="951"/>
      <c r="G482" s="951"/>
      <c r="H482" s="1128"/>
      <c r="I482" s="1128"/>
      <c r="J482" s="951"/>
      <c r="K482" s="1094"/>
      <c r="L482" s="727"/>
      <c r="M482" s="727"/>
      <c r="N482" s="727"/>
    </row>
    <row r="483" spans="1:14" hidden="1">
      <c r="A483" s="687"/>
      <c r="B483" s="727" t="s">
        <v>25</v>
      </c>
      <c r="E483" s="951"/>
      <c r="F483" s="951"/>
      <c r="G483" s="910">
        <f>ROUND((70011+9506)/1,0)</f>
        <v>79517</v>
      </c>
      <c r="H483" s="1129">
        <f>ROUND((5350125+726435)/Master!$B$23,0)</f>
        <v>6076560</v>
      </c>
      <c r="I483" s="1129"/>
      <c r="J483" s="910">
        <f>ROUND(0/1,0)</f>
        <v>0</v>
      </c>
      <c r="K483" s="910">
        <f>ROUND(0/Master!$B$23,0)</f>
        <v>0</v>
      </c>
      <c r="L483" s="727"/>
      <c r="M483" s="727"/>
      <c r="N483" s="727"/>
    </row>
    <row r="484" spans="1:14" hidden="1">
      <c r="A484" s="687"/>
      <c r="B484" s="1169" t="s">
        <v>46</v>
      </c>
      <c r="E484" s="951"/>
      <c r="F484" s="951"/>
      <c r="G484" s="910">
        <f>ROUND(0/1,0)</f>
        <v>0</v>
      </c>
      <c r="H484" s="1129">
        <f>ROUND(0/Master!$B$23,0)</f>
        <v>0</v>
      </c>
      <c r="I484" s="1129"/>
      <c r="J484" s="910">
        <f>ROUND(0/1,0)</f>
        <v>0</v>
      </c>
      <c r="K484" s="910">
        <f>ROUND(0/Master!$B$23,0)</f>
        <v>0</v>
      </c>
      <c r="L484" s="727"/>
      <c r="M484" s="727"/>
      <c r="N484" s="727"/>
    </row>
    <row r="485" spans="1:14" hidden="1">
      <c r="A485" s="687"/>
      <c r="B485" s="1169" t="s">
        <v>293</v>
      </c>
      <c r="E485" s="951"/>
      <c r="F485" s="951"/>
      <c r="G485" s="910">
        <f>ROUND(15756/1,0)*0</f>
        <v>0</v>
      </c>
      <c r="H485" s="910">
        <f>ROUND(1086610/Master!$B$23,0)*0</f>
        <v>0</v>
      </c>
      <c r="I485" s="910"/>
      <c r="J485" s="910">
        <f>ROUND(0/1,0)</f>
        <v>0</v>
      </c>
      <c r="K485" s="910">
        <f>ROUND(0/Master!$B$23,0)</f>
        <v>0</v>
      </c>
      <c r="L485" s="727"/>
      <c r="M485" s="727"/>
      <c r="N485" s="727"/>
    </row>
    <row r="486" spans="1:14" hidden="1">
      <c r="A486" s="687"/>
      <c r="B486" s="1169" t="s">
        <v>2009</v>
      </c>
      <c r="E486" s="951"/>
      <c r="F486" s="951"/>
      <c r="G486" s="910">
        <f>ROUND(0/1,0)</f>
        <v>0</v>
      </c>
      <c r="H486" s="1129">
        <f>ROUND(0/Master!$B$23,0)</f>
        <v>0</v>
      </c>
      <c r="I486" s="1129"/>
      <c r="J486" s="910">
        <f>ROUND(0/1,0)</f>
        <v>0</v>
      </c>
      <c r="K486" s="910">
        <f>ROUND(0/Master!$B$23,0)</f>
        <v>0</v>
      </c>
      <c r="L486" s="727">
        <v>515393</v>
      </c>
      <c r="M486" s="742">
        <f>J486-L486</f>
        <v>-515393</v>
      </c>
      <c r="N486" s="727"/>
    </row>
    <row r="487" spans="1:14" hidden="1">
      <c r="A487" s="687"/>
      <c r="B487" s="1169" t="s">
        <v>27</v>
      </c>
      <c r="E487" s="951"/>
      <c r="F487" s="951"/>
      <c r="G487" s="910">
        <f>ROUND(0/1,0)</f>
        <v>0</v>
      </c>
      <c r="H487" s="1129">
        <f>ROUND(0/Master!$B$23,0)</f>
        <v>0</v>
      </c>
      <c r="I487" s="1129"/>
      <c r="J487" s="910">
        <f>ROUND(0/1,0)</f>
        <v>0</v>
      </c>
      <c r="K487" s="910">
        <f>ROUND(0/Master!$B$23,0)</f>
        <v>0</v>
      </c>
      <c r="L487" s="727">
        <v>30</v>
      </c>
      <c r="M487" s="727"/>
      <c r="N487" s="727"/>
    </row>
    <row r="488" spans="1:14" hidden="1">
      <c r="A488" s="687"/>
      <c r="B488" s="704"/>
      <c r="C488" s="704"/>
      <c r="D488" s="704"/>
      <c r="E488" s="704"/>
      <c r="F488" s="704"/>
      <c r="G488" s="704"/>
      <c r="H488" s="1130"/>
      <c r="I488" s="1130"/>
      <c r="J488" s="704"/>
      <c r="K488" s="704"/>
      <c r="L488" s="727">
        <v>12</v>
      </c>
      <c r="M488" s="727"/>
      <c r="N488" s="727"/>
    </row>
    <row r="489" spans="1:14" hidden="1">
      <c r="A489" s="687"/>
      <c r="B489" s="887" t="s">
        <v>2283</v>
      </c>
      <c r="C489" s="887"/>
      <c r="D489" s="887"/>
      <c r="E489" s="1095"/>
      <c r="F489" s="1095"/>
      <c r="G489" s="1883" t="s">
        <v>2373</v>
      </c>
      <c r="H489" s="1883"/>
      <c r="I489" s="1883"/>
      <c r="J489" s="1883"/>
      <c r="K489" s="1883"/>
      <c r="L489" s="727"/>
      <c r="M489" s="727"/>
      <c r="N489" s="727"/>
    </row>
    <row r="490" spans="1:14" ht="26.4" hidden="1">
      <c r="A490" s="687"/>
      <c r="B490" s="812"/>
      <c r="E490" s="951"/>
      <c r="F490" s="951"/>
      <c r="G490" s="1168" t="s">
        <v>2062</v>
      </c>
      <c r="H490" s="1258" t="s">
        <v>2267</v>
      </c>
      <c r="I490" s="1258"/>
      <c r="J490" s="1168" t="s">
        <v>2359</v>
      </c>
      <c r="K490" s="1258" t="s">
        <v>2004</v>
      </c>
      <c r="L490" s="727"/>
      <c r="M490" s="727"/>
      <c r="N490" s="727"/>
    </row>
    <row r="491" spans="1:14" hidden="1">
      <c r="A491" s="687"/>
      <c r="B491" s="812"/>
      <c r="E491" s="951"/>
      <c r="F491" s="951"/>
      <c r="G491" s="951"/>
      <c r="H491" s="1128"/>
      <c r="I491" s="1128"/>
      <c r="J491" s="951"/>
      <c r="K491" s="1094"/>
      <c r="L491" s="727"/>
      <c r="M491" s="727"/>
      <c r="N491" s="727"/>
    </row>
    <row r="492" spans="1:14" hidden="1">
      <c r="A492" s="687"/>
      <c r="B492" s="727" t="s">
        <v>25</v>
      </c>
      <c r="E492" s="951"/>
      <c r="F492" s="951"/>
      <c r="G492" s="910">
        <f>ROUND(28351/1,0)</f>
        <v>28351</v>
      </c>
      <c r="H492" s="1129">
        <f>ROUND(2057997/Master!$B$23,0)</f>
        <v>2057997</v>
      </c>
      <c r="I492" s="1129"/>
      <c r="J492" s="910">
        <f>ROUND(0/1,0)</f>
        <v>0</v>
      </c>
      <c r="K492" s="910">
        <f>ROUND(0/Master!$B$23,0)</f>
        <v>0</v>
      </c>
      <c r="L492" s="727"/>
      <c r="M492" s="727"/>
      <c r="N492" s="727"/>
    </row>
    <row r="493" spans="1:14" hidden="1">
      <c r="A493" s="687"/>
      <c r="B493" s="1169" t="s">
        <v>46</v>
      </c>
      <c r="E493" s="951"/>
      <c r="F493" s="951"/>
      <c r="G493" s="910">
        <f>ROUND((8865+129+1024)/1,0)</f>
        <v>10018</v>
      </c>
      <c r="H493" s="1129">
        <f>ROUND((643504+9398+74320)/Master!$B$23,0)</f>
        <v>727222</v>
      </c>
      <c r="I493" s="1129"/>
      <c r="J493" s="910">
        <f>ROUND(225/1,0)</f>
        <v>225</v>
      </c>
      <c r="K493" s="1346">
        <f>ROUND(19335/Master!$B$23,0)</f>
        <v>19335</v>
      </c>
      <c r="L493" s="727"/>
      <c r="M493" s="727"/>
      <c r="N493" s="727"/>
    </row>
    <row r="494" spans="1:14" hidden="1">
      <c r="A494" s="687"/>
      <c r="B494" s="1169" t="s">
        <v>293</v>
      </c>
      <c r="E494" s="951"/>
      <c r="F494" s="951"/>
      <c r="G494" s="910">
        <f>ROUND(15756/1,0)*0</f>
        <v>0</v>
      </c>
      <c r="H494" s="910">
        <f>ROUND(1086610/Master!$B$23,0)*0</f>
        <v>0</v>
      </c>
      <c r="I494" s="910"/>
      <c r="J494" s="910">
        <f>ROUND(0/1,0)</f>
        <v>0</v>
      </c>
      <c r="K494" s="910">
        <f>ROUND(0/Master!$B$23,0)</f>
        <v>0</v>
      </c>
      <c r="L494" s="727"/>
      <c r="M494" s="727"/>
      <c r="N494" s="727"/>
    </row>
    <row r="495" spans="1:14" hidden="1">
      <c r="A495" s="687"/>
      <c r="B495" s="1169" t="s">
        <v>1866</v>
      </c>
      <c r="E495" s="951"/>
      <c r="F495" s="951"/>
      <c r="G495" s="910">
        <f>ROUND(8154/1,0)</f>
        <v>8154</v>
      </c>
      <c r="H495" s="910">
        <f>ROUND(591949/Master!$B$23,0)</f>
        <v>591949</v>
      </c>
      <c r="I495" s="910"/>
      <c r="J495" s="910">
        <f>ROUND(0/1,0)</f>
        <v>0</v>
      </c>
      <c r="K495" s="910">
        <f>ROUND(0/Master!$B$23,0)</f>
        <v>0</v>
      </c>
      <c r="L495" s="727"/>
      <c r="M495" s="727"/>
      <c r="N495" s="727"/>
    </row>
    <row r="496" spans="1:14" hidden="1">
      <c r="A496" s="687"/>
      <c r="B496" s="1169" t="s">
        <v>27</v>
      </c>
      <c r="E496" s="951"/>
      <c r="F496" s="951"/>
      <c r="G496" s="910">
        <f>ROUND(55907/1,0)</f>
        <v>55907</v>
      </c>
      <c r="H496" s="910">
        <f>ROUND(4058250/Master!$B$23,0)</f>
        <v>4058250</v>
      </c>
      <c r="I496" s="910"/>
      <c r="J496" s="910">
        <f>ROUND(0/1,0)</f>
        <v>0</v>
      </c>
      <c r="K496" s="910">
        <f>ROUND(0/Master!$B$23,0)</f>
        <v>0</v>
      </c>
      <c r="L496" s="727"/>
      <c r="M496" s="727"/>
      <c r="N496" s="727"/>
    </row>
    <row r="497" spans="1:14" hidden="1">
      <c r="A497" s="687"/>
      <c r="B497" s="704"/>
      <c r="C497" s="704"/>
      <c r="D497" s="704"/>
      <c r="E497" s="704"/>
      <c r="F497" s="704"/>
      <c r="G497" s="704"/>
      <c r="H497" s="1130"/>
      <c r="I497" s="1130"/>
      <c r="J497" s="704"/>
      <c r="K497" s="704"/>
      <c r="L497" s="727"/>
      <c r="M497" s="727"/>
      <c r="N497" s="727"/>
    </row>
    <row r="498" spans="1:14" hidden="1">
      <c r="A498" s="687"/>
      <c r="B498" s="704"/>
      <c r="C498" s="704"/>
      <c r="D498" s="704"/>
      <c r="E498" s="704"/>
      <c r="F498" s="704"/>
      <c r="G498" s="704"/>
      <c r="H498" s="1130"/>
      <c r="I498" s="1130"/>
      <c r="J498" s="704"/>
      <c r="K498" s="704"/>
      <c r="L498" s="727"/>
      <c r="M498" s="727"/>
      <c r="N498" s="727"/>
    </row>
    <row r="499" spans="1:14" hidden="1">
      <c r="A499" s="687"/>
      <c r="B499" s="704"/>
      <c r="C499" s="704"/>
      <c r="D499" s="704"/>
      <c r="E499" s="704"/>
      <c r="F499" s="704"/>
      <c r="G499" s="704"/>
      <c r="H499" s="1130"/>
      <c r="I499" s="1130"/>
      <c r="J499" s="704"/>
      <c r="K499" s="704"/>
      <c r="L499" s="727"/>
      <c r="M499" s="727"/>
      <c r="N499" s="727"/>
    </row>
    <row r="500" spans="1:14" ht="30" hidden="1" customHeight="1">
      <c r="A500" s="687"/>
      <c r="B500" s="1730" t="s">
        <v>2005</v>
      </c>
      <c r="C500" s="1734"/>
      <c r="D500" s="1734"/>
      <c r="E500" s="1734"/>
      <c r="F500" s="1734"/>
      <c r="G500" s="1734"/>
      <c r="H500" s="1734"/>
      <c r="I500" s="1734"/>
      <c r="J500" s="1734"/>
      <c r="K500" s="1734"/>
      <c r="L500" s="727">
        <v>4</v>
      </c>
      <c r="M500" s="727"/>
      <c r="N500" s="727"/>
    </row>
    <row r="501" spans="1:14">
      <c r="A501" s="687"/>
      <c r="B501" s="887"/>
      <c r="C501" s="887"/>
      <c r="D501" s="887"/>
      <c r="E501" s="1095"/>
      <c r="F501" s="1095"/>
      <c r="G501" s="1138"/>
      <c r="H501" s="1095" t="s">
        <v>2998</v>
      </c>
      <c r="I501" s="1095"/>
      <c r="J501" s="1138"/>
      <c r="K501" s="1095" t="s">
        <v>2829</v>
      </c>
      <c r="L501" s="727">
        <f>L487*L488%</f>
        <v>3.5999999999999996</v>
      </c>
      <c r="M501" s="742">
        <f>SUM(M470:M476)</f>
        <v>1907019</v>
      </c>
      <c r="N501" s="727"/>
    </row>
    <row r="502" spans="1:14">
      <c r="A502" s="687"/>
      <c r="B502" s="812"/>
      <c r="E502" s="951"/>
      <c r="F502" s="951"/>
      <c r="G502" s="1137"/>
      <c r="H502" s="1137"/>
      <c r="I502" s="1137"/>
      <c r="J502" s="1137"/>
      <c r="K502" s="1136"/>
      <c r="L502" s="727">
        <f>L487+L501</f>
        <v>33.6</v>
      </c>
      <c r="M502" s="727"/>
      <c r="N502" s="727"/>
    </row>
    <row r="503" spans="1:14">
      <c r="A503" s="687"/>
      <c r="B503" s="727" t="s">
        <v>25</v>
      </c>
      <c r="E503" s="951"/>
      <c r="F503" s="951"/>
      <c r="G503" s="910"/>
      <c r="H503" s="1129">
        <f>BS!G27-G460-G462-G464-G466</f>
        <v>71865.11999999918</v>
      </c>
      <c r="I503" s="1129"/>
      <c r="J503" s="910"/>
      <c r="K503" s="910">
        <f>BS!I27-G470-G474-G476</f>
        <v>135522</v>
      </c>
      <c r="L503" s="727">
        <f>L502*L500%</f>
        <v>1.3440000000000001</v>
      </c>
      <c r="M503" s="727"/>
      <c r="N503" s="727"/>
    </row>
    <row r="504" spans="1:14">
      <c r="A504" s="687"/>
      <c r="B504" s="727" t="s">
        <v>46</v>
      </c>
      <c r="E504" s="951"/>
      <c r="F504" s="951"/>
      <c r="G504" s="910"/>
      <c r="H504" s="910">
        <f>BS!G59-H460-H462-H464-H466</f>
        <v>3905123</v>
      </c>
      <c r="I504" s="910"/>
      <c r="J504" s="910"/>
      <c r="K504" s="910">
        <f>BS!I59-H470-H474-H476</f>
        <v>2950831</v>
      </c>
      <c r="L504" s="727">
        <f>L502+L503</f>
        <v>34.944000000000003</v>
      </c>
      <c r="M504" s="727">
        <v>18.399999999999999</v>
      </c>
      <c r="N504" s="727"/>
    </row>
    <row r="505" spans="1:14" hidden="1">
      <c r="A505" s="687"/>
      <c r="B505" s="727" t="s">
        <v>293</v>
      </c>
      <c r="E505" s="951"/>
      <c r="F505" s="951"/>
      <c r="G505" s="910"/>
      <c r="H505" s="910">
        <f>ROUND(1086610/Master!$B$23,0)</f>
        <v>1086610</v>
      </c>
      <c r="I505" s="910"/>
      <c r="J505" s="910"/>
      <c r="K505" s="910">
        <f>ROUND(0/Master!$B$23,0)</f>
        <v>0</v>
      </c>
      <c r="L505" s="727"/>
      <c r="M505" s="727"/>
      <c r="N505" s="727"/>
    </row>
    <row r="506" spans="1:14">
      <c r="A506" s="687"/>
      <c r="B506" s="727" t="s">
        <v>1866</v>
      </c>
      <c r="E506" s="951"/>
      <c r="F506" s="951"/>
      <c r="G506" s="910"/>
      <c r="H506" s="910">
        <f>BS!G31-J460+BS!G33*0+BS!G21*0</f>
        <v>5355449</v>
      </c>
      <c r="I506" s="910"/>
      <c r="J506" s="910"/>
      <c r="K506" s="910">
        <f>BS!I31-J470+BS!G33*0+BS!G21*0</f>
        <v>2513625</v>
      </c>
      <c r="L506" s="727"/>
      <c r="M506" s="727"/>
      <c r="N506" s="727"/>
    </row>
    <row r="507" spans="1:14">
      <c r="A507" s="687"/>
      <c r="B507" s="727" t="s">
        <v>27</v>
      </c>
      <c r="E507" s="951"/>
      <c r="F507" s="951"/>
      <c r="G507" s="910"/>
      <c r="H507" s="910">
        <f>BS!G28-H487</f>
        <v>243659518</v>
      </c>
      <c r="I507" s="910"/>
      <c r="J507" s="910"/>
      <c r="K507" s="910">
        <f>BS!I28-H487</f>
        <v>243805184</v>
      </c>
      <c r="L507" s="727"/>
      <c r="M507" s="727"/>
      <c r="N507" s="727"/>
    </row>
    <row r="508" spans="1:14">
      <c r="A508" s="687"/>
      <c r="B508" s="727"/>
      <c r="E508" s="951"/>
      <c r="F508" s="951"/>
      <c r="G508" s="910"/>
      <c r="H508" s="910"/>
      <c r="I508" s="910"/>
      <c r="J508" s="910"/>
      <c r="K508" s="910"/>
      <c r="L508" s="727"/>
      <c r="M508" s="727"/>
      <c r="N508" s="727"/>
    </row>
    <row r="509" spans="1:14" s="1159" customFormat="1">
      <c r="A509" s="687">
        <v>32</v>
      </c>
      <c r="B509" s="681" t="s">
        <v>2188</v>
      </c>
      <c r="C509" s="1194"/>
      <c r="D509" s="1194"/>
      <c r="E509" s="1194"/>
      <c r="F509" s="1194"/>
      <c r="G509" s="1194"/>
      <c r="H509" s="1194"/>
      <c r="I509" s="1194"/>
      <c r="J509" s="1194"/>
      <c r="K509" s="1194"/>
      <c r="L509" s="1169"/>
      <c r="M509" s="1169"/>
      <c r="N509" s="1169"/>
    </row>
    <row r="510" spans="1:14" s="1159" customFormat="1">
      <c r="A510" s="687"/>
      <c r="B510" s="681"/>
      <c r="C510" s="1194"/>
      <c r="D510" s="1194"/>
      <c r="E510" s="1194"/>
      <c r="F510" s="1194"/>
      <c r="G510" s="1194"/>
      <c r="H510" s="1194"/>
      <c r="I510" s="1194"/>
      <c r="J510" s="1194"/>
      <c r="K510" s="1194"/>
      <c r="L510" s="1169"/>
      <c r="M510" s="1169"/>
      <c r="N510" s="1169"/>
    </row>
    <row r="511" spans="1:14">
      <c r="A511" s="687"/>
      <c r="B511" s="812" t="s">
        <v>497</v>
      </c>
      <c r="C511" s="704"/>
      <c r="D511" s="704"/>
      <c r="E511" s="704"/>
      <c r="F511" s="704"/>
      <c r="G511" s="704"/>
      <c r="H511" s="704"/>
      <c r="I511" s="704"/>
      <c r="J511" s="704"/>
      <c r="K511" s="704"/>
      <c r="L511" s="727"/>
      <c r="M511" s="727"/>
      <c r="N511" s="727"/>
    </row>
    <row r="512" spans="1:14">
      <c r="A512" s="687"/>
      <c r="B512" s="704"/>
      <c r="C512" s="704"/>
      <c r="D512" s="704"/>
      <c r="E512" s="704"/>
      <c r="F512" s="704"/>
      <c r="G512" s="704"/>
      <c r="H512" s="704"/>
      <c r="I512" s="704"/>
      <c r="J512" s="704"/>
      <c r="K512" s="704"/>
      <c r="L512" s="727"/>
      <c r="M512" s="727"/>
      <c r="N512" s="727"/>
    </row>
    <row r="513" spans="1:14">
      <c r="A513" s="687"/>
      <c r="B513" s="727" t="s">
        <v>498</v>
      </c>
      <c r="C513" s="704"/>
      <c r="D513" s="704"/>
      <c r="E513" s="704"/>
      <c r="F513" s="704"/>
      <c r="G513" s="704"/>
      <c r="H513" s="704"/>
      <c r="I513" s="704"/>
      <c r="J513" s="704"/>
      <c r="K513" s="704"/>
      <c r="L513" s="727"/>
      <c r="M513" s="727"/>
      <c r="N513" s="727"/>
    </row>
    <row r="514" spans="1:14" ht="5.0999999999999996" customHeight="1">
      <c r="A514" s="687"/>
      <c r="B514" s="704"/>
      <c r="C514" s="704"/>
      <c r="D514" s="704"/>
      <c r="E514" s="704"/>
      <c r="F514" s="704"/>
      <c r="G514" s="704"/>
      <c r="H514" s="704"/>
      <c r="I514" s="704"/>
      <c r="J514" s="704"/>
      <c r="K514" s="704"/>
      <c r="L514" s="727"/>
      <c r="M514" s="727"/>
      <c r="N514" s="727"/>
    </row>
    <row r="515" spans="1:14">
      <c r="A515" s="687"/>
      <c r="B515" s="704"/>
      <c r="C515" s="704"/>
      <c r="D515" s="704"/>
      <c r="E515" s="704"/>
      <c r="F515" s="704"/>
      <c r="G515" s="1883" t="s">
        <v>3012</v>
      </c>
      <c r="H515" s="1883"/>
      <c r="I515" s="1453"/>
      <c r="J515" s="1883" t="s">
        <v>2834</v>
      </c>
      <c r="K515" s="1883"/>
      <c r="L515" s="727"/>
      <c r="M515" s="727"/>
      <c r="N515" s="727"/>
    </row>
    <row r="516" spans="1:14">
      <c r="A516" s="687"/>
      <c r="B516" s="963"/>
      <c r="C516" s="963"/>
      <c r="D516" s="963"/>
      <c r="E516" s="963"/>
      <c r="F516" s="963"/>
      <c r="G516" s="1709" t="s">
        <v>499</v>
      </c>
      <c r="H516" s="1709" t="s">
        <v>500</v>
      </c>
      <c r="I516" s="1709"/>
      <c r="J516" s="1709" t="s">
        <v>499</v>
      </c>
      <c r="K516" s="1709" t="s">
        <v>500</v>
      </c>
      <c r="L516" s="727"/>
      <c r="M516" s="727"/>
      <c r="N516" s="727"/>
    </row>
    <row r="517" spans="1:14" ht="5.0999999999999996" customHeight="1">
      <c r="A517" s="687"/>
      <c r="B517" s="704"/>
      <c r="C517" s="704"/>
      <c r="D517" s="704"/>
      <c r="E517" s="704"/>
      <c r="F517" s="704"/>
      <c r="G517" s="1710"/>
      <c r="H517" s="1710"/>
      <c r="I517" s="1710"/>
      <c r="J517" s="1710"/>
      <c r="K517" s="1710"/>
      <c r="L517" s="727"/>
      <c r="M517" s="727"/>
      <c r="N517" s="727"/>
    </row>
    <row r="518" spans="1:14">
      <c r="A518" s="687"/>
      <c r="B518" s="703" t="s">
        <v>459</v>
      </c>
      <c r="C518" s="704"/>
      <c r="D518" s="704"/>
      <c r="E518" s="704"/>
      <c r="F518" s="704"/>
      <c r="G518" s="1711">
        <f>ROUND(21174/Master!$B$23,0)</f>
        <v>21174</v>
      </c>
      <c r="H518" s="1711">
        <f>ROUND(21174/Master!$B$23,0)</f>
        <v>21174</v>
      </c>
      <c r="I518" s="1712"/>
      <c r="J518" s="1711">
        <f>ROUND(18784/Master!$B$23,0)</f>
        <v>18784</v>
      </c>
      <c r="K518" s="1711">
        <f>ROUND(18784/Master!$B$23,0)</f>
        <v>18784</v>
      </c>
      <c r="L518" s="727"/>
      <c r="M518" s="1708">
        <v>2117406</v>
      </c>
      <c r="N518" s="727">
        <f>M518*1%</f>
        <v>21174.06</v>
      </c>
    </row>
    <row r="519" spans="1:14" hidden="1">
      <c r="A519" s="687"/>
      <c r="B519" s="1443" t="s">
        <v>460</v>
      </c>
      <c r="C519" s="704"/>
      <c r="D519" s="704"/>
      <c r="E519" s="704"/>
      <c r="F519" s="704"/>
      <c r="G519" s="1712">
        <f>ROUND(0/Master!$B$23,0)</f>
        <v>0</v>
      </c>
      <c r="H519" s="1712">
        <f>ROUND(0/Master!$B$23,0)</f>
        <v>0</v>
      </c>
      <c r="I519" s="1711"/>
      <c r="J519" s="1712">
        <f>ROUND(0/Master!$B$23,0)</f>
        <v>0</v>
      </c>
      <c r="K519" s="1712">
        <f>ROUND(0/Master!$B$23,0)</f>
        <v>0</v>
      </c>
      <c r="L519" s="727"/>
      <c r="M519" s="727"/>
      <c r="N519" s="727"/>
    </row>
    <row r="520" spans="1:14">
      <c r="A520" s="687"/>
      <c r="B520" s="1443" t="s">
        <v>461</v>
      </c>
      <c r="C520" s="704"/>
      <c r="D520" s="704"/>
      <c r="E520" s="704"/>
      <c r="F520" s="704"/>
      <c r="G520" s="1711">
        <f>ROUND(-782/Master!$B$23,0)</f>
        <v>-782</v>
      </c>
      <c r="H520" s="1711">
        <f>ROUND(-782/Master!$B$23,0)</f>
        <v>-782</v>
      </c>
      <c r="I520" s="1711"/>
      <c r="J520" s="1711">
        <f>ROUND(1969.14/Master!$B$23,0)</f>
        <v>1969</v>
      </c>
      <c r="K520" s="1711">
        <f>ROUND(-1969.14/Master!$B$23,0)</f>
        <v>-1969</v>
      </c>
      <c r="L520" s="727"/>
      <c r="M520" s="742">
        <f>G464</f>
        <v>-78210</v>
      </c>
      <c r="N520" s="727">
        <f>M520*1%</f>
        <v>-782.1</v>
      </c>
    </row>
    <row r="521" spans="1:14">
      <c r="A521" s="687"/>
      <c r="B521" s="1443" t="s">
        <v>462</v>
      </c>
      <c r="C521" s="704"/>
      <c r="D521" s="704"/>
      <c r="E521" s="704"/>
      <c r="F521" s="704"/>
      <c r="G521" s="1711">
        <f>ROUND(-1793/Master!$B$23,0)</f>
        <v>-1793</v>
      </c>
      <c r="H521" s="1711">
        <f>ROUND(1793/Master!$B$23,0)</f>
        <v>1793</v>
      </c>
      <c r="I521" s="1711"/>
      <c r="J521" s="1711">
        <f>ROUND(-191.85/Master!$B$23,0)</f>
        <v>-192</v>
      </c>
      <c r="K521" s="1711">
        <f>ROUND(191.85/Master!$B$23,0)</f>
        <v>192</v>
      </c>
      <c r="L521" s="727"/>
      <c r="M521" s="742">
        <f>H462</f>
        <v>179307</v>
      </c>
      <c r="N521" s="727">
        <f>M521*1%</f>
        <v>1793.07</v>
      </c>
    </row>
    <row r="522" spans="1:14" ht="5.0999999999999996" customHeight="1">
      <c r="A522" s="687"/>
      <c r="B522" s="703"/>
      <c r="C522" s="704"/>
      <c r="D522" s="704"/>
      <c r="E522" s="704"/>
      <c r="F522" s="704"/>
      <c r="G522" s="1712"/>
      <c r="H522" s="1712"/>
      <c r="I522" s="1712"/>
      <c r="J522" s="1713"/>
      <c r="K522" s="1713"/>
      <c r="L522" s="727"/>
      <c r="M522" s="727"/>
      <c r="N522" s="727"/>
    </row>
    <row r="523" spans="1:14">
      <c r="A523" s="687"/>
      <c r="B523" s="1091" t="s">
        <v>501</v>
      </c>
      <c r="C523" s="1084"/>
      <c r="D523" s="1084"/>
      <c r="E523" s="1084"/>
      <c r="F523" s="1084"/>
      <c r="G523" s="1714">
        <f>SUM(G518:G522)</f>
        <v>18599</v>
      </c>
      <c r="H523" s="1715">
        <f>SUM(H518:H522)</f>
        <v>22185</v>
      </c>
      <c r="I523" s="1716"/>
      <c r="J523" s="1717">
        <f>SUM(J518:J522)</f>
        <v>20561</v>
      </c>
      <c r="K523" s="1717">
        <f>SUM(K518:K522)</f>
        <v>17007</v>
      </c>
      <c r="L523" s="727"/>
      <c r="M523" s="727"/>
      <c r="N523" s="727"/>
    </row>
    <row r="524" spans="1:14" ht="5.0999999999999996" customHeight="1">
      <c r="A524" s="687"/>
      <c r="B524" s="704"/>
      <c r="C524" s="704"/>
      <c r="D524" s="704"/>
      <c r="E524" s="704"/>
      <c r="F524" s="704"/>
      <c r="G524" s="952"/>
      <c r="H524" s="952"/>
      <c r="I524" s="952"/>
      <c r="J524" s="952"/>
      <c r="K524" s="952"/>
      <c r="L524" s="727"/>
      <c r="M524" s="727"/>
      <c r="N524" s="727"/>
    </row>
    <row r="525" spans="1:14" ht="9.6" customHeight="1">
      <c r="A525" s="687"/>
      <c r="B525" s="704"/>
      <c r="C525" s="704"/>
      <c r="D525" s="704"/>
      <c r="E525" s="704"/>
      <c r="F525" s="704"/>
      <c r="G525" s="952"/>
      <c r="H525" s="952"/>
      <c r="I525" s="952"/>
      <c r="J525" s="952"/>
      <c r="K525" s="952"/>
      <c r="L525" s="727"/>
      <c r="M525" s="727"/>
      <c r="N525" s="727"/>
    </row>
    <row r="526" spans="1:14" hidden="1">
      <c r="A526" s="687">
        <f>+A441</f>
        <v>31</v>
      </c>
      <c r="B526" s="681" t="s">
        <v>1871</v>
      </c>
      <c r="C526" s="704"/>
      <c r="D526" s="704"/>
      <c r="E526" s="704"/>
      <c r="F526" s="704"/>
      <c r="G526" s="704"/>
      <c r="H526" s="704"/>
      <c r="I526" s="704"/>
      <c r="J526" s="704"/>
      <c r="K526" s="704"/>
      <c r="L526" s="727"/>
      <c r="M526" s="727"/>
      <c r="N526" s="727"/>
    </row>
    <row r="527" spans="1:14" hidden="1">
      <c r="A527" s="687"/>
      <c r="B527" s="704"/>
      <c r="C527" s="704"/>
      <c r="D527" s="704"/>
      <c r="E527" s="704"/>
      <c r="F527" s="704"/>
      <c r="G527" s="952"/>
      <c r="H527" s="952"/>
      <c r="I527" s="952"/>
      <c r="J527" s="952"/>
      <c r="K527" s="952"/>
      <c r="L527" s="727"/>
      <c r="M527" s="727"/>
      <c r="N527" s="727"/>
    </row>
    <row r="528" spans="1:14">
      <c r="A528" s="687"/>
      <c r="B528" s="812" t="s">
        <v>502</v>
      </c>
      <c r="C528" s="704"/>
      <c r="D528" s="704"/>
      <c r="E528" s="704"/>
      <c r="F528" s="704"/>
      <c r="G528" s="952"/>
      <c r="H528" s="952"/>
      <c r="I528" s="952"/>
      <c r="J528" s="952"/>
      <c r="K528" s="952"/>
      <c r="L528" s="727"/>
      <c r="M528" s="727"/>
      <c r="N528" s="727"/>
    </row>
    <row r="529" spans="1:14" ht="28.5" customHeight="1">
      <c r="A529" s="687"/>
      <c r="B529" s="1873" t="s">
        <v>1982</v>
      </c>
      <c r="C529" s="1734"/>
      <c r="D529" s="1734"/>
      <c r="E529" s="1734"/>
      <c r="F529" s="1734"/>
      <c r="G529" s="1734"/>
      <c r="H529" s="1734"/>
      <c r="I529" s="1734"/>
      <c r="J529" s="1734"/>
      <c r="K529" s="1734"/>
      <c r="L529" s="727"/>
      <c r="M529" s="727"/>
      <c r="N529" s="727"/>
    </row>
    <row r="530" spans="1:14" ht="4.5" customHeight="1">
      <c r="A530" s="687"/>
      <c r="B530" s="704"/>
      <c r="C530" s="704"/>
      <c r="D530" s="704"/>
      <c r="E530" s="704"/>
      <c r="F530" s="704"/>
      <c r="G530" s="952"/>
      <c r="H530" s="952"/>
      <c r="I530" s="952"/>
      <c r="J530" s="952"/>
      <c r="K530" s="952"/>
      <c r="L530" s="727"/>
      <c r="M530" s="727"/>
      <c r="N530" s="727"/>
    </row>
    <row r="531" spans="1:14" ht="52.05" customHeight="1">
      <c r="A531" s="687"/>
      <c r="B531" s="1729" t="s">
        <v>2640</v>
      </c>
      <c r="C531" s="1734"/>
      <c r="D531" s="1734"/>
      <c r="E531" s="1734"/>
      <c r="F531" s="1734"/>
      <c r="G531" s="1734"/>
      <c r="H531" s="1734"/>
      <c r="I531" s="1734"/>
      <c r="J531" s="1734"/>
      <c r="K531" s="1734"/>
      <c r="L531" s="727"/>
      <c r="M531" s="727"/>
      <c r="N531" s="727"/>
    </row>
    <row r="532" spans="1:14" ht="4.05" customHeight="1">
      <c r="A532" s="687"/>
      <c r="B532" s="704"/>
      <c r="C532" s="704"/>
      <c r="D532" s="704"/>
      <c r="E532" s="704"/>
      <c r="F532" s="704"/>
      <c r="G532" s="952"/>
      <c r="H532" s="952"/>
      <c r="I532" s="952"/>
      <c r="J532" s="952"/>
      <c r="K532" s="952"/>
      <c r="L532" s="727"/>
      <c r="M532" s="727"/>
      <c r="N532" s="727"/>
    </row>
    <row r="533" spans="1:14" ht="67.05" customHeight="1">
      <c r="A533" s="687"/>
      <c r="B533" s="1734" t="s">
        <v>503</v>
      </c>
      <c r="C533" s="1734"/>
      <c r="D533" s="1734"/>
      <c r="E533" s="1734"/>
      <c r="F533" s="1734"/>
      <c r="G533" s="1734"/>
      <c r="H533" s="1734"/>
      <c r="I533" s="1734"/>
      <c r="J533" s="1734"/>
      <c r="K533" s="1734"/>
      <c r="L533" s="727"/>
      <c r="M533" s="727"/>
      <c r="N533" s="727"/>
    </row>
    <row r="534" spans="1:14">
      <c r="A534" s="687"/>
      <c r="B534" s="704"/>
      <c r="C534" s="704"/>
      <c r="D534" s="704"/>
      <c r="E534" s="704"/>
      <c r="F534" s="704"/>
      <c r="G534" s="704"/>
      <c r="H534" s="704"/>
      <c r="I534" s="704"/>
      <c r="J534" s="1263" t="s">
        <v>2282</v>
      </c>
      <c r="K534" s="684" t="s">
        <v>490</v>
      </c>
      <c r="L534" s="727"/>
      <c r="M534" s="727"/>
      <c r="N534" s="727"/>
    </row>
    <row r="535" spans="1:14">
      <c r="A535" s="687"/>
      <c r="B535" s="963"/>
      <c r="C535" s="963"/>
      <c r="D535" s="963"/>
      <c r="E535" s="963"/>
      <c r="F535" s="963"/>
      <c r="G535" s="963"/>
      <c r="H535" s="963"/>
      <c r="I535" s="963"/>
      <c r="J535" s="758">
        <f>BS!$G$7</f>
        <v>45747</v>
      </c>
      <c r="K535" s="758">
        <f>BS!$I$7</f>
        <v>45382</v>
      </c>
      <c r="L535" s="727"/>
      <c r="M535" s="727"/>
      <c r="N535" s="727"/>
    </row>
    <row r="536" spans="1:14">
      <c r="A536" s="687"/>
      <c r="B536" s="1872" t="s">
        <v>25</v>
      </c>
      <c r="C536" s="1872"/>
      <c r="D536" s="704"/>
      <c r="E536" s="704"/>
      <c r="F536" s="704"/>
      <c r="G536" s="704"/>
      <c r="H536" s="704"/>
      <c r="I536" s="704"/>
      <c r="J536" s="735"/>
      <c r="K536" s="735"/>
      <c r="L536" s="727"/>
      <c r="M536" s="727"/>
      <c r="N536" s="727"/>
    </row>
    <row r="537" spans="1:14" ht="26.4">
      <c r="A537" s="687"/>
      <c r="B537" s="704"/>
      <c r="C537" s="1121" t="s">
        <v>1981</v>
      </c>
      <c r="D537" s="704"/>
      <c r="E537" s="704"/>
      <c r="F537" s="704"/>
      <c r="G537" s="704"/>
      <c r="H537" s="704"/>
      <c r="I537" s="704"/>
      <c r="J537" s="1718">
        <f>+'5-9'!J99++'5-9'!J100</f>
        <v>8607499</v>
      </c>
      <c r="K537" s="1718">
        <f>+'5-9'!K99++'5-9'!K100</f>
        <v>2012487</v>
      </c>
      <c r="L537" s="727"/>
      <c r="M537" s="727"/>
      <c r="N537" s="727"/>
    </row>
    <row r="538" spans="1:14">
      <c r="A538" s="687"/>
      <c r="B538" s="1729" t="s">
        <v>2009</v>
      </c>
      <c r="C538" s="1873"/>
      <c r="D538" s="1873"/>
      <c r="E538" s="704"/>
      <c r="F538" s="704"/>
      <c r="G538" s="704"/>
      <c r="H538" s="704"/>
      <c r="I538" s="704"/>
      <c r="J538" s="1291"/>
      <c r="K538" s="1291"/>
      <c r="L538" s="727"/>
      <c r="M538" s="727"/>
      <c r="N538" s="727"/>
    </row>
    <row r="539" spans="1:14" ht="26.4">
      <c r="A539" s="687"/>
      <c r="B539" s="1121"/>
      <c r="C539" s="1121" t="s">
        <v>1981</v>
      </c>
      <c r="D539" s="1121"/>
      <c r="E539" s="704"/>
      <c r="F539" s="704"/>
      <c r="G539" s="704"/>
      <c r="H539" s="704"/>
      <c r="I539" s="704"/>
      <c r="J539" s="1718">
        <f>'5-9'!J176</f>
        <v>709509</v>
      </c>
      <c r="K539" s="1718">
        <f>'5-9'!K176</f>
        <v>693309</v>
      </c>
      <c r="L539" s="727"/>
      <c r="M539" s="727"/>
      <c r="N539" s="727"/>
    </row>
    <row r="540" spans="1:14" ht="9" customHeight="1">
      <c r="A540" s="687"/>
      <c r="B540" s="1121"/>
      <c r="C540" s="1121"/>
      <c r="D540" s="1121"/>
      <c r="E540" s="704"/>
      <c r="F540" s="704"/>
      <c r="G540" s="704"/>
      <c r="H540" s="704"/>
      <c r="I540" s="704"/>
      <c r="J540" s="1122"/>
      <c r="K540" s="1122"/>
      <c r="L540" s="727"/>
      <c r="M540" s="727"/>
      <c r="N540" s="727"/>
    </row>
    <row r="541" spans="1:14" ht="55.05" customHeight="1">
      <c r="A541" s="687"/>
      <c r="B541" s="1734" t="s">
        <v>504</v>
      </c>
      <c r="C541" s="1734"/>
      <c r="D541" s="1734"/>
      <c r="E541" s="1734"/>
      <c r="F541" s="1734"/>
      <c r="G541" s="1734"/>
      <c r="H541" s="1734"/>
      <c r="I541" s="1734"/>
      <c r="J541" s="1734"/>
      <c r="K541" s="1734"/>
      <c r="L541" s="727"/>
      <c r="M541" s="727"/>
      <c r="N541" s="727"/>
    </row>
    <row r="542" spans="1:14">
      <c r="A542" s="687"/>
      <c r="B542" s="704"/>
      <c r="C542" s="704"/>
      <c r="D542" s="704"/>
      <c r="E542" s="704"/>
      <c r="F542" s="704"/>
      <c r="G542" s="704"/>
      <c r="H542" s="704"/>
      <c r="I542" s="704"/>
      <c r="J542" s="704"/>
      <c r="K542" s="704"/>
      <c r="L542" s="727"/>
      <c r="M542" s="727"/>
      <c r="N542" s="727"/>
    </row>
    <row r="543" spans="1:14">
      <c r="A543" s="687"/>
      <c r="B543" s="812" t="s">
        <v>505</v>
      </c>
      <c r="C543" s="704"/>
      <c r="D543" s="704"/>
      <c r="E543" s="704"/>
      <c r="F543" s="704"/>
      <c r="G543" s="704"/>
      <c r="H543" s="704"/>
      <c r="I543" s="704"/>
      <c r="J543" s="704"/>
      <c r="K543" s="704"/>
      <c r="L543" s="727"/>
      <c r="M543" s="727"/>
      <c r="N543" s="727"/>
    </row>
    <row r="544" spans="1:14">
      <c r="A544" s="687"/>
      <c r="B544" s="704"/>
      <c r="C544" s="704"/>
      <c r="D544" s="704"/>
      <c r="E544" s="704"/>
      <c r="F544" s="704"/>
      <c r="G544" s="704"/>
      <c r="H544" s="704"/>
      <c r="I544" s="704"/>
      <c r="J544" s="704"/>
      <c r="K544" s="704"/>
      <c r="L544" s="727"/>
      <c r="M544" s="727"/>
      <c r="N544" s="727"/>
    </row>
    <row r="545" spans="1:14" ht="57" customHeight="1">
      <c r="A545" s="687"/>
      <c r="B545" s="1734" t="s">
        <v>506</v>
      </c>
      <c r="C545" s="1734"/>
      <c r="D545" s="1734"/>
      <c r="E545" s="1734"/>
      <c r="F545" s="1734"/>
      <c r="G545" s="1734"/>
      <c r="H545" s="1734"/>
      <c r="I545" s="1734"/>
      <c r="J545" s="1734"/>
      <c r="K545" s="1734"/>
      <c r="L545" s="727"/>
      <c r="M545" s="727"/>
      <c r="N545" s="727"/>
    </row>
    <row r="546" spans="1:14" ht="30.75" customHeight="1">
      <c r="A546" s="687"/>
      <c r="B546" s="1734" t="s">
        <v>507</v>
      </c>
      <c r="C546" s="1734"/>
      <c r="D546" s="1734"/>
      <c r="E546" s="1734"/>
      <c r="F546" s="1734"/>
      <c r="G546" s="1734"/>
      <c r="H546" s="1734"/>
      <c r="I546" s="1734"/>
      <c r="J546" s="1734"/>
      <c r="K546" s="1734"/>
      <c r="L546" s="727"/>
      <c r="M546" s="727"/>
      <c r="N546" s="727"/>
    </row>
    <row r="547" spans="1:14">
      <c r="A547" s="687"/>
      <c r="B547" s="704"/>
      <c r="C547" s="704"/>
      <c r="D547" s="704"/>
      <c r="E547" s="704"/>
      <c r="F547" s="704"/>
      <c r="G547" s="704"/>
      <c r="H547" s="704"/>
      <c r="I547" s="704"/>
      <c r="J547" s="704"/>
      <c r="K547" s="704"/>
      <c r="L547" s="727"/>
      <c r="M547" s="727"/>
      <c r="N547" s="727"/>
    </row>
    <row r="548" spans="1:14" ht="12.75" customHeight="1">
      <c r="A548" s="687"/>
      <c r="B548" s="704"/>
      <c r="C548" s="704"/>
      <c r="D548" s="704"/>
      <c r="E548" s="1871" t="s">
        <v>3013</v>
      </c>
      <c r="F548" s="1871"/>
      <c r="G548" s="1871"/>
      <c r="H548" s="1871" t="s">
        <v>2835</v>
      </c>
      <c r="I548" s="1871"/>
      <c r="J548" s="1871"/>
      <c r="K548" s="1871"/>
      <c r="L548" s="727"/>
      <c r="M548" s="727"/>
      <c r="N548" s="727"/>
    </row>
    <row r="549" spans="1:14" ht="26.4">
      <c r="A549" s="687"/>
      <c r="B549" s="963"/>
      <c r="C549" s="963"/>
      <c r="D549" s="963"/>
      <c r="E549" s="1719" t="s">
        <v>508</v>
      </c>
      <c r="F549" s="1719" t="s">
        <v>509</v>
      </c>
      <c r="G549" s="1719" t="s">
        <v>173</v>
      </c>
      <c r="H549" s="1719" t="s">
        <v>508</v>
      </c>
      <c r="I549" s="1719"/>
      <c r="J549" s="1719" t="s">
        <v>509</v>
      </c>
      <c r="K549" s="1719" t="s">
        <v>173</v>
      </c>
      <c r="L549" s="727"/>
      <c r="M549" s="727"/>
      <c r="N549" s="727"/>
    </row>
    <row r="550" spans="1:14">
      <c r="A550" s="687"/>
      <c r="B550" s="704"/>
      <c r="C550" s="704"/>
      <c r="D550" s="704"/>
      <c r="E550" s="1720"/>
      <c r="F550" s="1720"/>
      <c r="G550" s="1720"/>
      <c r="H550" s="1720"/>
      <c r="I550" s="1720"/>
      <c r="J550" s="1720"/>
      <c r="K550" s="1720"/>
      <c r="L550" s="727"/>
      <c r="M550" s="727"/>
      <c r="N550" s="727"/>
    </row>
    <row r="551" spans="1:14">
      <c r="A551" s="687"/>
      <c r="B551" s="701" t="s">
        <v>46</v>
      </c>
      <c r="C551" s="704"/>
      <c r="D551" s="704"/>
      <c r="E551" s="1622">
        <f>'10-17'!G317+'10-17'!H317+'10-17'!I317</f>
        <v>1828602</v>
      </c>
      <c r="F551" s="1285">
        <f>'10-17'!J317</f>
        <v>758523</v>
      </c>
      <c r="G551" s="1622">
        <f>SUM(E551:F551)</f>
        <v>2587125</v>
      </c>
      <c r="H551" s="1622">
        <f>'10-17'!G328+'10-17'!H328+'10-17'!I328</f>
        <v>1101820</v>
      </c>
      <c r="I551" s="1622"/>
      <c r="J551" s="1285">
        <f>'10-17'!J328</f>
        <v>770584</v>
      </c>
      <c r="K551" s="1622">
        <f>SUM(H551:J551)</f>
        <v>1872404</v>
      </c>
      <c r="L551" s="727"/>
      <c r="M551" s="727"/>
      <c r="N551" s="727"/>
    </row>
    <row r="552" spans="1:14">
      <c r="A552" s="687"/>
      <c r="B552" s="701" t="s">
        <v>40</v>
      </c>
      <c r="C552" s="704"/>
      <c r="D552" s="704"/>
      <c r="E552" s="1622">
        <f>BS!G61</f>
        <v>574907.60231995583</v>
      </c>
      <c r="F552" s="1622">
        <f>+BS!G47</f>
        <v>0</v>
      </c>
      <c r="G552" s="1622">
        <f>SUM(E552:F552)</f>
        <v>574907.60231995583</v>
      </c>
      <c r="H552" s="1622">
        <f>BS!I61</f>
        <v>830147</v>
      </c>
      <c r="I552" s="1622"/>
      <c r="J552" s="1622">
        <f>+BS!I47</f>
        <v>235325157.6183489</v>
      </c>
      <c r="K552" s="1622">
        <f>SUM(H552:J552)</f>
        <v>236155304.6183489</v>
      </c>
      <c r="L552" s="727"/>
      <c r="M552" s="727"/>
      <c r="N552" s="727"/>
    </row>
    <row r="553" spans="1:14">
      <c r="A553" s="687"/>
      <c r="B553" s="1160" t="s">
        <v>2325</v>
      </c>
      <c r="C553" s="704"/>
      <c r="D553" s="704"/>
      <c r="E553" s="1622">
        <f>+'10-17'!I186</f>
        <v>3875173</v>
      </c>
      <c r="F553" s="1622">
        <f>+'10-17'!J186</f>
        <v>0</v>
      </c>
      <c r="G553" s="1622">
        <f>SUM(E553:F553)</f>
        <v>3875173</v>
      </c>
      <c r="H553" s="1622">
        <f>+'10-17'!I191</f>
        <v>3414449</v>
      </c>
      <c r="I553" s="1622"/>
      <c r="J553" s="1622">
        <f>+'10-17'!J191</f>
        <v>3875173</v>
      </c>
      <c r="K553" s="1622">
        <f>SUM(H553:J553)</f>
        <v>7289622</v>
      </c>
      <c r="L553" s="727"/>
      <c r="M553" s="727"/>
      <c r="N553" s="727"/>
    </row>
    <row r="554" spans="1:14" ht="10.5" customHeight="1">
      <c r="A554" s="687"/>
      <c r="B554" s="704"/>
      <c r="C554" s="704"/>
      <c r="D554" s="704"/>
      <c r="E554" s="960"/>
      <c r="F554" s="960"/>
      <c r="G554" s="960"/>
      <c r="H554" s="960"/>
      <c r="I554" s="960"/>
      <c r="J554" s="960"/>
      <c r="K554" s="960"/>
      <c r="L554" s="727"/>
      <c r="M554" s="727"/>
      <c r="N554" s="727"/>
    </row>
    <row r="555" spans="1:14">
      <c r="A555" s="687"/>
      <c r="B555" s="704"/>
      <c r="C555" s="704"/>
      <c r="D555" s="704"/>
      <c r="E555" s="961"/>
      <c r="F555" s="961"/>
      <c r="G555" s="961"/>
      <c r="H555" s="961"/>
      <c r="I555" s="961"/>
      <c r="J555" s="962"/>
      <c r="K555" s="962"/>
      <c r="L555" s="727"/>
      <c r="M555" s="727"/>
      <c r="N555" s="727"/>
    </row>
    <row r="556" spans="1:14">
      <c r="A556" s="687">
        <f>A509+1</f>
        <v>33</v>
      </c>
      <c r="B556" s="681" t="s">
        <v>510</v>
      </c>
      <c r="C556" s="704"/>
      <c r="D556" s="704"/>
      <c r="E556" s="961"/>
      <c r="F556" s="961"/>
      <c r="G556" s="961"/>
      <c r="H556" s="961"/>
      <c r="I556" s="961"/>
      <c r="J556" s="962"/>
      <c r="K556" s="962"/>
      <c r="L556" s="727"/>
      <c r="M556" s="727"/>
      <c r="N556" s="727"/>
    </row>
    <row r="557" spans="1:14">
      <c r="A557" s="687"/>
      <c r="B557" s="681"/>
      <c r="C557" s="704"/>
      <c r="D557" s="704"/>
      <c r="E557" s="961"/>
      <c r="F557" s="961"/>
      <c r="G557" s="961"/>
      <c r="H557" s="961"/>
      <c r="I557" s="961"/>
      <c r="J557" s="962"/>
      <c r="K557" s="962"/>
      <c r="L557" s="727"/>
      <c r="M557" s="727"/>
      <c r="N557" s="727"/>
    </row>
    <row r="558" spans="1:14" ht="40.5" customHeight="1">
      <c r="A558" s="699"/>
      <c r="B558" s="1734" t="s">
        <v>511</v>
      </c>
      <c r="C558" s="1734"/>
      <c r="D558" s="1734"/>
      <c r="E558" s="1734"/>
      <c r="F558" s="1734"/>
      <c r="G558" s="1734"/>
      <c r="H558" s="1734"/>
      <c r="I558" s="1734"/>
      <c r="J558" s="1734"/>
      <c r="K558" s="1734"/>
      <c r="L558" s="727"/>
      <c r="M558" s="727"/>
      <c r="N558" s="727"/>
    </row>
    <row r="559" spans="1:14" ht="27.75" customHeight="1">
      <c r="A559" s="687"/>
      <c r="B559" s="1734" t="s">
        <v>512</v>
      </c>
      <c r="C559" s="1734"/>
      <c r="D559" s="1734"/>
      <c r="E559" s="1734"/>
      <c r="F559" s="1734"/>
      <c r="G559" s="1734"/>
      <c r="H559" s="1734"/>
      <c r="I559" s="1734"/>
      <c r="J559" s="1734"/>
      <c r="K559" s="1734"/>
      <c r="L559" s="727"/>
      <c r="M559" s="727"/>
      <c r="N559" s="727"/>
    </row>
    <row r="560" spans="1:14" ht="28.05" customHeight="1">
      <c r="A560" s="687"/>
      <c r="B560" s="1729" t="s">
        <v>2639</v>
      </c>
      <c r="C560" s="1734"/>
      <c r="D560" s="1734"/>
      <c r="E560" s="1734"/>
      <c r="F560" s="1734"/>
      <c r="G560" s="1734"/>
      <c r="H560" s="1734"/>
      <c r="I560" s="1734"/>
      <c r="J560" s="1734"/>
      <c r="K560" s="1734"/>
      <c r="L560" s="727"/>
      <c r="M560" s="727"/>
      <c r="N560" s="727"/>
    </row>
    <row r="561" spans="1:14" ht="39.75" customHeight="1">
      <c r="A561" s="687"/>
      <c r="B561" s="1876" t="s">
        <v>1998</v>
      </c>
      <c r="C561" s="1734"/>
      <c r="D561" s="1734"/>
      <c r="E561" s="1734"/>
      <c r="F561" s="1734"/>
      <c r="G561" s="1734"/>
      <c r="H561" s="1734"/>
      <c r="I561" s="1734"/>
      <c r="J561" s="1734"/>
      <c r="K561" s="1734"/>
      <c r="L561" s="727"/>
      <c r="M561" s="727"/>
      <c r="N561" s="727"/>
    </row>
    <row r="562" spans="1:14" ht="5.0999999999999996" customHeight="1">
      <c r="A562" s="687"/>
      <c r="B562" s="704"/>
      <c r="C562" s="704"/>
      <c r="D562" s="704"/>
      <c r="E562" s="704"/>
      <c r="F562" s="704"/>
      <c r="G562" s="704"/>
      <c r="H562" s="704"/>
      <c r="I562" s="704"/>
      <c r="J562" s="704"/>
      <c r="K562" s="704"/>
      <c r="L562" s="727"/>
      <c r="M562" s="727"/>
      <c r="N562" s="727"/>
    </row>
    <row r="563" spans="1:14">
      <c r="A563" s="687"/>
      <c r="B563" s="683" t="s">
        <v>82</v>
      </c>
      <c r="C563" s="701"/>
      <c r="D563" s="710"/>
      <c r="E563" s="710"/>
      <c r="F563" s="710"/>
      <c r="G563" s="710"/>
      <c r="H563" s="735"/>
      <c r="I563" s="735"/>
      <c r="J563" s="684" t="s">
        <v>490</v>
      </c>
      <c r="K563" s="684" t="s">
        <v>490</v>
      </c>
      <c r="L563" s="727"/>
      <c r="M563" s="727"/>
      <c r="N563" s="727"/>
    </row>
    <row r="564" spans="1:14">
      <c r="A564" s="687"/>
      <c r="B564" s="923"/>
      <c r="C564" s="1062"/>
      <c r="D564" s="712"/>
      <c r="E564" s="712"/>
      <c r="F564" s="712"/>
      <c r="G564" s="712"/>
      <c r="H564" s="758"/>
      <c r="I564" s="758"/>
      <c r="J564" s="758">
        <f>BS!$G$7</f>
        <v>45747</v>
      </c>
      <c r="K564" s="758">
        <f>BS!$I$7</f>
        <v>45382</v>
      </c>
      <c r="L564" s="727"/>
      <c r="M564" s="727"/>
      <c r="N564" s="727"/>
    </row>
    <row r="565" spans="1:14">
      <c r="A565" s="687"/>
      <c r="B565" s="704" t="s">
        <v>513</v>
      </c>
      <c r="C565" s="704"/>
      <c r="D565" s="704"/>
      <c r="E565" s="704"/>
      <c r="F565" s="704"/>
      <c r="G565" s="704"/>
      <c r="H565" s="964"/>
      <c r="I565" s="964"/>
      <c r="J565" s="962">
        <f>BS!G56</f>
        <v>246681006.39768004</v>
      </c>
      <c r="K565" s="962">
        <f>BS!I47</f>
        <v>235325157.6183489</v>
      </c>
      <c r="L565" s="727"/>
      <c r="M565" s="727"/>
      <c r="N565" s="727"/>
    </row>
    <row r="566" spans="1:14">
      <c r="A566" s="687"/>
      <c r="B566" s="1160" t="s">
        <v>35</v>
      </c>
      <c r="C566" s="704"/>
      <c r="D566" s="704"/>
      <c r="E566" s="704"/>
      <c r="F566" s="704"/>
      <c r="G566" s="704"/>
      <c r="H566" s="964"/>
      <c r="I566" s="964"/>
      <c r="J566" s="962">
        <f>BS!G42</f>
        <v>17122765</v>
      </c>
      <c r="K566" s="962">
        <f>BS!I42</f>
        <v>66178334</v>
      </c>
      <c r="L566" s="727"/>
      <c r="M566" s="727"/>
      <c r="N566" s="727"/>
    </row>
    <row r="567" spans="1:14">
      <c r="A567" s="687"/>
      <c r="B567" s="1081" t="s">
        <v>1999</v>
      </c>
      <c r="C567" s="1081"/>
      <c r="D567" s="1083"/>
      <c r="E567" s="1083"/>
      <c r="F567" s="1083"/>
      <c r="G567" s="1083"/>
      <c r="H567" s="1096"/>
      <c r="I567" s="1096"/>
      <c r="J567" s="1097">
        <f>+J565/J566</f>
        <v>14.406610521004058</v>
      </c>
      <c r="K567" s="1097">
        <f>+K565/K566</f>
        <v>3.5559244754990189</v>
      </c>
      <c r="L567" s="727"/>
      <c r="M567" s="727"/>
      <c r="N567" s="727"/>
    </row>
    <row r="568" spans="1:14" ht="27.75" hidden="1" customHeight="1">
      <c r="A568" s="687"/>
      <c r="B568" s="1734" t="s">
        <v>514</v>
      </c>
      <c r="C568" s="1734"/>
      <c r="D568" s="1734"/>
      <c r="E568" s="1734"/>
      <c r="F568" s="1734"/>
      <c r="G568" s="1734"/>
      <c r="H568" s="1734"/>
      <c r="I568" s="1734"/>
      <c r="J568" s="1734"/>
      <c r="K568" s="1734"/>
      <c r="L568" s="727"/>
      <c r="M568" s="727"/>
      <c r="N568" s="727"/>
    </row>
    <row r="569" spans="1:14" hidden="1">
      <c r="A569" s="687"/>
      <c r="B569" s="704"/>
      <c r="C569" s="704"/>
      <c r="D569" s="704"/>
      <c r="E569" s="704"/>
      <c r="F569" s="704"/>
      <c r="G569" s="704"/>
      <c r="H569" s="704"/>
      <c r="I569" s="704"/>
      <c r="J569" s="704"/>
      <c r="K569" s="704"/>
      <c r="L569" s="727"/>
      <c r="M569" s="727"/>
      <c r="N569" s="727"/>
    </row>
    <row r="570" spans="1:14">
      <c r="A570" s="687"/>
      <c r="B570" s="704"/>
      <c r="C570" s="704"/>
      <c r="D570" s="704"/>
      <c r="E570" s="704"/>
      <c r="F570" s="704"/>
      <c r="G570" s="704"/>
      <c r="H570" s="704"/>
      <c r="I570" s="704"/>
      <c r="J570" s="704"/>
      <c r="K570" s="704"/>
      <c r="L570" s="727"/>
      <c r="M570" s="727"/>
      <c r="N570" s="727"/>
    </row>
    <row r="571" spans="1:14" ht="29.25" customHeight="1">
      <c r="A571" s="687"/>
      <c r="B571" s="1734" t="s">
        <v>515</v>
      </c>
      <c r="C571" s="1734"/>
      <c r="D571" s="1734"/>
      <c r="E571" s="1734"/>
      <c r="F571" s="1734"/>
      <c r="G571" s="1734"/>
      <c r="H571" s="1734"/>
      <c r="I571" s="1734"/>
      <c r="J571" s="1734"/>
      <c r="K571" s="1734"/>
      <c r="L571" s="727"/>
      <c r="M571" s="727"/>
      <c r="N571" s="727"/>
    </row>
    <row r="572" spans="1:14">
      <c r="A572" s="687"/>
      <c r="B572" s="704"/>
      <c r="C572" s="704"/>
      <c r="D572" s="704"/>
      <c r="E572" s="704"/>
      <c r="F572" s="704"/>
      <c r="G572" s="704"/>
      <c r="H572" s="704"/>
      <c r="I572" s="704"/>
      <c r="J572" s="704"/>
      <c r="K572" s="704"/>
      <c r="L572" s="727"/>
      <c r="M572" s="727"/>
      <c r="N572" s="727"/>
    </row>
    <row r="573" spans="1:14" ht="220.05" customHeight="1">
      <c r="A573" s="687">
        <f>A556+1</f>
        <v>34</v>
      </c>
      <c r="B573" s="1868" t="s">
        <v>2971</v>
      </c>
      <c r="C573" s="1869"/>
      <c r="D573" s="1869"/>
      <c r="E573" s="1869"/>
      <c r="F573" s="1869"/>
      <c r="G573" s="1869"/>
      <c r="H573" s="1869"/>
      <c r="I573" s="1869"/>
      <c r="J573" s="1869"/>
      <c r="K573" s="1869"/>
      <c r="L573" s="727"/>
      <c r="M573" s="727"/>
      <c r="N573" s="727"/>
    </row>
    <row r="574" spans="1:14">
      <c r="A574" s="687"/>
      <c r="B574" s="1194"/>
      <c r="C574" s="704"/>
      <c r="D574" s="704"/>
      <c r="E574" s="704"/>
      <c r="F574" s="704"/>
      <c r="G574" s="704"/>
      <c r="H574" s="704"/>
      <c r="I574" s="704"/>
      <c r="J574" s="704"/>
      <c r="K574" s="704"/>
      <c r="L574" s="727"/>
      <c r="M574" s="727"/>
      <c r="N574" s="727"/>
    </row>
    <row r="575" spans="1:14" ht="163.05000000000001" customHeight="1">
      <c r="A575" s="687">
        <f>A573+1</f>
        <v>35</v>
      </c>
      <c r="B575" s="1868" t="s">
        <v>2972</v>
      </c>
      <c r="C575" s="1869"/>
      <c r="D575" s="1869"/>
      <c r="E575" s="1869"/>
      <c r="F575" s="1869"/>
      <c r="G575" s="1869"/>
      <c r="H575" s="1869"/>
      <c r="I575" s="1869"/>
      <c r="J575" s="1869"/>
      <c r="K575" s="1869"/>
      <c r="L575" s="727"/>
      <c r="M575" s="727"/>
      <c r="N575" s="727"/>
    </row>
    <row r="576" spans="1:14">
      <c r="A576" s="687"/>
      <c r="B576" s="1194"/>
      <c r="C576" s="704"/>
      <c r="D576" s="704"/>
      <c r="E576" s="704"/>
      <c r="F576" s="704"/>
      <c r="G576" s="704"/>
      <c r="H576" s="704"/>
      <c r="I576" s="704"/>
      <c r="J576" s="704"/>
      <c r="K576" s="704"/>
      <c r="L576" s="727"/>
      <c r="M576" s="727"/>
      <c r="N576" s="727"/>
    </row>
    <row r="577" spans="1:14">
      <c r="A577" s="687">
        <f>A575+1</f>
        <v>36</v>
      </c>
      <c r="B577" s="694" t="s">
        <v>2577</v>
      </c>
      <c r="C577" s="704"/>
      <c r="D577" s="704"/>
      <c r="E577" s="704"/>
      <c r="F577" s="704"/>
      <c r="G577" s="704"/>
      <c r="H577" s="704"/>
      <c r="I577" s="704"/>
      <c r="J577" s="704"/>
      <c r="K577" s="704"/>
      <c r="L577" s="727"/>
      <c r="M577" s="727"/>
      <c r="N577" s="727"/>
    </row>
    <row r="578" spans="1:14">
      <c r="A578" s="687"/>
      <c r="B578" s="1877" t="s">
        <v>3120</v>
      </c>
      <c r="C578" s="1877"/>
      <c r="D578" s="1877"/>
      <c r="E578" s="1877"/>
      <c r="F578" s="1877"/>
      <c r="G578" s="1877"/>
      <c r="H578" s="1877"/>
      <c r="I578" s="1307"/>
      <c r="J578" s="704"/>
      <c r="K578" s="704"/>
      <c r="L578" s="727"/>
      <c r="M578" s="727"/>
      <c r="N578" s="727"/>
    </row>
    <row r="579" spans="1:14">
      <c r="A579" s="687"/>
      <c r="B579" s="704"/>
      <c r="C579" s="704"/>
      <c r="D579" s="704"/>
      <c r="E579" s="704"/>
      <c r="F579" s="704"/>
      <c r="G579" s="704"/>
      <c r="H579" s="704"/>
      <c r="I579" s="704"/>
      <c r="J579" s="704"/>
      <c r="K579" s="704"/>
      <c r="L579" s="727"/>
      <c r="M579" s="727"/>
      <c r="N579" s="727"/>
    </row>
    <row r="580" spans="1:14" ht="15" customHeight="1">
      <c r="A580" s="687"/>
      <c r="B580" s="1891" t="s">
        <v>2577</v>
      </c>
      <c r="C580" s="1891"/>
      <c r="E580" s="1892" t="s">
        <v>2578</v>
      </c>
      <c r="F580" s="1892"/>
      <c r="G580" s="1308" t="s">
        <v>2579</v>
      </c>
      <c r="H580" s="1604" t="s">
        <v>2316</v>
      </c>
      <c r="I580" s="1397"/>
      <c r="J580" s="1604" t="str">
        <f>H580</f>
        <v xml:space="preserve">    As at</v>
      </c>
      <c r="K580" s="1398" t="s">
        <v>2580</v>
      </c>
      <c r="L580" s="727"/>
      <c r="M580" s="727"/>
      <c r="N580" s="727"/>
    </row>
    <row r="581" spans="1:14">
      <c r="A581" s="687"/>
      <c r="B581" s="1399"/>
      <c r="C581" s="1399"/>
      <c r="D581" s="711"/>
      <c r="E581" s="711"/>
      <c r="F581" s="1399"/>
      <c r="G581" s="1399"/>
      <c r="H581" s="758">
        <f>+$J$564</f>
        <v>45747</v>
      </c>
      <c r="I581" s="758"/>
      <c r="J581" s="758">
        <f>+$K$564</f>
        <v>45382</v>
      </c>
      <c r="K581" s="1305" t="s">
        <v>2581</v>
      </c>
      <c r="L581" s="727"/>
      <c r="M581" s="727"/>
      <c r="N581" s="727"/>
    </row>
    <row r="582" spans="1:14">
      <c r="A582" s="687"/>
      <c r="B582" s="1400"/>
      <c r="C582" s="1401"/>
      <c r="F582" s="1400"/>
      <c r="G582" s="1400"/>
      <c r="H582" s="1400"/>
      <c r="I582" s="1400"/>
      <c r="J582" s="1400"/>
      <c r="K582" s="1400"/>
      <c r="L582" s="727"/>
      <c r="M582" s="727"/>
      <c r="N582" s="727"/>
    </row>
    <row r="583" spans="1:14" ht="12.75" customHeight="1">
      <c r="A583" s="687"/>
      <c r="B583" s="846" t="s">
        <v>3123</v>
      </c>
      <c r="C583" s="1402"/>
      <c r="E583" s="1834" t="s">
        <v>2582</v>
      </c>
      <c r="F583" s="1834"/>
      <c r="G583" s="1402" t="s">
        <v>45</v>
      </c>
      <c r="H583" s="1406">
        <f>+'Ratio Working'!D3/'Ratio Working'!D4</f>
        <v>1.0051927527047115</v>
      </c>
      <c r="I583" s="1406"/>
      <c r="J583" s="1406">
        <f>+'Ratio Working'!E3/'Ratio Working'!E4</f>
        <v>25.976680364756263</v>
      </c>
      <c r="K583" s="1403">
        <f>-((J583-H583)/J583)*100</f>
        <v>-96.13040335181357</v>
      </c>
      <c r="L583" s="727"/>
      <c r="M583" s="727"/>
      <c r="N583" s="727"/>
    </row>
    <row r="584" spans="1:14" ht="25.5" customHeight="1">
      <c r="A584" s="687"/>
      <c r="B584" s="846" t="s">
        <v>3122</v>
      </c>
      <c r="C584" s="1402"/>
      <c r="E584" s="1834" t="s">
        <v>2583</v>
      </c>
      <c r="F584" s="1834"/>
      <c r="G584" s="1402" t="s">
        <v>2584</v>
      </c>
      <c r="H584" s="1406">
        <f>+'Ratio Working'!D6/'Ratio Working'!D7</f>
        <v>14.406610521004058</v>
      </c>
      <c r="I584" s="1406"/>
      <c r="J584" s="1406">
        <f>+'Ratio Working'!E6/'Ratio Working'!E7</f>
        <v>3.6144809964292679</v>
      </c>
      <c r="K584" s="1403">
        <f t="shared" ref="K584:K591" si="4">-((J584-H584)/J584)*100</f>
        <v>298.58033657491336</v>
      </c>
      <c r="L584" s="727"/>
      <c r="M584" s="727"/>
      <c r="N584" s="727"/>
    </row>
    <row r="585" spans="1:14" ht="38.25" customHeight="1">
      <c r="A585" s="687"/>
      <c r="B585" s="1834" t="s">
        <v>2978</v>
      </c>
      <c r="C585" s="1834"/>
      <c r="D585" s="1834"/>
      <c r="E585" s="1834" t="s">
        <v>2585</v>
      </c>
      <c r="F585" s="1834"/>
      <c r="G585" s="1402" t="s">
        <v>2586</v>
      </c>
      <c r="H585" s="1406">
        <f>+'Ratio Working'!D9/'Ratio Working'!D10</f>
        <v>1.4085210725453281</v>
      </c>
      <c r="I585" s="1406"/>
      <c r="J585" s="1406">
        <f>+'Ratio Working'!E9/'Ratio Working'!E10</f>
        <v>3.3177548828023231</v>
      </c>
      <c r="K585" s="1403">
        <f t="shared" si="4"/>
        <v>-57.54595736272028</v>
      </c>
      <c r="L585" s="727"/>
      <c r="M585" s="727"/>
      <c r="N585" s="727"/>
    </row>
    <row r="586" spans="1:14" ht="41.1" customHeight="1">
      <c r="A586" s="687"/>
      <c r="B586" s="1834" t="s">
        <v>2979</v>
      </c>
      <c r="C586" s="1834"/>
      <c r="D586" s="1834"/>
      <c r="E586" s="1834" t="s">
        <v>2587</v>
      </c>
      <c r="F586" s="1834"/>
      <c r="G586" s="836" t="s">
        <v>2588</v>
      </c>
      <c r="H586" s="1451">
        <f>'Ratio Working'!D12/'Ratio Working'!D13</f>
        <v>-1.176983607383139</v>
      </c>
      <c r="I586" s="1451"/>
      <c r="J586" s="1451">
        <f>'Ratio Working'!E12/'Ratio Working'!E13</f>
        <v>0.9093356793500299</v>
      </c>
      <c r="K586" s="1403">
        <f t="shared" si="4"/>
        <v>-229.43334723480956</v>
      </c>
      <c r="L586" s="727"/>
      <c r="M586" s="727"/>
      <c r="N586" s="727"/>
    </row>
    <row r="587" spans="1:14" ht="25.5" customHeight="1">
      <c r="A587" s="687"/>
      <c r="B587" s="1834" t="s">
        <v>3125</v>
      </c>
      <c r="C587" s="1834"/>
      <c r="D587" s="1834"/>
      <c r="E587" s="1834" t="s">
        <v>774</v>
      </c>
      <c r="F587" s="1834"/>
      <c r="G587" s="1402" t="s">
        <v>2589</v>
      </c>
      <c r="H587" s="1406">
        <f>+'Ratio Working'!D15/'Ratio Working'!D16</f>
        <v>2.0686503496108148</v>
      </c>
      <c r="I587" s="1406"/>
      <c r="J587" s="1406">
        <f>+'Ratio Working'!E15/'Ratio Working'!E16</f>
        <v>2.9718027563897462</v>
      </c>
      <c r="K587" s="1403">
        <f t="shared" si="4"/>
        <v>-30.390725119190403</v>
      </c>
      <c r="L587" s="727"/>
      <c r="M587" s="727"/>
      <c r="N587" s="727"/>
    </row>
    <row r="588" spans="1:14" ht="31.5" customHeight="1">
      <c r="A588" s="687"/>
      <c r="B588" s="1834" t="s">
        <v>3126</v>
      </c>
      <c r="C588" s="1834"/>
      <c r="D588" s="1834"/>
      <c r="E588" s="1834" t="s">
        <v>2590</v>
      </c>
      <c r="F588" s="1834"/>
      <c r="G588" s="1402" t="s">
        <v>2591</v>
      </c>
      <c r="H588" s="1406">
        <f>+'Ratio Working'!D18/'Ratio Working'!D19</f>
        <v>2.1778860917842664</v>
      </c>
      <c r="I588" s="1406"/>
      <c r="J588" s="1406">
        <f>+'Ratio Working'!E18/'Ratio Working'!E19</f>
        <v>1.8733541432555043</v>
      </c>
      <c r="K588" s="1403">
        <f t="shared" si="4"/>
        <v>16.255973256586081</v>
      </c>
      <c r="L588" s="727"/>
      <c r="M588" s="727"/>
      <c r="N588" s="727"/>
    </row>
    <row r="589" spans="1:14" ht="28.05" customHeight="1">
      <c r="A589" s="687"/>
      <c r="B589" s="1834" t="s">
        <v>3127</v>
      </c>
      <c r="C589" s="1834"/>
      <c r="D589" s="1834"/>
      <c r="E589" s="1834" t="s">
        <v>774</v>
      </c>
      <c r="F589" s="1834"/>
      <c r="G589" s="1402" t="s">
        <v>2592</v>
      </c>
      <c r="H589" s="1406">
        <f>+'Ratio Working'!D21/'Ratio Working'!D22</f>
        <v>8.2320436614639672</v>
      </c>
      <c r="I589" s="1406"/>
      <c r="J589" s="1406">
        <f>+'Ratio Working'!E21/'Ratio Working'!E22</f>
        <v>6.0520153840533372E-2</v>
      </c>
      <c r="K589" s="1403">
        <f t="shared" si="4"/>
        <v>13502.152570786357</v>
      </c>
      <c r="L589" s="727"/>
      <c r="M589" s="727"/>
      <c r="N589" s="727"/>
    </row>
    <row r="590" spans="1:14" ht="12.75" customHeight="1">
      <c r="A590" s="687"/>
      <c r="B590" s="846" t="s">
        <v>3128</v>
      </c>
      <c r="C590" s="846"/>
      <c r="D590" s="846"/>
      <c r="E590" s="1834" t="s">
        <v>2587</v>
      </c>
      <c r="F590" s="1834"/>
      <c r="G590" s="1402" t="s">
        <v>774</v>
      </c>
      <c r="H590" s="1451">
        <f>+'Ratio Working'!D24/'Ratio Working'!D25</f>
        <v>-4.4628275484798197</v>
      </c>
      <c r="I590" s="1451"/>
      <c r="J590" s="1451">
        <f>+'Ratio Working'!E24/'Ratio Working'!E25</f>
        <v>2.8587670742552231</v>
      </c>
      <c r="K590" s="1403">
        <f t="shared" si="4"/>
        <v>-256.11021928544119</v>
      </c>
      <c r="L590" s="727"/>
      <c r="M590" s="727"/>
      <c r="N590" s="727"/>
    </row>
    <row r="591" spans="1:14" ht="25.5" customHeight="1">
      <c r="A591" s="687"/>
      <c r="B591" s="1834" t="s">
        <v>3130</v>
      </c>
      <c r="C591" s="1834"/>
      <c r="D591" s="1834"/>
      <c r="E591" s="1834" t="s">
        <v>2593</v>
      </c>
      <c r="F591" s="1834"/>
      <c r="G591" s="1402" t="s">
        <v>2594</v>
      </c>
      <c r="H591" s="1451">
        <f>+'Ratio Working'!D27/'Ratio Working'!D28</f>
        <v>0.51420322593926859</v>
      </c>
      <c r="I591" s="1451"/>
      <c r="J591" s="1451">
        <f>+'Ratio Working'!E27/'Ratio Working'!E28</f>
        <v>0.5051781599699986</v>
      </c>
      <c r="K591" s="1403">
        <f t="shared" si="4"/>
        <v>1.7865115090893824</v>
      </c>
      <c r="L591" s="727"/>
      <c r="M591" s="727"/>
      <c r="N591" s="727"/>
    </row>
    <row r="592" spans="1:14" ht="4.5" customHeight="1">
      <c r="A592" s="687"/>
      <c r="B592" s="1400"/>
      <c r="C592" s="1400"/>
      <c r="D592" s="1400"/>
      <c r="E592" s="1400"/>
      <c r="F592" s="1404"/>
      <c r="G592" s="1404"/>
      <c r="H592" s="1405"/>
      <c r="I592" s="1405"/>
      <c r="J592" s="704"/>
      <c r="K592" s="704"/>
      <c r="L592" s="727"/>
      <c r="M592" s="727"/>
      <c r="N592" s="727"/>
    </row>
    <row r="593" spans="1:14" ht="12.75" customHeight="1">
      <c r="A593" s="687"/>
      <c r="B593" s="1870" t="s">
        <v>2603</v>
      </c>
      <c r="C593" s="1870"/>
      <c r="D593" s="1870"/>
      <c r="E593" s="1870"/>
      <c r="F593" s="1870"/>
      <c r="G593" s="1870"/>
      <c r="H593" s="1870"/>
      <c r="I593" s="1400"/>
      <c r="J593" s="704"/>
      <c r="K593" s="704"/>
      <c r="L593" s="727"/>
      <c r="M593" s="727"/>
      <c r="N593" s="727"/>
    </row>
    <row r="594" spans="1:14" ht="12.75" customHeight="1">
      <c r="A594" s="687"/>
      <c r="B594" s="1877" t="s">
        <v>3124</v>
      </c>
      <c r="C594" s="1877"/>
      <c r="D594" s="1877"/>
      <c r="E594" s="1877"/>
      <c r="F594" s="1877"/>
      <c r="G594" s="1877"/>
      <c r="H594" s="1877"/>
      <c r="I594" s="1877"/>
      <c r="J594" s="1877"/>
      <c r="K594" s="1877"/>
      <c r="L594" s="727"/>
      <c r="M594" s="727"/>
      <c r="N594" s="727"/>
    </row>
    <row r="595" spans="1:14" ht="12.75" customHeight="1">
      <c r="A595" s="687"/>
      <c r="B595" s="1877" t="s">
        <v>3129</v>
      </c>
      <c r="C595" s="1877"/>
      <c r="D595" s="1877"/>
      <c r="E595" s="1877"/>
      <c r="F595" s="1877"/>
      <c r="G595" s="1877"/>
      <c r="H595" s="1877"/>
      <c r="I595" s="1877"/>
      <c r="J595" s="1877"/>
      <c r="K595" s="1877"/>
      <c r="L595" s="727"/>
      <c r="M595" s="727"/>
      <c r="N595" s="727"/>
    </row>
    <row r="596" spans="1:14" ht="12.75" customHeight="1">
      <c r="A596" s="687"/>
      <c r="B596" s="1877" t="s">
        <v>3131</v>
      </c>
      <c r="C596" s="1877"/>
      <c r="D596" s="1877"/>
      <c r="E596" s="1877"/>
      <c r="F596" s="1877"/>
      <c r="G596" s="1877"/>
      <c r="H596" s="1877"/>
      <c r="I596" s="1877"/>
      <c r="J596" s="1877"/>
      <c r="K596" s="1877"/>
      <c r="L596" s="727"/>
      <c r="M596" s="727"/>
      <c r="N596" s="727"/>
    </row>
    <row r="597" spans="1:14">
      <c r="A597" s="687"/>
      <c r="B597" s="704"/>
      <c r="C597" s="704"/>
      <c r="D597" s="704"/>
      <c r="E597" s="704"/>
      <c r="F597" s="704"/>
      <c r="G597" s="704"/>
      <c r="H597" s="704"/>
      <c r="I597" s="704"/>
      <c r="J597" s="704"/>
      <c r="K597" s="704"/>
      <c r="L597" s="727"/>
      <c r="M597" s="727"/>
      <c r="N597" s="727"/>
    </row>
    <row r="598" spans="1:14" ht="57.45" customHeight="1">
      <c r="A598" s="683">
        <f>A577+1</f>
        <v>37</v>
      </c>
      <c r="B598" s="1733" t="s">
        <v>2980</v>
      </c>
      <c r="C598" s="1733"/>
      <c r="D598" s="1733"/>
      <c r="E598" s="1733"/>
      <c r="F598" s="1733"/>
      <c r="G598" s="1733"/>
      <c r="H598" s="1733"/>
      <c r="I598" s="1733"/>
      <c r="J598" s="1733"/>
      <c r="K598" s="1733"/>
      <c r="L598" s="727"/>
      <c r="M598" s="727"/>
      <c r="N598" s="727"/>
    </row>
    <row r="599" spans="1:14" ht="15" hidden="1" customHeight="1">
      <c r="B599" s="681"/>
      <c r="C599" s="681"/>
      <c r="D599" s="681"/>
      <c r="E599" s="681"/>
      <c r="F599" s="681"/>
      <c r="G599" s="681"/>
      <c r="H599" s="681"/>
      <c r="I599" s="681"/>
      <c r="J599" s="681"/>
      <c r="K599" s="681"/>
      <c r="L599" s="727"/>
      <c r="M599" s="727"/>
      <c r="N599" s="727"/>
    </row>
    <row r="600" spans="1:14" ht="6" hidden="1" customHeight="1">
      <c r="B600" s="681"/>
      <c r="C600" s="681"/>
      <c r="D600" s="681"/>
      <c r="E600" s="681"/>
      <c r="F600" s="681"/>
      <c r="G600" s="681"/>
      <c r="H600" s="681"/>
      <c r="I600" s="681"/>
      <c r="J600" s="681"/>
      <c r="K600" s="681"/>
      <c r="L600" s="727"/>
      <c r="M600" s="727"/>
      <c r="N600" s="727"/>
    </row>
    <row r="601" spans="1:14" ht="39.75" hidden="1" customHeight="1">
      <c r="B601" s="1734"/>
      <c r="C601" s="1734"/>
      <c r="D601" s="1734"/>
      <c r="E601" s="1734"/>
      <c r="F601" s="1734"/>
      <c r="G601" s="1734"/>
      <c r="H601" s="1734"/>
      <c r="I601" s="1734"/>
      <c r="J601" s="1734"/>
      <c r="K601" s="1734"/>
      <c r="L601" s="727"/>
      <c r="M601" s="727"/>
      <c r="N601" s="727"/>
    </row>
    <row r="602" spans="1:14" hidden="1">
      <c r="B602" s="704"/>
      <c r="C602" s="704"/>
      <c r="D602" s="704"/>
      <c r="E602" s="704"/>
      <c r="F602" s="704"/>
      <c r="G602" s="704"/>
      <c r="H602" s="704"/>
      <c r="I602" s="704"/>
      <c r="J602" s="704"/>
      <c r="K602" s="704"/>
      <c r="L602" s="727"/>
      <c r="M602" s="727"/>
      <c r="N602" s="727"/>
    </row>
    <row r="603" spans="1:14" hidden="1">
      <c r="A603" s="682"/>
      <c r="B603" s="704"/>
      <c r="C603" s="704"/>
      <c r="D603" s="704"/>
      <c r="E603" s="704"/>
      <c r="F603" s="704"/>
      <c r="G603" s="704"/>
      <c r="H603" s="704"/>
      <c r="I603" s="704"/>
      <c r="J603" s="704"/>
      <c r="K603" s="704"/>
      <c r="L603" s="727"/>
      <c r="M603" s="727"/>
      <c r="N603" s="727"/>
    </row>
    <row r="604" spans="1:14" hidden="1">
      <c r="B604" s="704"/>
      <c r="C604" s="704"/>
      <c r="D604" s="704"/>
      <c r="E604" s="704"/>
      <c r="F604" s="704"/>
      <c r="G604" s="704"/>
      <c r="H604" s="704"/>
      <c r="I604" s="704"/>
      <c r="J604" s="704"/>
      <c r="K604" s="704"/>
      <c r="L604" s="727"/>
      <c r="M604" s="727"/>
      <c r="N604" s="727"/>
    </row>
    <row r="605" spans="1:14" hidden="1">
      <c r="A605" s="1066"/>
      <c r="B605" s="704"/>
      <c r="C605" s="704"/>
      <c r="D605" s="704"/>
      <c r="E605" s="704"/>
      <c r="F605" s="704"/>
      <c r="G605" s="704"/>
      <c r="H605" s="704"/>
      <c r="I605" s="704"/>
      <c r="J605" s="704"/>
      <c r="K605" s="704"/>
      <c r="L605" s="727"/>
      <c r="M605" s="727"/>
      <c r="N605" s="727"/>
    </row>
    <row r="606" spans="1:14" hidden="1">
      <c r="B606" s="704"/>
      <c r="C606" s="704"/>
      <c r="D606" s="704"/>
      <c r="E606" s="704"/>
      <c r="F606" s="704"/>
      <c r="G606" s="704"/>
      <c r="H606" s="704"/>
      <c r="I606" s="704"/>
      <c r="J606" s="704"/>
      <c r="K606" s="704"/>
      <c r="L606" s="727"/>
      <c r="M606" s="727"/>
      <c r="N606" s="727"/>
    </row>
    <row r="607" spans="1:14" hidden="1">
      <c r="B607" s="704"/>
      <c r="C607" s="704"/>
      <c r="D607" s="704"/>
      <c r="E607" s="704"/>
      <c r="F607" s="704"/>
      <c r="G607" s="704"/>
      <c r="H607" s="704"/>
      <c r="I607" s="704"/>
      <c r="J607" s="704"/>
      <c r="K607" s="704"/>
      <c r="L607" s="727"/>
      <c r="M607" s="727"/>
      <c r="N607" s="727"/>
    </row>
    <row r="608" spans="1:14" ht="7.05" customHeight="1">
      <c r="B608" s="912"/>
      <c r="E608" s="811"/>
      <c r="F608" s="811"/>
      <c r="G608" s="907"/>
      <c r="H608" s="907"/>
      <c r="I608" s="907"/>
      <c r="J608" s="907"/>
      <c r="K608" s="907"/>
      <c r="L608" s="727"/>
      <c r="M608" s="727"/>
      <c r="N608" s="727"/>
    </row>
    <row r="609" spans="1:14">
      <c r="A609" s="683">
        <f>A598+1</f>
        <v>38</v>
      </c>
      <c r="B609" s="681" t="s">
        <v>516</v>
      </c>
      <c r="C609" s="975"/>
      <c r="D609" s="975"/>
      <c r="E609" s="975"/>
      <c r="F609" s="975"/>
      <c r="G609" s="975"/>
      <c r="H609" s="975"/>
      <c r="I609" s="975"/>
      <c r="J609" s="975"/>
      <c r="K609" s="975"/>
      <c r="L609" s="727"/>
      <c r="M609" s="727"/>
      <c r="N609" s="727"/>
    </row>
    <row r="610" spans="1:14" ht="5.0999999999999996" customHeight="1">
      <c r="B610" s="681"/>
      <c r="C610" s="975"/>
      <c r="D610" s="975"/>
      <c r="E610" s="975"/>
      <c r="F610" s="975"/>
      <c r="G610" s="975"/>
      <c r="H610" s="975"/>
      <c r="I610" s="975"/>
      <c r="J610" s="975"/>
      <c r="K610" s="975"/>
      <c r="L610" s="727"/>
      <c r="M610" s="727"/>
      <c r="N610" s="727"/>
    </row>
    <row r="611" spans="1:14" ht="39" customHeight="1">
      <c r="A611" s="898" t="s">
        <v>2169</v>
      </c>
      <c r="B611" s="1729" t="s">
        <v>2629</v>
      </c>
      <c r="C611" s="1734"/>
      <c r="D611" s="1734"/>
      <c r="E611" s="1734"/>
      <c r="F611" s="1734"/>
      <c r="G611" s="1734"/>
      <c r="H611" s="1734"/>
      <c r="I611" s="1734"/>
      <c r="J611" s="1734"/>
      <c r="K611" s="1734"/>
      <c r="L611" s="727"/>
      <c r="M611" s="727"/>
      <c r="N611" s="727"/>
    </row>
    <row r="612" spans="1:14" ht="4.5" hidden="1" customHeight="1">
      <c r="B612" s="704"/>
      <c r="C612" s="704"/>
      <c r="D612" s="704"/>
      <c r="E612" s="704"/>
      <c r="F612" s="704"/>
      <c r="G612" s="704"/>
      <c r="H612" s="704"/>
      <c r="I612" s="704"/>
      <c r="J612" s="704"/>
      <c r="K612" s="704"/>
      <c r="L612" s="727"/>
      <c r="M612" s="727"/>
      <c r="N612" s="727"/>
    </row>
    <row r="613" spans="1:14" ht="3" hidden="1" customHeight="1">
      <c r="A613" s="898"/>
      <c r="B613" s="1194"/>
      <c r="C613" s="704"/>
      <c r="D613" s="704"/>
      <c r="E613" s="704"/>
      <c r="F613" s="704"/>
      <c r="G613" s="704"/>
      <c r="H613" s="704"/>
      <c r="I613" s="704"/>
      <c r="J613" s="704"/>
      <c r="K613" s="704"/>
      <c r="L613" s="727"/>
      <c r="M613" s="727"/>
      <c r="N613" s="727"/>
    </row>
    <row r="614" spans="1:14" ht="53.55" customHeight="1">
      <c r="A614" s="898" t="s">
        <v>2170</v>
      </c>
      <c r="B614" s="1729" t="s">
        <v>2837</v>
      </c>
      <c r="C614" s="1734"/>
      <c r="D614" s="1734"/>
      <c r="E614" s="1734"/>
      <c r="F614" s="1734"/>
      <c r="G614" s="1734"/>
      <c r="H614" s="1734"/>
      <c r="I614" s="1734"/>
      <c r="J614" s="1734"/>
      <c r="K614" s="1734"/>
      <c r="L614" s="727"/>
      <c r="M614" s="727"/>
      <c r="N614" s="727"/>
    </row>
    <row r="615" spans="1:14" ht="3.75" hidden="1" customHeight="1">
      <c r="A615" s="898"/>
      <c r="B615" s="1194"/>
      <c r="C615" s="704"/>
      <c r="D615" s="704"/>
      <c r="E615" s="704"/>
      <c r="F615" s="704"/>
      <c r="G615" s="704"/>
      <c r="H615" s="704"/>
      <c r="I615" s="704"/>
      <c r="J615" s="704"/>
      <c r="K615" s="704"/>
      <c r="L615" s="727"/>
      <c r="M615" s="727"/>
      <c r="N615" s="727"/>
    </row>
    <row r="616" spans="1:14" ht="51" customHeight="1">
      <c r="A616" s="898" t="s">
        <v>2171</v>
      </c>
      <c r="B616" s="1729" t="s">
        <v>2838</v>
      </c>
      <c r="C616" s="1734"/>
      <c r="D616" s="1734"/>
      <c r="E616" s="1734"/>
      <c r="F616" s="1734"/>
      <c r="G616" s="1734"/>
      <c r="H616" s="1734"/>
      <c r="I616" s="1734"/>
      <c r="J616" s="1734"/>
      <c r="K616" s="1734"/>
      <c r="L616" s="727"/>
      <c r="M616" s="727"/>
      <c r="N616" s="727"/>
    </row>
    <row r="617" spans="1:14" ht="4.05" hidden="1" customHeight="1">
      <c r="A617" s="898"/>
      <c r="B617" s="1194"/>
      <c r="C617" s="704"/>
      <c r="D617" s="704"/>
      <c r="E617" s="704"/>
      <c r="F617" s="704"/>
      <c r="G617" s="704"/>
      <c r="H617" s="704"/>
      <c r="I617" s="704"/>
      <c r="J617" s="704"/>
      <c r="K617" s="704"/>
      <c r="L617" s="727"/>
      <c r="M617" s="727"/>
      <c r="N617" s="727"/>
    </row>
    <row r="618" spans="1:14" ht="36" customHeight="1">
      <c r="A618" s="898" t="s">
        <v>2172</v>
      </c>
      <c r="B618" s="1729" t="s">
        <v>2966</v>
      </c>
      <c r="C618" s="1729"/>
      <c r="D618" s="1729"/>
      <c r="E618" s="1729"/>
      <c r="F618" s="1729"/>
      <c r="G618" s="1729"/>
      <c r="H618" s="1729"/>
      <c r="I618" s="1729"/>
      <c r="J618" s="1729"/>
      <c r="K618" s="1729"/>
      <c r="L618" s="727"/>
      <c r="M618" s="727"/>
      <c r="N618" s="727"/>
    </row>
    <row r="619" spans="1:14" ht="5.0999999999999996" hidden="1" customHeight="1">
      <c r="A619" s="898"/>
      <c r="B619" s="1194"/>
      <c r="C619" s="704"/>
      <c r="D619" s="704"/>
      <c r="E619" s="704"/>
      <c r="F619" s="704"/>
      <c r="G619" s="704"/>
      <c r="H619" s="704"/>
      <c r="I619" s="704"/>
      <c r="J619" s="704"/>
      <c r="K619" s="704"/>
      <c r="L619" s="727"/>
      <c r="M619" s="727"/>
      <c r="N619" s="727"/>
    </row>
    <row r="620" spans="1:14" ht="139.94999999999999" customHeight="1">
      <c r="A620" s="898" t="s">
        <v>2173</v>
      </c>
      <c r="B620" s="1729" t="s">
        <v>2816</v>
      </c>
      <c r="C620" s="1729"/>
      <c r="D620" s="1729"/>
      <c r="E620" s="1729"/>
      <c r="F620" s="1729"/>
      <c r="G620" s="1729"/>
      <c r="H620" s="1729"/>
      <c r="I620" s="1729"/>
      <c r="J620" s="1729"/>
      <c r="K620" s="1729"/>
      <c r="L620" s="727"/>
      <c r="M620" s="727"/>
      <c r="N620" s="727"/>
    </row>
    <row r="621" spans="1:14" ht="5.0999999999999996" hidden="1" customHeight="1">
      <c r="A621" s="898"/>
      <c r="B621" s="1194"/>
      <c r="C621" s="704"/>
      <c r="D621" s="704"/>
      <c r="E621" s="704"/>
      <c r="F621" s="704"/>
      <c r="G621" s="704"/>
      <c r="H621" s="704"/>
      <c r="I621" s="704"/>
      <c r="J621" s="704"/>
      <c r="K621" s="704"/>
      <c r="L621" s="727"/>
      <c r="M621" s="727"/>
      <c r="N621" s="727"/>
    </row>
    <row r="622" spans="1:14" ht="40.5" customHeight="1">
      <c r="A622" s="898" t="s">
        <v>2174</v>
      </c>
      <c r="B622" s="1729" t="s">
        <v>2641</v>
      </c>
      <c r="C622" s="1729"/>
      <c r="D622" s="1729"/>
      <c r="E622" s="1729"/>
      <c r="F622" s="1729"/>
      <c r="G622" s="1729"/>
      <c r="H622" s="1729"/>
      <c r="I622" s="1729"/>
      <c r="J622" s="1729"/>
      <c r="K622" s="1729"/>
      <c r="L622" s="727"/>
      <c r="M622" s="727"/>
      <c r="N622" s="727"/>
    </row>
    <row r="623" spans="1:14" ht="11.55" hidden="1" customHeight="1">
      <c r="A623" s="898"/>
      <c r="B623" s="1194"/>
      <c r="C623" s="704"/>
      <c r="D623" s="704"/>
      <c r="E623" s="704"/>
      <c r="F623" s="704"/>
      <c r="G623" s="704"/>
      <c r="H623" s="704"/>
      <c r="I623" s="704"/>
      <c r="J623" s="704"/>
      <c r="K623" s="704"/>
      <c r="L623" s="727"/>
      <c r="M623" s="727"/>
      <c r="N623" s="727"/>
    </row>
    <row r="624" spans="1:14" ht="8.5500000000000007" customHeight="1">
      <c r="J624" s="764"/>
      <c r="K624" s="764"/>
      <c r="L624" s="727"/>
      <c r="M624" s="727"/>
      <c r="N624" s="727"/>
    </row>
    <row r="625" spans="1:18" ht="12" customHeight="1">
      <c r="A625" s="837">
        <f>+A609+1</f>
        <v>39</v>
      </c>
      <c r="B625" s="681" t="s">
        <v>2630</v>
      </c>
      <c r="C625" s="1159"/>
      <c r="D625" s="1159"/>
      <c r="E625" s="1159"/>
      <c r="F625" s="1159"/>
      <c r="G625" s="1159"/>
      <c r="H625" s="1159"/>
      <c r="I625" s="1159"/>
      <c r="J625" s="1159"/>
      <c r="K625" s="913"/>
      <c r="L625" s="727"/>
      <c r="M625" s="727"/>
      <c r="N625" s="727"/>
    </row>
    <row r="626" spans="1:18" ht="26.55" customHeight="1">
      <c r="A626" s="846"/>
      <c r="B626" s="1729" t="s">
        <v>2839</v>
      </c>
      <c r="C626" s="1734"/>
      <c r="D626" s="1734"/>
      <c r="E626" s="1734"/>
      <c r="F626" s="1734"/>
      <c r="G626" s="1734"/>
      <c r="H626" s="1734"/>
      <c r="I626" s="1734"/>
      <c r="J626" s="1734"/>
      <c r="K626" s="1734"/>
      <c r="L626" s="727"/>
      <c r="M626" s="727"/>
      <c r="N626" s="727"/>
    </row>
    <row r="627" spans="1:18" ht="10.050000000000001" customHeight="1">
      <c r="A627" s="846"/>
      <c r="B627" s="913"/>
      <c r="C627" s="913"/>
      <c r="D627" s="913"/>
      <c r="E627" s="913"/>
      <c r="F627" s="913"/>
      <c r="G627" s="913"/>
      <c r="H627" s="913"/>
      <c r="I627" s="913"/>
      <c r="J627" s="913"/>
      <c r="K627" s="913"/>
      <c r="L627" s="727"/>
      <c r="M627" s="727"/>
      <c r="N627" s="727"/>
    </row>
    <row r="628" spans="1:18" ht="12" customHeight="1">
      <c r="A628" s="837">
        <f>A625+1</f>
        <v>40</v>
      </c>
      <c r="B628" s="681" t="s">
        <v>2631</v>
      </c>
      <c r="C628" s="921"/>
      <c r="D628" s="921"/>
      <c r="E628" s="913"/>
      <c r="F628" s="913"/>
      <c r="G628" s="913"/>
      <c r="H628" s="913"/>
      <c r="I628" s="913"/>
      <c r="J628" s="913"/>
      <c r="K628" s="913"/>
      <c r="L628" s="727"/>
      <c r="M628" s="727"/>
      <c r="N628" s="727"/>
    </row>
    <row r="629" spans="1:18">
      <c r="A629" s="837"/>
      <c r="B629" s="1734" t="s">
        <v>2632</v>
      </c>
      <c r="C629" s="1734"/>
      <c r="D629" s="1734"/>
      <c r="E629" s="1734"/>
      <c r="F629" s="1734"/>
      <c r="G629" s="1734"/>
      <c r="H629" s="1734"/>
      <c r="I629" s="1734"/>
      <c r="J629" s="1734"/>
      <c r="K629" s="1734"/>
      <c r="L629" s="727"/>
      <c r="M629" s="727"/>
      <c r="N629" s="727"/>
    </row>
    <row r="630" spans="1:18" ht="12" hidden="1" customHeight="1">
      <c r="J630" s="764"/>
      <c r="K630" s="764"/>
      <c r="L630" s="727"/>
      <c r="M630" s="727"/>
      <c r="N630" s="727"/>
    </row>
    <row r="631" spans="1:18" ht="12" customHeight="1">
      <c r="J631" s="764"/>
      <c r="K631" s="764"/>
      <c r="L631" s="727"/>
      <c r="M631" s="727"/>
      <c r="N631" s="727"/>
    </row>
    <row r="632" spans="1:18" ht="15" customHeight="1">
      <c r="A632" s="739" t="s">
        <v>52</v>
      </c>
      <c r="B632" s="703"/>
      <c r="D632" s="703"/>
      <c r="E632" s="703"/>
      <c r="F632" s="703"/>
      <c r="G632" s="703"/>
      <c r="H632" s="703"/>
      <c r="I632" s="703"/>
      <c r="J632" s="703"/>
      <c r="K632" s="703"/>
      <c r="L632" s="727"/>
      <c r="M632" s="727"/>
      <c r="N632" s="727"/>
    </row>
    <row r="633" spans="1:18" ht="12" customHeight="1">
      <c r="A633" s="703"/>
      <c r="B633" s="703"/>
      <c r="D633" s="703"/>
      <c r="E633" s="703"/>
      <c r="F633" s="703"/>
      <c r="G633" s="703"/>
      <c r="H633" s="703"/>
      <c r="I633" s="703"/>
      <c r="J633" s="703"/>
      <c r="K633" s="703"/>
      <c r="L633" s="727"/>
      <c r="M633" s="727"/>
      <c r="N633" s="727"/>
    </row>
    <row r="634" spans="1:18" ht="15" customHeight="1">
      <c r="A634" s="752" t="s">
        <v>1814</v>
      </c>
      <c r="B634" s="703"/>
      <c r="D634" s="703"/>
      <c r="E634" s="703"/>
      <c r="F634" s="681"/>
      <c r="G634" s="681"/>
      <c r="H634" s="681"/>
      <c r="I634" s="681"/>
      <c r="J634" s="681"/>
      <c r="K634" s="753" t="s">
        <v>53</v>
      </c>
      <c r="L634" s="727"/>
      <c r="M634" s="727"/>
      <c r="N634" s="727"/>
    </row>
    <row r="635" spans="1:18" ht="15" customHeight="1">
      <c r="A635" s="752" t="s">
        <v>54</v>
      </c>
      <c r="B635" s="703"/>
      <c r="D635" s="703"/>
      <c r="E635" s="703"/>
      <c r="F635" s="703"/>
      <c r="G635" s="681"/>
      <c r="H635" s="681"/>
      <c r="I635" s="681"/>
      <c r="J635" s="681"/>
      <c r="K635" s="898">
        <f>+CF!H83</f>
        <v>0</v>
      </c>
      <c r="L635" s="727"/>
      <c r="M635" s="727"/>
      <c r="N635" s="727"/>
    </row>
    <row r="636" spans="1:18" ht="15" customHeight="1">
      <c r="A636" s="752" t="s">
        <v>1815</v>
      </c>
      <c r="B636" s="703"/>
      <c r="D636" s="703"/>
      <c r="E636" s="703"/>
      <c r="F636" s="703"/>
      <c r="G636" s="703"/>
      <c r="H636" s="703"/>
      <c r="I636" s="703"/>
      <c r="J636" s="703"/>
      <c r="K636" s="937" t="str">
        <f>+CF!H84</f>
        <v>CIN: U72900PN2010FTC137168</v>
      </c>
      <c r="L636" s="727"/>
      <c r="M636" s="727"/>
      <c r="N636" s="727"/>
    </row>
    <row r="637" spans="1:18" ht="5.0999999999999996" customHeight="1">
      <c r="A637" s="754"/>
      <c r="B637" s="703"/>
      <c r="D637" s="703"/>
      <c r="E637" s="703"/>
      <c r="F637" s="703"/>
      <c r="G637" s="703"/>
      <c r="H637" s="703"/>
      <c r="I637" s="703"/>
      <c r="J637" s="703"/>
      <c r="K637" s="703"/>
      <c r="L637" s="727"/>
      <c r="M637" s="727"/>
      <c r="N637" s="727"/>
    </row>
    <row r="638" spans="1:18" ht="15" hidden="1" customHeight="1">
      <c r="A638" s="965"/>
      <c r="B638" s="703"/>
      <c r="D638" s="703"/>
      <c r="E638" s="703"/>
      <c r="F638" s="703"/>
      <c r="G638" s="703"/>
      <c r="H638" s="703"/>
      <c r="I638" s="703"/>
      <c r="J638" s="703"/>
      <c r="K638" s="703"/>
      <c r="L638" s="727"/>
      <c r="M638" s="727"/>
      <c r="N638" s="727"/>
      <c r="O638" s="727"/>
      <c r="P638" s="727"/>
      <c r="Q638" s="727"/>
      <c r="R638" s="727"/>
    </row>
    <row r="639" spans="1:18" ht="15" customHeight="1">
      <c r="A639" s="965"/>
      <c r="B639" s="703"/>
      <c r="D639" s="703"/>
      <c r="E639" s="703"/>
      <c r="F639" s="703"/>
      <c r="G639" s="703"/>
      <c r="H639" s="703"/>
      <c r="I639" s="703"/>
      <c r="J639" s="703"/>
      <c r="K639" s="703"/>
      <c r="L639" s="727"/>
      <c r="M639" s="727"/>
      <c r="N639" s="727"/>
      <c r="O639" s="727"/>
      <c r="P639" s="727"/>
      <c r="Q639" s="727"/>
      <c r="R639" s="727"/>
    </row>
    <row r="640" spans="1:18" ht="10.050000000000001" customHeight="1">
      <c r="A640" s="724"/>
      <c r="B640" s="703"/>
      <c r="D640" s="703"/>
      <c r="E640" s="703"/>
      <c r="F640" s="703"/>
      <c r="G640" s="703"/>
      <c r="H640" s="703"/>
      <c r="I640" s="703"/>
      <c r="J640" s="703"/>
      <c r="K640" s="703"/>
      <c r="L640" s="727"/>
      <c r="M640" s="727"/>
      <c r="N640" s="727"/>
      <c r="O640" s="727"/>
      <c r="P640" s="727"/>
      <c r="Q640" s="727"/>
      <c r="R640" s="727"/>
    </row>
    <row r="641" spans="1:18" ht="15" customHeight="1">
      <c r="A641" s="689" t="e">
        <f>BS!#REF!</f>
        <v>#REF!</v>
      </c>
      <c r="B641" s="703"/>
      <c r="D641" s="703"/>
      <c r="E641" s="703"/>
      <c r="G641" s="689" t="e">
        <f>BS!#REF!</f>
        <v>#REF!</v>
      </c>
      <c r="I641" s="689"/>
      <c r="J641" s="689"/>
      <c r="K641" s="733" t="s">
        <v>2646</v>
      </c>
      <c r="L641" s="727"/>
      <c r="M641" s="727"/>
      <c r="N641" s="727"/>
      <c r="O641" s="727"/>
      <c r="P641" s="727"/>
      <c r="Q641" s="727"/>
      <c r="R641" s="727"/>
    </row>
    <row r="642" spans="1:18" ht="15" customHeight="1">
      <c r="A642" s="754" t="s">
        <v>517</v>
      </c>
      <c r="B642" s="703"/>
      <c r="D642" s="703"/>
      <c r="E642" s="703"/>
      <c r="G642" s="754" t="e">
        <f>BS!#REF!</f>
        <v>#REF!</v>
      </c>
      <c r="I642" s="754"/>
      <c r="K642" s="1457" t="s">
        <v>2650</v>
      </c>
      <c r="L642" s="727"/>
      <c r="M642" s="727"/>
      <c r="N642" s="727"/>
      <c r="O642" s="727"/>
      <c r="P642" s="727"/>
      <c r="Q642" s="727"/>
      <c r="R642" s="727"/>
    </row>
    <row r="643" spans="1:18" s="954" customFormat="1" ht="15" customHeight="1">
      <c r="A643" s="966" t="e">
        <f>BS!#REF!</f>
        <v>#REF!</v>
      </c>
      <c r="B643" s="955"/>
      <c r="D643" s="955"/>
      <c r="E643" s="955"/>
      <c r="G643" s="739" t="e">
        <f>BS!#REF!</f>
        <v>#REF!</v>
      </c>
      <c r="I643" s="739"/>
      <c r="K643" s="1464" t="s">
        <v>2651</v>
      </c>
      <c r="L643" s="727"/>
      <c r="M643" s="727"/>
      <c r="N643" s="727"/>
      <c r="O643" s="727"/>
      <c r="P643" s="727"/>
      <c r="Q643" s="727"/>
      <c r="R643" s="727"/>
    </row>
    <row r="644" spans="1:18" s="954" customFormat="1" ht="15" customHeight="1">
      <c r="A644" s="966"/>
      <c r="B644" s="955"/>
      <c r="D644" s="955"/>
      <c r="E644" s="955"/>
      <c r="G644" s="739" t="e">
        <f>+BS!#REF!</f>
        <v>#REF!</v>
      </c>
      <c r="I644" s="739"/>
      <c r="K644" s="1464" t="e">
        <f>+BS!#REF!</f>
        <v>#REF!</v>
      </c>
      <c r="L644" s="727"/>
      <c r="M644" s="727"/>
      <c r="N644" s="727"/>
      <c r="O644" s="727"/>
      <c r="P644" s="727"/>
      <c r="Q644" s="727"/>
      <c r="R644" s="727"/>
    </row>
    <row r="645" spans="1:18" ht="15" customHeight="1">
      <c r="A645" s="779"/>
      <c r="G645" s="779"/>
      <c r="I645" s="779"/>
      <c r="K645" s="824"/>
      <c r="L645" s="727"/>
      <c r="M645" s="727"/>
      <c r="N645" s="727"/>
      <c r="O645" s="727"/>
      <c r="P645" s="727"/>
      <c r="Q645" s="727"/>
      <c r="R645" s="727"/>
    </row>
    <row r="646" spans="1:18" ht="15" customHeight="1">
      <c r="A646" s="779"/>
      <c r="G646" s="779"/>
      <c r="I646" s="779"/>
      <c r="K646" s="824"/>
      <c r="L646" s="727"/>
      <c r="M646" s="727"/>
      <c r="N646" s="727"/>
      <c r="O646" s="727"/>
      <c r="P646" s="727"/>
      <c r="Q646" s="727"/>
      <c r="R646" s="727"/>
    </row>
    <row r="647" spans="1:18" ht="15" customHeight="1">
      <c r="A647" s="1884"/>
      <c r="B647" s="1884"/>
      <c r="C647" s="1884"/>
      <c r="G647" s="1452"/>
      <c r="I647" s="1452"/>
      <c r="J647" s="1452"/>
      <c r="K647" s="733" t="s">
        <v>2648</v>
      </c>
      <c r="L647" s="727"/>
      <c r="M647" s="727"/>
      <c r="N647" s="727"/>
      <c r="O647" s="727"/>
      <c r="P647" s="727"/>
      <c r="Q647" s="727"/>
      <c r="R647" s="727"/>
    </row>
    <row r="648" spans="1:18" ht="15" customHeight="1">
      <c r="K648" s="732" t="s">
        <v>2647</v>
      </c>
      <c r="L648" s="727"/>
      <c r="M648" s="727"/>
      <c r="N648" s="727"/>
      <c r="O648" s="727"/>
      <c r="P648" s="727"/>
      <c r="Q648" s="727"/>
      <c r="R648" s="727"/>
    </row>
    <row r="649" spans="1:18" s="683" customFormat="1" ht="15" customHeight="1">
      <c r="A649" s="1884" t="e">
        <f>BS!#REF!</f>
        <v>#REF!</v>
      </c>
      <c r="B649" s="1884"/>
      <c r="C649" s="1884"/>
      <c r="D649" s="699"/>
      <c r="E649" s="699"/>
      <c r="G649" s="967"/>
      <c r="I649" s="967"/>
      <c r="K649" s="1465" t="e">
        <f>+A649</f>
        <v>#REF!</v>
      </c>
      <c r="L649" s="727"/>
      <c r="M649" s="727"/>
      <c r="N649" s="727"/>
      <c r="O649" s="727"/>
      <c r="P649" s="727"/>
      <c r="Q649" s="727"/>
      <c r="R649" s="727"/>
    </row>
    <row r="650" spans="1:18" s="683" customFormat="1" ht="15" customHeight="1">
      <c r="A650" s="1884" t="e">
        <f>BS!#REF!</f>
        <v>#REF!</v>
      </c>
      <c r="B650" s="1884"/>
      <c r="C650" s="1884"/>
      <c r="D650" s="699"/>
      <c r="E650" s="699"/>
      <c r="G650" s="1774" t="e">
        <f>+A650</f>
        <v>#REF!</v>
      </c>
      <c r="H650" s="1774"/>
      <c r="I650" s="1774"/>
      <c r="J650" s="1774"/>
      <c r="K650" s="1774"/>
      <c r="L650" s="727"/>
      <c r="M650" s="727"/>
      <c r="N650" s="727"/>
      <c r="O650" s="727"/>
      <c r="P650" s="727"/>
      <c r="Q650" s="727"/>
      <c r="R650" s="727"/>
    </row>
    <row r="651" spans="1:18" s="727" customFormat="1" ht="15" customHeight="1"/>
    <row r="652" spans="1:18" s="727" customFormat="1" ht="15" customHeight="1"/>
    <row r="653" spans="1:18" s="727" customFormat="1" ht="15" customHeight="1"/>
    <row r="654" spans="1:18" s="727" customFormat="1" ht="15" customHeight="1"/>
    <row r="655" spans="1:18" s="727" customFormat="1" ht="15" customHeight="1"/>
    <row r="656" spans="1:18" s="727" customFormat="1" ht="15" customHeight="1"/>
  </sheetData>
  <mergeCells count="112">
    <mergeCell ref="B11:F11"/>
    <mergeCell ref="G11:K11"/>
    <mergeCell ref="G12:K12"/>
    <mergeCell ref="F222:F223"/>
    <mergeCell ref="G222:G223"/>
    <mergeCell ref="H222:H223"/>
    <mergeCell ref="B249:K249"/>
    <mergeCell ref="H355:K356"/>
    <mergeCell ref="H110:H111"/>
    <mergeCell ref="B152:E153"/>
    <mergeCell ref="F152:F153"/>
    <mergeCell ref="G110:G111"/>
    <mergeCell ref="G152:G153"/>
    <mergeCell ref="H152:H153"/>
    <mergeCell ref="B103:K103"/>
    <mergeCell ref="F110:F111"/>
    <mergeCell ref="G355:G356"/>
    <mergeCell ref="B14:F17"/>
    <mergeCell ref="K152:K153"/>
    <mergeCell ref="B57:D57"/>
    <mergeCell ref="E35:G35"/>
    <mergeCell ref="E77:G77"/>
    <mergeCell ref="J110:J111"/>
    <mergeCell ref="K110:K111"/>
    <mergeCell ref="A650:C650"/>
    <mergeCell ref="B601:K601"/>
    <mergeCell ref="B611:K611"/>
    <mergeCell ref="A647:C647"/>
    <mergeCell ref="B614:K614"/>
    <mergeCell ref="B616:K616"/>
    <mergeCell ref="B585:D585"/>
    <mergeCell ref="B586:D586"/>
    <mergeCell ref="B587:D587"/>
    <mergeCell ref="B588:D588"/>
    <mergeCell ref="E589:F589"/>
    <mergeCell ref="B598:K598"/>
    <mergeCell ref="B618:K618"/>
    <mergeCell ref="B620:K620"/>
    <mergeCell ref="B622:K622"/>
    <mergeCell ref="B629:K629"/>
    <mergeCell ref="B596:K596"/>
    <mergeCell ref="E585:F585"/>
    <mergeCell ref="E586:F586"/>
    <mergeCell ref="E587:F587"/>
    <mergeCell ref="G650:K650"/>
    <mergeCell ref="B595:K595"/>
    <mergeCell ref="B589:D589"/>
    <mergeCell ref="E588:F588"/>
    <mergeCell ref="A649:C649"/>
    <mergeCell ref="G515:H515"/>
    <mergeCell ref="B274:K274"/>
    <mergeCell ref="G293:H293"/>
    <mergeCell ref="J293:K293"/>
    <mergeCell ref="B324:K324"/>
    <mergeCell ref="B347:K347"/>
    <mergeCell ref="B349:K349"/>
    <mergeCell ref="B350:K350"/>
    <mergeCell ref="B352:K352"/>
    <mergeCell ref="G489:K489"/>
    <mergeCell ref="B443:K443"/>
    <mergeCell ref="J515:K515"/>
    <mergeCell ref="B500:K500"/>
    <mergeCell ref="B388:F390"/>
    <mergeCell ref="G388:G389"/>
    <mergeCell ref="B578:H578"/>
    <mergeCell ref="B580:C580"/>
    <mergeCell ref="E580:F580"/>
    <mergeCell ref="B573:K573"/>
    <mergeCell ref="B626:K626"/>
    <mergeCell ref="B591:D591"/>
    <mergeCell ref="E590:F590"/>
    <mergeCell ref="B438:K438"/>
    <mergeCell ref="B69:D69"/>
    <mergeCell ref="B560:K560"/>
    <mergeCell ref="B561:K561"/>
    <mergeCell ref="B568:K568"/>
    <mergeCell ref="B594:K594"/>
    <mergeCell ref="B110:E111"/>
    <mergeCell ref="B355:F357"/>
    <mergeCell ref="J152:J153"/>
    <mergeCell ref="B538:D538"/>
    <mergeCell ref="B447:K447"/>
    <mergeCell ref="E583:F583"/>
    <mergeCell ref="E584:F584"/>
    <mergeCell ref="B448:K448"/>
    <mergeCell ref="B454:K454"/>
    <mergeCell ref="B456:K456"/>
    <mergeCell ref="G480:K480"/>
    <mergeCell ref="B43:D43"/>
    <mergeCell ref="H388:K389"/>
    <mergeCell ref="B571:K571"/>
    <mergeCell ref="B531:K531"/>
    <mergeCell ref="B533:K533"/>
    <mergeCell ref="B575:K575"/>
    <mergeCell ref="E591:F591"/>
    <mergeCell ref="B593:H593"/>
    <mergeCell ref="E548:G548"/>
    <mergeCell ref="B536:C536"/>
    <mergeCell ref="B529:K529"/>
    <mergeCell ref="B411:F413"/>
    <mergeCell ref="G411:G412"/>
    <mergeCell ref="H411:K412"/>
    <mergeCell ref="F449:H449"/>
    <mergeCell ref="B559:K559"/>
    <mergeCell ref="B541:K541"/>
    <mergeCell ref="B545:K545"/>
    <mergeCell ref="B546:K546"/>
    <mergeCell ref="H548:K548"/>
    <mergeCell ref="B558:K558"/>
    <mergeCell ref="B59:D59"/>
    <mergeCell ref="B65:D65"/>
    <mergeCell ref="B67:D67"/>
  </mergeCells>
  <pageMargins left="0.23622047244094491" right="0.23622047244094491" top="0.74803149606299213" bottom="0.74803149606299213" header="0.31496062992125984" footer="0.31496062992125984"/>
  <pageSetup paperSize="9" scale="84" firstPageNumber="35" fitToWidth="0" fitToHeight="0" orientation="portrait" useFirstPageNumber="1" r:id="rId1"/>
  <headerFooter>
    <oddFooter>&amp;C&amp;P</oddFooter>
  </headerFooter>
  <rowBreaks count="7" manualBreakCount="7">
    <brk id="71" max="10" man="1"/>
    <brk id="269" max="10" man="1"/>
    <brk id="439" max="10" man="1"/>
    <brk id="507" max="10" man="1"/>
    <brk id="554" max="10" man="1"/>
    <brk id="575" max="10" man="1"/>
    <brk id="607" max="10" man="1"/>
  </rowBreaks>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89A54-9844-47BD-9E1F-A2CACDD0599B}">
  <dimension ref="A1:J30"/>
  <sheetViews>
    <sheetView topLeftCell="A2" workbookViewId="0">
      <selection activeCell="G363" sqref="G363"/>
    </sheetView>
  </sheetViews>
  <sheetFormatPr defaultColWidth="9.21875" defaultRowHeight="14.4"/>
  <cols>
    <col min="1" max="1" width="38.5546875" style="1407" bestFit="1" customWidth="1"/>
    <col min="2" max="2" width="26.21875" style="1407" bestFit="1" customWidth="1"/>
    <col min="3" max="6" width="15" style="1407" bestFit="1" customWidth="1"/>
    <col min="7" max="7" width="15" style="1407" customWidth="1"/>
    <col min="8" max="16384" width="9.21875" style="1407"/>
  </cols>
  <sheetData>
    <row r="1" spans="1:10">
      <c r="D1" s="1408" t="s">
        <v>3121</v>
      </c>
      <c r="E1" s="1408" t="s">
        <v>2836</v>
      </c>
      <c r="F1" s="1408"/>
      <c r="G1" s="1408"/>
      <c r="H1" s="1408" t="s">
        <v>2741</v>
      </c>
    </row>
    <row r="3" spans="1:10">
      <c r="A3" s="1407" t="s">
        <v>2582</v>
      </c>
      <c r="D3" s="1591">
        <f>+BS!G34</f>
        <v>258300405.12</v>
      </c>
      <c r="E3" s="1591">
        <f>+BS!I34</f>
        <v>248841999</v>
      </c>
      <c r="F3" s="1409"/>
      <c r="G3" s="1410">
        <f>(E3-D3)/E3</f>
        <v>-3.8009685495252771E-2</v>
      </c>
      <c r="I3" s="1407">
        <f>D3/D4</f>
        <v>1.0051927527047115</v>
      </c>
      <c r="J3" s="1407">
        <f>E3/E4</f>
        <v>25.976680364756263</v>
      </c>
    </row>
    <row r="4" spans="1:10">
      <c r="A4" s="1407" t="s">
        <v>45</v>
      </c>
      <c r="D4" s="1591">
        <f>+BS!G66</f>
        <v>256966044</v>
      </c>
      <c r="E4" s="1591">
        <f>+BS!I66</f>
        <v>9579438</v>
      </c>
      <c r="F4" s="1409"/>
      <c r="G4" s="1410">
        <f>(E4-D4)/E4</f>
        <v>-25.82475151465044</v>
      </c>
    </row>
    <row r="5" spans="1:10">
      <c r="D5" s="1721"/>
      <c r="E5" s="1721"/>
      <c r="F5" s="1409"/>
      <c r="G5" s="1409"/>
    </row>
    <row r="6" spans="1:10">
      <c r="A6" s="1407" t="s">
        <v>2595</v>
      </c>
      <c r="D6" s="1591">
        <f>+BS!G47+BS!G56</f>
        <v>246681006.39768004</v>
      </c>
      <c r="E6" s="1591">
        <f>+BS!I47+BS!I48</f>
        <v>239200330.6183489</v>
      </c>
      <c r="F6" s="1409"/>
      <c r="G6" s="1409"/>
    </row>
    <row r="7" spans="1:10">
      <c r="A7" s="1407" t="s">
        <v>2584</v>
      </c>
      <c r="D7" s="1591">
        <f>+BS!G42</f>
        <v>17122765</v>
      </c>
      <c r="E7" s="1591">
        <f>+BS!I42</f>
        <v>66178334</v>
      </c>
      <c r="F7" s="1409"/>
      <c r="G7" s="1409"/>
    </row>
    <row r="8" spans="1:10">
      <c r="D8" s="1721"/>
      <c r="E8" s="1721"/>
      <c r="F8" s="1409"/>
      <c r="G8" s="1409"/>
    </row>
    <row r="9" spans="1:10" ht="43.2">
      <c r="A9" s="1407" t="s">
        <v>2596</v>
      </c>
      <c r="B9" s="1407" t="s">
        <v>2597</v>
      </c>
      <c r="C9" s="1411" t="s">
        <v>2598</v>
      </c>
      <c r="D9" s="1591">
        <f>PL!F26+PL!F17+PL!F19</f>
        <v>12011255</v>
      </c>
      <c r="E9" s="1591">
        <f>PL!H26+PL!H17+PL!H19</f>
        <v>36612802</v>
      </c>
      <c r="F9" s="1409"/>
      <c r="G9" s="1409"/>
    </row>
    <row r="10" spans="1:10" ht="43.2">
      <c r="A10" s="1407" t="s">
        <v>2586</v>
      </c>
      <c r="B10" s="1411" t="s">
        <v>2599</v>
      </c>
      <c r="D10" s="1591">
        <f>+'18-26'!I74+'10-17'!K166</f>
        <v>8527565</v>
      </c>
      <c r="E10" s="1591">
        <f>+'18-26'!J74+'10-17'!K161</f>
        <v>11035415</v>
      </c>
      <c r="F10" s="1409"/>
      <c r="G10" s="1409"/>
    </row>
    <row r="11" spans="1:10">
      <c r="D11" s="1721"/>
      <c r="E11" s="1721"/>
      <c r="F11" s="1409"/>
      <c r="G11" s="1409"/>
    </row>
    <row r="12" spans="1:10">
      <c r="A12" s="1407" t="s">
        <v>2587</v>
      </c>
      <c r="D12" s="1591">
        <f>PL!F37</f>
        <v>-49022014</v>
      </c>
      <c r="E12" s="1591">
        <f>PL!H37</f>
        <v>41395539</v>
      </c>
      <c r="F12" s="1409"/>
      <c r="G12" s="1409"/>
    </row>
    <row r="13" spans="1:10">
      <c r="A13" s="1407" t="s">
        <v>2588</v>
      </c>
      <c r="D13" s="1591">
        <f>(BS!G42+BS!I42)/2</f>
        <v>41650549.5</v>
      </c>
      <c r="E13" s="1591">
        <f>(BS!I42+'Ratio Working'!H13)/2</f>
        <v>45522836</v>
      </c>
      <c r="F13" s="1409"/>
      <c r="G13" s="1552"/>
      <c r="H13" s="1407">
        <f>ROUND((24867338)/Master!$B$23,0)</f>
        <v>24867338</v>
      </c>
    </row>
    <row r="14" spans="1:10">
      <c r="D14" s="1721"/>
      <c r="E14" s="1721"/>
      <c r="F14" s="1409"/>
      <c r="G14" s="1409"/>
    </row>
    <row r="15" spans="1:10">
      <c r="A15" s="1407" t="s">
        <v>774</v>
      </c>
      <c r="D15" s="1591">
        <f>PL!F10</f>
        <v>10984519</v>
      </c>
      <c r="E15" s="1591">
        <f>PL!H10</f>
        <v>14480207</v>
      </c>
      <c r="G15" s="1409"/>
    </row>
    <row r="16" spans="1:10">
      <c r="A16" s="1407" t="s">
        <v>2589</v>
      </c>
      <c r="D16" s="1591">
        <f>(BS!G27+BS!I27)/2</f>
        <v>5309993.0599999996</v>
      </c>
      <c r="E16" s="1591">
        <f>(BS!I27+'Ratio Working'!H16)/2</f>
        <v>4872533</v>
      </c>
      <c r="F16" s="1409"/>
      <c r="G16" s="1409"/>
      <c r="H16" s="1407">
        <f>ROUND((7732579)/Master!$B$23,0)</f>
        <v>7732579</v>
      </c>
    </row>
    <row r="17" spans="1:8">
      <c r="D17" s="1722"/>
      <c r="E17" s="1722"/>
      <c r="F17" s="1409"/>
      <c r="G17" s="1409"/>
    </row>
    <row r="18" spans="1:8">
      <c r="A18" s="1407" t="s">
        <v>2600</v>
      </c>
      <c r="B18" s="1407" t="s">
        <v>2601</v>
      </c>
      <c r="D18" s="1591">
        <f>+PL!F20</f>
        <v>7808277</v>
      </c>
      <c r="E18" s="1591">
        <f>+PL!H20</f>
        <v>5626385</v>
      </c>
      <c r="G18" s="1409"/>
    </row>
    <row r="19" spans="1:8">
      <c r="A19" s="1407" t="s">
        <v>2591</v>
      </c>
      <c r="D19" s="1591">
        <f>+(BS!G59+BS!I59)/2</f>
        <v>3585255</v>
      </c>
      <c r="E19" s="1591">
        <f>(BS!I59+'Ratio Working'!H19)/2</f>
        <v>3003375</v>
      </c>
      <c r="F19" s="1409"/>
      <c r="G19" s="1409"/>
      <c r="H19" s="1407">
        <f>ROUND((2920670)/Master!$B$23,0)</f>
        <v>2920670</v>
      </c>
    </row>
    <row r="20" spans="1:8">
      <c r="D20" s="1368">
        <f>+D18/D19</f>
        <v>2.1778860917842664</v>
      </c>
      <c r="E20" s="1368">
        <f>+E18/E19</f>
        <v>1.8733541432555043</v>
      </c>
      <c r="F20" s="1409"/>
      <c r="G20" s="1409"/>
    </row>
    <row r="21" spans="1:8">
      <c r="A21" s="1407" t="s">
        <v>774</v>
      </c>
      <c r="D21" s="1591">
        <f>D15</f>
        <v>10984519</v>
      </c>
      <c r="E21" s="1591">
        <f>E15</f>
        <v>14480207</v>
      </c>
      <c r="F21" s="1409"/>
      <c r="G21" s="1409"/>
    </row>
    <row r="22" spans="1:8">
      <c r="A22" s="1407" t="s">
        <v>2592</v>
      </c>
      <c r="D22" s="1591">
        <f>BS!G34-BS!G66</f>
        <v>1334361.1200000048</v>
      </c>
      <c r="E22" s="1591">
        <f>BS!I34-BS!I66</f>
        <v>239262561</v>
      </c>
      <c r="G22" s="1409"/>
    </row>
    <row r="23" spans="1:8">
      <c r="D23" s="1721"/>
      <c r="E23" s="1721"/>
      <c r="F23" s="1409"/>
      <c r="G23" s="1409"/>
    </row>
    <row r="24" spans="1:8">
      <c r="A24" s="1407" t="s">
        <v>2587</v>
      </c>
      <c r="D24" s="1591">
        <f>D12</f>
        <v>-49022014</v>
      </c>
      <c r="E24" s="1591">
        <f>E12</f>
        <v>41395539</v>
      </c>
      <c r="F24" s="1409"/>
      <c r="G24" s="1409"/>
    </row>
    <row r="25" spans="1:8">
      <c r="A25" s="1407" t="s">
        <v>774</v>
      </c>
      <c r="D25" s="1591">
        <f>D21</f>
        <v>10984519</v>
      </c>
      <c r="E25" s="1591">
        <f>E21</f>
        <v>14480207</v>
      </c>
      <c r="F25" s="1409"/>
      <c r="G25" s="1409"/>
    </row>
    <row r="26" spans="1:8">
      <c r="D26" s="1721"/>
      <c r="E26" s="1721"/>
      <c r="F26" s="1409"/>
      <c r="G26" s="1409"/>
    </row>
    <row r="27" spans="1:8">
      <c r="A27" s="1407" t="s">
        <v>2593</v>
      </c>
      <c r="D27" s="1591">
        <f>+PL!F26+PL!F19</f>
        <v>8804581</v>
      </c>
      <c r="E27" s="1591">
        <f>+PL!H26+PL!H19</f>
        <v>33431849</v>
      </c>
      <c r="G27" s="1409"/>
    </row>
    <row r="28" spans="1:8">
      <c r="A28" s="1407" t="s">
        <v>2594</v>
      </c>
      <c r="B28" s="1407" t="s">
        <v>2602</v>
      </c>
      <c r="D28" s="1591">
        <f>+BS!G42</f>
        <v>17122765</v>
      </c>
      <c r="E28" s="1591">
        <f>+BS!I42</f>
        <v>66178334</v>
      </c>
      <c r="G28" s="1409"/>
    </row>
    <row r="29" spans="1:8">
      <c r="D29" s="1409"/>
      <c r="E29" s="1409"/>
      <c r="F29" s="1409"/>
      <c r="G29" s="1409"/>
    </row>
    <row r="30" spans="1:8">
      <c r="D30" s="1409"/>
      <c r="E30" s="1409"/>
      <c r="F30" s="1409"/>
      <c r="G30" s="1409"/>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2EEDC-AED4-486B-84DC-76BA66992671}">
  <sheetPr>
    <tabColor rgb="FFFFFF00"/>
  </sheetPr>
  <dimension ref="A1:L237"/>
  <sheetViews>
    <sheetView workbookViewId="0">
      <pane ySplit="4" topLeftCell="A188" activePane="bottomLeft" state="frozen"/>
      <selection activeCell="G363" sqref="G363"/>
      <selection pane="bottomLeft" activeCell="G363" sqref="G363"/>
    </sheetView>
  </sheetViews>
  <sheetFormatPr defaultRowHeight="14.4"/>
  <cols>
    <col min="1" max="1" width="7.77734375" customWidth="1"/>
    <col min="3" max="3" width="35.21875" customWidth="1"/>
    <col min="4" max="4" width="15.5546875" bestFit="1" customWidth="1"/>
    <col min="5" max="5" width="16" bestFit="1" customWidth="1"/>
    <col min="7" max="7" width="10" bestFit="1" customWidth="1"/>
    <col min="9" max="9" width="32.88671875" customWidth="1"/>
    <col min="11" max="11" width="10" bestFit="1" customWidth="1"/>
  </cols>
  <sheetData>
    <row r="1" spans="1:10">
      <c r="A1" s="281" t="str">
        <f>+Master!B2</f>
        <v>Syntel Solutions (India) Private Limited</v>
      </c>
      <c r="B1" s="282"/>
      <c r="C1" s="283"/>
      <c r="D1" s="284"/>
      <c r="E1" s="284"/>
      <c r="F1" s="285"/>
      <c r="G1" s="286"/>
      <c r="H1" s="286"/>
      <c r="I1" s="287"/>
      <c r="J1" s="288"/>
    </row>
    <row r="2" spans="1:10">
      <c r="A2" s="281" t="str">
        <f>"Entries for IGAAP for the year ended " &amp;Master!$B$5</f>
        <v>Entries for IGAAP for the year ended 31st March 2025</v>
      </c>
      <c r="B2" s="282"/>
      <c r="C2" s="283"/>
      <c r="D2" s="284">
        <f>ROUND(D1153,4)</f>
        <v>0</v>
      </c>
      <c r="E2" s="284">
        <f>ROUND(E1153,4)</f>
        <v>0</v>
      </c>
      <c r="F2" s="286" t="str">
        <f>IF(D2=E2,"OK")</f>
        <v>OK</v>
      </c>
      <c r="G2" s="286"/>
      <c r="H2" s="286"/>
      <c r="I2" s="293"/>
      <c r="J2" s="288"/>
    </row>
    <row r="3" spans="1:10">
      <c r="A3" s="289"/>
      <c r="B3" s="282"/>
      <c r="C3" s="283"/>
      <c r="D3" s="284"/>
      <c r="E3" s="284"/>
      <c r="F3" s="286"/>
      <c r="G3" s="286"/>
      <c r="H3" s="286"/>
      <c r="I3" s="287"/>
      <c r="J3" s="288"/>
    </row>
    <row r="4" spans="1:10" ht="58.2" thickBot="1">
      <c r="A4" s="294" t="s">
        <v>722</v>
      </c>
      <c r="B4" s="295" t="s">
        <v>723</v>
      </c>
      <c r="C4" s="294" t="s">
        <v>724</v>
      </c>
      <c r="D4" s="296" t="s">
        <v>725</v>
      </c>
      <c r="E4" s="297" t="s">
        <v>726</v>
      </c>
      <c r="F4" s="298" t="s">
        <v>727</v>
      </c>
      <c r="G4" s="299" t="s">
        <v>728</v>
      </c>
      <c r="H4" s="298" t="s">
        <v>729</v>
      </c>
      <c r="I4" s="300" t="s">
        <v>525</v>
      </c>
      <c r="J4" s="301" t="s">
        <v>730</v>
      </c>
    </row>
    <row r="5" spans="1:10">
      <c r="A5" s="306"/>
      <c r="B5" s="307"/>
      <c r="C5" s="308"/>
      <c r="D5" s="309"/>
      <c r="E5" s="310"/>
      <c r="F5" s="311"/>
      <c r="G5" s="312"/>
      <c r="H5" s="312"/>
      <c r="I5" s="313"/>
      <c r="J5" s="314"/>
    </row>
    <row r="6" spans="1:10">
      <c r="A6" s="306"/>
      <c r="B6" s="307"/>
      <c r="C6" s="308"/>
      <c r="D6" s="309"/>
      <c r="E6" s="310"/>
      <c r="F6" s="311"/>
      <c r="G6" s="312"/>
      <c r="H6" s="312"/>
      <c r="I6" s="313"/>
      <c r="J6" s="314"/>
    </row>
    <row r="8" spans="1:10">
      <c r="A8">
        <v>1</v>
      </c>
      <c r="B8" s="1654">
        <v>641300</v>
      </c>
      <c r="C8" s="1655" t="s">
        <v>2508</v>
      </c>
      <c r="D8" s="1658"/>
      <c r="E8" s="1658">
        <v>32959.29</v>
      </c>
      <c r="I8" t="s">
        <v>3032</v>
      </c>
    </row>
    <row r="9" spans="1:10">
      <c r="B9" s="1654">
        <v>428610</v>
      </c>
      <c r="C9" s="1655" t="s">
        <v>2423</v>
      </c>
      <c r="D9" s="1658">
        <v>32959.29</v>
      </c>
      <c r="E9" s="1659"/>
    </row>
    <row r="10" spans="1:10" ht="27.6">
      <c r="B10" s="1654"/>
      <c r="C10" s="1657" t="s">
        <v>2882</v>
      </c>
      <c r="D10" s="1656"/>
      <c r="E10" s="1656"/>
    </row>
    <row r="12" spans="1:10">
      <c r="A12">
        <v>2</v>
      </c>
      <c r="B12">
        <v>695000</v>
      </c>
      <c r="C12" t="s">
        <v>2560</v>
      </c>
      <c r="D12" s="1552"/>
      <c r="E12" s="1552">
        <v>1963617</v>
      </c>
    </row>
    <row r="13" spans="1:10">
      <c r="B13">
        <v>444000</v>
      </c>
      <c r="C13" t="s">
        <v>3033</v>
      </c>
      <c r="D13" s="1552">
        <v>1963617</v>
      </c>
      <c r="E13" s="1552"/>
    </row>
    <row r="14" spans="1:10">
      <c r="B14">
        <v>488000</v>
      </c>
      <c r="C14" t="s">
        <v>2443</v>
      </c>
      <c r="D14" s="1552">
        <v>1963617</v>
      </c>
      <c r="E14" s="1552"/>
    </row>
    <row r="15" spans="1:10">
      <c r="B15">
        <v>444000</v>
      </c>
      <c r="C15" t="s">
        <v>3033</v>
      </c>
      <c r="D15" s="1552"/>
      <c r="E15" s="1552">
        <v>1963617</v>
      </c>
    </row>
    <row r="16" spans="1:10">
      <c r="B16">
        <v>695000</v>
      </c>
      <c r="C16" t="s">
        <v>2560</v>
      </c>
      <c r="D16" s="1552">
        <v>1963617</v>
      </c>
      <c r="E16" s="1552"/>
    </row>
    <row r="17" spans="1:5">
      <c r="B17">
        <v>695900</v>
      </c>
      <c r="C17" t="s">
        <v>2557</v>
      </c>
      <c r="D17" s="1552"/>
      <c r="E17" s="1552">
        <v>1963617</v>
      </c>
    </row>
    <row r="18" spans="1:5" ht="49.05" customHeight="1">
      <c r="C18" s="1566" t="s">
        <v>3034</v>
      </c>
    </row>
    <row r="20" spans="1:5">
      <c r="A20">
        <v>3</v>
      </c>
      <c r="B20">
        <v>695000</v>
      </c>
      <c r="C20" t="s">
        <v>2560</v>
      </c>
      <c r="D20" s="1660"/>
      <c r="E20">
        <v>670762</v>
      </c>
    </row>
    <row r="21" spans="1:5">
      <c r="B21">
        <v>444000</v>
      </c>
      <c r="C21" t="s">
        <v>3033</v>
      </c>
      <c r="D21" s="1660">
        <v>670762</v>
      </c>
    </row>
    <row r="22" spans="1:5">
      <c r="B22">
        <v>488000</v>
      </c>
      <c r="C22" t="s">
        <v>2443</v>
      </c>
      <c r="D22" s="1660">
        <v>670762</v>
      </c>
    </row>
    <row r="23" spans="1:5">
      <c r="B23">
        <v>444000</v>
      </c>
      <c r="C23" t="s">
        <v>3033</v>
      </c>
      <c r="D23" s="1660"/>
      <c r="E23">
        <v>670762</v>
      </c>
    </row>
    <row r="24" spans="1:5">
      <c r="B24">
        <v>695000</v>
      </c>
      <c r="C24" t="s">
        <v>2560</v>
      </c>
      <c r="D24" s="1660">
        <v>670762</v>
      </c>
    </row>
    <row r="25" spans="1:5">
      <c r="B25">
        <v>695900</v>
      </c>
      <c r="C25" t="s">
        <v>2557</v>
      </c>
      <c r="D25" s="1660"/>
      <c r="E25">
        <v>670762</v>
      </c>
    </row>
    <row r="26" spans="1:5">
      <c r="B26">
        <v>695900</v>
      </c>
      <c r="C26" t="s">
        <v>2557</v>
      </c>
      <c r="D26" s="1660"/>
      <c r="E26">
        <v>41715</v>
      </c>
    </row>
    <row r="27" spans="1:5">
      <c r="B27">
        <v>488000</v>
      </c>
      <c r="C27" t="s">
        <v>2443</v>
      </c>
      <c r="D27" s="1660">
        <v>41715</v>
      </c>
    </row>
    <row r="28" spans="1:5" ht="43.2">
      <c r="C28" s="1566" t="s">
        <v>3035</v>
      </c>
    </row>
    <row r="30" spans="1:5">
      <c r="A30">
        <v>4</v>
      </c>
      <c r="B30" s="1661">
        <v>641711</v>
      </c>
      <c r="C30" s="316" t="str">
        <f>IF(B30="","",VLOOKUP(B30,'[101]TB for financial'!A:B,2,0))</f>
        <v>Gratuity</v>
      </c>
      <c r="D30" s="1552"/>
      <c r="E30" s="1552">
        <v>23949</v>
      </c>
    </row>
    <row r="31" spans="1:5">
      <c r="B31" s="1661">
        <v>159200</v>
      </c>
      <c r="C31" s="316" t="str">
        <f>IF(B31="","",VLOOKUP(B31,'[101]TB for financial'!A:B,2,0))</f>
        <v>Unfunded post employment DB plans</v>
      </c>
      <c r="D31" s="1552">
        <v>23949</v>
      </c>
      <c r="E31" s="1552"/>
    </row>
    <row r="33" spans="1:5">
      <c r="A33">
        <v>5</v>
      </c>
      <c r="B33" s="1661">
        <v>106960</v>
      </c>
      <c r="C33" s="316" t="str">
        <f>IF(B33="","",VLOOKUP(B33,'[101]TB for financial'!A:B,2,0))</f>
        <v>Stat, Of Recognized Income and Expense</v>
      </c>
      <c r="D33" s="317">
        <v>46765</v>
      </c>
      <c r="E33" s="1662"/>
    </row>
    <row r="34" spans="1:5">
      <c r="B34" s="1661">
        <v>159200</v>
      </c>
      <c r="C34" s="316" t="str">
        <f>IF(B34="","",VLOOKUP(B34,'[101]TB for financial'!A:B,2,0))</f>
        <v>Unfunded post employment DB plans</v>
      </c>
      <c r="D34" s="1662"/>
      <c r="E34" s="318">
        <v>46765</v>
      </c>
    </row>
    <row r="36" spans="1:5" ht="28.8">
      <c r="A36">
        <v>6</v>
      </c>
      <c r="B36" s="1661">
        <v>641203</v>
      </c>
      <c r="C36" s="316" t="str">
        <f>IF(B36="","",VLOOKUP(B36,'[101]TB for financial'!A:B,2,0))</f>
        <v>VACATION LEAVE PAYMENTS - GEN&amp;ADM</v>
      </c>
      <c r="D36" s="1552"/>
      <c r="E36" s="1552">
        <v>112710</v>
      </c>
    </row>
    <row r="37" spans="1:5">
      <c r="B37" s="1661">
        <v>159300</v>
      </c>
      <c r="C37" s="316" t="str">
        <f>IF(B37="","",VLOOKUP(B37,'[101]TB for financial'!A:B,2,0))</f>
        <v>Other long term DB plans</v>
      </c>
      <c r="D37" s="1552">
        <v>112710</v>
      </c>
      <c r="E37" s="1552"/>
    </row>
    <row r="39" spans="1:5">
      <c r="A39">
        <v>7</v>
      </c>
      <c r="B39" s="1223">
        <v>408151</v>
      </c>
      <c r="C39" s="316" t="s">
        <v>2410</v>
      </c>
      <c r="D39" s="1557"/>
      <c r="E39" s="1552">
        <v>42160</v>
      </c>
    </row>
    <row r="40" spans="1:5" ht="28.8">
      <c r="B40" s="1223">
        <v>408500</v>
      </c>
      <c r="C40" s="316" t="s">
        <v>2486</v>
      </c>
      <c r="D40" s="1552"/>
      <c r="E40" s="1552">
        <v>31475</v>
      </c>
    </row>
    <row r="41" spans="1:5">
      <c r="B41" s="1223">
        <v>437408</v>
      </c>
      <c r="C41" s="316" t="s">
        <v>2427</v>
      </c>
      <c r="D41" s="1552">
        <v>73635</v>
      </c>
      <c r="E41" s="1552"/>
    </row>
    <row r="42" spans="1:5" ht="43.2">
      <c r="C42" s="1385" t="s">
        <v>3036</v>
      </c>
    </row>
    <row r="44" spans="1:5">
      <c r="A44">
        <v>8</v>
      </c>
      <c r="B44">
        <v>645004</v>
      </c>
      <c r="C44" t="s">
        <v>2860</v>
      </c>
      <c r="E44">
        <v>166824</v>
      </c>
    </row>
    <row r="45" spans="1:5">
      <c r="B45">
        <v>408151</v>
      </c>
      <c r="C45" t="s">
        <v>2410</v>
      </c>
      <c r="D45">
        <v>166824</v>
      </c>
    </row>
    <row r="46" spans="1:5" ht="43.2">
      <c r="C46" s="1551" t="s">
        <v>3037</v>
      </c>
    </row>
    <row r="47" spans="1:5">
      <c r="C47" s="1663"/>
    </row>
    <row r="48" spans="1:5">
      <c r="A48">
        <v>9</v>
      </c>
      <c r="B48">
        <v>408151</v>
      </c>
      <c r="C48" t="s">
        <v>2870</v>
      </c>
      <c r="E48">
        <v>16800</v>
      </c>
    </row>
    <row r="49" spans="1:5">
      <c r="B49">
        <v>622800</v>
      </c>
      <c r="C49" t="s">
        <v>2502</v>
      </c>
      <c r="D49">
        <v>16800</v>
      </c>
    </row>
    <row r="50" spans="1:5" ht="57.6">
      <c r="C50" s="1385" t="s">
        <v>3038</v>
      </c>
    </row>
    <row r="51" spans="1:5">
      <c r="A51">
        <v>10</v>
      </c>
      <c r="B51">
        <v>635130</v>
      </c>
      <c r="C51" t="s">
        <v>2607</v>
      </c>
      <c r="E51">
        <v>8600</v>
      </c>
    </row>
    <row r="52" spans="1:5">
      <c r="B52">
        <v>408151</v>
      </c>
      <c r="C52" t="s">
        <v>2410</v>
      </c>
      <c r="D52">
        <v>8600</v>
      </c>
    </row>
    <row r="53" spans="1:5" ht="57.6">
      <c r="C53" s="1551" t="s">
        <v>3039</v>
      </c>
    </row>
    <row r="55" spans="1:5">
      <c r="A55">
        <v>11</v>
      </c>
      <c r="B55">
        <v>635130</v>
      </c>
      <c r="C55" t="s">
        <v>2607</v>
      </c>
      <c r="D55">
        <v>5000</v>
      </c>
    </row>
    <row r="56" spans="1:5">
      <c r="B56">
        <v>408151</v>
      </c>
      <c r="C56" t="s">
        <v>2410</v>
      </c>
      <c r="E56">
        <v>5000</v>
      </c>
    </row>
    <row r="57" spans="1:5" ht="43.2">
      <c r="C57" s="1551" t="s">
        <v>3040</v>
      </c>
    </row>
    <row r="59" spans="1:5">
      <c r="A59">
        <v>12</v>
      </c>
      <c r="B59">
        <v>622803</v>
      </c>
      <c r="C59" t="s">
        <v>3041</v>
      </c>
      <c r="D59">
        <v>15500</v>
      </c>
    </row>
    <row r="60" spans="1:5">
      <c r="B60">
        <v>408151</v>
      </c>
      <c r="C60" t="s">
        <v>2410</v>
      </c>
      <c r="E60">
        <v>15500</v>
      </c>
    </row>
    <row r="61" spans="1:5" ht="60" customHeight="1">
      <c r="C61" s="1666" t="s">
        <v>3042</v>
      </c>
    </row>
    <row r="63" spans="1:5" ht="16.8">
      <c r="A63">
        <v>13</v>
      </c>
      <c r="B63">
        <v>606130</v>
      </c>
      <c r="C63" s="1664" t="s">
        <v>2497</v>
      </c>
      <c r="D63" s="1552">
        <v>39596</v>
      </c>
      <c r="E63" s="1552"/>
    </row>
    <row r="64" spans="1:5" ht="33.6">
      <c r="B64">
        <v>408500</v>
      </c>
      <c r="C64" s="1664" t="s">
        <v>2486</v>
      </c>
      <c r="D64" s="1552"/>
      <c r="E64" s="1552">
        <v>39596</v>
      </c>
    </row>
    <row r="65" spans="1:5" ht="26.4">
      <c r="C65" s="1666" t="s">
        <v>3044</v>
      </c>
    </row>
    <row r="67" spans="1:5">
      <c r="A67">
        <v>14</v>
      </c>
      <c r="B67">
        <v>408151</v>
      </c>
      <c r="C67" t="s">
        <v>2410</v>
      </c>
      <c r="D67" s="1552">
        <v>54092</v>
      </c>
      <c r="E67" s="1552"/>
    </row>
    <row r="68" spans="1:5">
      <c r="B68">
        <v>437408</v>
      </c>
      <c r="C68" t="s">
        <v>2427</v>
      </c>
      <c r="D68" s="1552"/>
      <c r="E68" s="1552">
        <v>54092</v>
      </c>
    </row>
    <row r="69" spans="1:5" ht="26.4">
      <c r="C69" s="1666" t="s">
        <v>3045</v>
      </c>
    </row>
    <row r="71" spans="1:5" ht="16.8">
      <c r="A71">
        <v>15</v>
      </c>
      <c r="B71" s="1664">
        <v>408500</v>
      </c>
      <c r="C71" t="s">
        <v>2486</v>
      </c>
      <c r="D71">
        <v>51885</v>
      </c>
    </row>
    <row r="72" spans="1:5" ht="16.8">
      <c r="B72" s="1664">
        <v>437408</v>
      </c>
      <c r="C72" t="s">
        <v>2427</v>
      </c>
      <c r="E72">
        <v>48229</v>
      </c>
    </row>
    <row r="73" spans="1:5" ht="16.8">
      <c r="B73" s="1664">
        <v>437409</v>
      </c>
      <c r="C73" t="s">
        <v>2659</v>
      </c>
      <c r="E73">
        <v>3656</v>
      </c>
    </row>
    <row r="74" spans="1:5" ht="33.6">
      <c r="C74" s="1665" t="s">
        <v>3046</v>
      </c>
    </row>
    <row r="76" spans="1:5">
      <c r="A76">
        <v>16</v>
      </c>
      <c r="B76" s="1667">
        <v>408500</v>
      </c>
      <c r="C76" s="1655" t="s">
        <v>2486</v>
      </c>
      <c r="E76" s="1670">
        <v>37632</v>
      </c>
    </row>
    <row r="77" spans="1:5">
      <c r="B77" s="1667">
        <v>408500</v>
      </c>
      <c r="C77" s="1655" t="s">
        <v>2486</v>
      </c>
      <c r="E77" s="1670">
        <v>13796</v>
      </c>
    </row>
    <row r="78" spans="1:5">
      <c r="B78" s="1667">
        <v>658003</v>
      </c>
      <c r="C78" s="1655" t="s">
        <v>2866</v>
      </c>
      <c r="D78" s="1669">
        <v>37632</v>
      </c>
    </row>
    <row r="79" spans="1:5">
      <c r="B79" s="1667">
        <v>627100</v>
      </c>
      <c r="C79" s="1655" t="s">
        <v>2866</v>
      </c>
      <c r="D79" s="1669">
        <v>13796</v>
      </c>
    </row>
    <row r="80" spans="1:5" ht="41.4">
      <c r="B80" s="1667"/>
      <c r="C80" s="1671" t="s">
        <v>3047</v>
      </c>
      <c r="D80" s="1670"/>
      <c r="E80" s="1669"/>
    </row>
    <row r="81" spans="1:5">
      <c r="B81" s="1667"/>
      <c r="C81" s="1655"/>
      <c r="D81" s="1670"/>
      <c r="E81" s="1669"/>
    </row>
    <row r="82" spans="1:5">
      <c r="A82">
        <v>17</v>
      </c>
      <c r="B82" s="1667">
        <v>408500</v>
      </c>
      <c r="C82" s="1655" t="s">
        <v>2486</v>
      </c>
      <c r="E82" s="1668">
        <v>291246</v>
      </c>
    </row>
    <row r="83" spans="1:5">
      <c r="B83" s="1667">
        <v>604160</v>
      </c>
      <c r="C83" s="1655" t="s">
        <v>2866</v>
      </c>
      <c r="D83" s="1669">
        <v>291246</v>
      </c>
    </row>
    <row r="84" spans="1:5" ht="41.4">
      <c r="B84" s="1667"/>
      <c r="C84" s="1671" t="s">
        <v>3048</v>
      </c>
      <c r="D84" s="1670"/>
      <c r="E84" s="1669"/>
    </row>
    <row r="85" spans="1:5">
      <c r="B85" s="1667"/>
      <c r="C85" s="1655"/>
      <c r="D85" s="1670"/>
      <c r="E85" s="1669"/>
    </row>
    <row r="86" spans="1:5">
      <c r="A86">
        <v>18</v>
      </c>
      <c r="B86" s="1667">
        <v>408500</v>
      </c>
      <c r="C86" s="1655" t="s">
        <v>2486</v>
      </c>
      <c r="E86" s="1668">
        <v>41169</v>
      </c>
    </row>
    <row r="87" spans="1:5">
      <c r="B87" s="1667">
        <v>408500</v>
      </c>
      <c r="C87" s="1655" t="s">
        <v>2486</v>
      </c>
      <c r="E87" s="1668">
        <v>26520</v>
      </c>
    </row>
    <row r="88" spans="1:5">
      <c r="B88" s="1667">
        <v>658003</v>
      </c>
      <c r="C88" s="1655" t="s">
        <v>2866</v>
      </c>
      <c r="D88" s="1669">
        <v>41169</v>
      </c>
    </row>
    <row r="89" spans="1:5">
      <c r="B89" s="1667">
        <v>627100</v>
      </c>
      <c r="C89" s="1655" t="s">
        <v>2866</v>
      </c>
      <c r="D89" s="1669">
        <v>26520</v>
      </c>
    </row>
    <row r="90" spans="1:5" ht="41.4">
      <c r="B90" s="1667"/>
      <c r="C90" s="1671" t="s">
        <v>3049</v>
      </c>
      <c r="D90" s="1670"/>
      <c r="E90" s="1669"/>
    </row>
    <row r="92" spans="1:5">
      <c r="A92">
        <v>19</v>
      </c>
      <c r="B92" s="1667">
        <v>408500</v>
      </c>
      <c r="C92" s="1655" t="s">
        <v>2486</v>
      </c>
      <c r="D92" s="1552"/>
      <c r="E92" s="1552">
        <v>28980</v>
      </c>
    </row>
    <row r="93" spans="1:5">
      <c r="B93" s="1672">
        <v>606130</v>
      </c>
      <c r="C93" s="1673" t="s">
        <v>2497</v>
      </c>
      <c r="D93" s="1552">
        <v>28980</v>
      </c>
      <c r="E93" s="1552"/>
    </row>
    <row r="94" spans="1:5">
      <c r="B94" s="1667">
        <v>408500</v>
      </c>
      <c r="C94" s="1655" t="s">
        <v>2486</v>
      </c>
      <c r="D94" s="1552"/>
      <c r="E94" s="1552">
        <v>32200</v>
      </c>
    </row>
    <row r="95" spans="1:5">
      <c r="B95" s="1672">
        <v>606130</v>
      </c>
      <c r="C95" s="1673" t="s">
        <v>2497</v>
      </c>
      <c r="D95" s="1552">
        <v>32200</v>
      </c>
      <c r="E95" s="1552"/>
    </row>
    <row r="96" spans="1:5" ht="27.6">
      <c r="C96" s="1671" t="s">
        <v>3050</v>
      </c>
    </row>
    <row r="98" spans="1:10">
      <c r="A98">
        <v>20</v>
      </c>
      <c r="B98">
        <v>418150</v>
      </c>
      <c r="C98" t="s">
        <v>2489</v>
      </c>
      <c r="D98" s="1552">
        <v>76200</v>
      </c>
      <c r="I98" t="s">
        <v>3051</v>
      </c>
      <c r="J98" t="s">
        <v>3053</v>
      </c>
    </row>
    <row r="99" spans="1:10">
      <c r="B99">
        <v>418150</v>
      </c>
      <c r="C99" t="s">
        <v>2489</v>
      </c>
      <c r="D99" s="1552">
        <v>138502</v>
      </c>
      <c r="J99" t="s">
        <v>3054</v>
      </c>
    </row>
    <row r="100" spans="1:10">
      <c r="B100">
        <v>779000</v>
      </c>
      <c r="C100" t="s">
        <v>2609</v>
      </c>
      <c r="E100" s="1552">
        <v>214702</v>
      </c>
    </row>
    <row r="101" spans="1:10" ht="27.6">
      <c r="C101" s="1671" t="s">
        <v>3052</v>
      </c>
    </row>
    <row r="103" spans="1:10">
      <c r="A103">
        <v>21</v>
      </c>
      <c r="B103">
        <v>411700</v>
      </c>
      <c r="C103" t="s">
        <v>3056</v>
      </c>
      <c r="D103" s="1675">
        <v>144240</v>
      </c>
      <c r="I103" t="s">
        <v>3057</v>
      </c>
    </row>
    <row r="104" spans="1:10">
      <c r="B104">
        <v>604111</v>
      </c>
      <c r="C104" t="s">
        <v>3024</v>
      </c>
      <c r="E104" s="1675">
        <v>144240</v>
      </c>
    </row>
    <row r="105" spans="1:10" ht="27.6">
      <c r="C105" s="1671" t="s">
        <v>3058</v>
      </c>
    </row>
    <row r="107" spans="1:10" ht="28.8">
      <c r="A107">
        <v>22</v>
      </c>
      <c r="B107">
        <v>635130</v>
      </c>
      <c r="C107" t="s">
        <v>3059</v>
      </c>
      <c r="D107" s="1552">
        <v>35000</v>
      </c>
      <c r="E107" s="1552"/>
      <c r="I107" s="412" t="s">
        <v>3060</v>
      </c>
    </row>
    <row r="108" spans="1:10">
      <c r="B108">
        <v>408151</v>
      </c>
      <c r="C108" t="s">
        <v>3061</v>
      </c>
      <c r="D108" s="1552"/>
      <c r="E108" s="1552">
        <v>35000</v>
      </c>
    </row>
    <row r="109" spans="1:10" ht="41.4">
      <c r="C109" s="1671" t="s">
        <v>3062</v>
      </c>
    </row>
    <row r="110" spans="1:10">
      <c r="C110" s="1677"/>
    </row>
    <row r="111" spans="1:10">
      <c r="A111">
        <v>23</v>
      </c>
      <c r="B111">
        <v>401100</v>
      </c>
      <c r="C111" s="412" t="s">
        <v>2482</v>
      </c>
      <c r="D111">
        <v>11949</v>
      </c>
      <c r="I111" s="412" t="s">
        <v>3063</v>
      </c>
    </row>
    <row r="112" spans="1:10" ht="28.8">
      <c r="B112">
        <v>409100</v>
      </c>
      <c r="C112" s="412" t="s">
        <v>2658</v>
      </c>
      <c r="E112">
        <v>11949</v>
      </c>
    </row>
    <row r="113" spans="1:9" ht="27.6">
      <c r="C113" s="1671" t="s">
        <v>3064</v>
      </c>
    </row>
    <row r="115" spans="1:9">
      <c r="A115">
        <v>24</v>
      </c>
      <c r="B115">
        <v>409100</v>
      </c>
      <c r="C115" t="s">
        <v>2658</v>
      </c>
      <c r="D115">
        <v>12351</v>
      </c>
    </row>
    <row r="116" spans="1:9">
      <c r="B116">
        <v>401100</v>
      </c>
      <c r="C116" t="s">
        <v>2482</v>
      </c>
      <c r="E116">
        <v>12351</v>
      </c>
    </row>
    <row r="117" spans="1:9" ht="27.6">
      <c r="C117" s="1671" t="s">
        <v>3065</v>
      </c>
    </row>
    <row r="119" spans="1:9">
      <c r="A119">
        <v>25</v>
      </c>
      <c r="B119">
        <v>276840</v>
      </c>
      <c r="C119" t="s">
        <v>2405</v>
      </c>
      <c r="D119" s="1552">
        <v>30004.092602852732</v>
      </c>
      <c r="E119" s="1552"/>
    </row>
    <row r="120" spans="1:9">
      <c r="B120">
        <v>764501</v>
      </c>
      <c r="C120" t="s">
        <v>3029</v>
      </c>
      <c r="D120" s="1552"/>
      <c r="E120" s="1552">
        <v>30004.092602852732</v>
      </c>
    </row>
    <row r="121" spans="1:9" ht="27.6">
      <c r="C121" s="1671" t="s">
        <v>3068</v>
      </c>
    </row>
    <row r="122" spans="1:9">
      <c r="I122" t="s">
        <v>3070</v>
      </c>
    </row>
    <row r="123" spans="1:9">
      <c r="A123">
        <v>26</v>
      </c>
      <c r="B123">
        <v>645700</v>
      </c>
      <c r="C123" t="str">
        <f>'PL Gr'!B146</f>
        <v>dc pensions plans other</v>
      </c>
      <c r="E123" s="1552">
        <v>195323</v>
      </c>
    </row>
    <row r="124" spans="1:9">
      <c r="B124">
        <v>645004</v>
      </c>
      <c r="C124" t="s">
        <v>2515</v>
      </c>
      <c r="D124" s="1552">
        <v>195323</v>
      </c>
    </row>
    <row r="125" spans="1:9" ht="27.6">
      <c r="C125" s="1671" t="s">
        <v>3069</v>
      </c>
    </row>
    <row r="127" spans="1:9">
      <c r="A127">
        <v>27</v>
      </c>
      <c r="B127">
        <v>437408</v>
      </c>
      <c r="C127" t="s">
        <v>2427</v>
      </c>
      <c r="D127" s="1552">
        <v>10412</v>
      </c>
      <c r="E127" s="1552"/>
      <c r="I127" t="s">
        <v>3073</v>
      </c>
    </row>
    <row r="128" spans="1:9">
      <c r="B128">
        <v>437409</v>
      </c>
      <c r="C128" t="s">
        <v>2659</v>
      </c>
      <c r="D128" s="1552"/>
      <c r="E128" s="1552">
        <v>10412</v>
      </c>
    </row>
    <row r="129" spans="1:9">
      <c r="C129" s="402" t="s">
        <v>3072</v>
      </c>
    </row>
    <row r="131" spans="1:9">
      <c r="A131">
        <v>28</v>
      </c>
      <c r="B131">
        <v>437409</v>
      </c>
      <c r="C131" t="s">
        <v>2659</v>
      </c>
      <c r="D131" s="1552">
        <v>56878</v>
      </c>
      <c r="E131" s="1552"/>
      <c r="I131" t="s">
        <v>3074</v>
      </c>
    </row>
    <row r="132" spans="1:9">
      <c r="B132">
        <v>666000</v>
      </c>
      <c r="C132" t="s">
        <v>2675</v>
      </c>
      <c r="D132" s="1552"/>
      <c r="E132" s="1552">
        <v>56878</v>
      </c>
    </row>
    <row r="133" spans="1:9" ht="43.2">
      <c r="C133" s="1679" t="s">
        <v>3075</v>
      </c>
    </row>
    <row r="135" spans="1:9">
      <c r="A135">
        <v>29</v>
      </c>
      <c r="B135">
        <v>658000</v>
      </c>
      <c r="C135" t="s">
        <v>2673</v>
      </c>
      <c r="D135">
        <v>64</v>
      </c>
      <c r="I135" t="s">
        <v>3074</v>
      </c>
    </row>
    <row r="136" spans="1:9">
      <c r="B136">
        <v>437409</v>
      </c>
      <c r="C136" t="s">
        <v>2659</v>
      </c>
      <c r="E136">
        <v>64</v>
      </c>
    </row>
    <row r="137" spans="1:9" ht="43.2">
      <c r="C137" s="1679" t="s">
        <v>3076</v>
      </c>
    </row>
    <row r="139" spans="1:9">
      <c r="A139">
        <v>30</v>
      </c>
      <c r="B139">
        <v>658000</v>
      </c>
      <c r="C139" t="s">
        <v>2673</v>
      </c>
      <c r="D139" s="1552">
        <v>12598</v>
      </c>
      <c r="E139" s="1552"/>
      <c r="I139" t="s">
        <v>3074</v>
      </c>
    </row>
    <row r="140" spans="1:9">
      <c r="B140">
        <v>437408</v>
      </c>
      <c r="C140" t="s">
        <v>2427</v>
      </c>
      <c r="D140" s="1552"/>
      <c r="E140" s="1552">
        <v>12598</v>
      </c>
    </row>
    <row r="141" spans="1:9" ht="43.2">
      <c r="C141" s="1679" t="s">
        <v>3076</v>
      </c>
    </row>
    <row r="143" spans="1:9">
      <c r="A143">
        <v>31</v>
      </c>
      <c r="B143">
        <v>411700</v>
      </c>
      <c r="C143" t="s">
        <v>2450</v>
      </c>
      <c r="D143" s="1552">
        <v>151502</v>
      </c>
      <c r="E143" s="1552"/>
      <c r="I143" t="s">
        <v>3078</v>
      </c>
    </row>
    <row r="144" spans="1:9">
      <c r="B144">
        <v>604111</v>
      </c>
      <c r="C144" t="s">
        <v>3077</v>
      </c>
      <c r="D144" s="1552"/>
      <c r="E144" s="1552">
        <v>151502</v>
      </c>
    </row>
    <row r="145" spans="1:9">
      <c r="C145" s="402" t="s">
        <v>3079</v>
      </c>
    </row>
    <row r="147" spans="1:9">
      <c r="A147">
        <v>32</v>
      </c>
      <c r="B147" s="1223">
        <v>451099</v>
      </c>
      <c r="C147" s="316" t="s">
        <v>2437</v>
      </c>
      <c r="D147" s="317"/>
      <c r="E147" s="317">
        <v>145958</v>
      </c>
    </row>
    <row r="148" spans="1:9" ht="28.8">
      <c r="B148" s="1223">
        <v>401998</v>
      </c>
      <c r="C148" s="316" t="s">
        <v>2484</v>
      </c>
      <c r="D148" s="317">
        <v>145958</v>
      </c>
      <c r="E148" s="317"/>
    </row>
    <row r="149" spans="1:9" ht="43.2">
      <c r="B149" s="1223"/>
      <c r="C149" s="1385" t="s">
        <v>3080</v>
      </c>
      <c r="D149" s="317"/>
      <c r="E149" s="318"/>
    </row>
    <row r="151" spans="1:9">
      <c r="A151">
        <v>33</v>
      </c>
      <c r="B151" s="1223">
        <v>451099</v>
      </c>
      <c r="C151" s="316" t="s">
        <v>2437</v>
      </c>
      <c r="D151" s="317">
        <v>162158</v>
      </c>
      <c r="E151" s="318"/>
    </row>
    <row r="152" spans="1:9" ht="28.8">
      <c r="B152" s="1223">
        <v>401996</v>
      </c>
      <c r="C152" s="316" t="s">
        <v>2484</v>
      </c>
      <c r="D152" s="317"/>
      <c r="E152" s="317">
        <f>D151</f>
        <v>162158</v>
      </c>
    </row>
    <row r="153" spans="1:9" ht="43.2">
      <c r="B153" s="1223"/>
      <c r="C153" s="1385" t="s">
        <v>3081</v>
      </c>
      <c r="D153" s="317"/>
      <c r="E153" s="318"/>
    </row>
    <row r="155" spans="1:9">
      <c r="A155">
        <v>34</v>
      </c>
      <c r="B155">
        <v>457000</v>
      </c>
      <c r="C155" t="s">
        <v>2482</v>
      </c>
      <c r="D155">
        <v>3360</v>
      </c>
      <c r="I155" t="s">
        <v>3083</v>
      </c>
    </row>
    <row r="156" spans="1:9">
      <c r="B156">
        <v>401500</v>
      </c>
      <c r="C156" t="s">
        <v>2482</v>
      </c>
      <c r="E156">
        <v>3360</v>
      </c>
    </row>
    <row r="157" spans="1:9">
      <c r="C157" s="402" t="s">
        <v>3082</v>
      </c>
    </row>
    <row r="159" spans="1:9">
      <c r="A159">
        <v>35</v>
      </c>
      <c r="B159">
        <v>658000</v>
      </c>
      <c r="C159" t="s">
        <v>2673</v>
      </c>
      <c r="D159">
        <f>E160+E161</f>
        <v>11004</v>
      </c>
    </row>
    <row r="160" spans="1:9">
      <c r="B160">
        <v>445960</v>
      </c>
      <c r="C160" s="609" t="s">
        <v>1208</v>
      </c>
      <c r="E160">
        <v>5502</v>
      </c>
    </row>
    <row r="161" spans="1:9">
      <c r="B161">
        <v>445970</v>
      </c>
      <c r="C161" s="609" t="s">
        <v>1207</v>
      </c>
      <c r="E161">
        <v>5502</v>
      </c>
    </row>
    <row r="162" spans="1:9">
      <c r="C162" s="402" t="s">
        <v>3084</v>
      </c>
    </row>
    <row r="164" spans="1:9">
      <c r="A164">
        <v>36</v>
      </c>
      <c r="B164">
        <v>622600</v>
      </c>
      <c r="C164" t="s">
        <v>2501</v>
      </c>
      <c r="D164" s="1552">
        <v>53000.039999999979</v>
      </c>
    </row>
    <row r="165" spans="1:9">
      <c r="B165">
        <v>408151</v>
      </c>
      <c r="C165" t="s">
        <v>2410</v>
      </c>
      <c r="E165" s="672">
        <f>D164</f>
        <v>53000.039999999979</v>
      </c>
      <c r="I165" t="s">
        <v>3085</v>
      </c>
    </row>
    <row r="166" spans="1:9" ht="28.8">
      <c r="C166" s="1679" t="s">
        <v>3085</v>
      </c>
    </row>
    <row r="168" spans="1:9">
      <c r="A168">
        <v>37</v>
      </c>
      <c r="B168">
        <v>641713</v>
      </c>
      <c r="C168" t="s">
        <v>2511</v>
      </c>
      <c r="D168">
        <v>1808</v>
      </c>
      <c r="I168" t="s">
        <v>3087</v>
      </c>
    </row>
    <row r="169" spans="1:9">
      <c r="B169">
        <v>645643</v>
      </c>
      <c r="C169" t="s">
        <v>2516</v>
      </c>
      <c r="D169">
        <v>1525</v>
      </c>
    </row>
    <row r="170" spans="1:9">
      <c r="B170">
        <v>641716</v>
      </c>
      <c r="C170" s="609" t="s">
        <v>2512</v>
      </c>
      <c r="D170">
        <v>450</v>
      </c>
    </row>
    <row r="171" spans="1:9">
      <c r="B171">
        <v>437425</v>
      </c>
      <c r="C171" t="s">
        <v>2428</v>
      </c>
      <c r="E171">
        <v>3783</v>
      </c>
    </row>
    <row r="172" spans="1:9" ht="28.8">
      <c r="C172" s="1679" t="s">
        <v>3086</v>
      </c>
    </row>
    <row r="174" spans="1:9">
      <c r="A174">
        <v>38</v>
      </c>
      <c r="B174">
        <v>658000</v>
      </c>
      <c r="C174" t="s">
        <v>2673</v>
      </c>
      <c r="D174" s="1366">
        <v>31358</v>
      </c>
      <c r="E174" s="1366"/>
      <c r="I174" t="s">
        <v>3088</v>
      </c>
    </row>
    <row r="175" spans="1:9">
      <c r="B175">
        <v>437407</v>
      </c>
      <c r="C175" t="s">
        <v>1427</v>
      </c>
      <c r="D175" s="1366"/>
      <c r="E175" s="1366">
        <v>3883</v>
      </c>
    </row>
    <row r="176" spans="1:9">
      <c r="B176">
        <v>437408</v>
      </c>
      <c r="C176" t="s">
        <v>2427</v>
      </c>
      <c r="D176" s="1366"/>
      <c r="E176" s="1366">
        <v>13016</v>
      </c>
    </row>
    <row r="177" spans="1:9">
      <c r="B177">
        <v>437409</v>
      </c>
      <c r="C177" t="s">
        <v>2659</v>
      </c>
      <c r="D177" s="1366"/>
      <c r="E177" s="1366">
        <v>14459</v>
      </c>
    </row>
    <row r="178" spans="1:9" ht="28.8">
      <c r="C178" s="1679" t="s">
        <v>3089</v>
      </c>
    </row>
    <row r="180" spans="1:9">
      <c r="A180">
        <v>39</v>
      </c>
      <c r="B180">
        <v>681502</v>
      </c>
      <c r="C180" t="s">
        <v>3027</v>
      </c>
      <c r="E180" s="1552">
        <v>365930</v>
      </c>
      <c r="I180" t="s">
        <v>3091</v>
      </c>
    </row>
    <row r="181" spans="1:9">
      <c r="B181">
        <v>641203</v>
      </c>
      <c r="C181" t="s">
        <v>2507</v>
      </c>
      <c r="D181" s="1552">
        <v>139060</v>
      </c>
    </row>
    <row r="182" spans="1:9">
      <c r="B182">
        <v>641711</v>
      </c>
      <c r="C182" t="s">
        <v>156</v>
      </c>
      <c r="D182" s="672">
        <f>E180-D181</f>
        <v>226870</v>
      </c>
    </row>
    <row r="183" spans="1:9">
      <c r="C183" s="1679" t="s">
        <v>3090</v>
      </c>
    </row>
    <row r="185" spans="1:9">
      <c r="A185">
        <v>40</v>
      </c>
      <c r="B185">
        <v>425004</v>
      </c>
      <c r="C185" t="s">
        <v>2417</v>
      </c>
      <c r="D185" s="1552">
        <v>33336</v>
      </c>
      <c r="E185" s="1552"/>
      <c r="I185" t="s">
        <v>3093</v>
      </c>
    </row>
    <row r="186" spans="1:9">
      <c r="B186">
        <v>425000</v>
      </c>
      <c r="C186" t="s">
        <v>2416</v>
      </c>
      <c r="D186" s="1552"/>
      <c r="E186" s="1552">
        <f>D185</f>
        <v>33336</v>
      </c>
    </row>
    <row r="187" spans="1:9">
      <c r="C187" s="402" t="s">
        <v>3092</v>
      </c>
    </row>
    <row r="189" spans="1:9">
      <c r="A189">
        <v>41</v>
      </c>
      <c r="B189">
        <v>695000</v>
      </c>
      <c r="C189" t="s">
        <v>2560</v>
      </c>
      <c r="D189" s="1552">
        <v>3602932</v>
      </c>
      <c r="E189" s="1552"/>
    </row>
    <row r="190" spans="1:9">
      <c r="B190">
        <v>444000</v>
      </c>
      <c r="C190" t="s">
        <v>2492</v>
      </c>
      <c r="D190" s="1552"/>
      <c r="E190" s="1552">
        <v>3602932</v>
      </c>
      <c r="G190" s="672"/>
    </row>
    <row r="191" spans="1:9">
      <c r="B191">
        <v>444000</v>
      </c>
      <c r="C191" t="s">
        <v>2492</v>
      </c>
      <c r="D191" s="1552">
        <v>3144292</v>
      </c>
      <c r="E191" s="1552"/>
    </row>
    <row r="192" spans="1:9">
      <c r="B192">
        <v>488120</v>
      </c>
      <c r="C192" t="s">
        <v>2550</v>
      </c>
      <c r="D192" s="1552"/>
      <c r="E192" s="1552">
        <v>3144292</v>
      </c>
    </row>
    <row r="193" spans="1:12">
      <c r="B193">
        <v>695900</v>
      </c>
      <c r="C193" t="s">
        <v>2557</v>
      </c>
      <c r="D193" s="1552">
        <v>3144292</v>
      </c>
      <c r="E193" s="1552"/>
    </row>
    <row r="194" spans="1:12">
      <c r="B194">
        <v>695000</v>
      </c>
      <c r="C194" t="s">
        <v>2560</v>
      </c>
      <c r="D194" s="1552"/>
      <c r="E194" s="1552">
        <v>3144292</v>
      </c>
      <c r="K194" s="672"/>
    </row>
    <row r="195" spans="1:12" hidden="1">
      <c r="B195">
        <v>695000</v>
      </c>
      <c r="C195" t="s">
        <v>2560</v>
      </c>
      <c r="D195" s="1552">
        <f>458640.20530445*0</f>
        <v>0</v>
      </c>
      <c r="E195" s="1552"/>
    </row>
    <row r="196" spans="1:12" hidden="1">
      <c r="B196">
        <v>444000</v>
      </c>
      <c r="C196" t="s">
        <v>2492</v>
      </c>
      <c r="D196" s="1552"/>
      <c r="E196" s="1552">
        <f>458640.20530445*0</f>
        <v>0</v>
      </c>
      <c r="G196" s="672"/>
    </row>
    <row r="197" spans="1:12" ht="57.6">
      <c r="C197" s="1472" t="s">
        <v>3094</v>
      </c>
    </row>
    <row r="199" spans="1:12">
      <c r="A199">
        <v>42</v>
      </c>
      <c r="B199" s="1580">
        <v>106960</v>
      </c>
      <c r="C199" s="1562" t="str">
        <f>IF(B199="","",VLOOKUP(B199,'[104]TB for financial'!A:B,2,0))</f>
        <v>Stat, Of Recognized Income and Expense</v>
      </c>
      <c r="D199" s="1563"/>
      <c r="E199" s="1563">
        <v>13010</v>
      </c>
    </row>
    <row r="200" spans="1:12">
      <c r="B200" s="1580">
        <v>488000</v>
      </c>
      <c r="C200" s="1562" t="str">
        <f>IF(B200="","",VLOOKUP(B200,'[104]TB for financial'!A:B,2,0))</f>
        <v>DEFERRED TAX</v>
      </c>
      <c r="D200" s="1563">
        <f>E199</f>
        <v>13010</v>
      </c>
      <c r="E200" s="1564"/>
    </row>
    <row r="201" spans="1:12" ht="43.2">
      <c r="B201" s="1580"/>
      <c r="C201" s="1566" t="s">
        <v>3095</v>
      </c>
      <c r="D201" s="1563"/>
      <c r="E201" s="1564"/>
    </row>
    <row r="203" spans="1:12">
      <c r="A203">
        <v>43</v>
      </c>
      <c r="B203" s="1580">
        <v>695900</v>
      </c>
      <c r="C203" s="1562" t="str">
        <f>IF(B203="","",VLOOKUP(B203,'[104]TB for financial'!A:B,2,0))</f>
        <v>DEFERRED TAX CHARGES</v>
      </c>
      <c r="D203" s="1563">
        <v>199336</v>
      </c>
      <c r="E203" s="1563"/>
    </row>
    <row r="204" spans="1:12">
      <c r="B204" s="1580">
        <v>488000</v>
      </c>
      <c r="C204" s="1562" t="str">
        <f>IF(B204="","",VLOOKUP(B204,'[104]TB for financial'!A:B,2,0))</f>
        <v>DEFERRED TAX</v>
      </c>
      <c r="D204" s="1563"/>
      <c r="E204" s="1564">
        <f>D203</f>
        <v>199336</v>
      </c>
    </row>
    <row r="205" spans="1:12" ht="43.2">
      <c r="B205" s="1580"/>
      <c r="C205" s="1566" t="s">
        <v>3096</v>
      </c>
      <c r="D205" s="1563"/>
      <c r="E205" s="1564"/>
    </row>
    <row r="207" spans="1:12">
      <c r="A207">
        <v>44</v>
      </c>
      <c r="B207" s="1580">
        <v>695900</v>
      </c>
      <c r="C207" s="1562" t="str">
        <f>IF(B207="","",VLOOKUP(B207,'[104]TB for financial'!A:B,2,0))</f>
        <v>DEFERRED TAX CHARGES</v>
      </c>
      <c r="D207" s="1563">
        <f>82755-7156</f>
        <v>75599</v>
      </c>
      <c r="E207" s="1563"/>
      <c r="L207" s="1660"/>
    </row>
    <row r="208" spans="1:12">
      <c r="B208" s="1580">
        <v>488000</v>
      </c>
      <c r="C208" s="1562" t="str">
        <f>IF(B208="","",VLOOKUP(B208,'[104]TB for financial'!A:B,2,0))</f>
        <v>DEFERRED TAX</v>
      </c>
      <c r="D208" s="1563"/>
      <c r="E208" s="1564">
        <f>82755-7156</f>
        <v>75599</v>
      </c>
    </row>
    <row r="209" spans="1:9" ht="43.2">
      <c r="B209" s="1580"/>
      <c r="C209" s="1566" t="s">
        <v>3097</v>
      </c>
      <c r="D209" s="1563"/>
      <c r="E209" s="1564"/>
    </row>
    <row r="211" spans="1:9">
      <c r="A211">
        <v>45</v>
      </c>
      <c r="B211">
        <v>411500</v>
      </c>
      <c r="C211" s="1562" t="str">
        <f>IF(B211="","",VLOOKUP(B211,'[104]TB for financial'!A:B,2,0))</f>
        <v>TRADE RECEIVABLES - DOMESTIC</v>
      </c>
      <c r="D211" s="1552">
        <v>98431</v>
      </c>
      <c r="E211" s="1552"/>
    </row>
    <row r="212" spans="1:9">
      <c r="B212">
        <v>411450</v>
      </c>
      <c r="C212" s="1562" t="str">
        <f>IF(B212="","",VLOOKUP(B212,'[104]TB for financial'!A:B,2,0))</f>
        <v>TRADE RECEIVABLES - FOREIGN</v>
      </c>
      <c r="D212" s="1552"/>
      <c r="E212" s="1552">
        <v>98431</v>
      </c>
    </row>
    <row r="213" spans="1:9">
      <c r="C213" s="1566" t="s">
        <v>3098</v>
      </c>
    </row>
    <row r="215" spans="1:9">
      <c r="A215">
        <v>46</v>
      </c>
      <c r="B215">
        <v>695000</v>
      </c>
      <c r="C215" s="1562" t="str">
        <f>IF(B215="","",VLOOKUP(B215,'[104]TB for financial'!A:B,2,0))</f>
        <v>CORPORATE INCOME TAX</v>
      </c>
      <c r="D215" s="1552">
        <f>32794.4153661877</f>
        <v>32794.415366187699</v>
      </c>
      <c r="I215" t="s">
        <v>3104</v>
      </c>
    </row>
    <row r="216" spans="1:9" ht="28.8">
      <c r="B216">
        <v>444000</v>
      </c>
      <c r="C216" s="1562" t="str">
        <f>IF(B216="","",VLOOKUP(B216,'[104]TB for financial'!A:B,2,0))</f>
        <v>Corporate Income Tax and Accrued Income</v>
      </c>
      <c r="E216" s="1552">
        <f>32794.4153661877</f>
        <v>32794.415366187699</v>
      </c>
    </row>
    <row r="217" spans="1:9" ht="28.8">
      <c r="B217">
        <v>444000</v>
      </c>
      <c r="C217" s="1724" t="s">
        <v>2492</v>
      </c>
      <c r="D217" s="1552">
        <f>32794.4153661877</f>
        <v>32794.415366187699</v>
      </c>
    </row>
    <row r="218" spans="1:9">
      <c r="B218">
        <v>488120</v>
      </c>
      <c r="C218" s="1724" t="s">
        <v>2550</v>
      </c>
      <c r="E218" s="1552">
        <f>32794.4153661877</f>
        <v>32794.415366187699</v>
      </c>
    </row>
    <row r="219" spans="1:9">
      <c r="B219">
        <v>695900</v>
      </c>
      <c r="C219" s="1724" t="s">
        <v>2557</v>
      </c>
      <c r="D219" s="1552">
        <f>32794.4153661877</f>
        <v>32794.415366187699</v>
      </c>
    </row>
    <row r="220" spans="1:9">
      <c r="B220">
        <v>695000</v>
      </c>
      <c r="C220" s="1724" t="s">
        <v>2560</v>
      </c>
      <c r="E220" s="1552">
        <f>32794.4153661877</f>
        <v>32794.415366187699</v>
      </c>
    </row>
    <row r="221" spans="1:9" ht="28.8">
      <c r="C221" s="1679" t="s">
        <v>3134</v>
      </c>
    </row>
    <row r="223" spans="1:9">
      <c r="A223">
        <v>47</v>
      </c>
      <c r="B223">
        <v>168150</v>
      </c>
      <c r="C223" s="1562" t="s">
        <v>3020</v>
      </c>
      <c r="D223" s="1552">
        <v>6720</v>
      </c>
      <c r="E223" s="1552"/>
    </row>
    <row r="224" spans="1:9">
      <c r="B224">
        <v>457000</v>
      </c>
      <c r="C224" t="s">
        <v>2549</v>
      </c>
      <c r="D224" s="1552"/>
      <c r="E224" s="1552">
        <v>6720</v>
      </c>
    </row>
    <row r="225" spans="1:9" ht="28.8">
      <c r="C225" s="1679" t="s">
        <v>3105</v>
      </c>
    </row>
    <row r="227" spans="1:9">
      <c r="A227">
        <v>48</v>
      </c>
      <c r="B227">
        <v>695000</v>
      </c>
      <c r="C227" s="1562" t="str">
        <f>IF(B227="","",VLOOKUP(B227,'[104]TB for financial'!A:B,2,0))</f>
        <v>CORPORATE INCOME TAX</v>
      </c>
      <c r="E227" s="1552">
        <v>404113.4477484501</v>
      </c>
      <c r="I227" t="s">
        <v>3132</v>
      </c>
    </row>
    <row r="228" spans="1:9" ht="28.8">
      <c r="B228">
        <v>444000</v>
      </c>
      <c r="C228" s="1562" t="str">
        <f>IF(B228="","",VLOOKUP(B228,'[104]TB for financial'!A:B,2,0))</f>
        <v>Corporate Income Tax and Accrued Income</v>
      </c>
      <c r="D228" s="1552">
        <v>404113.4477484501</v>
      </c>
    </row>
    <row r="229" spans="1:9" ht="28.8">
      <c r="C229" s="1679" t="s">
        <v>3133</v>
      </c>
    </row>
    <row r="231" spans="1:9">
      <c r="A231">
        <v>49</v>
      </c>
      <c r="B231">
        <v>695000</v>
      </c>
      <c r="C231" s="1562" t="str">
        <f>IF(B231="","",VLOOKUP(B231,'[104]TB for financial'!A:B,2,0))</f>
        <v>CORPORATE INCOME TAX</v>
      </c>
      <c r="D231" s="1552">
        <v>33688677.995363086</v>
      </c>
      <c r="E231" s="1552"/>
      <c r="I231" t="s">
        <v>3135</v>
      </c>
    </row>
    <row r="232" spans="1:9" ht="28.8">
      <c r="B232">
        <v>444000</v>
      </c>
      <c r="C232" s="1562" t="str">
        <f>IF(B232="","",VLOOKUP(B232,'[104]TB for financial'!A:B,2,0))</f>
        <v>Corporate Income Tax and Accrued Income</v>
      </c>
      <c r="D232" s="1552"/>
      <c r="E232" s="1552">
        <v>33688677.995363086</v>
      </c>
    </row>
    <row r="233" spans="1:9" ht="28.8">
      <c r="C233" s="1679" t="s">
        <v>3136</v>
      </c>
    </row>
    <row r="235" spans="1:9">
      <c r="A235">
        <v>50</v>
      </c>
      <c r="B235">
        <v>695000</v>
      </c>
      <c r="C235" s="1562" t="str">
        <f>IF(B235="","",VLOOKUP(B235,'[104]TB for financial'!A:B,2,0))</f>
        <v>CORPORATE INCOME TAX</v>
      </c>
      <c r="D235" s="1552">
        <v>8870504</v>
      </c>
      <c r="E235" s="1552"/>
      <c r="I235" t="s">
        <v>3135</v>
      </c>
    </row>
    <row r="236" spans="1:9" ht="28.8">
      <c r="B236">
        <v>444000</v>
      </c>
      <c r="C236" s="1562" t="str">
        <f>IF(B236="","",VLOOKUP(B236,'[104]TB for financial'!A:B,2,0))</f>
        <v>Corporate Income Tax and Accrued Income</v>
      </c>
      <c r="D236" s="1552"/>
      <c r="E236" s="1552">
        <v>8870504</v>
      </c>
    </row>
    <row r="237" spans="1:9" ht="86.4">
      <c r="C237" s="1679" t="s">
        <v>3137</v>
      </c>
    </row>
  </sheetData>
  <autoFilter ref="A4:J213" xr:uid="{B302EEDC-AED4-486B-84DC-76BA66992671}"/>
  <conditionalFormatting sqref="F2:G2">
    <cfRule type="cellIs" dxfId="4" priority="1" operator="equal">
      <formula>FALSE</formula>
    </cfRule>
  </conditionalFormatting>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7676D-52DC-40CD-98BF-9EE3164F500B}">
  <sheetPr>
    <tabColor theme="4" tint="-0.249977111117893"/>
  </sheetPr>
  <dimension ref="A1:R1421"/>
  <sheetViews>
    <sheetView topLeftCell="A66" workbookViewId="0">
      <selection activeCell="G363" sqref="G363"/>
    </sheetView>
  </sheetViews>
  <sheetFormatPr defaultColWidth="9.21875" defaultRowHeight="14.4"/>
  <cols>
    <col min="1" max="1" width="6.5546875" style="289" customWidth="1"/>
    <col min="2" max="2" width="10.21875" style="282" customWidth="1"/>
    <col min="3" max="3" width="46.77734375" style="283" customWidth="1"/>
    <col min="4" max="4" width="20.77734375" style="284" bestFit="1" customWidth="1"/>
    <col min="5" max="5" width="20.77734375" style="284" customWidth="1"/>
    <col min="6" max="6" width="17.21875" style="285" customWidth="1"/>
    <col min="7" max="7" width="16.44140625" style="286" customWidth="1"/>
    <col min="8" max="8" width="12.44140625" style="286" bestFit="1" customWidth="1"/>
    <col min="9" max="9" width="45.21875" style="287" customWidth="1"/>
    <col min="10" max="10" width="28" style="288" customWidth="1"/>
    <col min="11" max="11" width="8.77734375" style="289" bestFit="1" customWidth="1"/>
    <col min="12" max="12" width="11.21875" style="289" bestFit="1" customWidth="1"/>
    <col min="13" max="13" width="12.44140625" style="289" bestFit="1" customWidth="1"/>
    <col min="14" max="14" width="12.44140625" style="289" customWidth="1"/>
    <col min="15" max="15" width="13" style="289" bestFit="1" customWidth="1"/>
    <col min="16" max="16" width="9.21875" style="290"/>
    <col min="17" max="17" width="13" style="291" bestFit="1" customWidth="1"/>
    <col min="18" max="18" width="11.44140625" style="292" bestFit="1" customWidth="1"/>
    <col min="19" max="19" width="9.21875" style="289"/>
    <col min="20" max="20" width="14" style="289" bestFit="1" customWidth="1"/>
    <col min="21" max="16384" width="9.21875" style="289"/>
  </cols>
  <sheetData>
    <row r="1" spans="1:18">
      <c r="A1" s="281" t="str">
        <f>+Master!B2</f>
        <v>Syntel Solutions (India) Private Limited</v>
      </c>
    </row>
    <row r="2" spans="1:18">
      <c r="A2" s="281" t="str">
        <f>"Entries for IGAAP for the year ended " &amp;Master!$B$5</f>
        <v>Entries for IGAAP for the year ended 31st March 2025</v>
      </c>
      <c r="D2" s="284">
        <f>ROUND(D1147,4)</f>
        <v>371337683.82059997</v>
      </c>
      <c r="E2" s="284">
        <f>ROUND(E1147,4)</f>
        <v>371337683.81400001</v>
      </c>
      <c r="F2" s="286" t="b">
        <f>IF(D2=E2,"OK")</f>
        <v>0</v>
      </c>
      <c r="I2" s="293"/>
    </row>
    <row r="3" spans="1:18">
      <c r="F3" s="286"/>
    </row>
    <row r="4" spans="1:18" s="302" customFormat="1" ht="29.4" thickBot="1">
      <c r="A4" s="294" t="s">
        <v>722</v>
      </c>
      <c r="B4" s="295" t="s">
        <v>723</v>
      </c>
      <c r="C4" s="294" t="s">
        <v>724</v>
      </c>
      <c r="D4" s="296" t="s">
        <v>725</v>
      </c>
      <c r="E4" s="297" t="s">
        <v>726</v>
      </c>
      <c r="F4" s="298" t="s">
        <v>727</v>
      </c>
      <c r="G4" s="299" t="s">
        <v>728</v>
      </c>
      <c r="H4" s="298" t="s">
        <v>729</v>
      </c>
      <c r="I4" s="300" t="s">
        <v>525</v>
      </c>
      <c r="J4" s="301" t="s">
        <v>730</v>
      </c>
      <c r="P4" s="303"/>
      <c r="Q4" s="304"/>
      <c r="R4" s="305"/>
    </row>
    <row r="5" spans="1:18" ht="15" customHeight="1">
      <c r="A5" s="306"/>
      <c r="B5" s="307"/>
      <c r="C5" s="308"/>
      <c r="D5" s="309"/>
      <c r="E5" s="310"/>
      <c r="F5" s="311"/>
      <c r="G5" s="312"/>
      <c r="H5" s="312"/>
      <c r="I5" s="313"/>
      <c r="J5" s="314"/>
    </row>
    <row r="6" spans="1:18" ht="15" customHeight="1">
      <c r="A6" s="306"/>
      <c r="B6" s="307"/>
      <c r="C6" s="308"/>
      <c r="D6" s="309"/>
      <c r="E6" s="310"/>
      <c r="F6" s="311"/>
      <c r="G6" s="312"/>
      <c r="H6" s="312"/>
      <c r="I6" s="313"/>
      <c r="J6" s="314"/>
    </row>
    <row r="7" spans="1:18" ht="15" customHeight="1">
      <c r="A7" s="315">
        <v>1</v>
      </c>
      <c r="B7" s="1272">
        <v>1013001</v>
      </c>
      <c r="C7" s="316" t="s">
        <v>2396</v>
      </c>
      <c r="D7" s="317">
        <f>54000*0</f>
        <v>0</v>
      </c>
      <c r="E7" s="317"/>
      <c r="F7" s="319"/>
      <c r="G7" s="320">
        <f t="shared" ref="G7:G58" si="0">IF(H7="PL - PL",0,IF(D7="",-E7,D7))</f>
        <v>0</v>
      </c>
      <c r="H7" s="321"/>
      <c r="I7" s="322"/>
      <c r="J7" s="323"/>
    </row>
    <row r="8" spans="1:18" ht="15" customHeight="1">
      <c r="A8" s="315" t="str">
        <f>IF(B8="","",IF(B7="",SUM(COUNT($A$5:A7)+1),""))</f>
        <v/>
      </c>
      <c r="B8" s="282">
        <v>106960</v>
      </c>
      <c r="C8" s="316" t="s">
        <v>2478</v>
      </c>
      <c r="D8" s="318"/>
      <c r="E8" s="318">
        <f>54000*0</f>
        <v>0</v>
      </c>
      <c r="F8" s="319"/>
      <c r="G8" s="320">
        <f t="shared" si="0"/>
        <v>0</v>
      </c>
      <c r="H8" s="321"/>
      <c r="I8" s="322"/>
      <c r="J8" s="323"/>
    </row>
    <row r="9" spans="1:18">
      <c r="A9" s="315" t="str">
        <f>IF(B9="","",IF(B8="",SUM(COUNT($A$5:A8)+1),""))</f>
        <v/>
      </c>
      <c r="C9" s="316"/>
      <c r="D9" s="318"/>
      <c r="E9" s="317">
        <v>0</v>
      </c>
      <c r="F9" s="319"/>
      <c r="G9" s="320">
        <f t="shared" si="0"/>
        <v>0</v>
      </c>
      <c r="H9" s="321"/>
      <c r="I9" s="322"/>
      <c r="J9" s="323"/>
    </row>
    <row r="10" spans="1:18" ht="15" customHeight="1">
      <c r="A10" s="315" t="str">
        <f>IF(B10="","",IF(B9="",SUM(COUNT($A$5:A9)+1),""))</f>
        <v/>
      </c>
      <c r="C10" s="316"/>
      <c r="D10" s="317"/>
      <c r="E10" s="318"/>
      <c r="F10" s="319"/>
      <c r="G10" s="320">
        <f t="shared" si="0"/>
        <v>0</v>
      </c>
      <c r="H10" s="321"/>
      <c r="I10" s="322"/>
      <c r="J10" s="323"/>
    </row>
    <row r="11" spans="1:18" ht="15" customHeight="1">
      <c r="A11" s="315">
        <f>IF(B11="","",IF(B10="",SUM(COUNT($A$5:A10)+1),""))</f>
        <v>2</v>
      </c>
      <c r="B11" s="282">
        <v>695900</v>
      </c>
      <c r="C11" s="316" t="s">
        <v>2557</v>
      </c>
      <c r="D11" s="317">
        <v>3287743.28064</v>
      </c>
      <c r="E11" s="318"/>
      <c r="F11" s="319"/>
      <c r="G11" s="320">
        <f t="shared" si="0"/>
        <v>3287743.28064</v>
      </c>
      <c r="H11" s="321"/>
      <c r="I11" s="322"/>
      <c r="J11" s="323"/>
    </row>
    <row r="12" spans="1:18">
      <c r="A12" s="315" t="str">
        <f>IF(B12="","",IF(B11="",SUM(COUNT($A$5:A11)+1),""))</f>
        <v/>
      </c>
      <c r="B12" s="282">
        <v>155000</v>
      </c>
      <c r="C12" s="316" t="s">
        <v>2401</v>
      </c>
      <c r="D12" s="318"/>
      <c r="E12" s="317">
        <v>3287743.28064</v>
      </c>
      <c r="F12" s="319"/>
      <c r="G12" s="320">
        <f t="shared" si="0"/>
        <v>-3287743.28064</v>
      </c>
      <c r="H12" s="321"/>
      <c r="I12" s="322"/>
      <c r="J12" s="323"/>
    </row>
    <row r="13" spans="1:18" ht="28.8">
      <c r="A13" s="315" t="str">
        <f>IF(B13="","",IF(B12="",SUM(COUNT($A$5:A12)+1),""))</f>
        <v/>
      </c>
      <c r="B13" s="315"/>
      <c r="C13" s="1385" t="s">
        <v>2710</v>
      </c>
      <c r="D13" s="317"/>
      <c r="E13" s="318"/>
      <c r="F13" s="319"/>
      <c r="G13" s="320">
        <f t="shared" si="0"/>
        <v>0</v>
      </c>
      <c r="H13" s="321"/>
      <c r="I13" s="322"/>
      <c r="J13" s="315" t="str">
        <f>IF(K13="","",IF(K12="",SUM(COUNT($A$5:J12)+1),""))</f>
        <v/>
      </c>
    </row>
    <row r="14" spans="1:18" ht="15" customHeight="1">
      <c r="A14" s="315" t="str">
        <f>IF(B14="","",IF(B13="",SUM(COUNT($A$5:A13)+1),""))</f>
        <v/>
      </c>
      <c r="B14" s="324"/>
      <c r="C14" s="316"/>
      <c r="D14" s="318"/>
      <c r="E14" s="317"/>
      <c r="F14" s="319"/>
      <c r="G14" s="1277">
        <f t="shared" si="0"/>
        <v>0</v>
      </c>
      <c r="H14" s="321"/>
      <c r="I14" s="322"/>
      <c r="J14" s="323"/>
    </row>
    <row r="15" spans="1:18" ht="15" customHeight="1">
      <c r="A15" s="315">
        <f>IF(B15="","",IF(B14="",SUM(COUNT($A$5:A14)+1),""))</f>
        <v>3</v>
      </c>
      <c r="B15" s="1529">
        <v>695000</v>
      </c>
      <c r="C15" s="316" t="str">
        <f>IF(B15="","",VLOOKUP(B15,'[101]TB for financial'!A:B,2,0))</f>
        <v>CORPORATE INCOME TAX</v>
      </c>
      <c r="D15" s="317"/>
      <c r="E15" s="318">
        <v>214729</v>
      </c>
      <c r="F15" s="319"/>
      <c r="G15" s="1277">
        <f t="shared" si="0"/>
        <v>-214729</v>
      </c>
      <c r="H15" s="321"/>
      <c r="I15" s="322"/>
      <c r="J15" s="323"/>
    </row>
    <row r="16" spans="1:18">
      <c r="A16" s="315" t="str">
        <f>IF(B16="","",IF(B15="",SUM(COUNT($A$5:A15)+1),""))</f>
        <v/>
      </c>
      <c r="B16" s="1529">
        <v>444000</v>
      </c>
      <c r="C16" s="316" t="str">
        <f>IF(B16="","",VLOOKUP(B16,'[101]TB for financial'!A:B,2,0))</f>
        <v>Corporate Income Tax and Accrued Income</v>
      </c>
      <c r="D16" s="317">
        <v>214729</v>
      </c>
      <c r="E16" s="318">
        <v>0</v>
      </c>
      <c r="F16" s="319"/>
      <c r="G16" s="320">
        <f t="shared" si="0"/>
        <v>214729</v>
      </c>
      <c r="H16" s="321"/>
      <c r="I16" s="322"/>
      <c r="J16" s="323"/>
    </row>
    <row r="17" spans="1:10" ht="15" customHeight="1">
      <c r="A17" s="315" t="str">
        <f>IF(B17="","",IF(B16="",SUM(COUNT($A$5:A16)+1),""))</f>
        <v/>
      </c>
      <c r="B17" s="1529">
        <v>444000</v>
      </c>
      <c r="C17" s="316" t="str">
        <f>IF(B17="","",VLOOKUP(B17,'[101]TB for financial'!A:B,2,0))</f>
        <v>Corporate Income Tax and Accrued Income</v>
      </c>
      <c r="D17" s="317">
        <v>0</v>
      </c>
      <c r="E17" s="318">
        <v>214729</v>
      </c>
      <c r="F17" s="319"/>
      <c r="G17" s="320">
        <f t="shared" si="0"/>
        <v>0</v>
      </c>
      <c r="H17" s="321"/>
      <c r="I17" s="322"/>
      <c r="J17" s="323"/>
    </row>
    <row r="18" spans="1:10" ht="15" customHeight="1">
      <c r="A18" s="315" t="str">
        <f>IF(B18="","",IF(B17="",SUM(COUNT($A$5:A17)+1),""))</f>
        <v/>
      </c>
      <c r="B18" s="1529">
        <v>488120</v>
      </c>
      <c r="C18" s="1578" t="str">
        <f>IF(B18="","",VLOOKUP(B18,'[101]TB for financial'!A:B,2,0))</f>
        <v>Deferred Tax - Mininumum alternate tax</v>
      </c>
      <c r="D18" s="317">
        <v>214729</v>
      </c>
      <c r="E18" s="318">
        <v>0</v>
      </c>
      <c r="F18" s="319"/>
      <c r="G18" s="320">
        <f t="shared" si="0"/>
        <v>214729</v>
      </c>
      <c r="H18" s="321"/>
      <c r="I18" s="322"/>
      <c r="J18" s="323"/>
    </row>
    <row r="19" spans="1:10">
      <c r="A19" s="315" t="str">
        <f>IF(B19="","",IF(B18="",SUM(COUNT($A$5:A18)+1),""))</f>
        <v/>
      </c>
      <c r="B19" s="1529">
        <v>695900</v>
      </c>
      <c r="C19" s="316" t="str">
        <f>IF(B19="","",VLOOKUP(B19,'[101]TB for financial'!A:B,2,0))</f>
        <v>DEFERRED TAX CHARGES</v>
      </c>
      <c r="D19" s="317">
        <v>0</v>
      </c>
      <c r="E19" s="318">
        <v>214729</v>
      </c>
      <c r="F19" s="319"/>
      <c r="G19" s="320">
        <f t="shared" si="0"/>
        <v>0</v>
      </c>
      <c r="H19" s="321"/>
      <c r="I19" s="322"/>
      <c r="J19" s="323"/>
    </row>
    <row r="20" spans="1:10" ht="15" customHeight="1">
      <c r="A20" s="315" t="str">
        <f>IF(B20="","",IF(B19="",SUM(COUNT($A$5:A19)+1),""))</f>
        <v/>
      </c>
      <c r="B20" s="1529">
        <v>695000</v>
      </c>
      <c r="C20" s="316" t="str">
        <f>IF(B20="","",VLOOKUP(B20,'[101]TB for financial'!A:B,2,0))</f>
        <v>CORPORATE INCOME TAX</v>
      </c>
      <c r="D20" s="317">
        <v>214729</v>
      </c>
      <c r="E20" s="318">
        <v>0</v>
      </c>
      <c r="F20" s="319"/>
      <c r="G20" s="320">
        <f t="shared" si="0"/>
        <v>214729</v>
      </c>
      <c r="H20" s="321"/>
      <c r="I20" s="322"/>
      <c r="J20" s="323"/>
    </row>
    <row r="21" spans="1:10" ht="15" customHeight="1">
      <c r="A21" s="315" t="str">
        <f>IF(B21="","",IF(B20="",SUM(COUNT($A$5:A20)+1),""))</f>
        <v/>
      </c>
      <c r="B21" s="1529"/>
      <c r="C21" s="1472" t="s">
        <v>2711</v>
      </c>
      <c r="D21" s="317"/>
      <c r="E21" s="318"/>
      <c r="F21" s="319"/>
      <c r="G21" s="320">
        <f t="shared" si="0"/>
        <v>0</v>
      </c>
      <c r="H21" s="321"/>
      <c r="I21" s="322"/>
      <c r="J21" s="323"/>
    </row>
    <row r="22" spans="1:10" ht="15" customHeight="1">
      <c r="A22" s="315" t="str">
        <f>IF(B22="","",IF(B21="",SUM(COUNT($A$5:A21)+1),""))</f>
        <v/>
      </c>
      <c r="C22" s="316"/>
      <c r="D22" s="1222"/>
      <c r="E22" s="1222"/>
      <c r="F22" s="319"/>
      <c r="G22" s="320">
        <f t="shared" si="0"/>
        <v>0</v>
      </c>
      <c r="H22" s="321"/>
      <c r="I22" s="322"/>
      <c r="J22" s="323"/>
    </row>
    <row r="23" spans="1:10">
      <c r="A23" s="315">
        <f>IF(B23="","",IF(B22="",SUM(COUNT($A$5:A22)+1),""))</f>
        <v>4</v>
      </c>
      <c r="B23" s="1530">
        <v>695900</v>
      </c>
      <c r="C23" s="316" t="str">
        <f>IF(B23="","",VLOOKUP(B23,'[101]TB for financial'!A:B,2,0))</f>
        <v>DEFERRED TAX CHARGES</v>
      </c>
      <c r="D23" s="1531">
        <v>5799</v>
      </c>
      <c r="E23" s="1532"/>
      <c r="F23" s="319"/>
      <c r="G23" s="320">
        <f t="shared" si="0"/>
        <v>5799</v>
      </c>
      <c r="H23" s="321"/>
      <c r="I23" s="322"/>
      <c r="J23" s="323"/>
    </row>
    <row r="24" spans="1:10" ht="15" customHeight="1">
      <c r="A24" s="315" t="str">
        <f>IF(B24="","",IF(B23="",SUM(COUNT($A$5:A23)+1),""))</f>
        <v/>
      </c>
      <c r="B24" s="1530">
        <v>488000</v>
      </c>
      <c r="C24" s="316" t="str">
        <f>IF(B24="","",VLOOKUP(B24,'[101]TB for financial'!A:B,2,0))</f>
        <v>DEFERRED TAX</v>
      </c>
      <c r="D24" s="1531"/>
      <c r="E24" s="1532">
        <f>D23</f>
        <v>5799</v>
      </c>
      <c r="F24" s="319"/>
      <c r="G24" s="320">
        <f t="shared" si="0"/>
        <v>-5799</v>
      </c>
      <c r="H24" s="321"/>
      <c r="I24" s="322"/>
      <c r="J24" s="323"/>
    </row>
    <row r="25" spans="1:10" ht="15" customHeight="1">
      <c r="A25" s="315" t="str">
        <f>IF(B25="","",IF(B24="",SUM(COUNT($A$5:A24)+1),""))</f>
        <v/>
      </c>
      <c r="B25" s="1530">
        <v>695900</v>
      </c>
      <c r="C25" s="316" t="str">
        <f>IF(B25="","",VLOOKUP(B25,'[101]TB for financial'!A:B,2,0))</f>
        <v>DEFERRED TAX CHARGES</v>
      </c>
      <c r="D25" s="1533">
        <v>258738</v>
      </c>
      <c r="E25" s="1531"/>
      <c r="F25" s="319"/>
      <c r="G25" s="320">
        <f t="shared" si="0"/>
        <v>258738</v>
      </c>
      <c r="H25" s="321"/>
      <c r="I25" s="322"/>
      <c r="J25" s="323"/>
    </row>
    <row r="26" spans="1:10" ht="15" customHeight="1">
      <c r="A26" s="315" t="str">
        <f>IF(B26="","",IF(B25="",SUM(COUNT($A$5:A25)+1),""))</f>
        <v/>
      </c>
      <c r="B26" s="1530">
        <v>488000</v>
      </c>
      <c r="C26" s="316" t="str">
        <f>IF(B26="","",VLOOKUP(B26,'[101]TB for financial'!A:B,2,0))</f>
        <v>DEFERRED TAX</v>
      </c>
      <c r="D26" s="1533"/>
      <c r="E26" s="1531">
        <f>D25</f>
        <v>258738</v>
      </c>
      <c r="F26" s="319"/>
      <c r="G26" s="320">
        <f t="shared" si="0"/>
        <v>-258738</v>
      </c>
      <c r="H26" s="321"/>
      <c r="I26" s="322"/>
      <c r="J26" s="323"/>
    </row>
    <row r="27" spans="1:10">
      <c r="A27" s="315" t="str">
        <f>IF(B27="","",IF(B26="",SUM(COUNT($A$5:A26)+1),""))</f>
        <v/>
      </c>
      <c r="B27" s="1530">
        <v>695900</v>
      </c>
      <c r="C27" s="316" t="str">
        <f>IF(B27="","",VLOOKUP(B27,'[101]TB for financial'!A:B,2,0))</f>
        <v>DEFERRED TAX CHARGES</v>
      </c>
      <c r="D27" s="1533">
        <v>590333.90000000037</v>
      </c>
      <c r="E27" s="1533">
        <f>590333.9*0</f>
        <v>0</v>
      </c>
      <c r="F27" s="319"/>
      <c r="G27" s="320">
        <f t="shared" si="0"/>
        <v>590333.90000000037</v>
      </c>
      <c r="H27" s="321"/>
      <c r="I27" s="322"/>
      <c r="J27" s="323"/>
    </row>
    <row r="28" spans="1:10" ht="15" customHeight="1">
      <c r="A28" s="315" t="str">
        <f>IF(B28="","",IF(B27="",SUM(COUNT($A$5:A27)+1),""))</f>
        <v/>
      </c>
      <c r="B28" s="1530">
        <v>488000</v>
      </c>
      <c r="C28" s="316" t="str">
        <f>IF(B28="","",VLOOKUP(B28,'[101]TB for financial'!A:B,2,0))</f>
        <v>DEFERRED TAX</v>
      </c>
      <c r="D28" s="1533">
        <f>+E27</f>
        <v>0</v>
      </c>
      <c r="E28" s="1531">
        <f>+D27</f>
        <v>590333.90000000037</v>
      </c>
      <c r="F28" s="319"/>
      <c r="G28" s="320">
        <f t="shared" si="0"/>
        <v>0</v>
      </c>
      <c r="H28" s="321"/>
      <c r="I28" s="322"/>
      <c r="J28" s="323"/>
    </row>
    <row r="29" spans="1:10" ht="15" customHeight="1">
      <c r="A29" s="315" t="str">
        <f>IF(B29="","",IF(B28="",SUM(COUNT($A$5:A28)+1),""))</f>
        <v/>
      </c>
      <c r="B29" s="1530">
        <v>695900</v>
      </c>
      <c r="C29" s="316" t="str">
        <f>IF(B29="","",VLOOKUP(B29,'[101]TB for financial'!A:B,2,0))</f>
        <v>DEFERRED TAX CHARGES</v>
      </c>
      <c r="D29" s="1531">
        <f>822124.94*0</f>
        <v>0</v>
      </c>
      <c r="E29" s="1531">
        <f>824232-10533</f>
        <v>813699</v>
      </c>
      <c r="F29" s="319"/>
      <c r="G29" s="320">
        <f t="shared" si="0"/>
        <v>0</v>
      </c>
      <c r="H29" s="321"/>
      <c r="I29" s="322"/>
      <c r="J29" s="323"/>
    </row>
    <row r="30" spans="1:10" ht="15" customHeight="1">
      <c r="A30" s="315" t="str">
        <f>IF(B30="","",IF(B29="",SUM(COUNT($A$5:A29)+1),""))</f>
        <v/>
      </c>
      <c r="B30" s="1530">
        <v>488000</v>
      </c>
      <c r="C30" s="316" t="str">
        <f>IF(B30="","",VLOOKUP(B30,'[101]TB for financial'!A:B,2,0))</f>
        <v>DEFERRED TAX</v>
      </c>
      <c r="D30" s="1531">
        <f>+E29</f>
        <v>813699</v>
      </c>
      <c r="E30" s="1532">
        <f>+D29</f>
        <v>0</v>
      </c>
      <c r="F30" s="325"/>
      <c r="G30" s="320">
        <f t="shared" si="0"/>
        <v>813699</v>
      </c>
      <c r="H30" s="321"/>
      <c r="I30" s="322"/>
      <c r="J30" s="323"/>
    </row>
    <row r="31" spans="1:10" ht="15" customHeight="1">
      <c r="A31" s="315" t="str">
        <f>IF(B31="","",IF(B30="",SUM(COUNT($A$5:A30)+1),""))</f>
        <v/>
      </c>
      <c r="B31" s="1530">
        <v>488000</v>
      </c>
      <c r="C31" s="316" t="str">
        <f>IF(B31="","",VLOOKUP(B31,'[101]TB for financial'!A:B,2,0))</f>
        <v>DEFERRED TAX</v>
      </c>
      <c r="D31" s="1531">
        <v>223891</v>
      </c>
      <c r="E31" s="1532"/>
      <c r="F31" s="319"/>
      <c r="G31" s="320">
        <f t="shared" si="0"/>
        <v>223891</v>
      </c>
      <c r="H31" s="321"/>
      <c r="I31" s="322"/>
      <c r="J31" s="323"/>
    </row>
    <row r="32" spans="1:10">
      <c r="A32" s="315" t="str">
        <f>IF(B32="","",IF(B31="",SUM(COUNT($A$5:A31)+1),""))</f>
        <v/>
      </c>
      <c r="B32" s="1530">
        <v>106960</v>
      </c>
      <c r="C32" s="316" t="str">
        <f>IF(B32="","",VLOOKUP(B32,'[101]TB for financial'!A:B,2,0))</f>
        <v>Stat, Of Recognized Income and Expense</v>
      </c>
      <c r="D32" s="1531"/>
      <c r="E32" s="1532">
        <f>+D31</f>
        <v>223891</v>
      </c>
      <c r="F32" s="319"/>
      <c r="G32" s="320">
        <f t="shared" si="0"/>
        <v>-223891</v>
      </c>
      <c r="H32" s="321"/>
      <c r="I32" s="322"/>
      <c r="J32" s="323"/>
    </row>
    <row r="33" spans="1:10" ht="15" customHeight="1">
      <c r="A33" s="315" t="str">
        <f>IF(B33="","",IF(B32="",SUM(COUNT($A$5:A32)+1),""))</f>
        <v/>
      </c>
      <c r="B33" s="1529"/>
      <c r="C33" s="1472" t="s">
        <v>2712</v>
      </c>
      <c r="D33" s="318"/>
      <c r="E33" s="318"/>
      <c r="F33" s="319"/>
      <c r="G33" s="320">
        <f t="shared" si="0"/>
        <v>0</v>
      </c>
      <c r="H33" s="321"/>
      <c r="I33" s="322"/>
      <c r="J33" s="323"/>
    </row>
    <row r="34" spans="1:10" ht="15" customHeight="1">
      <c r="A34" s="315" t="str">
        <f>IF(B34="","",IF(B33="",SUM(COUNT($A$5:A33)+1),""))</f>
        <v/>
      </c>
      <c r="C34" s="316"/>
      <c r="D34" s="317"/>
      <c r="E34" s="318"/>
      <c r="F34" s="325"/>
      <c r="G34" s="320">
        <f t="shared" si="0"/>
        <v>0</v>
      </c>
      <c r="H34" s="321"/>
      <c r="I34" s="322"/>
      <c r="J34" s="323"/>
    </row>
    <row r="35" spans="1:10">
      <c r="A35" s="315">
        <f>IF(B35="","",IF(B34="",SUM(COUNT($A$5:A34)+1),""))</f>
        <v>5</v>
      </c>
      <c r="B35" s="1530">
        <v>695900</v>
      </c>
      <c r="C35" s="316" t="str">
        <f>IF(B35="","",VLOOKUP(B35,'[101]TB for financial'!A:B,2,0))</f>
        <v>DEFERRED TAX CHARGES</v>
      </c>
      <c r="D35" s="1477"/>
      <c r="E35" s="1477">
        <v>86056</v>
      </c>
      <c r="F35" s="319"/>
      <c r="G35" s="320">
        <f t="shared" si="0"/>
        <v>-86056</v>
      </c>
      <c r="H35" s="321"/>
      <c r="I35" s="322"/>
      <c r="J35" s="323"/>
    </row>
    <row r="36" spans="1:10" ht="15" customHeight="1">
      <c r="A36" s="315" t="str">
        <f>IF(B36="","",IF(B35="",SUM(COUNT($A$5:A35)+1),""))</f>
        <v/>
      </c>
      <c r="B36" s="1530">
        <v>488000</v>
      </c>
      <c r="C36" s="316" t="str">
        <f>IF(B36="","",VLOOKUP(B36,'[101]TB for financial'!A:B,2,0))</f>
        <v>DEFERRED TAX</v>
      </c>
      <c r="D36" s="1477">
        <f>+E35</f>
        <v>86056</v>
      </c>
      <c r="E36" s="1478"/>
      <c r="F36" s="326"/>
      <c r="G36" s="320">
        <f t="shared" si="0"/>
        <v>86056</v>
      </c>
      <c r="H36" s="321"/>
      <c r="I36" s="322"/>
      <c r="J36" s="323"/>
    </row>
    <row r="37" spans="1:10" ht="15" customHeight="1">
      <c r="A37" s="315" t="str">
        <f>IF(B37="","",IF(B36="",SUM(COUNT($A$5:A36)+1),""))</f>
        <v/>
      </c>
      <c r="B37" s="1529"/>
      <c r="C37" s="1472" t="s">
        <v>2713</v>
      </c>
      <c r="D37" s="317"/>
      <c r="E37" s="318"/>
      <c r="F37" s="326"/>
      <c r="G37" s="320">
        <f t="shared" si="0"/>
        <v>0</v>
      </c>
      <c r="H37" s="321"/>
      <c r="I37" s="322"/>
      <c r="J37" s="323"/>
    </row>
    <row r="38" spans="1:10" ht="15" customHeight="1">
      <c r="A38" s="315" t="str">
        <f>IF(B38="","",IF(B37="",SUM(COUNT($A$5:A37)+1),""))</f>
        <v/>
      </c>
      <c r="C38" s="1385"/>
      <c r="D38" s="318"/>
      <c r="E38" s="318"/>
      <c r="F38" s="326"/>
      <c r="G38" s="320">
        <f t="shared" si="0"/>
        <v>0</v>
      </c>
      <c r="H38" s="321"/>
      <c r="I38" s="322"/>
      <c r="J38" s="323"/>
    </row>
    <row r="39" spans="1:10" ht="15" customHeight="1">
      <c r="A39" s="315">
        <f>IF(B39="","",IF(B38="",SUM(COUNT($A$5:A38)+1),""))</f>
        <v>6</v>
      </c>
      <c r="B39" s="282">
        <v>444000</v>
      </c>
      <c r="C39" s="316" t="str">
        <f>IF(B39="","",VLOOKUP(B39,'[101]TB for financial'!A:B,2,0))</f>
        <v>Corporate Income Tax and Accrued Income</v>
      </c>
      <c r="D39" s="318">
        <v>595400</v>
      </c>
      <c r="E39" s="318"/>
      <c r="F39" s="326"/>
      <c r="G39" s="1277">
        <f t="shared" si="0"/>
        <v>595400</v>
      </c>
      <c r="H39" s="321"/>
      <c r="I39" s="322"/>
      <c r="J39" s="323"/>
    </row>
    <row r="40" spans="1:10">
      <c r="A40" s="315" t="str">
        <f>IF(B40="","",IF(B39="",SUM(COUNT($A$5:A39)+1),""))</f>
        <v/>
      </c>
      <c r="B40" s="282">
        <v>488120</v>
      </c>
      <c r="C40" s="1578" t="str">
        <f>IF(B40="","",VLOOKUP(B40,'[101]TB for financial'!A:B,2,0))</f>
        <v>Deferred Tax - Mininumum alternate tax</v>
      </c>
      <c r="D40" s="318"/>
      <c r="E40" s="318">
        <v>595400</v>
      </c>
      <c r="F40" s="326"/>
      <c r="G40" s="1277">
        <f t="shared" si="0"/>
        <v>-595400</v>
      </c>
      <c r="H40" s="321"/>
      <c r="I40" s="322"/>
      <c r="J40" s="323"/>
    </row>
    <row r="41" spans="1:10" ht="15" customHeight="1">
      <c r="A41" s="315" t="str">
        <f>IF(B41="","",IF(B40="",SUM(COUNT($A$5:A40)+1),""))</f>
        <v/>
      </c>
      <c r="C41" s="1385" t="s">
        <v>2714</v>
      </c>
      <c r="D41" s="317"/>
      <c r="E41" s="318"/>
      <c r="F41" s="326"/>
      <c r="G41" s="320">
        <f t="shared" si="0"/>
        <v>0</v>
      </c>
      <c r="H41" s="321"/>
      <c r="I41" s="322"/>
      <c r="J41" s="323"/>
    </row>
    <row r="42" spans="1:10" ht="15" customHeight="1">
      <c r="A42" s="315" t="str">
        <f>IF(B42="","",IF(B41="",SUM(COUNT($A$5:A41)+1),""))</f>
        <v/>
      </c>
      <c r="B42" s="1272"/>
      <c r="C42" s="316"/>
      <c r="D42" s="1273"/>
      <c r="E42" s="1274"/>
      <c r="F42" s="319"/>
      <c r="G42" s="320">
        <f t="shared" si="0"/>
        <v>0</v>
      </c>
      <c r="H42" s="321"/>
      <c r="I42" s="322"/>
      <c r="J42" s="323"/>
    </row>
    <row r="43" spans="1:10" ht="15" customHeight="1">
      <c r="A43" s="315">
        <f>IF(B43="","",IF(B42="",SUM(COUNT($A$5:A42)+1),""))</f>
        <v>7</v>
      </c>
      <c r="B43" s="1529">
        <v>695900</v>
      </c>
      <c r="C43" s="316" t="str">
        <f>IF(B43="","",VLOOKUP(B43,'[101]TB for financial'!A:B,2,0))</f>
        <v>DEFERRED TAX CHARGES</v>
      </c>
      <c r="D43" s="317">
        <v>3505403</v>
      </c>
      <c r="E43" s="318"/>
      <c r="F43" s="319"/>
      <c r="G43" s="1277">
        <f t="shared" si="0"/>
        <v>3505403</v>
      </c>
      <c r="H43" s="321"/>
      <c r="I43" s="322"/>
      <c r="J43" s="323"/>
    </row>
    <row r="44" spans="1:10" ht="15" customHeight="1">
      <c r="A44" s="315" t="str">
        <f>IF(B44="","",IF(B43="",SUM(COUNT($A$5:A43)+1),""))</f>
        <v/>
      </c>
      <c r="B44" s="1529">
        <v>155000</v>
      </c>
      <c r="C44" s="316" t="str">
        <f>IF(B44="","",VLOOKUP(B44,'[101]TB for financial'!A:B,2,0))</f>
        <v>DEFERRED TAX LIABILITY</v>
      </c>
      <c r="D44" s="317"/>
      <c r="E44" s="318">
        <f>+D43</f>
        <v>3505403</v>
      </c>
      <c r="F44" s="319"/>
      <c r="G44" s="1277">
        <f t="shared" si="0"/>
        <v>-3505403</v>
      </c>
      <c r="H44" s="321"/>
      <c r="I44" s="322"/>
      <c r="J44" s="323"/>
    </row>
    <row r="45" spans="1:10" ht="15" customHeight="1">
      <c r="A45" s="315" t="str">
        <f>IF(B45="","",IF(B44="",SUM(COUNT($A$5:A44)+1),""))</f>
        <v/>
      </c>
      <c r="B45" s="1529"/>
      <c r="C45" s="1385" t="s">
        <v>2716</v>
      </c>
      <c r="D45" s="317"/>
      <c r="E45" s="318"/>
      <c r="F45" s="319"/>
      <c r="G45" s="320">
        <f t="shared" si="0"/>
        <v>0</v>
      </c>
      <c r="H45" s="321"/>
      <c r="I45" s="322"/>
      <c r="J45" s="323"/>
    </row>
    <row r="46" spans="1:10" ht="15" customHeight="1">
      <c r="A46" s="315" t="str">
        <f>IF(B46="","",IF(B45="",SUM(COUNT($A$5:A45)+1),""))</f>
        <v/>
      </c>
      <c r="B46" s="1272"/>
      <c r="C46" s="316"/>
      <c r="D46" s="1276"/>
      <c r="E46" s="1273"/>
      <c r="F46" s="319"/>
      <c r="G46" s="320">
        <f t="shared" si="0"/>
        <v>0</v>
      </c>
      <c r="H46" s="321"/>
      <c r="I46" s="322"/>
      <c r="J46" s="323"/>
    </row>
    <row r="47" spans="1:10" ht="15" customHeight="1">
      <c r="A47" s="315">
        <f>IF(B47="","",IF(B46="",SUM(COUNT($A$5:A46)+1),""))</f>
        <v>8</v>
      </c>
      <c r="B47" s="1529">
        <v>695900</v>
      </c>
      <c r="C47" s="316" t="str">
        <f>IF(B47="","",VLOOKUP(B47,'[101]TB for financial'!A:B,2,0))</f>
        <v>DEFERRED TAX CHARGES</v>
      </c>
      <c r="D47" s="317"/>
      <c r="E47" s="317">
        <v>149171</v>
      </c>
      <c r="F47" s="319"/>
      <c r="G47" s="320">
        <f t="shared" si="0"/>
        <v>-149171</v>
      </c>
      <c r="H47" s="321"/>
      <c r="I47" s="322"/>
      <c r="J47" s="323"/>
    </row>
    <row r="48" spans="1:10" ht="15" customHeight="1">
      <c r="A48" s="315" t="str">
        <f>IF(B48="","",IF(B47="",SUM(COUNT($A$5:A47)+1),""))</f>
        <v/>
      </c>
      <c r="B48" s="1529">
        <v>488000</v>
      </c>
      <c r="C48" s="316" t="str">
        <f>IF(B48="","",VLOOKUP(B48,'[101]TB for financial'!A:B,2,0))</f>
        <v>DEFERRED TAX</v>
      </c>
      <c r="D48" s="317">
        <f>+E47</f>
        <v>149171</v>
      </c>
      <c r="E48" s="318">
        <f>+D47</f>
        <v>0</v>
      </c>
      <c r="F48" s="319"/>
      <c r="G48" s="320">
        <f t="shared" si="0"/>
        <v>149171</v>
      </c>
      <c r="H48" s="321"/>
      <c r="I48" s="322"/>
      <c r="J48" s="323"/>
    </row>
    <row r="49" spans="1:10" ht="15" customHeight="1">
      <c r="A49" s="315" t="str">
        <f>IF(B49="","",IF(B48="",SUM(COUNT($A$5:A48)+1),""))</f>
        <v/>
      </c>
      <c r="B49" s="1529"/>
      <c r="C49" s="1385" t="s">
        <v>2717</v>
      </c>
      <c r="D49" s="317"/>
      <c r="E49" s="318"/>
      <c r="F49" s="319"/>
      <c r="G49" s="320">
        <f t="shared" si="0"/>
        <v>0</v>
      </c>
      <c r="H49" s="321"/>
      <c r="I49" s="322"/>
      <c r="J49" s="323"/>
    </row>
    <row r="50" spans="1:10" ht="15" customHeight="1">
      <c r="A50" s="315" t="str">
        <f>IF(B50="","",IF(B49="",SUM(COUNT($A$5:A49)+1),""))</f>
        <v/>
      </c>
      <c r="B50" s="1272"/>
      <c r="C50" s="316"/>
      <c r="D50" s="1273"/>
      <c r="E50" s="1274"/>
      <c r="F50" s="319"/>
      <c r="G50" s="320">
        <f t="shared" si="0"/>
        <v>0</v>
      </c>
      <c r="H50" s="321"/>
      <c r="I50" s="322"/>
      <c r="J50" s="323"/>
    </row>
    <row r="51" spans="1:10" ht="15" customHeight="1">
      <c r="A51" s="315">
        <f>IF(B51="","",IF(B50="",SUM(COUNT($A$5:A50)+1),""))</f>
        <v>9</v>
      </c>
      <c r="B51" s="1529">
        <v>695900</v>
      </c>
      <c r="C51" s="316" t="str">
        <f>IF(B51="","",VLOOKUP(B51,'[101]TB for financial'!A:B,2,0))</f>
        <v>DEFERRED TAX CHARGES</v>
      </c>
      <c r="D51" s="317">
        <v>73715</v>
      </c>
      <c r="E51" s="317"/>
      <c r="F51" s="319"/>
      <c r="G51" s="1277">
        <f t="shared" si="0"/>
        <v>73715</v>
      </c>
      <c r="H51" s="321"/>
      <c r="I51" s="322"/>
      <c r="J51" s="323"/>
    </row>
    <row r="52" spans="1:10" ht="15" customHeight="1">
      <c r="A52" s="315" t="str">
        <f>IF(B52="","",IF(B51="",SUM(COUNT($A$5:A51)+1),""))</f>
        <v/>
      </c>
      <c r="B52" s="1529">
        <v>488000</v>
      </c>
      <c r="C52" s="316" t="str">
        <f>IF(B52="","",VLOOKUP(B52,'[101]TB for financial'!A:B,2,0))</f>
        <v>DEFERRED TAX</v>
      </c>
      <c r="D52" s="317">
        <f>+E51</f>
        <v>0</v>
      </c>
      <c r="E52" s="318">
        <f>+D51</f>
        <v>73715</v>
      </c>
      <c r="F52" s="319"/>
      <c r="G52" s="320">
        <f t="shared" si="0"/>
        <v>0</v>
      </c>
      <c r="H52" s="321"/>
      <c r="I52" s="322"/>
      <c r="J52" s="323"/>
    </row>
    <row r="53" spans="1:10" ht="28.8">
      <c r="A53" s="315" t="str">
        <f>IF(B53="","",IF(B52="",SUM(COUNT($A$5:A52)+1),""))</f>
        <v/>
      </c>
      <c r="B53" s="1529"/>
      <c r="C53" s="1385" t="s">
        <v>2738</v>
      </c>
      <c r="D53" s="317"/>
      <c r="E53" s="318"/>
      <c r="F53" s="319"/>
      <c r="G53" s="320">
        <f t="shared" si="0"/>
        <v>0</v>
      </c>
      <c r="H53" s="321"/>
      <c r="I53" s="322"/>
      <c r="J53" s="323"/>
    </row>
    <row r="54" spans="1:10" ht="15" customHeight="1">
      <c r="A54" s="315" t="str">
        <f>IF(B54="","",IF(B53="",SUM(COUNT($A$5:A53)+1),""))</f>
        <v/>
      </c>
      <c r="B54" s="1272"/>
      <c r="C54" s="316"/>
      <c r="D54" s="1273"/>
      <c r="E54" s="1274"/>
      <c r="F54" s="319"/>
      <c r="G54" s="320">
        <f t="shared" si="0"/>
        <v>0</v>
      </c>
      <c r="H54" s="321"/>
      <c r="I54" s="322"/>
      <c r="J54" s="323"/>
    </row>
    <row r="55" spans="1:10" ht="15" customHeight="1">
      <c r="A55" s="315">
        <f>IF(B55="","",IF(B54="",SUM(COUNT($A$5:A54)+1),""))</f>
        <v>10</v>
      </c>
      <c r="B55" s="1529">
        <v>695900</v>
      </c>
      <c r="C55" s="316" t="str">
        <f>IF(B55="","",VLOOKUP(B55,'[101]TB for financial'!A:B,2,0))</f>
        <v>DEFERRED TAX CHARGES</v>
      </c>
      <c r="D55" s="317"/>
      <c r="E55" s="317">
        <f>36349*0+109249</f>
        <v>109249</v>
      </c>
      <c r="F55" s="325"/>
      <c r="G55" s="1277">
        <f t="shared" si="0"/>
        <v>-109249</v>
      </c>
      <c r="H55" s="321"/>
      <c r="I55" s="322"/>
      <c r="J55" s="323"/>
    </row>
    <row r="56" spans="1:10" ht="15" customHeight="1">
      <c r="A56" s="315" t="str">
        <f>IF(B56="","",IF(B55="",SUM(COUNT($A$5:A55)+1),""))</f>
        <v/>
      </c>
      <c r="B56" s="1529">
        <v>488000</v>
      </c>
      <c r="C56" s="316" t="str">
        <f>IF(B56="","",VLOOKUP(B56,'[101]TB for financial'!A:B,2,0))</f>
        <v>DEFERRED TAX</v>
      </c>
      <c r="D56" s="317">
        <f>+E55</f>
        <v>109249</v>
      </c>
      <c r="E56" s="318">
        <f>+D55</f>
        <v>0</v>
      </c>
      <c r="F56" s="319"/>
      <c r="G56" s="320">
        <f t="shared" si="0"/>
        <v>109249</v>
      </c>
      <c r="H56" s="321"/>
      <c r="I56" s="322"/>
      <c r="J56" s="323"/>
    </row>
    <row r="57" spans="1:10" ht="28.8">
      <c r="A57" s="315" t="str">
        <f>IF(B57="","",IF(B56="",SUM(COUNT($A$5:A56)+1),""))</f>
        <v/>
      </c>
      <c r="B57" s="1529"/>
      <c r="C57" s="1385" t="s">
        <v>2739</v>
      </c>
      <c r="D57" s="317"/>
      <c r="E57" s="318"/>
      <c r="F57" s="319"/>
      <c r="G57" s="1277">
        <f t="shared" si="0"/>
        <v>0</v>
      </c>
      <c r="H57" s="321"/>
      <c r="I57" s="322"/>
      <c r="J57" s="323"/>
    </row>
    <row r="58" spans="1:10" ht="15" customHeight="1">
      <c r="A58" s="315" t="str">
        <f>IF(B58="","",IF(B57="",SUM(COUNT($A$5:A57)+1),""))</f>
        <v/>
      </c>
      <c r="B58" s="1272"/>
      <c r="C58" s="316"/>
      <c r="D58" s="1273"/>
      <c r="E58" s="1275"/>
      <c r="F58" s="319"/>
      <c r="G58" s="320">
        <f t="shared" si="0"/>
        <v>0</v>
      </c>
      <c r="H58" s="321"/>
      <c r="I58" s="322"/>
      <c r="J58" s="323"/>
    </row>
    <row r="59" spans="1:10" ht="15" customHeight="1">
      <c r="A59" s="315">
        <f>IF(B59="","",IF(B58="",SUM(COUNT($A$5:A58)+1),""))</f>
        <v>11</v>
      </c>
      <c r="B59" s="1529">
        <v>106960</v>
      </c>
      <c r="C59" s="316" t="str">
        <f>IF(B59="","",VLOOKUP(B59,'[101]TB for financial'!A:B,2,0))</f>
        <v>Stat, Of Recognized Income and Expense</v>
      </c>
      <c r="D59" s="317">
        <v>311615</v>
      </c>
      <c r="E59" s="317"/>
      <c r="F59" s="319"/>
      <c r="G59" s="320">
        <f>IF(H59="PL - PL",0,IF(D59="",-E59,D59))</f>
        <v>311615</v>
      </c>
      <c r="H59" s="321"/>
      <c r="I59" s="322"/>
      <c r="J59" s="323"/>
    </row>
    <row r="60" spans="1:10" ht="15" customHeight="1">
      <c r="A60" s="315" t="str">
        <f>IF(B60="","",IF(B59="",SUM(COUNT($A$5:A59)+1),""))</f>
        <v/>
      </c>
      <c r="B60" s="1529">
        <v>488000</v>
      </c>
      <c r="C60" s="316" t="str">
        <f>IF(B60="","",VLOOKUP(B60,'[101]TB for financial'!A:B,2,0))</f>
        <v>DEFERRED TAX</v>
      </c>
      <c r="D60" s="317">
        <f>+E59</f>
        <v>0</v>
      </c>
      <c r="E60" s="318">
        <f>+D59</f>
        <v>311615</v>
      </c>
      <c r="F60" s="319"/>
      <c r="G60" s="320">
        <f>IF(H60="PL - PL",0,IF(D60="",-E60,D60))</f>
        <v>0</v>
      </c>
      <c r="H60" s="321"/>
      <c r="I60" s="322"/>
      <c r="J60" s="323"/>
    </row>
    <row r="61" spans="1:10" ht="15" customHeight="1">
      <c r="A61" s="315" t="str">
        <f>IF(B61="","",IF(B60="",SUM(COUNT($A$5:A60)+1),""))</f>
        <v/>
      </c>
      <c r="B61" s="1529"/>
      <c r="C61" s="1385" t="s">
        <v>2740</v>
      </c>
      <c r="D61" s="317"/>
      <c r="E61" s="318"/>
      <c r="F61" s="319"/>
      <c r="G61" s="1277">
        <f>IF(H61="PL - PL",0,IF(D61="",-E61,D61))</f>
        <v>0</v>
      </c>
      <c r="H61" s="321"/>
      <c r="I61" s="322"/>
      <c r="J61" s="323"/>
    </row>
    <row r="62" spans="1:10" ht="15" customHeight="1">
      <c r="A62" s="315" t="str">
        <f>IF(B62="","",IF(B61="",SUM(COUNT($A$5:A61)+1),""))</f>
        <v/>
      </c>
      <c r="B62" s="1272"/>
      <c r="C62" s="316"/>
      <c r="D62" s="1273"/>
      <c r="E62" s="1274"/>
      <c r="F62" s="319"/>
      <c r="G62" s="320">
        <f t="shared" ref="G62:G126" si="1">IF(H62="PL - PL",0,IF(D62="",-E62,D62))</f>
        <v>0</v>
      </c>
      <c r="H62" s="321"/>
      <c r="I62" s="322"/>
      <c r="J62" s="323"/>
    </row>
    <row r="63" spans="1:10" ht="15" customHeight="1">
      <c r="A63" s="315">
        <f>IF(B63="","",IF(B62="",SUM(COUNT($A$5:A62)+1),""))</f>
        <v>12</v>
      </c>
      <c r="B63" s="1529">
        <v>695000</v>
      </c>
      <c r="C63" s="316" t="str">
        <f>IF(B63="","",VLOOKUP(B63,'[101]TB for financial'!A:B,2,0))</f>
        <v>CORPORATE INCOME TAX</v>
      </c>
      <c r="D63" s="317">
        <v>2864306</v>
      </c>
      <c r="E63" s="318"/>
      <c r="F63" s="319"/>
      <c r="G63" s="1277">
        <f t="shared" si="1"/>
        <v>2864306</v>
      </c>
      <c r="H63" s="321"/>
      <c r="I63" s="322"/>
      <c r="J63" s="323"/>
    </row>
    <row r="64" spans="1:10" ht="15" customHeight="1">
      <c r="A64" s="315" t="str">
        <f>IF(B64="","",IF(B63="",SUM(COUNT($A$5:A63)+1),""))</f>
        <v/>
      </c>
      <c r="B64" s="1529">
        <v>444000</v>
      </c>
      <c r="C64" s="316" t="str">
        <f>IF(B64="","",VLOOKUP(B64,'[101]TB for financial'!A:B,2,0))</f>
        <v>Corporate Income Tax and Accrued Income</v>
      </c>
      <c r="D64" s="317"/>
      <c r="E64" s="318">
        <f>+D63</f>
        <v>2864306</v>
      </c>
      <c r="F64" s="319"/>
      <c r="G64" s="1277">
        <f t="shared" si="1"/>
        <v>-2864306</v>
      </c>
      <c r="H64" s="321"/>
      <c r="I64" s="322"/>
      <c r="J64" s="323"/>
    </row>
    <row r="65" spans="1:10" ht="15" customHeight="1">
      <c r="A65" s="315" t="str">
        <f>IF(B65="","",IF(B64="",SUM(COUNT($A$5:A64)+1),""))</f>
        <v/>
      </c>
      <c r="B65" s="1529">
        <v>444000</v>
      </c>
      <c r="C65" s="316" t="str">
        <f>IF(B65="","",VLOOKUP(B65,'[101]TB for financial'!A:B,2,0))</f>
        <v>Corporate Income Tax and Accrued Income</v>
      </c>
      <c r="D65" s="317">
        <f>+E64</f>
        <v>2864306</v>
      </c>
      <c r="E65" s="318"/>
      <c r="F65" s="319"/>
      <c r="G65" s="1277">
        <f t="shared" si="1"/>
        <v>2864306</v>
      </c>
      <c r="H65" s="321"/>
      <c r="I65" s="322"/>
      <c r="J65" s="323"/>
    </row>
    <row r="66" spans="1:10" ht="15" customHeight="1">
      <c r="A66" s="315" t="str">
        <f>IF(B66="","",IF(B65="",SUM(COUNT($A$5:A65)+1),""))</f>
        <v/>
      </c>
      <c r="B66" s="1529">
        <v>488120</v>
      </c>
      <c r="C66" s="1578" t="str">
        <f>IF(B66="","",VLOOKUP(B66,'[101]TB for financial'!A:B,2,0))</f>
        <v>Deferred Tax - Mininumum alternate tax</v>
      </c>
      <c r="D66" s="317"/>
      <c r="E66" s="318">
        <f>+D65</f>
        <v>2864306</v>
      </c>
      <c r="F66" s="319"/>
      <c r="G66" s="320">
        <f t="shared" si="1"/>
        <v>-2864306</v>
      </c>
      <c r="H66" s="321"/>
      <c r="I66" s="322"/>
      <c r="J66" s="323"/>
    </row>
    <row r="67" spans="1:10" ht="15" customHeight="1">
      <c r="A67" s="315" t="str">
        <f>IF(B67="","",IF(B66="",SUM(COUNT($A$5:A66)+1),""))</f>
        <v/>
      </c>
      <c r="B67" s="1529">
        <v>695900</v>
      </c>
      <c r="C67" s="316" t="str">
        <f>IF(B67="","",VLOOKUP(B67,'[101]TB for financial'!A:B,2,0))</f>
        <v>DEFERRED TAX CHARGES</v>
      </c>
      <c r="D67" s="317">
        <f>+E66</f>
        <v>2864306</v>
      </c>
      <c r="E67" s="318"/>
      <c r="F67" s="319"/>
      <c r="G67" s="1277">
        <f t="shared" si="1"/>
        <v>2864306</v>
      </c>
      <c r="H67" s="321"/>
      <c r="I67" s="322"/>
      <c r="J67" s="323"/>
    </row>
    <row r="68" spans="1:10" ht="15" customHeight="1">
      <c r="A68" s="315" t="str">
        <f>IF(B68="","",IF(B67="",SUM(COUNT($A$5:A67)+1),""))</f>
        <v/>
      </c>
      <c r="B68" s="1529">
        <v>695000</v>
      </c>
      <c r="C68" s="316" t="str">
        <f>IF(B68="","",VLOOKUP(B68,'[101]TB for financial'!A:B,2,0))</f>
        <v>CORPORATE INCOME TAX</v>
      </c>
      <c r="D68" s="317"/>
      <c r="E68" s="318">
        <f>+D67</f>
        <v>2864306</v>
      </c>
      <c r="F68" s="319"/>
      <c r="G68" s="1277">
        <f t="shared" si="1"/>
        <v>-2864306</v>
      </c>
      <c r="H68" s="321"/>
      <c r="I68" s="322"/>
      <c r="J68" s="323"/>
    </row>
    <row r="69" spans="1:10" ht="15" customHeight="1">
      <c r="A69" s="315" t="str">
        <f>IF(B69="","",IF(B68="",SUM(COUNT($A$5:A68)+1),""))</f>
        <v/>
      </c>
      <c r="B69" s="1529"/>
      <c r="C69" s="1385" t="s">
        <v>2724</v>
      </c>
      <c r="D69" s="317"/>
      <c r="E69" s="318"/>
      <c r="F69" s="319"/>
      <c r="G69" s="1277">
        <f t="shared" si="1"/>
        <v>0</v>
      </c>
      <c r="H69" s="321"/>
      <c r="I69" s="322"/>
      <c r="J69" s="323"/>
    </row>
    <row r="70" spans="1:10" ht="15" customHeight="1">
      <c r="A70" s="315" t="str">
        <f>IF(B70="","",IF(B69="",SUM(COUNT($A$5:A69)+1),""))</f>
        <v/>
      </c>
      <c r="C70" s="316"/>
      <c r="D70" s="317"/>
      <c r="E70" s="317"/>
      <c r="F70" s="319"/>
      <c r="G70" s="1277">
        <f t="shared" si="1"/>
        <v>0</v>
      </c>
      <c r="H70" s="321"/>
      <c r="I70" s="322"/>
      <c r="J70" s="323"/>
    </row>
    <row r="71" spans="1:10" ht="15" customHeight="1">
      <c r="A71" s="315">
        <f>IF(B71="","",IF(B70="",SUM(COUNT($A$5:A70)+1),""))</f>
        <v>13</v>
      </c>
      <c r="B71" s="1529">
        <v>695000</v>
      </c>
      <c r="C71" s="316" t="str">
        <f>IF(B71="","",VLOOKUP(B71,'[101]TB for financial'!A:B,2,0))</f>
        <v>CORPORATE INCOME TAX</v>
      </c>
      <c r="D71" s="317">
        <v>4035301.4153661877</v>
      </c>
      <c r="E71" s="318"/>
      <c r="F71" s="319"/>
      <c r="G71" s="320">
        <f t="shared" si="1"/>
        <v>4035301.4153661877</v>
      </c>
      <c r="H71" s="321"/>
      <c r="I71" s="322"/>
      <c r="J71" s="323"/>
    </row>
    <row r="72" spans="1:10" ht="15" customHeight="1">
      <c r="A72" s="315" t="str">
        <f>IF(B72="","",IF(B71="",SUM(COUNT($A$5:A71)+1),""))</f>
        <v/>
      </c>
      <c r="B72" s="1529">
        <v>444000</v>
      </c>
      <c r="C72" s="316" t="str">
        <f>IF(B72="","",VLOOKUP(B72,'[101]TB for financial'!A:B,2,0))</f>
        <v>Corporate Income Tax and Accrued Income</v>
      </c>
      <c r="D72" s="317"/>
      <c r="E72" s="317">
        <f>D71</f>
        <v>4035301.4153661877</v>
      </c>
      <c r="F72" s="319"/>
      <c r="G72" s="320">
        <f t="shared" si="1"/>
        <v>-4035301.4153661877</v>
      </c>
      <c r="H72" s="321"/>
      <c r="I72" s="322"/>
      <c r="J72" s="323"/>
    </row>
    <row r="73" spans="1:10" ht="15" customHeight="1">
      <c r="A73" s="315" t="str">
        <f>IF(B73="","",IF(B72="",SUM(COUNT($A$5:A72)+1),""))</f>
        <v/>
      </c>
      <c r="B73" s="1529">
        <v>444000</v>
      </c>
      <c r="C73" s="316" t="str">
        <f>IF(B73="","",VLOOKUP(B73,'[101]TB for financial'!A:B,2,0))</f>
        <v>Corporate Income Tax and Accrued Income</v>
      </c>
      <c r="D73" s="318">
        <v>404113.4477484501</v>
      </c>
      <c r="E73" s="318"/>
      <c r="F73" s="319"/>
      <c r="G73" s="320">
        <f t="shared" si="1"/>
        <v>404113.4477484501</v>
      </c>
      <c r="H73" s="321"/>
      <c r="I73" s="322"/>
      <c r="J73" s="323"/>
    </row>
    <row r="74" spans="1:10" ht="15" customHeight="1">
      <c r="A74" s="315" t="str">
        <f>IF(B74="","",IF(B73="",SUM(COUNT($A$5:A73)+1),""))</f>
        <v/>
      </c>
      <c r="B74" s="1529">
        <v>488120</v>
      </c>
      <c r="C74" s="1578" t="str">
        <f>IF(B74="","",VLOOKUP(B74,'[101]TB for financial'!A:B,2,0))</f>
        <v>Deferred Tax - Mininumum alternate tax</v>
      </c>
      <c r="D74" s="317"/>
      <c r="E74" s="317">
        <f>D73</f>
        <v>404113.4477484501</v>
      </c>
      <c r="F74" s="319"/>
      <c r="G74" s="1277">
        <f t="shared" si="1"/>
        <v>-404113.4477484501</v>
      </c>
      <c r="H74" s="321"/>
      <c r="I74" s="322"/>
      <c r="J74" s="323"/>
    </row>
    <row r="75" spans="1:10" ht="15" customHeight="1">
      <c r="A75" s="315" t="str">
        <f>IF(B75="","",IF(B74="",SUM(COUNT($A$5:A74)+1),""))</f>
        <v/>
      </c>
      <c r="B75" s="1529">
        <v>695900</v>
      </c>
      <c r="C75" s="316" t="str">
        <f>IF(B75="","",VLOOKUP(B75,'[101]TB for financial'!A:B,2,0))</f>
        <v>DEFERRED TAX CHARGES</v>
      </c>
      <c r="D75" s="318">
        <v>404113.4477484501</v>
      </c>
      <c r="E75" s="318"/>
      <c r="F75" s="319"/>
      <c r="G75" s="1277">
        <f t="shared" si="1"/>
        <v>404113.4477484501</v>
      </c>
      <c r="H75" s="321"/>
      <c r="I75" s="322"/>
      <c r="J75" s="323"/>
    </row>
    <row r="76" spans="1:10" ht="15" customHeight="1">
      <c r="A76" s="315" t="str">
        <f>IF(B76="","",IF(B75="",SUM(COUNT($A$5:A75)+1),""))</f>
        <v/>
      </c>
      <c r="B76" s="1529">
        <v>695000</v>
      </c>
      <c r="C76" s="316" t="str">
        <f>IF(B76="","",VLOOKUP(B76,'[101]TB for financial'!A:B,2,0))</f>
        <v>CORPORATE INCOME TAX</v>
      </c>
      <c r="D76" s="317"/>
      <c r="E76" s="318">
        <f>D75</f>
        <v>404113.4477484501</v>
      </c>
      <c r="F76" s="319"/>
      <c r="G76" s="1277">
        <f t="shared" si="1"/>
        <v>-404113.4477484501</v>
      </c>
      <c r="H76" s="321"/>
      <c r="I76" s="322"/>
      <c r="J76" s="323"/>
    </row>
    <row r="77" spans="1:10" ht="15" customHeight="1">
      <c r="A77" s="315"/>
      <c r="B77" s="1529">
        <v>695000</v>
      </c>
      <c r="C77" s="316" t="s">
        <v>2560</v>
      </c>
      <c r="D77" s="317">
        <v>404113.4477484501</v>
      </c>
      <c r="E77" s="318"/>
      <c r="F77" s="319"/>
      <c r="G77" s="1277"/>
      <c r="H77" s="321"/>
      <c r="I77" s="322"/>
      <c r="J77" s="323"/>
    </row>
    <row r="78" spans="1:10" ht="15" customHeight="1">
      <c r="A78" s="315"/>
      <c r="B78" s="1529">
        <v>444000</v>
      </c>
      <c r="C78" s="316" t="s">
        <v>2492</v>
      </c>
      <c r="D78" s="317"/>
      <c r="E78" s="318">
        <f>D77</f>
        <v>404113.4477484501</v>
      </c>
      <c r="F78" s="319"/>
      <c r="G78" s="1277"/>
      <c r="H78" s="321"/>
      <c r="I78" s="322"/>
      <c r="J78" s="323"/>
    </row>
    <row r="79" spans="1:10" ht="46.05" customHeight="1">
      <c r="A79" s="315" t="str">
        <f>IF(B79="","",IF(B76="",SUM(COUNT($A$5:A76)+1),""))</f>
        <v/>
      </c>
      <c r="B79" s="1529"/>
      <c r="C79" s="1472" t="s">
        <v>2857</v>
      </c>
      <c r="D79" s="317"/>
      <c r="E79" s="318"/>
      <c r="F79" s="319"/>
      <c r="G79" s="320">
        <f t="shared" si="1"/>
        <v>0</v>
      </c>
      <c r="H79" s="321"/>
      <c r="I79" s="322"/>
      <c r="J79" s="323"/>
    </row>
    <row r="80" spans="1:10" ht="15" customHeight="1">
      <c r="A80" s="315" t="str">
        <f>IF(B80="","",IF(B79="",SUM(COUNT($A$5:A79)+1),""))</f>
        <v/>
      </c>
      <c r="C80" s="316"/>
      <c r="D80" s="318"/>
      <c r="E80" s="317"/>
      <c r="F80" s="319"/>
      <c r="G80" s="320">
        <f t="shared" si="1"/>
        <v>0</v>
      </c>
      <c r="H80" s="321"/>
      <c r="I80" s="322"/>
      <c r="J80" s="323"/>
    </row>
    <row r="81" spans="1:10" ht="15" customHeight="1">
      <c r="A81" s="315">
        <f>IF(B81="","",IF(B80="",SUM(COUNT($A$5:A80)+1),""))</f>
        <v>14</v>
      </c>
      <c r="B81" s="1535">
        <v>408151</v>
      </c>
      <c r="C81" s="1536" t="s">
        <v>2410</v>
      </c>
      <c r="D81" s="1552"/>
      <c r="E81" s="1553">
        <v>21200</v>
      </c>
      <c r="F81" s="319"/>
      <c r="G81" s="1277">
        <f t="shared" si="1"/>
        <v>-21200</v>
      </c>
      <c r="H81" s="321"/>
      <c r="I81" s="322" t="s">
        <v>2858</v>
      </c>
      <c r="J81" s="323"/>
    </row>
    <row r="82" spans="1:10" ht="15" customHeight="1">
      <c r="A82" s="315" t="str">
        <f>IF(B82="","",IF(B81="",SUM(COUNT($A$5:A81)+1),""))</f>
        <v/>
      </c>
      <c r="B82" s="1535">
        <v>4081510</v>
      </c>
      <c r="C82" s="1536" t="s">
        <v>2410</v>
      </c>
      <c r="D82" s="1553">
        <v>21200</v>
      </c>
      <c r="E82" s="1552"/>
      <c r="F82" s="319"/>
      <c r="G82" s="1277">
        <f t="shared" si="1"/>
        <v>21200</v>
      </c>
      <c r="H82" s="321"/>
      <c r="I82" s="322"/>
      <c r="J82" s="323"/>
    </row>
    <row r="83" spans="1:10" ht="15" customHeight="1">
      <c r="A83" s="315" t="str">
        <f>IF(B83="","",IF(B82="",SUM(COUNT($A$5:A82)+1),""))</f>
        <v/>
      </c>
      <c r="B83" s="1542">
        <v>408151</v>
      </c>
      <c r="C83" s="1536" t="s">
        <v>2410</v>
      </c>
      <c r="D83" s="1553">
        <v>46800</v>
      </c>
      <c r="E83" s="1552"/>
      <c r="F83" s="319"/>
      <c r="G83" s="320">
        <f t="shared" si="1"/>
        <v>46800</v>
      </c>
      <c r="H83" s="321"/>
      <c r="I83" s="322"/>
      <c r="J83" s="323"/>
    </row>
    <row r="84" spans="1:10" ht="15" customHeight="1">
      <c r="A84" s="315" t="str">
        <f>IF(B84="","",IF(B83="",SUM(COUNT($A$5:A83)+1),""))</f>
        <v/>
      </c>
      <c r="B84" s="1534">
        <v>4081510</v>
      </c>
      <c r="C84" s="1536" t="s">
        <v>2410</v>
      </c>
      <c r="D84" s="1552"/>
      <c r="E84" s="1559">
        <v>46800</v>
      </c>
      <c r="F84" s="319"/>
      <c r="G84" s="1277">
        <f t="shared" si="1"/>
        <v>-46800</v>
      </c>
      <c r="H84" s="321"/>
      <c r="I84" s="322"/>
      <c r="J84" s="323"/>
    </row>
    <row r="85" spans="1:10" ht="15" customHeight="1">
      <c r="A85" s="315" t="str">
        <f>IF(B85="","",IF(B84="",SUM(COUNT($A$5:A84)+1),""))</f>
        <v/>
      </c>
      <c r="B85" s="1542">
        <v>408151</v>
      </c>
      <c r="C85" s="1536" t="s">
        <v>2410</v>
      </c>
      <c r="D85" s="1553">
        <v>36079</v>
      </c>
      <c r="E85" s="1552"/>
      <c r="F85" s="319"/>
      <c r="G85" s="320">
        <f t="shared" si="1"/>
        <v>36079</v>
      </c>
      <c r="H85" s="321"/>
      <c r="I85" s="322"/>
      <c r="J85" s="323"/>
    </row>
    <row r="86" spans="1:10" ht="15" customHeight="1">
      <c r="A86" s="315" t="str">
        <f>IF(B86="","",IF(B85="",SUM(COUNT($A$5:A85)+1),""))</f>
        <v/>
      </c>
      <c r="B86" s="1535">
        <v>4081510</v>
      </c>
      <c r="C86" s="1536" t="s">
        <v>2410</v>
      </c>
      <c r="D86" s="1552"/>
      <c r="E86" s="1553">
        <v>36079</v>
      </c>
      <c r="F86" s="319"/>
      <c r="G86" s="1277">
        <f t="shared" si="1"/>
        <v>-36079</v>
      </c>
      <c r="H86" s="321"/>
      <c r="I86" s="322"/>
      <c r="J86" s="323"/>
    </row>
    <row r="87" spans="1:10" ht="15" customHeight="1">
      <c r="A87" s="315" t="str">
        <f>IF(B87="","",IF(B86="",SUM(COUNT($A$5:A86)+1),""))</f>
        <v/>
      </c>
      <c r="B87" s="1549">
        <v>408151</v>
      </c>
      <c r="C87" s="1536" t="s">
        <v>2410</v>
      </c>
      <c r="D87" s="1552"/>
      <c r="E87" s="1554">
        <v>30151</v>
      </c>
      <c r="F87" s="319"/>
      <c r="G87" s="1277">
        <f t="shared" si="1"/>
        <v>-30151</v>
      </c>
      <c r="H87" s="321"/>
      <c r="I87" s="322"/>
      <c r="J87" s="323"/>
    </row>
    <row r="88" spans="1:10" ht="15" customHeight="1">
      <c r="A88" s="315" t="str">
        <f>IF(B88="","",IF(B87="",SUM(COUNT($A$5:A87)+1),""))</f>
        <v/>
      </c>
      <c r="B88" s="1549">
        <v>4081510</v>
      </c>
      <c r="C88" s="1536" t="s">
        <v>2410</v>
      </c>
      <c r="D88" s="1554">
        <v>30151</v>
      </c>
      <c r="E88" s="1552"/>
      <c r="F88" s="319"/>
      <c r="G88" s="1277">
        <f t="shared" si="1"/>
        <v>30151</v>
      </c>
      <c r="H88" s="321"/>
      <c r="I88" s="322"/>
      <c r="J88" s="323"/>
    </row>
    <row r="89" spans="1:10" ht="15" customHeight="1">
      <c r="A89" s="315" t="str">
        <f>IF(B89="","",IF(B88="",SUM(COUNT($A$5:A88)+1),""))</f>
        <v/>
      </c>
      <c r="B89" s="1549">
        <v>408151</v>
      </c>
      <c r="C89" s="1536" t="s">
        <v>2410</v>
      </c>
      <c r="D89" s="1555">
        <v>180000</v>
      </c>
      <c r="E89" s="1552"/>
      <c r="F89" s="319"/>
      <c r="G89" s="320">
        <f t="shared" si="1"/>
        <v>180000</v>
      </c>
      <c r="H89" s="321"/>
      <c r="I89" s="322"/>
      <c r="J89" s="323"/>
    </row>
    <row r="90" spans="1:10" ht="15" customHeight="1">
      <c r="A90" s="315" t="str">
        <f>IF(B90="","",IF(B89="",SUM(COUNT($A$5:A89)+1),""))</f>
        <v/>
      </c>
      <c r="B90" s="1549">
        <v>4081510</v>
      </c>
      <c r="C90" s="1536" t="s">
        <v>2410</v>
      </c>
      <c r="D90" s="1552"/>
      <c r="E90" s="1554">
        <v>180000</v>
      </c>
      <c r="F90" s="319"/>
      <c r="G90" s="1277">
        <f t="shared" si="1"/>
        <v>-180000</v>
      </c>
      <c r="H90" s="321"/>
      <c r="I90" s="322"/>
      <c r="J90" s="323"/>
    </row>
    <row r="91" spans="1:10" ht="15" customHeight="1">
      <c r="A91" s="315"/>
      <c r="B91" s="1549">
        <v>622800</v>
      </c>
      <c r="C91" s="1536" t="s">
        <v>2502</v>
      </c>
      <c r="D91" s="1553">
        <v>12000</v>
      </c>
      <c r="E91" s="1552"/>
      <c r="F91" s="319"/>
      <c r="G91" s="1277">
        <f t="shared" si="1"/>
        <v>12000</v>
      </c>
      <c r="H91" s="321"/>
      <c r="I91" s="322"/>
      <c r="J91" s="323"/>
    </row>
    <row r="92" spans="1:10" ht="15" customHeight="1">
      <c r="A92" s="315" t="str">
        <f>IF(B92="","",IF(B91="",SUM(COUNT($A$5:A91)+1),""))</f>
        <v/>
      </c>
      <c r="B92" s="1549">
        <v>408151</v>
      </c>
      <c r="C92" s="1536" t="s">
        <v>2410</v>
      </c>
      <c r="D92" s="1552"/>
      <c r="E92" s="1559">
        <v>12000</v>
      </c>
      <c r="F92" s="319"/>
      <c r="G92" s="1277">
        <f t="shared" si="1"/>
        <v>-12000</v>
      </c>
      <c r="H92" s="321"/>
      <c r="I92" s="322"/>
      <c r="J92" s="323"/>
    </row>
    <row r="93" spans="1:10" ht="15" customHeight="1">
      <c r="A93" s="315" t="str">
        <f>IF(B93="","",IF(B92="",SUM(COUNT($A$5:A92)+1),""))</f>
        <v/>
      </c>
      <c r="B93" s="1549">
        <v>641722</v>
      </c>
      <c r="C93" s="1536" t="s">
        <v>2514</v>
      </c>
      <c r="D93" s="1553">
        <v>8100</v>
      </c>
      <c r="E93" s="1552"/>
      <c r="F93" s="319"/>
      <c r="G93" s="1277">
        <f t="shared" si="1"/>
        <v>8100</v>
      </c>
      <c r="H93" s="321"/>
      <c r="I93" s="322"/>
      <c r="J93" s="323"/>
    </row>
    <row r="94" spans="1:10" ht="15" customHeight="1">
      <c r="A94" s="315" t="str">
        <f>IF(B94="","",IF(B93="",SUM(COUNT($A$5:A93)+1),""))</f>
        <v/>
      </c>
      <c r="B94" s="1549">
        <v>641721</v>
      </c>
      <c r="C94" s="1536" t="s">
        <v>2513</v>
      </c>
      <c r="D94" s="1553">
        <v>16200</v>
      </c>
      <c r="E94" s="1552"/>
      <c r="F94" s="319"/>
      <c r="G94" s="1277">
        <f t="shared" si="1"/>
        <v>16200</v>
      </c>
      <c r="H94" s="321"/>
      <c r="I94" s="322"/>
      <c r="J94" s="323"/>
    </row>
    <row r="95" spans="1:10" ht="15" customHeight="1">
      <c r="A95" s="315" t="str">
        <f>IF(B95="","",IF(B94="",SUM(COUNT($A$5:A94)+1),""))</f>
        <v/>
      </c>
      <c r="B95" s="1549">
        <v>626424</v>
      </c>
      <c r="C95" s="1536" t="s">
        <v>2504</v>
      </c>
      <c r="D95" s="1553">
        <v>22500</v>
      </c>
      <c r="E95" s="1552"/>
      <c r="F95" s="319"/>
      <c r="G95" s="1277">
        <f t="shared" si="1"/>
        <v>22500</v>
      </c>
      <c r="H95" s="321"/>
      <c r="I95" s="322"/>
      <c r="J95" s="323"/>
    </row>
    <row r="96" spans="1:10" ht="15" customHeight="1">
      <c r="A96" s="315" t="str">
        <f>IF(B96="","",IF(B95="",SUM(COUNT($A$5:A95)+1),""))</f>
        <v/>
      </c>
      <c r="B96" s="1549">
        <v>408151</v>
      </c>
      <c r="C96" s="1536" t="s">
        <v>2410</v>
      </c>
      <c r="D96" s="1552"/>
      <c r="E96" s="1559">
        <v>46800</v>
      </c>
      <c r="F96" s="319"/>
      <c r="G96" s="1277">
        <f t="shared" si="1"/>
        <v>-46800</v>
      </c>
      <c r="H96" s="321"/>
      <c r="I96" s="322"/>
      <c r="J96" s="323"/>
    </row>
    <row r="97" spans="1:10" ht="15" customHeight="1">
      <c r="A97" s="315" t="str">
        <f>IF(B97="","",IF(B96="",SUM(COUNT($A$5:A96)+1),""))</f>
        <v/>
      </c>
      <c r="B97" s="1549">
        <v>4085000</v>
      </c>
      <c r="C97" s="1536" t="s">
        <v>2657</v>
      </c>
      <c r="D97" s="1553">
        <v>27690</v>
      </c>
      <c r="E97" s="1552"/>
      <c r="F97" s="319"/>
      <c r="G97" s="1277">
        <f t="shared" si="1"/>
        <v>27690</v>
      </c>
      <c r="H97" s="321"/>
      <c r="I97" s="322"/>
      <c r="J97" s="323"/>
    </row>
    <row r="98" spans="1:10" ht="15" customHeight="1">
      <c r="A98" s="315" t="str">
        <f>IF(B98="","",IF(B97="",SUM(COUNT($A$5:A97)+1),""))</f>
        <v/>
      </c>
      <c r="B98" s="1549">
        <v>4085000</v>
      </c>
      <c r="C98" s="1536" t="s">
        <v>2657</v>
      </c>
      <c r="D98" s="1553">
        <v>8389</v>
      </c>
      <c r="E98" s="1552"/>
      <c r="F98" s="319"/>
      <c r="G98" s="1277">
        <f t="shared" si="1"/>
        <v>8389</v>
      </c>
      <c r="H98" s="321"/>
      <c r="I98" s="322"/>
      <c r="J98" s="323"/>
    </row>
    <row r="99" spans="1:10" ht="15" customHeight="1">
      <c r="A99" s="315" t="str">
        <f>IF(B99="","",IF(B98="",SUM(COUNT($A$5:A98)+1),""))</f>
        <v/>
      </c>
      <c r="B99" s="1549">
        <v>408151</v>
      </c>
      <c r="C99" s="1536" t="s">
        <v>2410</v>
      </c>
      <c r="D99" s="1552"/>
      <c r="E99" s="1559">
        <v>36079</v>
      </c>
      <c r="F99" s="319"/>
      <c r="G99" s="1277">
        <f t="shared" si="1"/>
        <v>-36079</v>
      </c>
      <c r="H99" s="321"/>
      <c r="I99" s="322"/>
      <c r="J99" s="323"/>
    </row>
    <row r="100" spans="1:10" ht="15" customHeight="1">
      <c r="A100" s="315" t="str">
        <f>IF(B100="","",IF(B99="",SUM(COUNT($A$5:A99)+1),""))</f>
        <v/>
      </c>
      <c r="B100" s="1549">
        <v>408151</v>
      </c>
      <c r="C100" s="1536" t="s">
        <v>2410</v>
      </c>
      <c r="D100" s="1553">
        <v>100000</v>
      </c>
      <c r="E100" s="1552"/>
      <c r="F100" s="319"/>
      <c r="G100" s="320">
        <f t="shared" si="1"/>
        <v>100000</v>
      </c>
      <c r="H100" s="321"/>
      <c r="I100" s="322"/>
      <c r="J100" s="323"/>
    </row>
    <row r="101" spans="1:10" ht="15" customHeight="1">
      <c r="A101" s="315" t="str">
        <f>IF(B101="","",IF(B100="",SUM(COUNT($A$5:A100)+1),""))</f>
        <v/>
      </c>
      <c r="B101" s="1549">
        <v>622800</v>
      </c>
      <c r="C101" s="1536" t="s">
        <v>2502</v>
      </c>
      <c r="D101" s="1552"/>
      <c r="E101" s="1559">
        <v>100000</v>
      </c>
      <c r="F101" s="319"/>
      <c r="G101" s="320">
        <f t="shared" si="1"/>
        <v>-100000</v>
      </c>
      <c r="H101" s="321"/>
      <c r="I101" s="322"/>
      <c r="J101" s="323"/>
    </row>
    <row r="102" spans="1:10" ht="15" customHeight="1">
      <c r="A102" s="315"/>
      <c r="B102" s="1549">
        <v>622800</v>
      </c>
      <c r="C102" s="1536" t="s">
        <v>2502</v>
      </c>
      <c r="D102" s="1553">
        <v>5000</v>
      </c>
      <c r="E102" s="1552"/>
      <c r="F102" s="319"/>
      <c r="G102" s="1277">
        <f t="shared" si="1"/>
        <v>5000</v>
      </c>
      <c r="H102" s="321"/>
      <c r="I102" s="322"/>
      <c r="J102" s="323"/>
    </row>
    <row r="103" spans="1:10" ht="15" customHeight="1">
      <c r="A103" s="315" t="str">
        <f>IF(B103="","",IF(B102="",SUM(COUNT($A$5:A102)+1),""))</f>
        <v/>
      </c>
      <c r="B103" s="1549">
        <v>408151</v>
      </c>
      <c r="C103" s="1536" t="s">
        <v>2410</v>
      </c>
      <c r="D103" s="1552"/>
      <c r="E103" s="1559">
        <v>5000</v>
      </c>
      <c r="F103" s="319"/>
      <c r="G103" s="1277">
        <f t="shared" si="1"/>
        <v>-5000</v>
      </c>
      <c r="H103" s="321"/>
      <c r="I103" s="322"/>
      <c r="J103" s="323"/>
    </row>
    <row r="104" spans="1:10" ht="15" customHeight="1">
      <c r="A104" s="315"/>
      <c r="B104" s="1550"/>
      <c r="C104" s="1385" t="s">
        <v>2859</v>
      </c>
      <c r="D104" s="1556"/>
      <c r="E104" s="1557"/>
      <c r="F104" s="319"/>
      <c r="G104" s="320"/>
      <c r="H104" s="321"/>
      <c r="I104" s="322"/>
      <c r="J104" s="323"/>
    </row>
    <row r="105" spans="1:10" ht="15" customHeight="1">
      <c r="A105" s="315" t="str">
        <f>IF(B105="","",IF(B103="",SUM(COUNT($A$5:A103)+1),""))</f>
        <v/>
      </c>
      <c r="B105" s="327"/>
      <c r="C105" s="316"/>
      <c r="D105" s="1557"/>
      <c r="E105" s="1558"/>
      <c r="F105" s="319"/>
      <c r="G105" s="1277">
        <f t="shared" si="1"/>
        <v>0</v>
      </c>
      <c r="H105" s="321"/>
      <c r="I105" s="322"/>
      <c r="J105" s="323"/>
    </row>
    <row r="106" spans="1:10" ht="15" customHeight="1">
      <c r="A106" s="315">
        <f>IF(B106="","",IF(B105="",SUM(COUNT($A$5:A105)+1),""))</f>
        <v>15</v>
      </c>
      <c r="B106" s="1549">
        <v>408151</v>
      </c>
      <c r="C106" s="1536" t="s">
        <v>2410</v>
      </c>
      <c r="D106" s="1553">
        <v>100000</v>
      </c>
      <c r="E106" s="1552"/>
      <c r="F106" s="319"/>
      <c r="G106" s="1277">
        <f t="shared" si="1"/>
        <v>100000</v>
      </c>
      <c r="H106" s="321"/>
      <c r="I106" s="322"/>
      <c r="J106" s="323"/>
    </row>
    <row r="107" spans="1:10" ht="15" customHeight="1">
      <c r="A107" s="315" t="str">
        <f>IF(B107="","",IF(B106="",SUM(COUNT($A$5:A106)+1),""))</f>
        <v/>
      </c>
      <c r="B107" s="1549">
        <v>622800</v>
      </c>
      <c r="C107" s="1536" t="s">
        <v>2502</v>
      </c>
      <c r="D107" s="1552"/>
      <c r="E107" s="1559">
        <v>100000</v>
      </c>
      <c r="F107" s="319"/>
      <c r="G107" s="1277">
        <f t="shared" si="1"/>
        <v>-100000</v>
      </c>
      <c r="H107" s="321"/>
      <c r="I107" s="322"/>
      <c r="J107" s="323"/>
    </row>
    <row r="108" spans="1:10" ht="15" customHeight="1">
      <c r="A108" s="315"/>
      <c r="B108" s="1550"/>
      <c r="C108" s="1385" t="s">
        <v>2859</v>
      </c>
      <c r="D108" s="1556"/>
      <c r="E108" s="1557"/>
      <c r="F108" s="319"/>
      <c r="G108" s="320"/>
      <c r="H108" s="321"/>
      <c r="I108" s="322"/>
      <c r="J108" s="323"/>
    </row>
    <row r="109" spans="1:10" ht="15" customHeight="1">
      <c r="A109" s="315" t="str">
        <f>IF(B109="","",IF(B107="",SUM(COUNT($A$5:A107)+1),""))</f>
        <v/>
      </c>
      <c r="B109" s="327"/>
      <c r="C109" s="316"/>
      <c r="D109" s="1558"/>
      <c r="E109" s="1557"/>
      <c r="F109" s="319"/>
      <c r="G109" s="1277">
        <f t="shared" si="1"/>
        <v>0</v>
      </c>
      <c r="H109" s="321"/>
      <c r="I109" s="322"/>
      <c r="J109" s="323"/>
    </row>
    <row r="110" spans="1:10" ht="15" customHeight="1">
      <c r="A110" s="315">
        <f>IF(B110="","",IF(B109="",SUM(COUNT($A$5:A109)+1),""))</f>
        <v>16</v>
      </c>
      <c r="B110" s="1549">
        <v>641722</v>
      </c>
      <c r="C110" s="1536" t="s">
        <v>2514</v>
      </c>
      <c r="D110" s="1553">
        <v>8100</v>
      </c>
      <c r="E110" s="1552"/>
      <c r="F110" s="319"/>
      <c r="G110" s="1277">
        <f t="shared" ref="G110:G116" si="2">IF(H110="PL - PL",0,IF(D110="",-E110,D110))</f>
        <v>8100</v>
      </c>
      <c r="H110" s="321"/>
      <c r="I110" s="322" t="s">
        <v>2858</v>
      </c>
      <c r="J110" s="323"/>
    </row>
    <row r="111" spans="1:10" ht="15" customHeight="1">
      <c r="A111" s="315" t="str">
        <f>IF(B111="","",IF(B110="",SUM(COUNT($A$5:A110)+1),""))</f>
        <v/>
      </c>
      <c r="B111" s="1549">
        <v>641721</v>
      </c>
      <c r="C111" s="1536" t="s">
        <v>2513</v>
      </c>
      <c r="D111" s="1553">
        <v>16200</v>
      </c>
      <c r="E111" s="1552"/>
      <c r="F111" s="319"/>
      <c r="G111" s="1277">
        <f t="shared" si="2"/>
        <v>16200</v>
      </c>
      <c r="H111" s="321"/>
      <c r="I111" s="322"/>
      <c r="J111" s="323"/>
    </row>
    <row r="112" spans="1:10" ht="15" customHeight="1">
      <c r="A112" s="315" t="str">
        <f>IF(B112="","",IF(B111="",SUM(COUNT($A$5:A111)+1),""))</f>
        <v/>
      </c>
      <c r="B112" s="1549">
        <v>626424</v>
      </c>
      <c r="C112" s="1536" t="s">
        <v>2504</v>
      </c>
      <c r="D112" s="1553">
        <v>22500</v>
      </c>
      <c r="E112" s="1552"/>
      <c r="F112" s="319"/>
      <c r="G112" s="1277">
        <f t="shared" si="2"/>
        <v>22500</v>
      </c>
      <c r="H112" s="321"/>
      <c r="I112" s="322"/>
      <c r="J112" s="323"/>
    </row>
    <row r="113" spans="1:11" ht="15" customHeight="1">
      <c r="A113" s="315" t="str">
        <f>IF(B113="","",IF(B112="",SUM(COUNT($A$5:A112)+1),""))</f>
        <v/>
      </c>
      <c r="B113" s="1549">
        <v>408151</v>
      </c>
      <c r="C113" s="1536" t="s">
        <v>2410</v>
      </c>
      <c r="D113" s="1552"/>
      <c r="E113" s="1559">
        <v>46800</v>
      </c>
      <c r="F113" s="319"/>
      <c r="G113" s="1277">
        <f t="shared" si="2"/>
        <v>-46800</v>
      </c>
      <c r="H113" s="321"/>
      <c r="I113" s="322"/>
      <c r="J113" s="323"/>
    </row>
    <row r="114" spans="1:11" ht="15" customHeight="1">
      <c r="A114" s="315" t="str">
        <f>IF(B114="","",IF(B113="",SUM(COUNT($A$5:A113)+1),""))</f>
        <v/>
      </c>
      <c r="B114" s="1549">
        <v>4085000</v>
      </c>
      <c r="C114" s="1536" t="s">
        <v>2657</v>
      </c>
      <c r="D114" s="1553">
        <v>27690</v>
      </c>
      <c r="E114" s="1552"/>
      <c r="F114" s="319"/>
      <c r="G114" s="1277">
        <f t="shared" si="2"/>
        <v>27690</v>
      </c>
      <c r="H114" s="321"/>
      <c r="I114" s="322"/>
      <c r="J114" s="323"/>
    </row>
    <row r="115" spans="1:11" ht="15" customHeight="1">
      <c r="A115" s="315" t="str">
        <f>IF(B115="","",IF(B114="",SUM(COUNT($A$5:A114)+1),""))</f>
        <v/>
      </c>
      <c r="B115" s="1549">
        <v>4085000</v>
      </c>
      <c r="C115" s="1536" t="s">
        <v>2657</v>
      </c>
      <c r="D115" s="1553">
        <v>8389</v>
      </c>
      <c r="E115" s="1552"/>
      <c r="F115" s="319"/>
      <c r="G115" s="1277">
        <f t="shared" si="2"/>
        <v>8389</v>
      </c>
      <c r="H115" s="321"/>
      <c r="I115" s="322"/>
      <c r="J115" s="323"/>
    </row>
    <row r="116" spans="1:11" ht="15" customHeight="1">
      <c r="A116" s="315" t="str">
        <f>IF(B116="","",IF(B115="",SUM(COUNT($A$5:A115)+1),""))</f>
        <v/>
      </c>
      <c r="B116" s="1549">
        <v>408151</v>
      </c>
      <c r="C116" s="1536" t="s">
        <v>2410</v>
      </c>
      <c r="D116" s="1552"/>
      <c r="E116" s="1559">
        <v>36079</v>
      </c>
      <c r="F116" s="319"/>
      <c r="G116" s="1277">
        <f t="shared" si="2"/>
        <v>-36079</v>
      </c>
      <c r="H116" s="321"/>
      <c r="I116" s="322"/>
      <c r="J116" s="323"/>
    </row>
    <row r="117" spans="1:11" ht="15" customHeight="1">
      <c r="A117" s="315"/>
      <c r="B117" s="1550"/>
      <c r="C117" s="1385" t="s">
        <v>2859</v>
      </c>
      <c r="D117"/>
      <c r="E117" s="317"/>
      <c r="F117" s="319"/>
      <c r="G117" s="320"/>
      <c r="H117" s="321"/>
      <c r="I117" s="322"/>
      <c r="J117" s="323"/>
    </row>
    <row r="118" spans="1:11" ht="15" customHeight="1">
      <c r="A118" s="315" t="str">
        <f>IF(B118="","",IF(B116="",SUM(COUNT($A$5:A116)+1),""))</f>
        <v/>
      </c>
      <c r="C118" s="316"/>
      <c r="D118" s="1278"/>
      <c r="E118" s="1279"/>
      <c r="F118" s="319"/>
      <c r="G118" s="1277">
        <f t="shared" si="1"/>
        <v>0</v>
      </c>
      <c r="H118" s="321"/>
      <c r="I118" s="322"/>
      <c r="J118" s="323"/>
    </row>
    <row r="119" spans="1:11" ht="15" customHeight="1">
      <c r="A119" s="315">
        <f>IF(B119="","",IF(B118="",SUM(COUNT($A$5:A118)+1),""))</f>
        <v>17</v>
      </c>
      <c r="B119" s="282">
        <v>411500</v>
      </c>
      <c r="C119" s="316" t="s">
        <v>2488</v>
      </c>
      <c r="D119" s="1278">
        <v>241132.81000000238</v>
      </c>
      <c r="E119" s="1279"/>
      <c r="F119" s="319"/>
      <c r="G119" s="1277">
        <f t="shared" si="1"/>
        <v>241132.81000000238</v>
      </c>
      <c r="H119" s="321"/>
      <c r="I119" s="322" t="s">
        <v>2858</v>
      </c>
      <c r="J119" s="323"/>
    </row>
    <row r="120" spans="1:11">
      <c r="A120" s="315" t="str">
        <f>IF(B120="","",IF(B119="",SUM(COUNT($A$5:A119)+1),""))</f>
        <v/>
      </c>
      <c r="B120" s="282">
        <v>4081510</v>
      </c>
      <c r="C120" s="316" t="s">
        <v>2410</v>
      </c>
      <c r="D120" s="1278"/>
      <c r="E120" s="1279">
        <v>241132.81000000238</v>
      </c>
      <c r="F120" s="319"/>
      <c r="G120" s="1277">
        <f t="shared" si="1"/>
        <v>-241132.81000000238</v>
      </c>
      <c r="H120" s="321"/>
      <c r="I120" s="322"/>
      <c r="J120" s="323"/>
    </row>
    <row r="121" spans="1:11" ht="15" customHeight="1">
      <c r="A121" s="315" t="str">
        <f>IF(B121="","",IF(B120="",SUM(COUNT($A$5:A120)+1),""))</f>
        <v/>
      </c>
      <c r="C121" s="316"/>
      <c r="D121" s="1278"/>
      <c r="E121" s="1279"/>
      <c r="F121" s="319"/>
      <c r="G121" s="1277">
        <f t="shared" si="1"/>
        <v>0</v>
      </c>
      <c r="H121" s="321"/>
      <c r="I121" s="322"/>
      <c r="J121" s="323"/>
    </row>
    <row r="122" spans="1:11" ht="15" customHeight="1">
      <c r="A122" s="315">
        <f>IF(B122="","",IF(B121="",SUM(COUNT($A$5:A121)+1),""))</f>
        <v>18</v>
      </c>
      <c r="B122" s="282">
        <v>645004</v>
      </c>
      <c r="C122" s="316" t="s">
        <v>2860</v>
      </c>
      <c r="D122" s="1278">
        <v>166824</v>
      </c>
      <c r="E122" s="1279"/>
      <c r="F122" s="319"/>
      <c r="G122" s="1277">
        <f t="shared" si="1"/>
        <v>166824</v>
      </c>
      <c r="H122" s="321"/>
      <c r="I122" s="322" t="s">
        <v>2858</v>
      </c>
      <c r="J122" s="323"/>
      <c r="K122" s="289" t="s">
        <v>2861</v>
      </c>
    </row>
    <row r="123" spans="1:11" ht="15" customHeight="1">
      <c r="A123" s="315" t="str">
        <f>IF(B123="","",IF(B122="",SUM(COUNT($A$5:A122)+1),""))</f>
        <v/>
      </c>
      <c r="B123" s="282">
        <v>408151</v>
      </c>
      <c r="C123" s="316" t="s">
        <v>2410</v>
      </c>
      <c r="D123" s="1278"/>
      <c r="E123" s="1279">
        <f>D122</f>
        <v>166824</v>
      </c>
      <c r="F123" s="319"/>
      <c r="G123" s="1277">
        <f t="shared" si="1"/>
        <v>-166824</v>
      </c>
      <c r="H123" s="321"/>
      <c r="I123" s="322"/>
      <c r="J123" s="323"/>
      <c r="K123" s="289" t="s">
        <v>2861</v>
      </c>
    </row>
    <row r="124" spans="1:11" ht="30" customHeight="1">
      <c r="A124" s="315" t="str">
        <f>IF(B124="","",IF(B123="",SUM(COUNT($A$5:A123)+1),""))</f>
        <v/>
      </c>
      <c r="C124" s="1551" t="s">
        <v>2862</v>
      </c>
      <c r="D124" s="1278"/>
      <c r="E124" s="1279"/>
      <c r="F124" s="319"/>
      <c r="G124" s="1277">
        <f t="shared" si="1"/>
        <v>0</v>
      </c>
      <c r="H124" s="321"/>
      <c r="I124" s="322"/>
      <c r="J124" s="323"/>
    </row>
    <row r="125" spans="1:11" ht="15" customHeight="1">
      <c r="A125" s="315" t="str">
        <f>IF(B125="","",IF(B124="",SUM(COUNT($A$5:A124)+1),""))</f>
        <v/>
      </c>
      <c r="B125" s="1223"/>
      <c r="C125" s="316"/>
      <c r="D125" s="317"/>
      <c r="E125" s="318"/>
      <c r="F125" s="319"/>
      <c r="G125" s="320"/>
      <c r="H125" s="321"/>
      <c r="I125" s="322"/>
      <c r="J125" s="323"/>
    </row>
    <row r="126" spans="1:11" ht="15" customHeight="1">
      <c r="A126" s="315">
        <f>IF(B126="","",IF(B125="",SUM(COUNT($A$5:A125)+1),""))</f>
        <v>19</v>
      </c>
      <c r="B126" s="1223">
        <v>437408</v>
      </c>
      <c r="C126" s="316" t="s">
        <v>2863</v>
      </c>
      <c r="D126" s="317"/>
      <c r="E126" s="318">
        <f>73635*0</f>
        <v>0</v>
      </c>
      <c r="F126" s="319"/>
      <c r="G126" s="1277">
        <f t="shared" si="1"/>
        <v>0</v>
      </c>
      <c r="H126" s="321"/>
      <c r="I126" s="322" t="s">
        <v>2858</v>
      </c>
      <c r="J126" s="323"/>
    </row>
    <row r="127" spans="1:11" ht="15" customHeight="1">
      <c r="A127" s="315" t="str">
        <f>IF(B127="","",IF(B126="",SUM(COUNT($A$5:A126)+1),""))</f>
        <v/>
      </c>
      <c r="B127" s="1223">
        <v>408151</v>
      </c>
      <c r="C127" s="316" t="s">
        <v>2410</v>
      </c>
      <c r="D127" s="318">
        <f>73635*0</f>
        <v>0</v>
      </c>
      <c r="E127" s="318"/>
      <c r="F127" s="319"/>
      <c r="G127" s="1277">
        <f>IF(H127="PL - PL",0,IF(D127="",-E127,D127))</f>
        <v>0</v>
      </c>
      <c r="H127" s="321"/>
      <c r="I127" s="322"/>
      <c r="J127" s="323"/>
      <c r="K127" s="289" t="s">
        <v>2861</v>
      </c>
    </row>
    <row r="128" spans="1:11" ht="43.2">
      <c r="A128" s="315" t="str">
        <f>IF(B128="","",IF(B127="",SUM(COUNT($A$5:A127)+1),""))</f>
        <v/>
      </c>
      <c r="B128" s="1223"/>
      <c r="C128" s="1551" t="s">
        <v>2900</v>
      </c>
      <c r="D128" s="318"/>
      <c r="E128" s="318"/>
      <c r="F128" s="319"/>
      <c r="G128" s="1277">
        <f>IF(H128="PL - PL",0,IF(D128="",-E128,D128))</f>
        <v>0</v>
      </c>
      <c r="H128" s="321"/>
      <c r="I128" s="322"/>
      <c r="J128" s="323"/>
      <c r="K128" s="289" t="s">
        <v>2861</v>
      </c>
    </row>
    <row r="129" spans="1:13" ht="15" customHeight="1">
      <c r="A129" s="315" t="str">
        <f>IF(B129="","",IF(B128="",SUM(COUNT($A$5:A128)+1),""))</f>
        <v/>
      </c>
      <c r="B129" s="1223"/>
      <c r="C129" s="316"/>
      <c r="D129" s="318"/>
      <c r="E129" s="318"/>
      <c r="F129" s="319"/>
      <c r="G129" s="1277">
        <f>IF(H129="PL - PL",0,IF(D129="",-E129,D129))</f>
        <v>0</v>
      </c>
      <c r="H129" s="321"/>
      <c r="I129" s="322"/>
      <c r="J129" s="323"/>
    </row>
    <row r="130" spans="1:13" ht="15" customHeight="1">
      <c r="A130" s="315" t="str">
        <f>IF(B130="","",IF(B129="",SUM(COUNT($A$5:A129)+1),""))</f>
        <v/>
      </c>
      <c r="B130" s="1223"/>
      <c r="C130" s="316"/>
      <c r="D130" s="317"/>
      <c r="E130" s="318"/>
      <c r="F130" s="319"/>
      <c r="G130" s="1277">
        <f>IF(H130="PL - PL",0,IF(D130="",-E130,D130))</f>
        <v>0</v>
      </c>
      <c r="H130" s="321"/>
      <c r="I130" s="322"/>
      <c r="J130" s="323"/>
    </row>
    <row r="131" spans="1:13" ht="15" customHeight="1">
      <c r="A131" s="315">
        <f>IF(B131="","",IF(B130="",SUM(COUNT($A$5:A130)+1),""))</f>
        <v>20</v>
      </c>
      <c r="B131" s="1223">
        <v>408500</v>
      </c>
      <c r="C131" s="316" t="s">
        <v>2486</v>
      </c>
      <c r="D131" s="317">
        <v>37632</v>
      </c>
      <c r="E131" s="318"/>
      <c r="F131" s="319"/>
      <c r="G131" s="1277">
        <f>IF(H131="PL - PL",0,IF(D131="",-E131,D131))</f>
        <v>37632</v>
      </c>
      <c r="H131" s="408" t="s">
        <v>2864</v>
      </c>
      <c r="I131" s="322" t="s">
        <v>2876</v>
      </c>
      <c r="J131" s="323"/>
      <c r="L131" s="317"/>
      <c r="M131" s="318"/>
    </row>
    <row r="132" spans="1:13" ht="15" customHeight="1">
      <c r="A132" s="315" t="str">
        <f>IF(B132="","",IF(B131="",SUM(COUNT($A$5:A131)+1),""))</f>
        <v/>
      </c>
      <c r="B132" s="1223">
        <v>408500</v>
      </c>
      <c r="C132" s="316" t="s">
        <v>2486</v>
      </c>
      <c r="D132" s="317">
        <v>13796</v>
      </c>
      <c r="E132" s="318"/>
      <c r="F132" s="319"/>
      <c r="G132" s="320">
        <f>+D132-E132</f>
        <v>13796</v>
      </c>
      <c r="H132" s="408" t="s">
        <v>2865</v>
      </c>
      <c r="I132" s="322"/>
      <c r="J132" s="323"/>
      <c r="L132" s="317"/>
      <c r="M132" s="318"/>
    </row>
    <row r="133" spans="1:13" ht="15" customHeight="1">
      <c r="A133" s="315" t="str">
        <f>IF(B133="","",IF(B132="",SUM(COUNT($A$5:A132)+1),""))</f>
        <v/>
      </c>
      <c r="B133" s="1223">
        <v>658003</v>
      </c>
      <c r="C133" s="316" t="s">
        <v>2866</v>
      </c>
      <c r="D133" s="317"/>
      <c r="E133" s="318">
        <v>37632</v>
      </c>
      <c r="F133" s="319"/>
      <c r="G133" s="1277">
        <f>IF(H133="PL - PL",0,IF(D133="",-E133,D133))</f>
        <v>-37632</v>
      </c>
      <c r="H133" s="408" t="s">
        <v>2864</v>
      </c>
      <c r="I133" s="322"/>
      <c r="J133" s="323"/>
      <c r="L133" s="317"/>
      <c r="M133" s="318"/>
    </row>
    <row r="134" spans="1:13" ht="15" customHeight="1">
      <c r="A134" s="315" t="str">
        <f>IF(B134="","",IF(B133="",SUM(COUNT($A$5:A133)+1),""))</f>
        <v/>
      </c>
      <c r="B134" s="1223">
        <v>627100</v>
      </c>
      <c r="C134" s="316" t="s">
        <v>2866</v>
      </c>
      <c r="D134" s="317"/>
      <c r="E134" s="318">
        <v>13796</v>
      </c>
      <c r="F134" s="319"/>
      <c r="G134" s="320"/>
      <c r="H134" s="408" t="s">
        <v>2865</v>
      </c>
      <c r="I134" s="322"/>
      <c r="J134" s="323"/>
      <c r="L134" s="317"/>
      <c r="M134" s="318"/>
    </row>
    <row r="135" spans="1:13" ht="15" customHeight="1">
      <c r="A135" s="315" t="str">
        <f>IF(B135="","",IF(B134="",SUM(COUNT($A$5:A134)+1),""))</f>
        <v/>
      </c>
      <c r="B135" s="1223"/>
      <c r="C135" s="1385" t="s">
        <v>2872</v>
      </c>
      <c r="D135" s="317"/>
      <c r="E135" s="318"/>
      <c r="F135" s="319"/>
      <c r="G135" s="320">
        <f>+D135-E135</f>
        <v>0</v>
      </c>
      <c r="H135" s="408"/>
      <c r="I135" s="322"/>
      <c r="J135" s="323"/>
      <c r="L135" s="317"/>
      <c r="M135" s="318"/>
    </row>
    <row r="136" spans="1:13">
      <c r="A136" s="315" t="str">
        <f>IF(B136="","",IF(B135="",SUM(COUNT($A$5:A135)+1),""))</f>
        <v/>
      </c>
      <c r="B136" s="1223"/>
      <c r="C136" s="316"/>
      <c r="D136" s="317"/>
      <c r="E136" s="318"/>
      <c r="F136" s="319"/>
      <c r="G136" s="1277">
        <f>IF(H136="PL - PL",0,IF(D136="",-E136,D136))</f>
        <v>0</v>
      </c>
      <c r="H136" s="408"/>
      <c r="I136" s="322"/>
      <c r="J136" s="323"/>
      <c r="L136" s="317"/>
      <c r="M136" s="318"/>
    </row>
    <row r="137" spans="1:13" ht="15" customHeight="1">
      <c r="A137" s="315">
        <f>IF(B137="","",IF(B136="",SUM(COUNT($A$5:A136)+1),""))</f>
        <v>21</v>
      </c>
      <c r="B137" s="1223">
        <v>408500</v>
      </c>
      <c r="C137" s="316" t="s">
        <v>2486</v>
      </c>
      <c r="D137" s="317">
        <v>291246</v>
      </c>
      <c r="E137" s="318"/>
      <c r="F137" s="319"/>
      <c r="G137" s="320"/>
      <c r="H137" s="408" t="s">
        <v>2867</v>
      </c>
      <c r="I137" s="322" t="s">
        <v>2876</v>
      </c>
      <c r="J137" s="323"/>
      <c r="L137" s="317"/>
      <c r="M137" s="318"/>
    </row>
    <row r="138" spans="1:13" ht="15" customHeight="1">
      <c r="A138" s="315" t="str">
        <f>IF(B138="","",IF(B137="",SUM(COUNT($A$5:A137)+1),""))</f>
        <v/>
      </c>
      <c r="B138" s="1223">
        <v>604160</v>
      </c>
      <c r="C138" s="316" t="s">
        <v>2866</v>
      </c>
      <c r="D138" s="317"/>
      <c r="E138" s="318">
        <v>291246</v>
      </c>
      <c r="F138" s="319"/>
      <c r="G138" s="320">
        <f>+D138-E138</f>
        <v>-291246</v>
      </c>
      <c r="H138" s="408" t="s">
        <v>2867</v>
      </c>
      <c r="I138" s="322"/>
      <c r="J138" s="323"/>
      <c r="L138" s="317"/>
      <c r="M138" s="318"/>
    </row>
    <row r="139" spans="1:13" ht="28.8">
      <c r="A139" s="315" t="str">
        <f>IF(B139="","",IF(B138="",SUM(COUNT($A$5:A138)+1),""))</f>
        <v/>
      </c>
      <c r="B139" s="1223"/>
      <c r="C139" s="1385" t="s">
        <v>2873</v>
      </c>
      <c r="D139" s="317"/>
      <c r="E139" s="318"/>
      <c r="F139" s="319"/>
      <c r="G139" s="320">
        <f>+D139-E139</f>
        <v>0</v>
      </c>
      <c r="H139" s="408"/>
      <c r="I139" s="322"/>
      <c r="J139" s="323"/>
      <c r="L139" s="317"/>
      <c r="M139" s="318"/>
    </row>
    <row r="140" spans="1:13">
      <c r="A140" s="315" t="str">
        <f>IF(B140="","",IF(B139="",SUM(COUNT($A$5:A139)+1),""))</f>
        <v/>
      </c>
      <c r="B140" s="1223"/>
      <c r="C140" s="316"/>
      <c r="D140" s="317"/>
      <c r="E140" s="318"/>
      <c r="F140" s="319"/>
      <c r="G140" s="1277">
        <f>IF(H140="PL - PL",0,IF(D140="",-E140,D140))</f>
        <v>0</v>
      </c>
      <c r="H140" s="408"/>
      <c r="I140" s="322"/>
      <c r="J140" s="323"/>
      <c r="L140" s="317"/>
      <c r="M140" s="318"/>
    </row>
    <row r="141" spans="1:13" ht="15" customHeight="1">
      <c r="A141" s="315">
        <f>IF(B141="","",IF(B140="",SUM(COUNT($A$5:A140)+1),""))</f>
        <v>22</v>
      </c>
      <c r="B141" s="1223">
        <v>408500</v>
      </c>
      <c r="C141" s="316" t="s">
        <v>2486</v>
      </c>
      <c r="D141" s="317">
        <v>41169</v>
      </c>
      <c r="E141" s="318"/>
      <c r="F141" s="319"/>
      <c r="G141" s="320">
        <f>+D141-E141</f>
        <v>41169</v>
      </c>
      <c r="H141" s="408" t="s">
        <v>2868</v>
      </c>
      <c r="I141" s="322" t="s">
        <v>2876</v>
      </c>
      <c r="J141" s="323"/>
      <c r="L141" s="317"/>
      <c r="M141" s="318"/>
    </row>
    <row r="142" spans="1:13" ht="15" customHeight="1">
      <c r="A142" s="315" t="str">
        <f>IF(B142="","",IF(B141="",SUM(COUNT($A$5:A141)+1),""))</f>
        <v/>
      </c>
      <c r="B142" s="1223">
        <v>408500</v>
      </c>
      <c r="C142" s="316" t="s">
        <v>2486</v>
      </c>
      <c r="D142" s="317">
        <v>26520</v>
      </c>
      <c r="E142" s="318"/>
      <c r="F142" s="319"/>
      <c r="G142" s="320">
        <f>+D142-E142</f>
        <v>26520</v>
      </c>
      <c r="H142" s="408" t="s">
        <v>2869</v>
      </c>
      <c r="I142" s="322"/>
      <c r="J142" s="323"/>
      <c r="L142" s="317"/>
      <c r="M142" s="318"/>
    </row>
    <row r="143" spans="1:13" ht="15" customHeight="1">
      <c r="A143" s="315" t="str">
        <f>IF(B143="","",IF(B142="",SUM(COUNT($A$5:A142)+1),""))</f>
        <v/>
      </c>
      <c r="B143" s="1223">
        <v>658003</v>
      </c>
      <c r="C143" s="316" t="s">
        <v>2866</v>
      </c>
      <c r="D143" s="317"/>
      <c r="E143" s="318">
        <v>41169</v>
      </c>
      <c r="F143" s="319"/>
      <c r="G143" s="320"/>
      <c r="H143" s="408" t="s">
        <v>2868</v>
      </c>
      <c r="I143" s="322"/>
      <c r="J143" s="323"/>
      <c r="L143" s="317"/>
      <c r="M143" s="318"/>
    </row>
    <row r="144" spans="1:13">
      <c r="A144" s="315" t="str">
        <f>IF(B144="","",IF(B143="",SUM(COUNT($A$5:A143)+1),""))</f>
        <v/>
      </c>
      <c r="B144" s="1223">
        <v>627100</v>
      </c>
      <c r="C144" s="316" t="s">
        <v>2866</v>
      </c>
      <c r="D144" s="317"/>
      <c r="E144" s="318">
        <v>26520</v>
      </c>
      <c r="F144" s="319"/>
      <c r="G144" s="320"/>
      <c r="H144" s="408" t="s">
        <v>2869</v>
      </c>
      <c r="I144" s="322"/>
      <c r="J144" s="323"/>
      <c r="L144" s="317"/>
      <c r="M144" s="318"/>
    </row>
    <row r="145" spans="1:13" ht="28.8">
      <c r="A145" s="315"/>
      <c r="B145" s="1223"/>
      <c r="C145" s="1385" t="s">
        <v>2874</v>
      </c>
      <c r="D145" s="317"/>
      <c r="E145" s="318"/>
      <c r="F145" s="319"/>
      <c r="G145" s="320"/>
      <c r="H145" s="408"/>
      <c r="I145" s="322"/>
      <c r="J145" s="323"/>
      <c r="L145" s="317"/>
      <c r="M145" s="318"/>
    </row>
    <row r="146" spans="1:13" ht="15" customHeight="1">
      <c r="A146" s="315" t="str">
        <f>IF(B146="","",IF(B144="",SUM(COUNT($A$5:A144)+1),""))</f>
        <v/>
      </c>
      <c r="B146" s="1223"/>
      <c r="C146" s="316"/>
      <c r="D146" s="317"/>
      <c r="E146" s="318"/>
      <c r="F146" s="319"/>
      <c r="G146" s="320"/>
      <c r="H146" s="408"/>
      <c r="I146" s="322"/>
      <c r="J146" s="323"/>
      <c r="L146" s="317"/>
      <c r="M146" s="318"/>
    </row>
    <row r="147" spans="1:13" ht="15" customHeight="1">
      <c r="A147" s="315">
        <f>IF(B147="","",IF(B146="",SUM(COUNT($A$5:A146)+1),""))</f>
        <v>23</v>
      </c>
      <c r="B147" s="1223">
        <v>408151</v>
      </c>
      <c r="C147" s="316" t="s">
        <v>2870</v>
      </c>
      <c r="D147" s="317">
        <v>16800</v>
      </c>
      <c r="E147" s="318"/>
      <c r="F147" s="319"/>
      <c r="G147" s="320"/>
      <c r="H147" s="408" t="s">
        <v>2871</v>
      </c>
      <c r="I147" s="322" t="s">
        <v>2876</v>
      </c>
      <c r="J147" s="323"/>
      <c r="L147" s="317"/>
      <c r="M147" s="318"/>
    </row>
    <row r="148" spans="1:13" ht="15" customHeight="1">
      <c r="A148" s="315" t="str">
        <f>IF(B148="","",IF(B147="",SUM(COUNT($A$5:A147)+1),""))</f>
        <v/>
      </c>
      <c r="B148" s="1223">
        <v>622800</v>
      </c>
      <c r="C148" s="316" t="s">
        <v>2502</v>
      </c>
      <c r="D148" s="317"/>
      <c r="E148" s="318">
        <v>16800</v>
      </c>
      <c r="F148" s="319"/>
      <c r="G148" s="320"/>
      <c r="H148" s="408" t="s">
        <v>2871</v>
      </c>
      <c r="I148" s="322"/>
      <c r="J148" s="323"/>
      <c r="L148" s="317"/>
      <c r="M148" s="318"/>
    </row>
    <row r="149" spans="1:13" ht="28.8">
      <c r="A149" s="315" t="str">
        <f>IF(B149="","",IF(B148="",SUM(COUNT($A$5:A148)+1),""))</f>
        <v/>
      </c>
      <c r="B149" s="1223"/>
      <c r="C149" s="1385" t="s">
        <v>2875</v>
      </c>
      <c r="D149" s="317"/>
      <c r="E149" s="318"/>
      <c r="F149" s="319"/>
      <c r="G149" s="320"/>
      <c r="H149" s="321"/>
      <c r="I149" s="322"/>
      <c r="J149" s="323"/>
    </row>
    <row r="150" spans="1:13" ht="15" customHeight="1">
      <c r="A150" s="315" t="str">
        <f>IF(B150="","",IF(B149="",SUM(COUNT($A$5:A149)+1),""))</f>
        <v/>
      </c>
      <c r="B150" s="1223"/>
      <c r="C150" s="316"/>
      <c r="D150" s="317"/>
      <c r="E150" s="318"/>
      <c r="F150" s="319"/>
      <c r="G150" s="320"/>
      <c r="H150" s="321"/>
      <c r="I150" s="322"/>
      <c r="J150" s="323"/>
    </row>
    <row r="151" spans="1:13" ht="15" customHeight="1">
      <c r="A151" s="315">
        <f>IF(B151="","",IF(B150="",SUM(COUNT($A$5:A150)+1),""))</f>
        <v>24</v>
      </c>
      <c r="B151" s="1223">
        <v>401450</v>
      </c>
      <c r="C151" s="316" t="s">
        <v>2483</v>
      </c>
      <c r="D151" s="317">
        <v>535704.43000000005</v>
      </c>
      <c r="E151" s="318"/>
      <c r="F151" s="319"/>
      <c r="G151" s="320"/>
      <c r="H151" s="321"/>
      <c r="I151" s="322" t="s">
        <v>2881</v>
      </c>
      <c r="J151" s="323"/>
    </row>
    <row r="152" spans="1:13" ht="15" customHeight="1">
      <c r="A152" s="315" t="str">
        <f>IF(B152="","",IF(B151="",SUM(COUNT($A$5:A151)+1),""))</f>
        <v/>
      </c>
      <c r="B152" s="1223">
        <v>4014500</v>
      </c>
      <c r="C152" s="316" t="s">
        <v>2406</v>
      </c>
      <c r="D152" s="317"/>
      <c r="E152" s="317">
        <v>535704.43000000005</v>
      </c>
      <c r="F152" s="319"/>
      <c r="G152" s="320"/>
      <c r="H152" s="321"/>
      <c r="I152" s="322"/>
      <c r="J152" s="323"/>
    </row>
    <row r="153" spans="1:13" ht="15" customHeight="1">
      <c r="A153" s="315"/>
      <c r="B153" s="1223">
        <v>451099</v>
      </c>
      <c r="C153" s="316" t="s">
        <v>2437</v>
      </c>
      <c r="D153" s="317"/>
      <c r="E153" s="317">
        <v>535704.43000000005</v>
      </c>
      <c r="F153" s="319"/>
      <c r="G153" s="320"/>
      <c r="H153" s="321"/>
      <c r="I153" s="322"/>
      <c r="J153" s="323"/>
    </row>
    <row r="154" spans="1:13" ht="15" customHeight="1">
      <c r="A154" s="315"/>
      <c r="B154" s="1223">
        <v>4550000</v>
      </c>
      <c r="C154" s="316" t="s">
        <v>2684</v>
      </c>
      <c r="D154" s="317">
        <v>535704.43000000005</v>
      </c>
      <c r="E154" s="317"/>
      <c r="F154" s="319"/>
      <c r="G154" s="320"/>
      <c r="H154" s="321"/>
      <c r="I154" s="322"/>
      <c r="J154" s="323"/>
    </row>
    <row r="155" spans="1:13" ht="15" customHeight="1">
      <c r="A155" s="315"/>
      <c r="B155" s="1223">
        <v>401450</v>
      </c>
      <c r="C155" s="316" t="s">
        <v>2483</v>
      </c>
      <c r="D155" s="317"/>
      <c r="E155" s="317">
        <v>535614.23</v>
      </c>
      <c r="F155" s="319"/>
      <c r="G155" s="320"/>
      <c r="H155" s="321"/>
      <c r="I155" s="322"/>
      <c r="J155" s="323"/>
    </row>
    <row r="156" spans="1:13" ht="15" customHeight="1">
      <c r="A156" s="315"/>
      <c r="B156" s="1223">
        <v>451099</v>
      </c>
      <c r="C156" s="316" t="s">
        <v>2437</v>
      </c>
      <c r="D156" s="317">
        <v>535614.23</v>
      </c>
      <c r="E156" s="317"/>
      <c r="F156" s="319"/>
      <c r="G156" s="320"/>
      <c r="H156" s="321"/>
      <c r="I156" s="322"/>
      <c r="J156" s="323"/>
    </row>
    <row r="157" spans="1:13" ht="15" customHeight="1">
      <c r="A157" s="315"/>
      <c r="B157" s="1223">
        <v>451099</v>
      </c>
      <c r="C157" s="316" t="s">
        <v>2437</v>
      </c>
      <c r="D157" s="317"/>
      <c r="E157" s="317">
        <v>87579.68</v>
      </c>
      <c r="F157" s="319"/>
      <c r="G157" s="320"/>
      <c r="H157" s="321"/>
      <c r="I157" s="322"/>
      <c r="J157" s="323"/>
    </row>
    <row r="158" spans="1:13" ht="15" customHeight="1">
      <c r="A158" s="315"/>
      <c r="B158" s="1223">
        <v>4550000</v>
      </c>
      <c r="C158" s="316" t="s">
        <v>2684</v>
      </c>
      <c r="D158" s="317">
        <v>87579.69</v>
      </c>
      <c r="E158" s="317"/>
      <c r="F158" s="319"/>
      <c r="G158" s="320"/>
      <c r="H158" s="321"/>
      <c r="I158" s="322"/>
      <c r="J158" s="323"/>
    </row>
    <row r="159" spans="1:13" ht="15" customHeight="1">
      <c r="A159" s="315" t="str">
        <f>IF(B159="","",IF(B152="",SUM(COUNT($A$5:A152)+1),""))</f>
        <v/>
      </c>
      <c r="B159" s="1223"/>
      <c r="C159" s="1385" t="s">
        <v>2877</v>
      </c>
      <c r="D159" s="317"/>
      <c r="E159" s="318"/>
      <c r="F159" s="319"/>
      <c r="G159" s="320"/>
      <c r="H159" s="321"/>
      <c r="I159" s="322"/>
      <c r="J159" s="323"/>
    </row>
    <row r="160" spans="1:13" ht="15" customHeight="1">
      <c r="A160" s="315" t="str">
        <f>IF(B160="","",IF(B159="",SUM(COUNT($A$5:A159)+1),""))</f>
        <v/>
      </c>
      <c r="B160" s="1223"/>
      <c r="C160" s="316"/>
      <c r="D160" s="317"/>
      <c r="E160" s="318"/>
      <c r="F160" s="319"/>
      <c r="G160" s="320"/>
      <c r="H160" s="321"/>
      <c r="I160" s="322"/>
      <c r="J160" s="323"/>
    </row>
    <row r="161" spans="1:10" ht="15" customHeight="1">
      <c r="A161" s="315">
        <f>IF(B161="","",IF(B160="",SUM(COUNT($A$5:A160)+1),""))</f>
        <v>25</v>
      </c>
      <c r="B161" s="1223">
        <v>451099</v>
      </c>
      <c r="C161" s="316" t="s">
        <v>2437</v>
      </c>
      <c r="D161" s="317">
        <v>145958</v>
      </c>
      <c r="E161" s="318"/>
      <c r="F161" s="319"/>
      <c r="G161" s="320"/>
      <c r="H161" s="321"/>
      <c r="I161" s="322" t="s">
        <v>2881</v>
      </c>
      <c r="J161" s="323"/>
    </row>
    <row r="162" spans="1:10" ht="15" customHeight="1">
      <c r="A162" s="315" t="str">
        <f>IF(B162="","",IF(B161="",SUM(COUNT($A$5:A161)+1),""))</f>
        <v/>
      </c>
      <c r="B162" s="1223">
        <v>401998</v>
      </c>
      <c r="C162" s="316" t="s">
        <v>2484</v>
      </c>
      <c r="D162" s="317"/>
      <c r="E162" s="317">
        <v>145958</v>
      </c>
      <c r="F162" s="319"/>
      <c r="G162" s="1277">
        <f>IF(H162="PL - PL",0,IF(D162="",-E162,D162))</f>
        <v>-145958</v>
      </c>
      <c r="H162" s="321"/>
      <c r="I162" s="322"/>
      <c r="J162" s="323"/>
    </row>
    <row r="163" spans="1:10" ht="15" customHeight="1">
      <c r="A163" s="315" t="str">
        <f>IF(B163="","",IF(B162="",SUM(COUNT($A$5:A162)+1),""))</f>
        <v/>
      </c>
      <c r="B163" s="1223"/>
      <c r="C163" s="1385" t="s">
        <v>2878</v>
      </c>
      <c r="D163" s="317"/>
      <c r="E163" s="318"/>
      <c r="F163" s="319"/>
      <c r="G163" s="1277">
        <f>IF(H163="PL - PL",0,IF(D163="",-E163,D163))</f>
        <v>0</v>
      </c>
      <c r="H163" s="321"/>
      <c r="I163" s="322"/>
      <c r="J163" s="323"/>
    </row>
    <row r="164" spans="1:10" ht="15" customHeight="1">
      <c r="A164" s="315" t="str">
        <f>IF(B164="","",IF(B163="",SUM(COUNT($A$5:A163)+1),""))</f>
        <v/>
      </c>
      <c r="B164" s="1223"/>
      <c r="C164" s="316"/>
      <c r="D164" s="317"/>
      <c r="E164" s="318"/>
      <c r="F164" s="319"/>
      <c r="G164" s="320"/>
      <c r="H164" s="321"/>
      <c r="I164" s="322"/>
      <c r="J164" s="323"/>
    </row>
    <row r="165" spans="1:10" ht="15" customHeight="1">
      <c r="A165" s="315">
        <f>IF(B165="","",IF(B164="",SUM(COUNT($A$5:A164)+1),""))</f>
        <v>26</v>
      </c>
      <c r="B165" s="1223">
        <v>635130</v>
      </c>
      <c r="C165" s="316" t="s">
        <v>2607</v>
      </c>
      <c r="D165" s="317">
        <v>3540</v>
      </c>
      <c r="E165" s="318"/>
      <c r="F165" s="319"/>
      <c r="G165" s="320"/>
      <c r="H165" s="321"/>
      <c r="I165" s="322" t="s">
        <v>2881</v>
      </c>
      <c r="J165" s="323"/>
    </row>
    <row r="166" spans="1:10" ht="15" customHeight="1">
      <c r="A166" s="315" t="str">
        <f>IF(B166="","",IF(B165="",SUM(COUNT($A$5:A165)+1),""))</f>
        <v/>
      </c>
      <c r="B166" s="1223">
        <v>622800</v>
      </c>
      <c r="C166" s="316" t="s">
        <v>2502</v>
      </c>
      <c r="D166" s="317"/>
      <c r="E166" s="318">
        <v>3540</v>
      </c>
      <c r="F166" s="319"/>
      <c r="G166" s="320"/>
      <c r="H166" s="321"/>
      <c r="I166" s="322"/>
      <c r="J166" s="323"/>
    </row>
    <row r="167" spans="1:10" ht="28.8">
      <c r="A167" s="315" t="str">
        <f>IF(B167="","",IF(B166="",SUM(COUNT($A$5:A166)+1),""))</f>
        <v/>
      </c>
      <c r="B167" s="1223"/>
      <c r="C167" s="330" t="s">
        <v>2879</v>
      </c>
      <c r="D167" s="317"/>
      <c r="E167" s="318"/>
      <c r="F167" s="319"/>
      <c r="G167" s="320"/>
      <c r="H167" s="321"/>
      <c r="I167" s="322"/>
      <c r="J167" s="323"/>
    </row>
    <row r="168" spans="1:10" ht="15" customHeight="1">
      <c r="A168" s="315">
        <f>IF(B168="","",IF(B167="",SUM(COUNT($A$5:A167)+1),""))</f>
        <v>27</v>
      </c>
      <c r="B168" s="1223">
        <v>635130</v>
      </c>
      <c r="C168" s="316" t="s">
        <v>2607</v>
      </c>
      <c r="D168" s="317">
        <v>8600</v>
      </c>
      <c r="E168" s="318"/>
      <c r="F168" s="319"/>
      <c r="G168" s="320"/>
      <c r="H168" s="321"/>
      <c r="I168" s="322" t="s">
        <v>2881</v>
      </c>
      <c r="J168" s="323"/>
    </row>
    <row r="169" spans="1:10" ht="15" customHeight="1">
      <c r="A169" s="315" t="str">
        <f>IF(B169="","",IF(B168="",SUM(COUNT($A$5:A168)+1),""))</f>
        <v/>
      </c>
      <c r="B169" s="1473">
        <v>408151</v>
      </c>
      <c r="C169" s="316" t="s">
        <v>2410</v>
      </c>
      <c r="D169" s="1474"/>
      <c r="E169" s="1475">
        <v>8600</v>
      </c>
      <c r="F169" s="319"/>
      <c r="G169" s="320"/>
      <c r="H169" s="321"/>
      <c r="I169" s="322"/>
      <c r="J169" s="323"/>
    </row>
    <row r="170" spans="1:10" ht="28.05" customHeight="1">
      <c r="A170" s="315" t="str">
        <f>IF(B170="","",IF(B169="",SUM(COUNT($A$5:A169)+1),""))</f>
        <v/>
      </c>
      <c r="B170" s="1473"/>
      <c r="C170" s="1551" t="s">
        <v>2880</v>
      </c>
      <c r="D170" s="1474"/>
      <c r="E170" s="1475"/>
      <c r="F170" s="319"/>
      <c r="G170" s="320"/>
      <c r="H170" s="321"/>
      <c r="I170" s="322"/>
      <c r="J170" s="323"/>
    </row>
    <row r="171" spans="1:10" ht="15" customHeight="1">
      <c r="A171" s="315" t="str">
        <f>IF(B171="","",IF(B170="",SUM(COUNT($A$5:A170)+1),""))</f>
        <v/>
      </c>
      <c r="B171" s="1473"/>
      <c r="C171" s="316"/>
      <c r="D171" s="1476"/>
      <c r="E171" s="1474"/>
      <c r="F171" s="319"/>
      <c r="G171" s="320"/>
      <c r="H171" s="321"/>
      <c r="I171" s="322"/>
      <c r="J171" s="323"/>
    </row>
    <row r="172" spans="1:10" ht="15" customHeight="1">
      <c r="A172" s="315" t="str">
        <f>IF(B172="","",IF(B171="",SUM(COUNT($A$5:A171)+1),""))</f>
        <v/>
      </c>
      <c r="B172" s="1473"/>
      <c r="C172" s="316"/>
      <c r="D172" s="1476"/>
      <c r="E172" s="1474"/>
      <c r="F172" s="319"/>
      <c r="G172" s="320"/>
      <c r="H172" s="321"/>
      <c r="I172" s="322"/>
      <c r="J172" s="323"/>
    </row>
    <row r="173" spans="1:10" ht="15" customHeight="1">
      <c r="A173" s="315">
        <f>IF(B173="","",IF(B172="",SUM(COUNT($A$5:A172)+1),""))</f>
        <v>28</v>
      </c>
      <c r="B173" s="1473">
        <v>641300</v>
      </c>
      <c r="C173" s="316" t="s">
        <v>2508</v>
      </c>
      <c r="D173" s="1476"/>
      <c r="E173" s="1476">
        <v>32959.29</v>
      </c>
      <c r="F173" s="319"/>
      <c r="G173" s="320"/>
      <c r="H173" s="321"/>
      <c r="I173" s="322" t="s">
        <v>2883</v>
      </c>
      <c r="J173" s="323"/>
    </row>
    <row r="174" spans="1:10" ht="15" customHeight="1">
      <c r="A174" s="315" t="str">
        <f>IF(B174="","",IF(B173="",SUM(COUNT($A$5:A173)+1),""))</f>
        <v/>
      </c>
      <c r="B174" s="1473">
        <v>428610</v>
      </c>
      <c r="C174" s="316" t="s">
        <v>2423</v>
      </c>
      <c r="D174" s="1476">
        <v>32959.29</v>
      </c>
      <c r="E174" s="1474"/>
      <c r="F174" s="319"/>
      <c r="G174" s="320"/>
      <c r="H174" s="321"/>
      <c r="I174" s="322"/>
      <c r="J174" s="323"/>
    </row>
    <row r="175" spans="1:10" ht="30.45" customHeight="1">
      <c r="A175" s="315" t="str">
        <f>IF(B175="","",IF(B174="",SUM(COUNT($A$5:A174)+1),""))</f>
        <v/>
      </c>
      <c r="B175" s="1473"/>
      <c r="C175" s="1551" t="s">
        <v>2882</v>
      </c>
      <c r="D175" s="1474"/>
      <c r="E175" s="1474"/>
      <c r="F175" s="319"/>
      <c r="G175" s="1277">
        <f>IF(H175="PL - PL",0,IF(D175="",-E175,D175))</f>
        <v>0</v>
      </c>
      <c r="H175" s="321"/>
      <c r="I175" s="322"/>
      <c r="J175" s="323"/>
    </row>
    <row r="176" spans="1:10" ht="15" customHeight="1">
      <c r="A176" s="315" t="str">
        <f>IF(B176="","",IF(B175="",SUM(COUNT($A$5:A175)+1),""))</f>
        <v/>
      </c>
      <c r="B176" s="1473"/>
      <c r="C176" s="316"/>
      <c r="D176" s="1474"/>
      <c r="E176" s="1475"/>
      <c r="F176" s="319"/>
      <c r="G176" s="320"/>
      <c r="H176" s="321"/>
      <c r="I176" s="322"/>
      <c r="J176" s="323"/>
    </row>
    <row r="177" spans="1:10" ht="15" customHeight="1">
      <c r="A177" s="315">
        <f>IF(B177="","",IF(B176="",SUM(COUNT($A$5:A176)+1),""))</f>
        <v>29</v>
      </c>
      <c r="B177" s="1560">
        <v>159200</v>
      </c>
      <c r="C177" s="316" t="str">
        <f>IF(B177="","",VLOOKUP(B177,'[101]TB for financial'!A:B,2,0))</f>
        <v>Unfunded post employment DB plans</v>
      </c>
      <c r="D177" s="317"/>
      <c r="E177" s="317">
        <f>+D178</f>
        <v>691227</v>
      </c>
      <c r="F177" s="319"/>
      <c r="G177" s="320"/>
      <c r="H177" s="321"/>
      <c r="I177" s="322"/>
      <c r="J177" s="323"/>
    </row>
    <row r="178" spans="1:10" ht="15" customHeight="1">
      <c r="A178" s="315" t="str">
        <f>IF(B178="","",IF(B177="",SUM(COUNT($A$5:A177)+1),""))</f>
        <v/>
      </c>
      <c r="B178" s="1561">
        <v>106960</v>
      </c>
      <c r="C178" s="316" t="str">
        <f>IF(B178="","",VLOOKUP(B178,'[101]TB for financial'!A:B,2,0))</f>
        <v>Stat, Of Recognized Income and Expense</v>
      </c>
      <c r="D178" s="318">
        <v>691227</v>
      </c>
      <c r="E178" s="318"/>
      <c r="F178" s="319"/>
      <c r="G178" s="1277">
        <f>IF(H178="PL - PL",0,IF(D178="",-E178,D178))</f>
        <v>691227</v>
      </c>
      <c r="H178" s="321"/>
      <c r="I178" s="322"/>
      <c r="J178" s="323"/>
    </row>
    <row r="179" spans="1:10" ht="15" customHeight="1">
      <c r="A179" s="315" t="str">
        <f>IF(B179="","",IF(B178="",SUM(COUNT($A$5:A178)+1),""))</f>
        <v/>
      </c>
      <c r="B179" s="1223"/>
      <c r="C179" s="1518"/>
      <c r="D179" s="318"/>
      <c r="E179" s="318"/>
      <c r="F179" s="319"/>
      <c r="G179" s="320"/>
      <c r="H179" s="321"/>
      <c r="I179" s="322"/>
      <c r="J179" s="323"/>
    </row>
    <row r="180" spans="1:10" ht="15" customHeight="1">
      <c r="A180" s="315">
        <f>IF(B180="","",IF(B179="",SUM(COUNT($A$5:A179)+1),""))</f>
        <v>30</v>
      </c>
      <c r="B180" s="1560">
        <v>106960</v>
      </c>
      <c r="C180" s="316" t="str">
        <f>IF(B180="","",VLOOKUP(B180,'[101]TB for financial'!A:B,2,0))</f>
        <v>Stat, Of Recognized Income and Expense</v>
      </c>
      <c r="D180" s="317"/>
      <c r="E180" s="317">
        <f>+D181</f>
        <v>1091741</v>
      </c>
      <c r="F180" s="319"/>
      <c r="G180" s="320"/>
      <c r="H180" s="321"/>
      <c r="I180" s="322"/>
      <c r="J180" s="323"/>
    </row>
    <row r="181" spans="1:10" ht="15" customHeight="1">
      <c r="A181" s="315" t="str">
        <f>IF(B181="","",IF(B180="",SUM(COUNT($A$5:A180)+1),""))</f>
        <v/>
      </c>
      <c r="B181" s="1560">
        <v>159200</v>
      </c>
      <c r="C181" s="316" t="str">
        <f>IF(B181="","",VLOOKUP(B181,'[101]TB for financial'!A:B,2,0))</f>
        <v>Unfunded post employment DB plans</v>
      </c>
      <c r="D181" s="318">
        <v>1091741</v>
      </c>
      <c r="E181" s="318"/>
      <c r="F181" s="319"/>
      <c r="G181" s="320"/>
      <c r="H181" s="321"/>
      <c r="I181" s="322"/>
      <c r="J181" s="323"/>
    </row>
    <row r="182" spans="1:10" ht="15" customHeight="1">
      <c r="A182" s="315" t="str">
        <f>IF(B182="","",IF(B181="",SUM(COUNT($A$5:A181)+1),""))</f>
        <v/>
      </c>
      <c r="B182" s="1473"/>
      <c r="C182" s="316"/>
      <c r="D182" s="1477"/>
      <c r="E182" s="1478"/>
      <c r="F182" s="319"/>
      <c r="G182" s="320"/>
      <c r="H182" s="321"/>
      <c r="I182" s="322"/>
      <c r="J182" s="323"/>
    </row>
    <row r="183" spans="1:10" ht="15" customHeight="1">
      <c r="A183" s="315">
        <f>IF(B183="","",IF(B182="",SUM(COUNT($A$5:A182)+1),""))</f>
        <v>31</v>
      </c>
      <c r="B183" s="1561">
        <v>159300</v>
      </c>
      <c r="C183" s="316" t="str">
        <f>IF(B183="","",VLOOKUP(B183,'[101]TB for financial'!A:B,2,0))</f>
        <v>Other long term DB plans</v>
      </c>
      <c r="D183" s="318">
        <v>10409</v>
      </c>
      <c r="E183" s="318"/>
      <c r="F183" s="319"/>
      <c r="G183" s="320"/>
      <c r="H183" s="321"/>
      <c r="I183" s="322"/>
      <c r="J183" s="323"/>
    </row>
    <row r="184" spans="1:10" ht="15" customHeight="1">
      <c r="A184" s="315" t="str">
        <f>IF(B184="","",IF(B183="",SUM(COUNT($A$5:A183)+1),""))</f>
        <v/>
      </c>
      <c r="B184" s="1560">
        <v>159200</v>
      </c>
      <c r="C184" s="316" t="str">
        <f>IF(B184="","",VLOOKUP(B184,'[101]TB for financial'!A:B,2,0))</f>
        <v>Unfunded post employment DB plans</v>
      </c>
      <c r="D184" s="317"/>
      <c r="E184" s="318">
        <v>10409</v>
      </c>
      <c r="F184" s="319"/>
      <c r="G184" s="320"/>
      <c r="H184" s="321"/>
      <c r="I184" s="322"/>
      <c r="J184" s="323"/>
    </row>
    <row r="185" spans="1:10" ht="15" customHeight="1">
      <c r="A185" s="315"/>
      <c r="C185" s="316"/>
      <c r="D185" s="318"/>
      <c r="E185" s="318"/>
      <c r="F185" s="319"/>
      <c r="G185" s="320"/>
      <c r="H185" s="321"/>
      <c r="I185" s="322"/>
      <c r="J185" s="323"/>
    </row>
    <row r="186" spans="1:10" ht="15" customHeight="1">
      <c r="A186" s="315">
        <f>IF(B186="","",IF(B185="",SUM(COUNT($A$5:A185)+1),""))</f>
        <v>32</v>
      </c>
      <c r="B186" s="1565">
        <v>106960</v>
      </c>
      <c r="C186" s="1562" t="str">
        <f>IF(B186="","",VLOOKUP(B186,'[104]TB for financial'!A:B,2,0))</f>
        <v>Stat, Of Recognized Income and Expense</v>
      </c>
      <c r="D186" s="1563">
        <v>861118</v>
      </c>
      <c r="E186" s="1564"/>
      <c r="F186" s="319"/>
      <c r="G186" s="320"/>
      <c r="H186" s="321"/>
      <c r="I186" s="322"/>
      <c r="J186" s="323"/>
    </row>
    <row r="187" spans="1:10" ht="15" customHeight="1">
      <c r="A187" s="315" t="str">
        <f>IF(B187="","",IF(B186="",SUM(COUNT($A$5:A186)+1),""))</f>
        <v/>
      </c>
      <c r="B187" s="1565">
        <v>159300</v>
      </c>
      <c r="C187" s="1562" t="str">
        <f>IF(B187="","",VLOOKUP(B187,'[104]TB for financial'!A:B,2,0))</f>
        <v>Other long term DB plans</v>
      </c>
      <c r="D187" s="1563"/>
      <c r="E187" s="1564">
        <f>+D186</f>
        <v>861118</v>
      </c>
      <c r="F187" s="319"/>
      <c r="G187" s="320"/>
      <c r="H187" s="321"/>
      <c r="I187" s="322"/>
      <c r="J187" s="323"/>
    </row>
    <row r="188" spans="1:10" ht="15" customHeight="1">
      <c r="A188" s="315" t="str">
        <f>IF(B188="","",IF(B187="",SUM(COUNT($A$5:A187)+1),""))</f>
        <v/>
      </c>
      <c r="C188" s="316"/>
      <c r="D188" s="317"/>
      <c r="E188" s="318"/>
      <c r="F188" s="319"/>
      <c r="G188" s="320"/>
      <c r="H188" s="321"/>
      <c r="I188" s="322"/>
      <c r="J188" s="323"/>
    </row>
    <row r="189" spans="1:10" ht="15" customHeight="1">
      <c r="A189" s="315">
        <f>IF(B189="","",IF(B188="",SUM(COUNT($A$5:A188)+1),""))</f>
        <v>33</v>
      </c>
      <c r="B189" s="1560">
        <v>641711</v>
      </c>
      <c r="C189" s="316" t="str">
        <f>IF(B189="","",VLOOKUP(B189,'[101]TB for financial'!A:B,2,0))</f>
        <v>Gratuity</v>
      </c>
      <c r="D189" s="317">
        <v>80359</v>
      </c>
      <c r="E189" s="318"/>
      <c r="F189" s="319"/>
      <c r="G189" s="320"/>
      <c r="H189" s="321"/>
      <c r="I189" s="322"/>
      <c r="J189" s="323"/>
    </row>
    <row r="190" spans="1:10" ht="15" customHeight="1">
      <c r="A190" s="315" t="str">
        <f>IF(B190="","",IF(B189="",SUM(COUNT($A$5:A189)+1),""))</f>
        <v/>
      </c>
      <c r="B190" s="1560">
        <v>159200</v>
      </c>
      <c r="C190" s="316" t="str">
        <f>IF(B190="","",VLOOKUP(B190,'[101]TB for financial'!A:B,2,0))</f>
        <v>Unfunded post employment DB plans</v>
      </c>
      <c r="D190" s="317"/>
      <c r="E190" s="318">
        <v>80359</v>
      </c>
      <c r="F190" s="319"/>
      <c r="G190" s="320"/>
      <c r="H190" s="321"/>
      <c r="I190" s="322"/>
      <c r="J190" s="323"/>
    </row>
    <row r="191" spans="1:10" ht="15" customHeight="1">
      <c r="A191" s="315" t="str">
        <f>IF(B191="","",IF(B190="",SUM(COUNT($A$5:A190)+1),""))</f>
        <v/>
      </c>
      <c r="C191" s="316"/>
      <c r="D191" s="317"/>
      <c r="E191" s="317"/>
      <c r="F191" s="319"/>
      <c r="G191" s="320"/>
      <c r="H191" s="321"/>
      <c r="I191" s="322"/>
      <c r="J191" s="323"/>
    </row>
    <row r="192" spans="1:10" ht="15" customHeight="1">
      <c r="A192" s="315">
        <f>IF(B192="","",IF(B191="",SUM(COUNT($A$5:A191)+1),""))</f>
        <v>34</v>
      </c>
      <c r="B192" s="1560">
        <v>106960</v>
      </c>
      <c r="C192" s="316" t="str">
        <f>IF(B192="","",VLOOKUP(B192,'[101]TB for financial'!A:B,2,0))</f>
        <v>Stat, Of Recognized Income and Expense</v>
      </c>
      <c r="D192" s="317">
        <v>30176</v>
      </c>
      <c r="E192" s="317"/>
      <c r="F192" s="319"/>
      <c r="G192" s="320"/>
      <c r="H192" s="321"/>
      <c r="I192" s="322"/>
      <c r="J192" s="323"/>
    </row>
    <row r="193" spans="1:10" ht="15" customHeight="1">
      <c r="A193" s="315" t="str">
        <f>IF(B193="","",IF(B192="",SUM(COUNT($A$5:A192)+1),""))</f>
        <v/>
      </c>
      <c r="B193" s="1560">
        <v>159200</v>
      </c>
      <c r="C193" s="316" t="str">
        <f>IF(B193="","",VLOOKUP(B193,'[101]TB for financial'!A:B,2,0))</f>
        <v>Unfunded post employment DB plans</v>
      </c>
      <c r="D193" s="318"/>
      <c r="E193" s="318">
        <v>30176</v>
      </c>
      <c r="F193" s="319"/>
      <c r="G193" s="320"/>
      <c r="H193" s="321"/>
      <c r="I193" s="322"/>
      <c r="J193" s="323"/>
    </row>
    <row r="194" spans="1:10" ht="15" customHeight="1">
      <c r="A194" s="315" t="str">
        <f>IF(B194="","",IF(B193="",SUM(COUNT($A$5:A193)+1),""))</f>
        <v/>
      </c>
      <c r="B194" s="1223"/>
      <c r="C194" s="316"/>
      <c r="D194" s="317"/>
      <c r="E194" s="318"/>
      <c r="F194" s="319"/>
      <c r="G194" s="320"/>
      <c r="H194" s="321"/>
      <c r="I194" s="322"/>
      <c r="J194" s="323"/>
    </row>
    <row r="195" spans="1:10" ht="15" customHeight="1">
      <c r="A195" s="315">
        <f>IF(B195="","",IF(B194="",SUM(COUNT($A$5:A194)+1),""))</f>
        <v>35</v>
      </c>
      <c r="B195" s="1560">
        <v>641203</v>
      </c>
      <c r="C195" s="316" t="str">
        <f>IF(B195="","",VLOOKUP(B195,'[101]TB for financial'!A:B,2,0))</f>
        <v>VACATION LEAVE PAYMENTS - GEN&amp;ADM</v>
      </c>
      <c r="D195" s="317"/>
      <c r="E195" s="318">
        <v>27930</v>
      </c>
      <c r="F195" s="319"/>
      <c r="G195" s="320"/>
      <c r="H195" s="321"/>
      <c r="I195" s="322"/>
      <c r="J195" s="323"/>
    </row>
    <row r="196" spans="1:10" ht="15" customHeight="1">
      <c r="A196" s="315" t="str">
        <f>IF(B196="","",IF(B195="",SUM(COUNT($A$5:A195)+1),""))</f>
        <v/>
      </c>
      <c r="B196" s="1560">
        <v>159300</v>
      </c>
      <c r="C196" s="316" t="str">
        <f>IF(B196="","",VLOOKUP(B196,'[101]TB for financial'!A:B,2,0))</f>
        <v>Other long term DB plans</v>
      </c>
      <c r="D196" s="317">
        <f>E195</f>
        <v>27930</v>
      </c>
      <c r="E196" s="318">
        <f>+D195</f>
        <v>0</v>
      </c>
      <c r="F196" s="319"/>
      <c r="G196" s="320"/>
      <c r="H196" s="321"/>
      <c r="I196" s="322"/>
      <c r="J196" s="323"/>
    </row>
    <row r="197" spans="1:10" ht="15" customHeight="1">
      <c r="A197" s="315" t="str">
        <f>IF(B197="","",IF(B196="",SUM(COUNT($A$5:A196)+1),""))</f>
        <v/>
      </c>
      <c r="B197" s="1223"/>
      <c r="C197" s="1518"/>
      <c r="D197" s="317"/>
      <c r="E197" s="318"/>
      <c r="F197" s="319"/>
      <c r="G197" s="320"/>
      <c r="H197" s="321"/>
      <c r="I197" s="322"/>
      <c r="J197" s="323"/>
    </row>
    <row r="198" spans="1:10" ht="15" customHeight="1">
      <c r="A198" s="315">
        <v>36</v>
      </c>
      <c r="B198" s="1223">
        <v>408151</v>
      </c>
      <c r="C198" s="316" t="s">
        <v>2410</v>
      </c>
      <c r="D198" s="317">
        <v>42160</v>
      </c>
      <c r="E198" s="318"/>
      <c r="F198" s="319"/>
      <c r="G198" s="320"/>
      <c r="H198" s="321" t="s">
        <v>2885</v>
      </c>
      <c r="I198" s="322"/>
      <c r="J198" s="323"/>
    </row>
    <row r="199" spans="1:10" ht="15" customHeight="1">
      <c r="A199" s="315" t="str">
        <f>IF(B199="","",IF(B198="",SUM(COUNT($A$5:A198)+1),""))</f>
        <v/>
      </c>
      <c r="B199" s="1223">
        <v>408500</v>
      </c>
      <c r="C199" s="316" t="s">
        <v>2486</v>
      </c>
      <c r="D199" s="317">
        <v>31475</v>
      </c>
      <c r="E199" s="318"/>
      <c r="F199" s="319"/>
      <c r="G199" s="320"/>
      <c r="H199" s="321"/>
      <c r="I199" s="322"/>
      <c r="J199" s="323"/>
    </row>
    <row r="200" spans="1:10" ht="15" customHeight="1">
      <c r="A200" s="315" t="str">
        <f>IF(B200="","",IF(B199="",SUM(COUNT($A$5:A199)+1),""))</f>
        <v/>
      </c>
      <c r="B200" s="1223">
        <v>437408</v>
      </c>
      <c r="C200" s="316" t="s">
        <v>2427</v>
      </c>
      <c r="D200" s="317"/>
      <c r="E200" s="318">
        <f>D198+D199</f>
        <v>73635</v>
      </c>
      <c r="F200" s="319"/>
      <c r="G200" s="320"/>
      <c r="H200" s="321"/>
      <c r="I200" s="322"/>
      <c r="J200" s="323"/>
    </row>
    <row r="201" spans="1:10" ht="28.8">
      <c r="A201" s="315" t="str">
        <f>IF(B201="","",IF(B200="",SUM(COUNT($A$5:A200)+1),""))</f>
        <v/>
      </c>
      <c r="B201" s="1223"/>
      <c r="C201" s="1385" t="s">
        <v>2884</v>
      </c>
      <c r="D201" s="317"/>
      <c r="E201" s="318"/>
      <c r="F201" s="319"/>
      <c r="G201" s="320"/>
      <c r="H201" s="321"/>
      <c r="I201" s="322"/>
      <c r="J201" s="323"/>
    </row>
    <row r="202" spans="1:10" ht="15" customHeight="1">
      <c r="A202" s="315" t="str">
        <f>IF(B202="","",IF(B201="",SUM(COUNT($A$5:A201)+1),""))</f>
        <v/>
      </c>
      <c r="B202" s="1223"/>
      <c r="C202" s="316"/>
      <c r="D202" s="317"/>
      <c r="E202" s="318"/>
      <c r="F202" s="319"/>
      <c r="G202" s="320"/>
      <c r="H202" s="321"/>
      <c r="I202" s="322"/>
      <c r="J202" s="323"/>
    </row>
    <row r="203" spans="1:10" ht="15" customHeight="1">
      <c r="A203" s="315">
        <f>IF(B203="","",IF(B202="",SUM(COUNT($A$5:A202)+1),""))</f>
        <v>37</v>
      </c>
      <c r="B203" s="1223">
        <v>467100</v>
      </c>
      <c r="C203" s="316" t="s">
        <v>2548</v>
      </c>
      <c r="D203" s="317">
        <v>100000</v>
      </c>
      <c r="E203" s="317"/>
      <c r="F203" s="319"/>
      <c r="G203" s="320"/>
      <c r="H203" s="321"/>
      <c r="I203" s="322"/>
      <c r="J203" s="323"/>
    </row>
    <row r="204" spans="1:10" ht="15" customHeight="1">
      <c r="A204" s="315" t="str">
        <f>IF(B204="","",IF(B203="",SUM(COUNT($A$5:A203)+1),""))</f>
        <v/>
      </c>
      <c r="B204" s="1223">
        <v>704670</v>
      </c>
      <c r="C204" s="316" t="s">
        <v>2798</v>
      </c>
      <c r="D204" s="317"/>
      <c r="E204" s="318">
        <v>100000</v>
      </c>
      <c r="F204" s="319"/>
      <c r="G204" s="320"/>
      <c r="H204" s="321"/>
      <c r="I204" s="322"/>
      <c r="J204" s="323"/>
    </row>
    <row r="205" spans="1:10" ht="28.8">
      <c r="A205" s="315" t="str">
        <f>IF(B205="","",IF(B204="",SUM(COUNT($A$5:A204)+1),""))</f>
        <v/>
      </c>
      <c r="B205" s="1223"/>
      <c r="C205" s="1566" t="s">
        <v>2886</v>
      </c>
      <c r="D205" s="317"/>
      <c r="E205" s="318"/>
      <c r="F205" s="319"/>
      <c r="G205" s="320"/>
      <c r="H205" s="321"/>
      <c r="I205" s="322"/>
      <c r="J205" s="323"/>
    </row>
    <row r="206" spans="1:10">
      <c r="A206" s="315" t="str">
        <f>IF(B206="","",IF(B205="",SUM(COUNT($A$5:A205)+1),""))</f>
        <v/>
      </c>
      <c r="B206" s="1223"/>
      <c r="C206" s="316"/>
      <c r="D206" s="317"/>
      <c r="E206" s="318"/>
      <c r="F206" s="319"/>
      <c r="G206" s="320"/>
      <c r="H206" s="321"/>
      <c r="I206" s="322"/>
      <c r="J206" s="323"/>
    </row>
    <row r="207" spans="1:10" ht="15" customHeight="1">
      <c r="A207" s="315">
        <f>IF(B207="","",IF(B206="",SUM(COUNT($A$5:A206)+1),""))</f>
        <v>38</v>
      </c>
      <c r="B207" s="1223">
        <v>51200215</v>
      </c>
      <c r="C207" s="316" t="s">
        <v>2448</v>
      </c>
      <c r="D207" s="317">
        <v>4250000</v>
      </c>
      <c r="E207" s="318"/>
      <c r="F207" s="319"/>
      <c r="G207" s="320"/>
      <c r="H207" s="321"/>
      <c r="I207" s="322"/>
      <c r="J207" s="323"/>
    </row>
    <row r="208" spans="1:10" ht="15" customHeight="1">
      <c r="A208" s="315" t="str">
        <f>IF(B208="","",IF(B207="",SUM(COUNT($A$5:A207)+1),""))</f>
        <v/>
      </c>
      <c r="B208" s="1223">
        <v>4510000</v>
      </c>
      <c r="C208" s="316" t="s">
        <v>2683</v>
      </c>
      <c r="D208" s="317"/>
      <c r="E208" s="318">
        <v>4250000</v>
      </c>
      <c r="F208" s="319"/>
      <c r="G208" s="320"/>
      <c r="H208" s="321"/>
      <c r="I208" s="322"/>
      <c r="J208" s="323"/>
    </row>
    <row r="209" spans="1:10" ht="15" customHeight="1">
      <c r="A209" s="315" t="str">
        <f>IF(B209="","",IF(B208="",SUM(COUNT($A$5:A208)+1),""))</f>
        <v/>
      </c>
      <c r="B209" s="1223">
        <v>51200215</v>
      </c>
      <c r="C209" s="316" t="s">
        <v>2448</v>
      </c>
      <c r="D209" s="317"/>
      <c r="E209" s="318">
        <v>1250000</v>
      </c>
      <c r="F209" s="319"/>
      <c r="G209" s="320"/>
      <c r="H209" s="321"/>
      <c r="I209" s="322"/>
      <c r="J209" s="323"/>
    </row>
    <row r="210" spans="1:10" ht="15" customHeight="1">
      <c r="A210" s="315" t="str">
        <f>IF(B210="","",IF(B209="",SUM(COUNT($A$5:A209)+1),""))</f>
        <v/>
      </c>
      <c r="B210" s="1223">
        <v>4510000</v>
      </c>
      <c r="C210" s="316" t="s">
        <v>2683</v>
      </c>
      <c r="D210" s="317">
        <v>1250000</v>
      </c>
      <c r="E210" s="318"/>
      <c r="F210" s="319"/>
      <c r="G210" s="320"/>
      <c r="H210" s="321"/>
      <c r="I210" s="322"/>
      <c r="J210" s="323"/>
    </row>
    <row r="211" spans="1:10" ht="15" customHeight="1">
      <c r="A211" s="315" t="str">
        <f>IF(B211="","",IF(B209="",SUM(COUNT($A$5:A209)+1),""))</f>
        <v/>
      </c>
      <c r="B211" s="1223">
        <v>51200215</v>
      </c>
      <c r="C211" s="316" t="s">
        <v>2448</v>
      </c>
      <c r="D211" s="317"/>
      <c r="E211" s="318">
        <v>1250000</v>
      </c>
      <c r="F211" s="319"/>
      <c r="G211" s="320"/>
      <c r="H211" s="321"/>
      <c r="I211" s="322"/>
      <c r="J211" s="323"/>
    </row>
    <row r="212" spans="1:10" ht="15" customHeight="1">
      <c r="A212" s="315" t="str">
        <f>IF(B212="","",IF(B211="",SUM(COUNT($A$5:A211)+1),""))</f>
        <v/>
      </c>
      <c r="B212" s="1223">
        <v>4510000</v>
      </c>
      <c r="C212" s="316" t="s">
        <v>2683</v>
      </c>
      <c r="D212" s="317">
        <v>1250000</v>
      </c>
      <c r="E212" s="318"/>
      <c r="F212" s="319"/>
      <c r="G212" s="320"/>
      <c r="H212" s="321"/>
      <c r="I212" s="322"/>
      <c r="J212" s="323"/>
    </row>
    <row r="213" spans="1:10" ht="15" customHeight="1">
      <c r="A213" s="315" t="str">
        <f>IF(B213="","",IF(B212="",SUM(COUNT($A$5:A212)+1),""))</f>
        <v/>
      </c>
      <c r="B213" s="1223">
        <v>51200215</v>
      </c>
      <c r="C213" s="316" t="s">
        <v>2448</v>
      </c>
      <c r="D213" s="317">
        <v>2134.41</v>
      </c>
      <c r="E213" s="318"/>
      <c r="F213" s="319"/>
      <c r="G213" s="320"/>
      <c r="H213" s="321"/>
      <c r="I213" s="322"/>
      <c r="J213" s="323"/>
    </row>
    <row r="214" spans="1:10" ht="15" customHeight="1">
      <c r="A214" s="315" t="str">
        <f>IF(B214="","",IF(B213="",SUM(COUNT($A$5:A213)+1),""))</f>
        <v/>
      </c>
      <c r="B214" s="1223">
        <v>4510000</v>
      </c>
      <c r="C214" s="316" t="s">
        <v>2683</v>
      </c>
      <c r="D214" s="317"/>
      <c r="E214" s="318">
        <v>2134.41</v>
      </c>
      <c r="F214" s="319"/>
      <c r="G214" s="320"/>
      <c r="H214" s="321"/>
      <c r="I214" s="322"/>
      <c r="J214" s="323"/>
    </row>
    <row r="215" spans="1:10" ht="15" customHeight="1">
      <c r="A215" s="315"/>
      <c r="B215" s="1223">
        <v>51120215</v>
      </c>
      <c r="C215" s="316" t="s">
        <v>2526</v>
      </c>
      <c r="D215" s="317"/>
      <c r="E215" s="318">
        <v>3000000</v>
      </c>
      <c r="F215" s="319"/>
      <c r="G215" s="320"/>
      <c r="H215" s="321"/>
      <c r="I215" s="322"/>
      <c r="J215" s="323"/>
    </row>
    <row r="216" spans="1:10" ht="15" customHeight="1">
      <c r="A216" s="315"/>
      <c r="B216" s="1223">
        <v>4510000</v>
      </c>
      <c r="C216" s="316" t="s">
        <v>2683</v>
      </c>
      <c r="D216" s="317">
        <v>3000000</v>
      </c>
      <c r="E216" s="318"/>
      <c r="F216" s="319"/>
      <c r="G216" s="320"/>
      <c r="H216" s="321"/>
      <c r="I216" s="322"/>
      <c r="J216" s="323"/>
    </row>
    <row r="217" spans="1:10" ht="15" customHeight="1">
      <c r="A217" s="315"/>
      <c r="B217" s="1223">
        <v>51120217</v>
      </c>
      <c r="C217" s="316" t="s">
        <v>2526</v>
      </c>
      <c r="D217" s="317"/>
      <c r="E217" s="318">
        <v>20900000</v>
      </c>
      <c r="F217" s="319"/>
      <c r="G217" s="320"/>
      <c r="H217" s="321"/>
      <c r="I217" s="322"/>
      <c r="J217" s="323"/>
    </row>
    <row r="218" spans="1:10" ht="15" customHeight="1">
      <c r="A218" s="315"/>
      <c r="B218" s="1223">
        <v>4510000</v>
      </c>
      <c r="C218" s="316" t="s">
        <v>2683</v>
      </c>
      <c r="D218" s="317">
        <v>20900000</v>
      </c>
      <c r="E218" s="318"/>
      <c r="F218" s="319"/>
      <c r="G218" s="320"/>
      <c r="H218" s="321"/>
      <c r="I218" s="322"/>
      <c r="J218" s="323"/>
    </row>
    <row r="219" spans="1:10" ht="15" customHeight="1">
      <c r="A219" s="315"/>
      <c r="B219" s="1223">
        <v>51150217</v>
      </c>
      <c r="C219" s="316" t="s">
        <v>2527</v>
      </c>
      <c r="D219" s="317">
        <v>22000000</v>
      </c>
      <c r="E219" s="318"/>
      <c r="F219" s="319"/>
      <c r="G219" s="320"/>
      <c r="H219" s="321"/>
      <c r="I219" s="322"/>
      <c r="J219" s="323"/>
    </row>
    <row r="220" spans="1:10" ht="15" customHeight="1">
      <c r="A220" s="315"/>
      <c r="B220" s="1223">
        <v>4510000</v>
      </c>
      <c r="C220" s="316" t="s">
        <v>2683</v>
      </c>
      <c r="D220" s="317"/>
      <c r="E220" s="318">
        <v>22000000</v>
      </c>
      <c r="F220" s="319"/>
      <c r="G220" s="320"/>
      <c r="H220" s="321"/>
      <c r="I220" s="322"/>
      <c r="J220" s="323"/>
    </row>
    <row r="221" spans="1:10" ht="15" customHeight="1">
      <c r="A221" s="315"/>
      <c r="B221" s="1223">
        <v>51200217</v>
      </c>
      <c r="C221" s="316" t="s">
        <v>2448</v>
      </c>
      <c r="D221" s="317"/>
      <c r="E221" s="318">
        <v>1100000</v>
      </c>
      <c r="F221" s="319"/>
      <c r="G221" s="320"/>
      <c r="H221" s="321"/>
      <c r="I221" s="322"/>
      <c r="J221" s="323"/>
    </row>
    <row r="222" spans="1:10" ht="15" customHeight="1">
      <c r="A222" s="315"/>
      <c r="B222" s="1223">
        <v>4510000</v>
      </c>
      <c r="C222" s="316" t="s">
        <v>2683</v>
      </c>
      <c r="D222" s="317">
        <v>1100000</v>
      </c>
      <c r="E222" s="318"/>
      <c r="F222" s="319"/>
      <c r="G222" s="320"/>
      <c r="H222" s="321"/>
      <c r="I222" s="322"/>
      <c r="J222" s="323"/>
    </row>
    <row r="223" spans="1:10" ht="15" customHeight="1">
      <c r="A223" s="315"/>
      <c r="B223" s="1223">
        <v>51150215</v>
      </c>
      <c r="C223" s="316" t="s">
        <v>2527</v>
      </c>
      <c r="D223" s="317">
        <v>1250000</v>
      </c>
      <c r="E223" s="318"/>
      <c r="F223" s="319"/>
      <c r="G223" s="320"/>
      <c r="H223" s="321"/>
      <c r="I223" s="322"/>
      <c r="J223" s="323"/>
    </row>
    <row r="224" spans="1:10" ht="15" customHeight="1">
      <c r="A224" s="315"/>
      <c r="B224" s="1223">
        <v>4510000</v>
      </c>
      <c r="C224" s="316" t="s">
        <v>2683</v>
      </c>
      <c r="D224" s="317"/>
      <c r="E224" s="318">
        <v>1250000</v>
      </c>
      <c r="F224" s="319"/>
      <c r="G224" s="320"/>
      <c r="H224" s="321"/>
      <c r="I224" s="322"/>
      <c r="J224" s="323"/>
    </row>
    <row r="225" spans="1:10" ht="15" customHeight="1">
      <c r="A225" s="315"/>
      <c r="B225" s="1223">
        <v>51150216</v>
      </c>
      <c r="C225" s="316" t="s">
        <v>2527</v>
      </c>
      <c r="D225" s="317">
        <v>431085</v>
      </c>
      <c r="E225" s="318"/>
      <c r="F225" s="319"/>
      <c r="G225" s="320"/>
      <c r="H225" s="321"/>
      <c r="I225" s="322"/>
      <c r="J225" s="323"/>
    </row>
    <row r="226" spans="1:10" ht="15" customHeight="1">
      <c r="A226" s="315"/>
      <c r="B226" s="1223">
        <v>4510000</v>
      </c>
      <c r="C226" s="316" t="s">
        <v>2683</v>
      </c>
      <c r="D226" s="317"/>
      <c r="E226" s="318">
        <v>431085</v>
      </c>
      <c r="F226" s="319"/>
      <c r="G226" s="320"/>
      <c r="H226" s="321"/>
      <c r="I226" s="322"/>
      <c r="J226" s="323"/>
    </row>
    <row r="227" spans="1:10" ht="15" customHeight="1">
      <c r="A227" s="315"/>
      <c r="B227" s="1223">
        <v>51150215</v>
      </c>
      <c r="C227" s="316" t="s">
        <v>2527</v>
      </c>
      <c r="D227" s="317">
        <v>8722</v>
      </c>
      <c r="E227" s="318"/>
      <c r="F227" s="319"/>
      <c r="G227" s="320"/>
      <c r="H227" s="321"/>
      <c r="I227" s="322"/>
      <c r="J227" s="323"/>
    </row>
    <row r="228" spans="1:10" ht="15" customHeight="1">
      <c r="A228" s="315"/>
      <c r="B228" s="1223">
        <v>4510000</v>
      </c>
      <c r="C228" s="316" t="s">
        <v>2683</v>
      </c>
      <c r="D228" s="317"/>
      <c r="E228" s="318">
        <v>8722</v>
      </c>
      <c r="F228" s="319"/>
      <c r="G228" s="320"/>
      <c r="H228" s="321"/>
      <c r="I228" s="322"/>
      <c r="J228" s="323"/>
    </row>
    <row r="229" spans="1:10" ht="15" customHeight="1">
      <c r="A229" s="315"/>
      <c r="B229" s="1223">
        <v>51150215</v>
      </c>
      <c r="C229" s="316" t="s">
        <v>2527</v>
      </c>
      <c r="D229" s="317">
        <v>350</v>
      </c>
      <c r="E229" s="318"/>
      <c r="F229" s="319"/>
      <c r="G229" s="320"/>
      <c r="H229" s="321"/>
      <c r="I229" s="322"/>
      <c r="J229" s="323"/>
    </row>
    <row r="230" spans="1:10" ht="15" customHeight="1">
      <c r="A230" s="315"/>
      <c r="B230" s="1223">
        <v>4510000</v>
      </c>
      <c r="C230" s="316" t="s">
        <v>2683</v>
      </c>
      <c r="D230" s="317"/>
      <c r="E230" s="318">
        <v>350</v>
      </c>
      <c r="F230" s="319"/>
      <c r="G230" s="320"/>
      <c r="H230" s="321"/>
      <c r="I230" s="322"/>
      <c r="J230" s="323"/>
    </row>
    <row r="231" spans="1:10" ht="15" customHeight="1">
      <c r="A231" s="315"/>
      <c r="B231" s="1223">
        <v>51150215</v>
      </c>
      <c r="C231" s="316" t="s">
        <v>2527</v>
      </c>
      <c r="D231" s="317">
        <v>300</v>
      </c>
      <c r="E231" s="318"/>
      <c r="F231" s="319"/>
      <c r="G231" s="320"/>
      <c r="H231" s="321"/>
      <c r="I231" s="322"/>
      <c r="J231" s="323"/>
    </row>
    <row r="232" spans="1:10" ht="15" customHeight="1">
      <c r="A232" s="315"/>
      <c r="B232" s="1223">
        <v>4510000</v>
      </c>
      <c r="C232" s="316" t="s">
        <v>2683</v>
      </c>
      <c r="D232" s="317"/>
      <c r="E232" s="318">
        <v>300</v>
      </c>
      <c r="F232" s="319"/>
      <c r="G232" s="320"/>
      <c r="H232" s="321"/>
      <c r="I232" s="322"/>
      <c r="J232" s="323"/>
    </row>
    <row r="233" spans="1:10" ht="15" customHeight="1">
      <c r="A233" s="315"/>
      <c r="B233" s="1223">
        <v>401500</v>
      </c>
      <c r="C233" s="316" t="s">
        <v>2482</v>
      </c>
      <c r="D233" s="317">
        <v>7770.1</v>
      </c>
      <c r="E233" s="318"/>
      <c r="F233" s="319"/>
      <c r="G233" s="320"/>
      <c r="H233" s="321"/>
      <c r="I233" s="322"/>
      <c r="J233" s="323"/>
    </row>
    <row r="234" spans="1:10" ht="15" customHeight="1">
      <c r="A234" s="315"/>
      <c r="B234" s="1223">
        <v>4015000</v>
      </c>
      <c r="C234" s="316" t="s">
        <v>2407</v>
      </c>
      <c r="D234" s="317"/>
      <c r="E234" s="318">
        <v>7770.1</v>
      </c>
      <c r="F234" s="319"/>
      <c r="G234" s="320"/>
      <c r="H234" s="321"/>
      <c r="I234" s="322"/>
      <c r="J234" s="323"/>
    </row>
    <row r="235" spans="1:10" ht="15" customHeight="1">
      <c r="A235" s="315"/>
      <c r="B235" s="1223">
        <v>411500</v>
      </c>
      <c r="C235" s="316" t="s">
        <v>2488</v>
      </c>
      <c r="D235" s="317"/>
      <c r="E235" s="318">
        <v>241132.81000000238</v>
      </c>
      <c r="F235" s="319"/>
      <c r="G235" s="320"/>
      <c r="H235" s="321"/>
      <c r="I235" s="322"/>
      <c r="J235" s="323"/>
    </row>
    <row r="236" spans="1:10" ht="15" customHeight="1">
      <c r="A236" s="315"/>
      <c r="B236" s="1223">
        <v>4115000</v>
      </c>
      <c r="C236" s="316" t="s">
        <v>2413</v>
      </c>
      <c r="D236" s="317">
        <v>241132.81000000238</v>
      </c>
      <c r="E236" s="318"/>
      <c r="F236" s="319"/>
      <c r="G236" s="320"/>
      <c r="H236" s="321"/>
      <c r="I236" s="322"/>
      <c r="J236" s="323"/>
    </row>
    <row r="237" spans="1:10" ht="15" customHeight="1">
      <c r="A237" s="315"/>
      <c r="B237" s="1223">
        <v>427100</v>
      </c>
      <c r="C237" s="316" t="s">
        <v>2418</v>
      </c>
      <c r="D237" s="317"/>
      <c r="E237" s="318">
        <v>292</v>
      </c>
      <c r="F237" s="319"/>
      <c r="G237" s="320"/>
      <c r="H237" s="321"/>
      <c r="I237" s="322"/>
      <c r="J237" s="323"/>
    </row>
    <row r="238" spans="1:10" ht="15" customHeight="1">
      <c r="A238" s="315"/>
      <c r="B238" s="1223">
        <v>4210100</v>
      </c>
      <c r="C238" s="316" t="s">
        <v>2681</v>
      </c>
      <c r="D238" s="317">
        <v>292</v>
      </c>
      <c r="E238" s="318"/>
      <c r="F238" s="319"/>
      <c r="G238" s="320"/>
      <c r="H238" s="321"/>
      <c r="I238" s="322"/>
      <c r="J238" s="323"/>
    </row>
    <row r="239" spans="1:10" ht="15" customHeight="1">
      <c r="A239" s="315"/>
      <c r="B239" s="1223">
        <v>427100</v>
      </c>
      <c r="C239" s="316" t="s">
        <v>2418</v>
      </c>
      <c r="D239" s="317"/>
      <c r="E239" s="318">
        <v>431085</v>
      </c>
      <c r="F239" s="319"/>
      <c r="G239" s="320"/>
      <c r="H239" s="321"/>
      <c r="I239" s="322"/>
      <c r="J239" s="323"/>
    </row>
    <row r="240" spans="1:10" ht="15" customHeight="1">
      <c r="A240" s="315"/>
      <c r="B240" s="1223">
        <v>4210100</v>
      </c>
      <c r="C240" s="316" t="s">
        <v>2681</v>
      </c>
      <c r="D240" s="317">
        <v>431085</v>
      </c>
      <c r="E240" s="318"/>
      <c r="F240" s="319"/>
      <c r="G240" s="320"/>
      <c r="H240" s="321"/>
      <c r="I240" s="322"/>
      <c r="J240" s="323"/>
    </row>
    <row r="241" spans="1:10" ht="15" customHeight="1">
      <c r="A241" s="315"/>
      <c r="B241" s="1223">
        <v>428610</v>
      </c>
      <c r="C241" s="316" t="s">
        <v>2423</v>
      </c>
      <c r="D241" s="317"/>
      <c r="E241" s="318">
        <v>8793</v>
      </c>
      <c r="F241" s="319"/>
      <c r="G241" s="320"/>
      <c r="H241" s="321"/>
      <c r="I241" s="322"/>
      <c r="J241" s="323"/>
    </row>
    <row r="242" spans="1:10" ht="15" customHeight="1">
      <c r="A242" s="315"/>
      <c r="B242" s="1223">
        <v>4286100</v>
      </c>
      <c r="C242" s="316" t="s">
        <v>2423</v>
      </c>
      <c r="D242" s="317">
        <v>8793</v>
      </c>
      <c r="E242" s="318"/>
      <c r="F242" s="319"/>
      <c r="G242" s="320"/>
      <c r="H242" s="321"/>
      <c r="I242" s="322"/>
      <c r="J242" s="323"/>
    </row>
    <row r="243" spans="1:10" ht="15" customHeight="1">
      <c r="A243" s="315"/>
      <c r="B243" s="1223">
        <v>437200</v>
      </c>
      <c r="C243" s="316" t="s">
        <v>2426</v>
      </c>
      <c r="D243" s="317"/>
      <c r="E243" s="318">
        <v>350</v>
      </c>
      <c r="F243" s="319"/>
      <c r="G243" s="320"/>
      <c r="H243" s="321"/>
      <c r="I243" s="322"/>
      <c r="J243" s="323"/>
    </row>
    <row r="244" spans="1:10" ht="15" customHeight="1">
      <c r="A244" s="315"/>
      <c r="B244" s="1223">
        <v>4372000</v>
      </c>
      <c r="C244" s="316" t="s">
        <v>2426</v>
      </c>
      <c r="D244" s="317">
        <v>350</v>
      </c>
      <c r="E244" s="318"/>
      <c r="F244" s="319"/>
      <c r="G244" s="320"/>
      <c r="H244" s="321"/>
      <c r="I244" s="322"/>
      <c r="J244" s="323"/>
    </row>
    <row r="245" spans="1:10" ht="15" customHeight="1">
      <c r="A245" s="315"/>
      <c r="B245" s="1223">
        <v>437200</v>
      </c>
      <c r="C245" s="316" t="s">
        <v>2426</v>
      </c>
      <c r="D245" s="317"/>
      <c r="E245" s="318">
        <v>300</v>
      </c>
      <c r="F245" s="319"/>
      <c r="G245" s="320"/>
      <c r="H245" s="321"/>
      <c r="I245" s="322"/>
      <c r="J245" s="323"/>
    </row>
    <row r="246" spans="1:10" ht="15" customHeight="1">
      <c r="A246" s="315"/>
      <c r="B246" s="1223">
        <v>4372000</v>
      </c>
      <c r="C246" s="316" t="s">
        <v>2426</v>
      </c>
      <c r="D246" s="317">
        <v>300</v>
      </c>
      <c r="E246" s="318"/>
      <c r="F246" s="319"/>
      <c r="G246" s="320"/>
      <c r="H246" s="321"/>
      <c r="I246" s="322"/>
      <c r="J246" s="323"/>
    </row>
    <row r="247" spans="1:10" ht="15" customHeight="1">
      <c r="A247" s="315"/>
      <c r="B247" s="1223">
        <v>437425</v>
      </c>
      <c r="C247" s="316" t="s">
        <v>2428</v>
      </c>
      <c r="D247" s="317">
        <v>434</v>
      </c>
      <c r="E247" s="318"/>
      <c r="F247" s="319"/>
      <c r="G247" s="320"/>
      <c r="H247" s="321"/>
      <c r="I247" s="322"/>
      <c r="J247" s="323"/>
    </row>
    <row r="248" spans="1:10" ht="15" customHeight="1">
      <c r="A248" s="315"/>
      <c r="B248" s="1223">
        <v>4373000</v>
      </c>
      <c r="C248" s="316" t="s">
        <v>2682</v>
      </c>
      <c r="D248" s="317"/>
      <c r="E248" s="318">
        <v>434</v>
      </c>
      <c r="F248" s="319"/>
      <c r="G248" s="320"/>
      <c r="H248" s="321"/>
      <c r="I248" s="322"/>
      <c r="J248" s="323"/>
    </row>
    <row r="249" spans="1:10" ht="15" customHeight="1">
      <c r="A249" s="315"/>
      <c r="B249" s="1223">
        <v>437407</v>
      </c>
      <c r="C249" s="316" t="s">
        <v>1427</v>
      </c>
      <c r="D249" s="317"/>
      <c r="E249" s="318">
        <v>7770.1</v>
      </c>
      <c r="F249" s="319"/>
      <c r="G249" s="320"/>
      <c r="H249" s="321"/>
      <c r="I249" s="322"/>
      <c r="J249" s="323"/>
    </row>
    <row r="250" spans="1:10" ht="15" customHeight="1">
      <c r="A250" s="315"/>
      <c r="B250" s="1223">
        <v>4374070</v>
      </c>
      <c r="C250" s="316" t="s">
        <v>1427</v>
      </c>
      <c r="D250" s="317">
        <v>7770.1</v>
      </c>
      <c r="E250" s="318"/>
      <c r="F250" s="319"/>
      <c r="G250" s="320"/>
      <c r="H250" s="321"/>
      <c r="I250" s="322"/>
      <c r="J250" s="323"/>
    </row>
    <row r="251" spans="1:10" ht="15" customHeight="1">
      <c r="A251" s="315"/>
      <c r="B251" s="1223">
        <v>437407</v>
      </c>
      <c r="C251" s="316" t="s">
        <v>1427</v>
      </c>
      <c r="D251" s="317"/>
      <c r="E251" s="318">
        <v>3016</v>
      </c>
      <c r="F251" s="319"/>
      <c r="G251" s="320"/>
      <c r="H251" s="321"/>
      <c r="I251" s="322"/>
      <c r="J251" s="323"/>
    </row>
    <row r="252" spans="1:10" ht="15" customHeight="1">
      <c r="A252" s="315"/>
      <c r="B252" s="1223">
        <v>4374070</v>
      </c>
      <c r="C252" s="316" t="s">
        <v>1427</v>
      </c>
      <c r="D252" s="317">
        <v>3016</v>
      </c>
      <c r="E252" s="318"/>
      <c r="F252" s="319"/>
      <c r="G252" s="320"/>
      <c r="H252" s="321"/>
      <c r="I252" s="322"/>
      <c r="J252" s="323"/>
    </row>
    <row r="253" spans="1:10" ht="15" customHeight="1">
      <c r="A253" s="315"/>
      <c r="B253" s="1223">
        <v>437408</v>
      </c>
      <c r="C253" s="316" t="s">
        <v>2427</v>
      </c>
      <c r="D253" s="317">
        <v>112426</v>
      </c>
      <c r="E253" s="318"/>
      <c r="F253" s="319"/>
      <c r="G253" s="320"/>
      <c r="H253" s="321"/>
      <c r="I253" s="322"/>
      <c r="J253" s="323"/>
    </row>
    <row r="254" spans="1:10" ht="15" customHeight="1">
      <c r="A254" s="315"/>
      <c r="B254" s="1223">
        <v>4374080</v>
      </c>
      <c r="C254" s="316" t="s">
        <v>2427</v>
      </c>
      <c r="D254" s="317"/>
      <c r="E254" s="318">
        <v>112426</v>
      </c>
      <c r="F254" s="319"/>
      <c r="G254" s="320"/>
      <c r="H254" s="321"/>
      <c r="I254" s="322"/>
      <c r="J254" s="323"/>
    </row>
    <row r="255" spans="1:10" ht="15" customHeight="1">
      <c r="A255" s="315"/>
      <c r="B255" s="1223">
        <v>437408</v>
      </c>
      <c r="C255" s="316" t="s">
        <v>2427</v>
      </c>
      <c r="D255" s="317"/>
      <c r="E255" s="318">
        <v>91227</v>
      </c>
      <c r="F255" s="319"/>
      <c r="G255" s="320"/>
      <c r="H255" s="321"/>
      <c r="I255" s="322"/>
      <c r="J255" s="323"/>
    </row>
    <row r="256" spans="1:10" ht="15" customHeight="1">
      <c r="A256" s="315"/>
      <c r="B256" s="1223">
        <v>4374080</v>
      </c>
      <c r="C256" s="316" t="s">
        <v>2427</v>
      </c>
      <c r="D256" s="317">
        <v>91227</v>
      </c>
      <c r="E256" s="318"/>
      <c r="F256" s="319"/>
      <c r="G256" s="320"/>
      <c r="H256" s="321"/>
      <c r="I256" s="322"/>
      <c r="J256" s="323"/>
    </row>
    <row r="257" spans="1:18" ht="15" customHeight="1">
      <c r="A257" s="315"/>
      <c r="B257" s="1223">
        <v>438666</v>
      </c>
      <c r="C257" s="316" t="s">
        <v>2431</v>
      </c>
      <c r="D257" s="317">
        <v>9011</v>
      </c>
      <c r="E257" s="318"/>
      <c r="F257" s="319"/>
      <c r="G257" s="320"/>
      <c r="H257" s="321"/>
      <c r="I257" s="322"/>
      <c r="J257" s="323"/>
    </row>
    <row r="258" spans="1:18" ht="15" customHeight="1">
      <c r="A258" s="315"/>
      <c r="B258" s="1223">
        <v>4386660</v>
      </c>
      <c r="C258" s="316" t="s">
        <v>2431</v>
      </c>
      <c r="D258" s="317"/>
      <c r="E258" s="318">
        <v>9011</v>
      </c>
      <c r="F258" s="319"/>
      <c r="G258" s="320"/>
      <c r="H258" s="321"/>
      <c r="I258" s="322"/>
      <c r="J258" s="323"/>
    </row>
    <row r="259" spans="1:18" ht="15" customHeight="1">
      <c r="A259" s="315"/>
      <c r="B259" s="1223"/>
      <c r="C259" s="316"/>
      <c r="D259" s="317"/>
      <c r="E259" s="318"/>
      <c r="F259" s="319"/>
      <c r="G259" s="320"/>
      <c r="H259" s="321"/>
      <c r="I259" s="322"/>
      <c r="J259" s="323"/>
    </row>
    <row r="260" spans="1:18" ht="15" customHeight="1">
      <c r="A260" s="315" t="str">
        <f>IF(B260="","",IF(B213="",SUM(COUNT($A$5:A213)+1),""))</f>
        <v/>
      </c>
      <c r="B260" s="1223"/>
      <c r="C260" s="1385" t="s">
        <v>2887</v>
      </c>
      <c r="D260" s="317"/>
      <c r="E260" s="318"/>
      <c r="F260" s="319"/>
      <c r="G260" s="320"/>
      <c r="H260" s="321"/>
      <c r="I260" s="322"/>
      <c r="J260" s="323"/>
    </row>
    <row r="261" spans="1:18" ht="15" customHeight="1">
      <c r="A261" s="315" t="str">
        <f>IF(B261="","",IF(B260="",SUM(COUNT($A$5:A260)+1),""))</f>
        <v/>
      </c>
      <c r="B261" s="1223"/>
      <c r="C261" s="316"/>
      <c r="D261" s="317"/>
      <c r="E261" s="318"/>
      <c r="F261" s="319"/>
      <c r="G261" s="320"/>
      <c r="H261" s="321"/>
      <c r="I261" s="322"/>
      <c r="J261" s="323"/>
    </row>
    <row r="262" spans="1:18" ht="15" customHeight="1">
      <c r="A262" s="315">
        <f>IF(B262="","",IF(B261="",SUM(COUNT($A$5:A261)+1),""))</f>
        <v>39</v>
      </c>
      <c r="B262" s="1223">
        <v>418150</v>
      </c>
      <c r="C262" s="316" t="s">
        <v>2489</v>
      </c>
      <c r="D262" s="317">
        <f>590750.3241953*0</f>
        <v>0</v>
      </c>
      <c r="E262" s="318"/>
      <c r="F262" s="319"/>
      <c r="G262" s="320"/>
      <c r="H262" s="321"/>
      <c r="I262" s="322"/>
      <c r="J262" s="323"/>
    </row>
    <row r="263" spans="1:18" ht="15" customHeight="1">
      <c r="A263" s="315" t="str">
        <f>IF(B263="","",IF(B262="",SUM(COUNT($A$5:A262)+1),""))</f>
        <v/>
      </c>
      <c r="B263" s="1223">
        <v>779000</v>
      </c>
      <c r="C263" s="316" t="s">
        <v>2609</v>
      </c>
      <c r="D263" s="317"/>
      <c r="E263" s="318">
        <f>589787.696666667*0</f>
        <v>0</v>
      </c>
      <c r="F263" s="319"/>
      <c r="G263" s="320"/>
      <c r="H263" s="321"/>
      <c r="I263" s="322"/>
      <c r="J263" s="323"/>
    </row>
    <row r="264" spans="1:18" ht="15" customHeight="1">
      <c r="A264" s="315" t="str">
        <f>IF(B264="","",IF(B263="",SUM(COUNT($A$5:A263)+1),""))</f>
        <v/>
      </c>
      <c r="B264" s="1223">
        <v>766000</v>
      </c>
      <c r="C264" s="316" t="s">
        <v>2677</v>
      </c>
      <c r="D264" s="317"/>
      <c r="E264" s="318">
        <f>962.627528633224*0</f>
        <v>0</v>
      </c>
      <c r="F264" s="319"/>
      <c r="G264" s="320"/>
      <c r="H264" s="321"/>
      <c r="I264" s="322"/>
      <c r="J264" s="323"/>
    </row>
    <row r="265" spans="1:18" ht="15" customHeight="1">
      <c r="A265" s="315" t="str">
        <f>IF(B265="","",IF(B264="",SUM(COUNT($A$5:A264)+1),""))</f>
        <v/>
      </c>
      <c r="B265" s="1223">
        <v>418150</v>
      </c>
      <c r="C265" s="316" t="s">
        <v>2489</v>
      </c>
      <c r="D265" s="317">
        <f>74731.5488526114*0</f>
        <v>0</v>
      </c>
      <c r="E265" s="318"/>
      <c r="F265" s="319"/>
      <c r="G265" s="320"/>
      <c r="H265" s="321"/>
      <c r="I265" s="322"/>
      <c r="J265" s="323"/>
    </row>
    <row r="266" spans="1:18" ht="15" customHeight="1">
      <c r="A266" s="315" t="str">
        <f>IF(B266="","",IF(B265="",SUM(COUNT($A$5:A265)+1),""))</f>
        <v/>
      </c>
      <c r="B266" s="1223">
        <v>779000</v>
      </c>
      <c r="C266" s="316" t="s">
        <v>2609</v>
      </c>
      <c r="D266" s="317"/>
      <c r="E266" s="318">
        <f>74609.7738095238*0</f>
        <v>0</v>
      </c>
      <c r="F266" s="319"/>
      <c r="G266" s="320"/>
      <c r="H266" s="321"/>
      <c r="I266" s="322"/>
      <c r="J266" s="323"/>
    </row>
    <row r="267" spans="1:18" ht="15" customHeight="1">
      <c r="A267" s="315" t="str">
        <f>IF(B267="","",IF(B266="",SUM(COUNT($A$5:A266)+1),""))</f>
        <v/>
      </c>
      <c r="B267" s="1223">
        <v>766000</v>
      </c>
      <c r="C267" s="316" t="s">
        <v>2677</v>
      </c>
      <c r="D267" s="317"/>
      <c r="E267" s="318">
        <f>121.775043087648*0</f>
        <v>0</v>
      </c>
      <c r="F267" s="319"/>
      <c r="G267" s="320"/>
      <c r="H267" s="321"/>
      <c r="I267" s="322"/>
      <c r="J267" s="323"/>
    </row>
    <row r="268" spans="1:18">
      <c r="A268" s="315" t="str">
        <f>IF(B268="","",IF(B267="",SUM(COUNT($A$5:A267)+1),""))</f>
        <v/>
      </c>
      <c r="B268" s="1223">
        <v>418150</v>
      </c>
      <c r="C268" s="316" t="s">
        <v>2489</v>
      </c>
      <c r="D268" s="317"/>
      <c r="E268" s="318">
        <f>38504.7229562641*0</f>
        <v>0</v>
      </c>
      <c r="F268" s="319"/>
      <c r="G268" s="320"/>
      <c r="H268" s="321"/>
      <c r="I268" s="322"/>
      <c r="J268" s="323"/>
    </row>
    <row r="269" spans="1:18" ht="15" customHeight="1">
      <c r="A269" s="315" t="str">
        <f>IF(B269="","",IF(B268="",SUM(COUNT($A$5:A268)+1),""))</f>
        <v/>
      </c>
      <c r="B269" s="1223">
        <v>779000</v>
      </c>
      <c r="C269" s="316" t="s">
        <v>2609</v>
      </c>
      <c r="D269" s="317">
        <f>38158.7392063492*0</f>
        <v>0</v>
      </c>
      <c r="E269" s="318"/>
      <c r="F269" s="319"/>
      <c r="G269" s="320"/>
      <c r="H269" s="321"/>
      <c r="I269" s="322"/>
      <c r="J269" s="323"/>
    </row>
    <row r="270" spans="1:18" ht="15" customHeight="1">
      <c r="A270" s="315" t="str">
        <f>IF(B270="","",IF(B269="",SUM(COUNT($A$5:A269)+1),""))</f>
        <v/>
      </c>
      <c r="B270" s="1223">
        <v>666000</v>
      </c>
      <c r="C270" s="316" t="s">
        <v>2675</v>
      </c>
      <c r="D270" s="317">
        <f>345.983749914965*0</f>
        <v>0</v>
      </c>
      <c r="E270" s="318"/>
      <c r="F270" s="319"/>
      <c r="G270" s="320"/>
      <c r="H270" s="321"/>
      <c r="I270" s="322"/>
      <c r="J270" s="323"/>
    </row>
    <row r="271" spans="1:18" s="281" customFormat="1" ht="15" customHeight="1">
      <c r="A271" s="1568"/>
      <c r="B271" s="500"/>
      <c r="C271" s="1385" t="s">
        <v>2888</v>
      </c>
      <c r="D271" s="1569"/>
      <c r="E271" s="1570"/>
      <c r="F271" s="1571"/>
      <c r="G271" s="1572"/>
      <c r="H271" s="1573"/>
      <c r="I271" s="330"/>
      <c r="J271" s="1574"/>
      <c r="P271" s="303"/>
      <c r="Q271" s="304"/>
      <c r="R271" s="305"/>
    </row>
    <row r="272" spans="1:18" ht="15" customHeight="1">
      <c r="A272" s="315" t="str">
        <f>IF(B272="","",IF(B270="",SUM(COUNT($A$5:A270)+1),""))</f>
        <v/>
      </c>
      <c r="B272" s="1223"/>
      <c r="C272" s="316"/>
      <c r="D272" s="317"/>
      <c r="E272" s="318"/>
      <c r="F272" s="319"/>
      <c r="G272" s="320"/>
      <c r="H272" s="321"/>
      <c r="I272" s="322"/>
      <c r="J272" s="323"/>
    </row>
    <row r="273" spans="1:10" ht="15" customHeight="1">
      <c r="A273" s="315">
        <f>IF(B273="","",IF(B272="",SUM(COUNT($A$5:A272)+1),""))</f>
        <v>40</v>
      </c>
      <c r="B273" s="1567">
        <v>418150</v>
      </c>
      <c r="C273" s="1562" t="str">
        <f>IF(B273="","",VLOOKUP(B273,'[104]TB for financial'!A:B,2,0))</f>
        <v>TRADE DEBTORS - SALES INVOICE ACCRUALS</v>
      </c>
      <c r="D273" s="1563"/>
      <c r="E273" s="1564">
        <v>342770.3097056353</v>
      </c>
      <c r="F273" s="319"/>
      <c r="G273" s="320"/>
      <c r="H273" s="321"/>
      <c r="I273" s="322"/>
      <c r="J273" s="323"/>
    </row>
    <row r="274" spans="1:10" ht="15" customHeight="1">
      <c r="A274" s="315" t="str">
        <f>IF(B274="","",IF(B273="",SUM(COUNT($A$5:A273)+1),""))</f>
        <v/>
      </c>
      <c r="B274" s="1567">
        <v>4181500</v>
      </c>
      <c r="C274" s="1562" t="str">
        <f>IF(B274="","",VLOOKUP(B274,'[104]TB for financial'!A:B,2,0))</f>
        <v>WIP: travel costs</v>
      </c>
      <c r="D274" s="1563">
        <v>342770.3097056353</v>
      </c>
      <c r="E274" s="1564"/>
      <c r="F274" s="319"/>
      <c r="G274" s="320"/>
      <c r="H274" s="321"/>
      <c r="I274" s="322"/>
      <c r="J274" s="323"/>
    </row>
    <row r="275" spans="1:10">
      <c r="A275" s="315" t="str">
        <f>IF(B275="","",IF(B274="",SUM(COUNT($A$5:A274)+1),""))</f>
        <v/>
      </c>
      <c r="B275" s="1567">
        <v>418150</v>
      </c>
      <c r="C275" s="1562" t="str">
        <f>IF(B275="","",VLOOKUP(B275,'[104]TB for financial'!A:B,2,0))</f>
        <v>TRADE DEBTORS - SALES INVOICE ACCRUALS</v>
      </c>
      <c r="D275" s="1563"/>
      <c r="E275" s="1564">
        <v>70267.490513036231</v>
      </c>
      <c r="F275" s="319"/>
      <c r="G275" s="320"/>
      <c r="H275" s="321"/>
      <c r="I275" s="322"/>
      <c r="J275" s="323"/>
    </row>
    <row r="276" spans="1:10" ht="15" customHeight="1">
      <c r="A276" s="315" t="str">
        <f>IF(B276="","",IF(B275="",SUM(COUNT($A$5:A275)+1),""))</f>
        <v/>
      </c>
      <c r="B276" s="1567">
        <v>4181500</v>
      </c>
      <c r="C276" s="1562" t="str">
        <f>IF(B276="","",VLOOKUP(B276,'[104]TB for financial'!A:B,2,0))</f>
        <v>WIP: travel costs</v>
      </c>
      <c r="D276" s="1563">
        <v>70267.490513036231</v>
      </c>
      <c r="E276" s="1564"/>
      <c r="F276" s="319"/>
      <c r="G276" s="320"/>
      <c r="H276" s="321"/>
      <c r="I276" s="322"/>
      <c r="J276" s="323"/>
    </row>
    <row r="277" spans="1:10" ht="15" customHeight="1">
      <c r="A277" s="315" t="str">
        <f>IF(B277="","",IF(B276="",SUM(COUNT($A$5:A276)+1),""))</f>
        <v/>
      </c>
      <c r="B277" s="1567">
        <v>418150</v>
      </c>
      <c r="C277" s="1562" t="str">
        <f>IF(B277="","",VLOOKUP(B277,'[104]TB for financial'!A:B,2,0))</f>
        <v>TRADE DEBTORS - SALES INVOICE ACCRUALS</v>
      </c>
      <c r="D277" s="1563">
        <v>96451.227569385999</v>
      </c>
      <c r="E277" s="1564"/>
      <c r="F277" s="319"/>
      <c r="G277" s="320"/>
      <c r="H277" s="321"/>
      <c r="I277" s="322"/>
      <c r="J277" s="323"/>
    </row>
    <row r="278" spans="1:10" ht="15" customHeight="1">
      <c r="A278" s="315" t="str">
        <f>IF(B278="","",IF(B277="",SUM(COUNT($A$5:A277)+1),""))</f>
        <v/>
      </c>
      <c r="B278" s="1567">
        <v>4181500</v>
      </c>
      <c r="C278" s="1562" t="str">
        <f>IF(B278="","",VLOOKUP(B278,'[104]TB for financial'!A:B,2,0))</f>
        <v>WIP: travel costs</v>
      </c>
      <c r="D278" s="1563"/>
      <c r="E278" s="1564">
        <v>96451.227569385999</v>
      </c>
      <c r="F278" s="319"/>
      <c r="G278" s="320"/>
      <c r="H278" s="321"/>
      <c r="I278" s="322"/>
      <c r="J278" s="323"/>
    </row>
    <row r="279" spans="1:10" ht="15" customHeight="1">
      <c r="A279" s="315"/>
      <c r="B279" s="1567">
        <v>4181500</v>
      </c>
      <c r="C279" s="1562" t="str">
        <f>IF(B279="","",VLOOKUP(B279,'[104]TB for financial'!A:B,2,0))</f>
        <v>WIP: travel costs</v>
      </c>
      <c r="D279" s="1563">
        <v>310390.57479307603</v>
      </c>
      <c r="E279" s="1564"/>
      <c r="F279" s="319"/>
      <c r="G279" s="320"/>
      <c r="H279" s="321"/>
      <c r="I279" s="322"/>
      <c r="J279" s="323"/>
    </row>
    <row r="280" spans="1:10" ht="15" customHeight="1">
      <c r="A280" s="315"/>
      <c r="B280" s="1567">
        <v>418150</v>
      </c>
      <c r="C280" s="1562" t="str">
        <f>IF(B280="","",VLOOKUP(B280,'[104]TB for financial'!A:B,2,0))</f>
        <v>TRADE DEBTORS - SALES INVOICE ACCRUALS</v>
      </c>
      <c r="D280" s="1563"/>
      <c r="E280" s="1563">
        <v>310390.57479307603</v>
      </c>
      <c r="F280" s="319"/>
      <c r="G280" s="320"/>
      <c r="H280" s="321"/>
      <c r="I280" s="322"/>
      <c r="J280" s="323"/>
    </row>
    <row r="281" spans="1:10" ht="15" customHeight="1">
      <c r="A281" s="315" t="str">
        <f>IF(B281="","",IF(B278="",SUM(COUNT($A$5:A278)+1),""))</f>
        <v/>
      </c>
      <c r="B281" s="1223"/>
      <c r="C281" s="1385" t="s">
        <v>2888</v>
      </c>
      <c r="D281" s="317"/>
      <c r="E281" s="318"/>
      <c r="F281" s="319"/>
      <c r="G281" s="320"/>
      <c r="H281" s="321"/>
      <c r="I281" s="322"/>
      <c r="J281" s="323"/>
    </row>
    <row r="282" spans="1:10" ht="15" customHeight="1">
      <c r="A282" s="315" t="str">
        <f>IF(B282="","",IF(B281="",SUM(COUNT($A$5:A281)+1),""))</f>
        <v/>
      </c>
      <c r="B282" s="1223"/>
      <c r="C282" s="316"/>
      <c r="D282" s="317"/>
      <c r="E282" s="318"/>
      <c r="F282" s="319"/>
      <c r="G282" s="320"/>
      <c r="H282" s="321"/>
      <c r="I282" s="322"/>
      <c r="J282" s="323"/>
    </row>
    <row r="283" spans="1:10" ht="15" customHeight="1">
      <c r="A283" s="315">
        <v>41</v>
      </c>
      <c r="B283" s="1223">
        <v>702310</v>
      </c>
      <c r="C283" s="1562" t="str">
        <f>IF(B283="","",VLOOKUP(B283,'[104]TB for financial'!A:B,2,0))</f>
        <v>Indirect IC Reinvoicing</v>
      </c>
      <c r="D283" s="317">
        <v>20393931</v>
      </c>
      <c r="E283" s="318"/>
      <c r="F283" s="319"/>
      <c r="G283" s="320"/>
      <c r="H283" s="321"/>
      <c r="I283" s="322"/>
      <c r="J283" s="323"/>
    </row>
    <row r="284" spans="1:10" ht="15" customHeight="1">
      <c r="A284" s="315" t="str">
        <f>IF(B284="","",IF(B283="",SUM(COUNT($A$5:A283)+1),""))</f>
        <v/>
      </c>
      <c r="B284" s="1223">
        <v>704670</v>
      </c>
      <c r="C284" s="1562" t="str">
        <f>IF(B284="","",VLOOKUP(B284,'[104]TB for financial'!A:B,2,0))</f>
        <v>Other Financial Income</v>
      </c>
      <c r="D284" s="317"/>
      <c r="E284" s="318">
        <f>D283</f>
        <v>20393931</v>
      </c>
      <c r="F284" s="319"/>
      <c r="G284" s="320"/>
      <c r="H284" s="321"/>
      <c r="I284" s="322"/>
      <c r="J284" s="323"/>
    </row>
    <row r="285" spans="1:10" ht="31.5" customHeight="1">
      <c r="A285" s="315" t="str">
        <f>IF(B285="","",IF(B284="",SUM(COUNT($A$5:A284)+1),""))</f>
        <v/>
      </c>
      <c r="B285" s="1223"/>
      <c r="C285" s="1385" t="s">
        <v>2891</v>
      </c>
      <c r="D285" s="317"/>
      <c r="E285" s="318"/>
      <c r="F285" s="319"/>
      <c r="G285" s="320"/>
      <c r="H285" s="321"/>
      <c r="I285" s="322"/>
      <c r="J285" s="323"/>
    </row>
    <row r="286" spans="1:10" ht="15" customHeight="1">
      <c r="A286" s="315" t="str">
        <f>IF(B286="","",IF(B285="",SUM(COUNT($A$5:A285)+1),""))</f>
        <v/>
      </c>
      <c r="B286" s="1223"/>
      <c r="C286" s="316"/>
      <c r="D286" s="317"/>
      <c r="E286" s="318"/>
      <c r="F286" s="319"/>
      <c r="G286" s="320"/>
      <c r="H286" s="321"/>
      <c r="I286" s="322"/>
      <c r="J286" s="323"/>
    </row>
    <row r="287" spans="1:10" ht="15" customHeight="1">
      <c r="A287" s="315">
        <v>42</v>
      </c>
      <c r="B287" s="1576">
        <v>444400</v>
      </c>
      <c r="C287" s="1562" t="str">
        <f>IF(B287="","",VLOOKUP(B287,'[104]TB for financial'!A:B,2,0))</f>
        <v>US federal income tax liability</v>
      </c>
      <c r="D287" s="1563">
        <v>13209712.465055401</v>
      </c>
      <c r="E287" s="1564"/>
      <c r="F287" s="319"/>
      <c r="G287" s="320"/>
      <c r="H287" s="321"/>
      <c r="I287" s="322"/>
      <c r="J287" s="323"/>
    </row>
    <row r="288" spans="1:10">
      <c r="A288" s="315" t="str">
        <f>IF(B288="","",IF(B287="",SUM(COUNT($A$5:A287)+1),""))</f>
        <v/>
      </c>
      <c r="B288" s="1576">
        <v>444410</v>
      </c>
      <c r="C288" s="1562" t="str">
        <f>IF(B288="","",VLOOKUP(B288,'[104]TB for financial'!A:B,2,0))</f>
        <v>US state income tax liability</v>
      </c>
      <c r="D288" s="1564"/>
      <c r="E288" s="1564">
        <v>12144880.517731754</v>
      </c>
      <c r="F288" s="319"/>
      <c r="G288" s="320"/>
      <c r="H288" s="321"/>
      <c r="I288" s="322"/>
      <c r="J288" s="323"/>
    </row>
    <row r="289" spans="1:10" ht="15" customHeight="1">
      <c r="A289" s="315" t="str">
        <f>IF(B289="","",IF(B288="",SUM(COUNT($A$5:A288)+1),""))</f>
        <v/>
      </c>
      <c r="B289" s="1576">
        <v>695000</v>
      </c>
      <c r="C289" s="1562" t="str">
        <f>IF(B289="","",VLOOKUP(B289,'[104]TB for financial'!A:B,2,0))</f>
        <v>CORPORATE INCOME TAX</v>
      </c>
      <c r="D289" s="1563"/>
      <c r="E289" s="1564">
        <f>+D287-E288</f>
        <v>1064831.9473236464</v>
      </c>
      <c r="F289" s="319"/>
      <c r="G289" s="320"/>
      <c r="H289" s="321"/>
      <c r="I289" s="322"/>
      <c r="J289" s="323"/>
    </row>
    <row r="290" spans="1:10" ht="35.549999999999997" customHeight="1">
      <c r="A290" s="315" t="str">
        <f>IF(B290="","",IF(B289="",SUM(COUNT($A$5:A289)+1),""))</f>
        <v/>
      </c>
      <c r="B290" s="1576"/>
      <c r="C290" s="1566" t="s">
        <v>2892</v>
      </c>
      <c r="D290" s="1564"/>
      <c r="E290" s="1564"/>
      <c r="F290" s="319"/>
      <c r="G290" s="320"/>
      <c r="H290" s="321"/>
      <c r="I290" s="322"/>
      <c r="J290" s="323"/>
    </row>
    <row r="291" spans="1:10" ht="15" customHeight="1">
      <c r="A291" s="315" t="str">
        <f>IF(B291="","",IF(B290="",SUM(COUNT($A$5:A290)+1),""))</f>
        <v/>
      </c>
      <c r="B291" s="1223"/>
      <c r="C291" s="316"/>
      <c r="D291" s="317"/>
      <c r="E291" s="318"/>
      <c r="F291" s="319"/>
      <c r="G291" s="320"/>
      <c r="H291" s="321"/>
      <c r="I291" s="322"/>
      <c r="J291" s="323"/>
    </row>
    <row r="292" spans="1:10" ht="15" customHeight="1">
      <c r="A292" s="315">
        <v>43</v>
      </c>
      <c r="B292" s="1223">
        <v>695000</v>
      </c>
      <c r="C292" s="1562" t="str">
        <f>IF(B292="","",VLOOKUP(B292,'[104]TB for financial'!A:B,2,0))</f>
        <v>CORPORATE INCOME TAX</v>
      </c>
      <c r="D292" s="317"/>
      <c r="E292" s="318">
        <v>2927168</v>
      </c>
      <c r="F292" s="319"/>
      <c r="G292" s="320">
        <f>IF(H292="PL - PL",0,IF(D292="",-E292,D292))</f>
        <v>-2927168</v>
      </c>
      <c r="H292" s="321"/>
      <c r="I292" s="322"/>
      <c r="J292" s="323"/>
    </row>
    <row r="293" spans="1:10">
      <c r="A293" s="315" t="str">
        <f>IF(B293="","",IF(B292="",SUM(COUNT($A$5:A292)+1),""))</f>
        <v/>
      </c>
      <c r="B293" s="1223">
        <v>444000</v>
      </c>
      <c r="C293" s="1562" t="str">
        <f>IF(B293="","",VLOOKUP(B293,'[104]TB for financial'!A:B,2,0))</f>
        <v>Corporate Income Tax and Accrued Income</v>
      </c>
      <c r="D293" s="317">
        <v>2927168</v>
      </c>
      <c r="E293" s="318"/>
      <c r="F293" s="319"/>
      <c r="G293" s="320"/>
      <c r="H293" s="321"/>
      <c r="I293" s="322"/>
      <c r="J293" s="323"/>
    </row>
    <row r="294" spans="1:10" ht="15" customHeight="1">
      <c r="A294" s="315" t="str">
        <f>IF(B294="","",IF(B293="",SUM(COUNT($A$5:A293)+1),""))</f>
        <v/>
      </c>
      <c r="B294" s="1223">
        <v>488000</v>
      </c>
      <c r="C294" s="1562" t="str">
        <f>IF(B294="","",VLOOKUP(B294,'[104]TB for financial'!A:B,2,0))</f>
        <v>DEFERRED TAX</v>
      </c>
      <c r="D294" s="317">
        <v>2927168</v>
      </c>
      <c r="E294" s="318"/>
      <c r="F294" s="319"/>
      <c r="G294" s="320"/>
      <c r="H294" s="321"/>
      <c r="I294" s="322"/>
      <c r="J294" s="323"/>
    </row>
    <row r="295" spans="1:10" ht="15" customHeight="1">
      <c r="A295" s="315" t="str">
        <f>IF(B295="","",IF(B294="",SUM(COUNT($A$5:A294)+1),""))</f>
        <v/>
      </c>
      <c r="B295" s="1223">
        <v>444000</v>
      </c>
      <c r="C295" s="1562" t="str">
        <f>IF(B295="","",VLOOKUP(B295,'[104]TB for financial'!A:B,2,0))</f>
        <v>Corporate Income Tax and Accrued Income</v>
      </c>
      <c r="D295" s="317"/>
      <c r="E295" s="318">
        <v>2927168</v>
      </c>
      <c r="F295" s="319"/>
      <c r="G295" s="320">
        <f>IF(H295="PL - PL",0,IF(D295="",-E295,D295))</f>
        <v>-2927168</v>
      </c>
      <c r="H295" s="321"/>
      <c r="I295" s="322"/>
      <c r="J295" s="323"/>
    </row>
    <row r="296" spans="1:10" ht="15" customHeight="1">
      <c r="A296" s="315" t="str">
        <f>IF(B296="","",IF(B295="",SUM(COUNT($A$5:A295)+1),""))</f>
        <v/>
      </c>
      <c r="B296" s="1223">
        <v>695000</v>
      </c>
      <c r="C296" s="1562" t="str">
        <f>IF(B296="","",VLOOKUP(B296,'[104]TB for financial'!A:B,2,0))</f>
        <v>CORPORATE INCOME TAX</v>
      </c>
      <c r="D296" s="317">
        <v>2927168</v>
      </c>
      <c r="E296" s="318"/>
      <c r="F296" s="319"/>
      <c r="G296" s="320"/>
      <c r="H296" s="321"/>
      <c r="I296" s="322"/>
      <c r="J296" s="323"/>
    </row>
    <row r="297" spans="1:10" ht="15" customHeight="1">
      <c r="A297" s="315"/>
      <c r="B297" s="1223">
        <v>695900</v>
      </c>
      <c r="C297" s="1562" t="str">
        <f>IF(B297="","",VLOOKUP(B297,'[104]TB for financial'!A:B,2,0))</f>
        <v>DEFERRED TAX CHARGES</v>
      </c>
      <c r="D297" s="317"/>
      <c r="E297" s="318">
        <v>2927168</v>
      </c>
      <c r="F297" s="319"/>
      <c r="G297" s="320"/>
      <c r="H297" s="321"/>
      <c r="I297" s="322"/>
      <c r="J297" s="323"/>
    </row>
    <row r="298" spans="1:10" ht="15" customHeight="1">
      <c r="A298" s="315" t="str">
        <f>IF(B298="","",IF(B296="",SUM(COUNT($A$5:A296)+1),""))</f>
        <v/>
      </c>
      <c r="B298" s="1223">
        <v>695900</v>
      </c>
      <c r="C298" s="1562" t="str">
        <f>IF(B298="","",VLOOKUP(B298,'[104]TB for financial'!A:B,2,0))</f>
        <v>DEFERRED TAX CHARGES</v>
      </c>
      <c r="D298" s="317">
        <v>17730</v>
      </c>
      <c r="E298" s="318"/>
      <c r="F298" s="319"/>
      <c r="G298" s="320"/>
      <c r="H298" s="321"/>
      <c r="I298" s="322"/>
      <c r="J298" s="323"/>
    </row>
    <row r="299" spans="1:10" ht="15" customHeight="1">
      <c r="A299" s="315" t="str">
        <f>IF(B299="","",IF(B297="",SUM(COUNT($A$5:A297)+1),""))</f>
        <v/>
      </c>
      <c r="B299" s="1223">
        <v>488000</v>
      </c>
      <c r="C299" s="1562" t="str">
        <f>IF(B299="","",VLOOKUP(B299,'[104]TB for financial'!A:B,2,0))</f>
        <v>DEFERRED TAX</v>
      </c>
      <c r="D299" s="317"/>
      <c r="E299" s="318">
        <v>17730</v>
      </c>
      <c r="F299" s="319"/>
      <c r="G299" s="320"/>
      <c r="H299" s="321"/>
      <c r="I299" s="322"/>
      <c r="J299" s="323"/>
    </row>
    <row r="300" spans="1:10" ht="33" customHeight="1">
      <c r="A300" s="315" t="str">
        <f>IF(B300="","",IF(B299="",SUM(COUNT($A$5:A299)+1),""))</f>
        <v/>
      </c>
      <c r="B300" s="1223"/>
      <c r="C300" s="1566" t="s">
        <v>2893</v>
      </c>
      <c r="D300" s="317"/>
      <c r="E300" s="318"/>
      <c r="F300" s="319"/>
      <c r="G300" s="320"/>
      <c r="H300" s="321"/>
      <c r="I300" s="322"/>
      <c r="J300" s="323"/>
    </row>
    <row r="301" spans="1:10" ht="15" customHeight="1">
      <c r="A301" s="315" t="str">
        <f>IF(B301="","",IF(B300="",SUM(COUNT($A$5:A300)+1),""))</f>
        <v/>
      </c>
      <c r="B301" s="1223"/>
      <c r="C301" s="316"/>
      <c r="D301" s="317"/>
      <c r="E301" s="318"/>
      <c r="F301" s="319"/>
      <c r="G301" s="320"/>
      <c r="H301" s="321"/>
      <c r="I301" s="322"/>
      <c r="J301" s="323"/>
    </row>
    <row r="302" spans="1:10" ht="15" customHeight="1">
      <c r="A302" s="315">
        <v>44</v>
      </c>
      <c r="B302" s="1223">
        <v>695000</v>
      </c>
      <c r="C302" s="1562" t="str">
        <f>IF(B302="","",VLOOKUP(B302,'[104]TB for financial'!A:B,2,0))</f>
        <v>CORPORATE INCOME TAX</v>
      </c>
      <c r="D302" s="317"/>
      <c r="E302" s="318">
        <v>805185</v>
      </c>
      <c r="F302" s="319"/>
      <c r="G302" s="320"/>
      <c r="H302" s="321"/>
      <c r="I302" s="322"/>
      <c r="J302" s="323"/>
    </row>
    <row r="303" spans="1:10" ht="15" customHeight="1">
      <c r="A303" s="315" t="str">
        <f>IF(B303="","",IF(B302="",SUM(COUNT($A$5:A302)+1),""))</f>
        <v/>
      </c>
      <c r="B303" s="1223">
        <v>444000</v>
      </c>
      <c r="C303" s="1562" t="str">
        <f>IF(B303="","",VLOOKUP(B303,'[104]TB for financial'!A:B,2,0))</f>
        <v>Corporate Income Tax and Accrued Income</v>
      </c>
      <c r="D303" s="317">
        <v>805185</v>
      </c>
      <c r="E303" s="318"/>
      <c r="F303" s="319"/>
      <c r="G303" s="320"/>
      <c r="H303" s="321"/>
      <c r="I303" s="322"/>
      <c r="J303" s="323"/>
    </row>
    <row r="304" spans="1:10" ht="15" customHeight="1">
      <c r="A304" s="315" t="str">
        <f>IF(B304="","",IF(B303="",SUM(COUNT($A$5:A303)+1),""))</f>
        <v/>
      </c>
      <c r="B304" s="1223">
        <v>488000</v>
      </c>
      <c r="C304" s="1562" t="str">
        <f>IF(B304="","",VLOOKUP(B304,'[104]TB for financial'!A:B,2,0))</f>
        <v>DEFERRED TAX</v>
      </c>
      <c r="D304" s="317">
        <v>805185</v>
      </c>
      <c r="E304" s="318"/>
      <c r="F304" s="319"/>
      <c r="G304" s="320"/>
      <c r="H304" s="321"/>
      <c r="I304" s="322"/>
      <c r="J304" s="323"/>
    </row>
    <row r="305" spans="1:10" ht="15" customHeight="1">
      <c r="A305" s="315" t="str">
        <f>IF(B305="","",IF(B304="",SUM(COUNT($A$5:A304)+1),""))</f>
        <v/>
      </c>
      <c r="B305" s="1223">
        <v>444000</v>
      </c>
      <c r="C305" s="1562" t="str">
        <f>IF(B305="","",VLOOKUP(B305,'[104]TB for financial'!A:B,2,0))</f>
        <v>Corporate Income Tax and Accrued Income</v>
      </c>
      <c r="D305" s="317"/>
      <c r="E305" s="318">
        <v>805185</v>
      </c>
      <c r="F305" s="319"/>
      <c r="G305" s="320"/>
      <c r="H305" s="321"/>
      <c r="I305" s="322"/>
      <c r="J305" s="323"/>
    </row>
    <row r="306" spans="1:10" ht="15" customHeight="1">
      <c r="A306" s="315" t="str">
        <f>IF(B306="","",IF(B305="",SUM(COUNT($A$5:A305)+1),""))</f>
        <v/>
      </c>
      <c r="B306" s="1223">
        <v>695000</v>
      </c>
      <c r="C306" s="1562" t="str">
        <f>IF(B306="","",VLOOKUP(B306,'[104]TB for financial'!A:B,2,0))</f>
        <v>CORPORATE INCOME TAX</v>
      </c>
      <c r="D306" s="317">
        <v>805185</v>
      </c>
      <c r="E306" s="318"/>
      <c r="F306" s="319"/>
      <c r="G306" s="320"/>
      <c r="H306" s="321"/>
      <c r="I306" s="322"/>
      <c r="J306" s="323"/>
    </row>
    <row r="307" spans="1:10" ht="15" customHeight="1">
      <c r="A307" s="315" t="str">
        <f>IF(B307="","",IF(B306="",SUM(COUNT($A$5:A306)+1),""))</f>
        <v/>
      </c>
      <c r="B307" s="1223">
        <v>695900</v>
      </c>
      <c r="C307" s="1562" t="str">
        <f>IF(B307="","",VLOOKUP(B307,'[104]TB for financial'!A:B,2,0))</f>
        <v>DEFERRED TAX CHARGES</v>
      </c>
      <c r="D307" s="317"/>
      <c r="E307" s="318">
        <v>805185</v>
      </c>
      <c r="F307" s="319"/>
      <c r="G307" s="320"/>
      <c r="H307" s="321"/>
      <c r="I307" s="322"/>
      <c r="J307" s="323"/>
    </row>
    <row r="308" spans="1:10" ht="15" customHeight="1">
      <c r="A308" s="315" t="str">
        <f>IF(B308="","",IF(B307="",SUM(COUNT($A$5:A307)+1),""))</f>
        <v/>
      </c>
      <c r="B308" s="1223">
        <v>695900</v>
      </c>
      <c r="C308" s="1562" t="str">
        <f>IF(B308="","",VLOOKUP(B308,'[104]TB for financial'!A:B,2,0))</f>
        <v>DEFERRED TAX CHARGES</v>
      </c>
      <c r="D308" s="317">
        <v>12266</v>
      </c>
      <c r="E308" s="318"/>
      <c r="F308" s="319"/>
      <c r="G308" s="320">
        <f>IF(H308="PL - PL",0,IF(D308="",-E308,D308))</f>
        <v>12266</v>
      </c>
      <c r="H308" s="321"/>
      <c r="I308" s="322"/>
      <c r="J308" s="323"/>
    </row>
    <row r="309" spans="1:10" ht="15" customHeight="1">
      <c r="A309" s="315" t="str">
        <f>IF(B309="","",IF(B308="",SUM(COUNT($A$5:A308)+1),""))</f>
        <v/>
      </c>
      <c r="B309" s="1223">
        <v>488000</v>
      </c>
      <c r="C309" s="1562" t="str">
        <f>IF(B309="","",VLOOKUP(B309,'[104]TB for financial'!A:B,2,0))</f>
        <v>DEFERRED TAX</v>
      </c>
      <c r="D309" s="317"/>
      <c r="E309" s="318">
        <v>12266</v>
      </c>
      <c r="F309" s="319"/>
      <c r="G309" s="320"/>
      <c r="H309" s="321"/>
      <c r="I309" s="322"/>
      <c r="J309" s="323"/>
    </row>
    <row r="310" spans="1:10" ht="28.5" customHeight="1">
      <c r="A310" s="315" t="str">
        <f>IF(B310="","",IF(B309="",SUM(COUNT($A$5:A309)+1),""))</f>
        <v/>
      </c>
      <c r="B310" s="1223"/>
      <c r="C310" s="1566" t="s">
        <v>2894</v>
      </c>
      <c r="D310" s="317"/>
      <c r="E310" s="318"/>
      <c r="F310" s="319"/>
      <c r="G310" s="320"/>
      <c r="H310" s="321"/>
      <c r="I310" s="322"/>
      <c r="J310" s="323"/>
    </row>
    <row r="311" spans="1:10" ht="15" customHeight="1">
      <c r="A311" s="315" t="str">
        <f>IF(B311="","",IF(B310="",SUM(COUNT($A$5:A310)+1),""))</f>
        <v/>
      </c>
      <c r="B311" s="1223"/>
      <c r="C311" s="316"/>
      <c r="D311" s="317"/>
      <c r="E311" s="317"/>
      <c r="F311" s="319"/>
      <c r="G311" s="320"/>
      <c r="H311" s="321"/>
      <c r="I311" s="322"/>
      <c r="J311" s="323"/>
    </row>
    <row r="312" spans="1:10" ht="15" customHeight="1">
      <c r="A312" s="315">
        <f>IF(B312="","",IF(B311="",SUM(COUNT($A$5:A311)+1),""))</f>
        <v>45</v>
      </c>
      <c r="B312" s="1223">
        <v>4880000</v>
      </c>
      <c r="C312" s="1562" t="str">
        <f>IF(B312="","",VLOOKUP(B312,'[104]TB for financial'!A:B,2,0))</f>
        <v>DEFERRED TAX</v>
      </c>
      <c r="D312" s="317">
        <v>182719.1</v>
      </c>
      <c r="E312" s="318"/>
      <c r="F312" s="319"/>
      <c r="G312" s="320"/>
      <c r="H312" s="321"/>
      <c r="I312" s="322"/>
      <c r="J312" s="323"/>
    </row>
    <row r="313" spans="1:10" ht="15" customHeight="1">
      <c r="A313" s="315" t="str">
        <f>IF(B313="","",IF(B312="",SUM(COUNT($A$5:A312)+1),""))</f>
        <v/>
      </c>
      <c r="B313" s="1223">
        <v>488000</v>
      </c>
      <c r="C313" s="1562" t="str">
        <f>IF(B313="","",VLOOKUP(B313,'[104]TB for financial'!A:B,2,0))</f>
        <v>DEFERRED TAX</v>
      </c>
      <c r="D313" s="317"/>
      <c r="E313" s="317">
        <f>D312</f>
        <v>182719.1</v>
      </c>
      <c r="F313" s="319"/>
      <c r="G313" s="320"/>
      <c r="H313" s="321"/>
      <c r="I313" s="322"/>
      <c r="J313" s="323"/>
    </row>
    <row r="314" spans="1:10" ht="15" customHeight="1">
      <c r="A314" s="315" t="str">
        <f>IF(B314="","",IF(B313="",SUM(COUNT($A$5:A313)+1),""))</f>
        <v/>
      </c>
      <c r="B314" s="1223"/>
      <c r="C314" s="1385" t="s">
        <v>2895</v>
      </c>
      <c r="D314" s="317"/>
      <c r="E314" s="318"/>
      <c r="F314" s="319"/>
      <c r="G314" s="320"/>
      <c r="H314" s="321"/>
      <c r="I314" s="322"/>
      <c r="J314" s="323"/>
    </row>
    <row r="315" spans="1:10" ht="15" customHeight="1">
      <c r="A315" s="315" t="str">
        <f>IF(B315="","",IF(B314="",SUM(COUNT($A$5:A314)+1),""))</f>
        <v/>
      </c>
      <c r="B315" s="1223"/>
      <c r="C315" s="316"/>
      <c r="D315" s="317"/>
      <c r="E315" s="318"/>
      <c r="F315" s="319"/>
      <c r="G315" s="320"/>
      <c r="H315" s="321"/>
      <c r="I315" s="322"/>
      <c r="J315" s="323"/>
    </row>
    <row r="316" spans="1:10" ht="15" customHeight="1">
      <c r="A316" s="315">
        <v>46</v>
      </c>
      <c r="B316" s="1579">
        <v>110000</v>
      </c>
      <c r="C316" s="316" t="s">
        <v>2400</v>
      </c>
      <c r="D316" s="317"/>
      <c r="E316" s="318">
        <v>398082</v>
      </c>
      <c r="F316" s="319"/>
      <c r="G316" s="320"/>
      <c r="H316" s="321"/>
      <c r="I316" s="322"/>
      <c r="J316" s="323"/>
    </row>
    <row r="317" spans="1:10" ht="15" customHeight="1">
      <c r="A317" s="315" t="str">
        <f>IF(B317="","",IF(B316="",SUM(COUNT($A$5:A316)+1),""))</f>
        <v/>
      </c>
      <c r="B317" s="1579">
        <v>444000</v>
      </c>
      <c r="C317" s="316" t="s">
        <v>2492</v>
      </c>
      <c r="D317" s="317">
        <v>398082</v>
      </c>
      <c r="E317" s="318"/>
      <c r="F317" s="319"/>
      <c r="G317" s="320"/>
      <c r="H317" s="321"/>
      <c r="I317" s="322"/>
      <c r="J317" s="323"/>
    </row>
    <row r="318" spans="1:10" ht="15" customHeight="1">
      <c r="A318" s="315" t="str">
        <f>IF(B318="","",IF(B317="",SUM(COUNT($A$5:A317)+1),""))</f>
        <v/>
      </c>
      <c r="B318" s="1579">
        <v>488120</v>
      </c>
      <c r="C318" s="316" t="s">
        <v>2550</v>
      </c>
      <c r="D318" s="317">
        <v>398082</v>
      </c>
      <c r="E318" s="318"/>
      <c r="F318" s="319"/>
      <c r="G318" s="320"/>
      <c r="H318" s="321"/>
      <c r="I318" s="322"/>
      <c r="J318" s="323"/>
    </row>
    <row r="319" spans="1:10" ht="15" customHeight="1">
      <c r="A319" s="315" t="str">
        <f>IF(B319="","",IF(B318="",SUM(COUNT($A$5:A318)+1),""))</f>
        <v/>
      </c>
      <c r="B319" s="1579">
        <v>444000</v>
      </c>
      <c r="C319" s="316" t="s">
        <v>2492</v>
      </c>
      <c r="D319" s="317"/>
      <c r="E319" s="318">
        <v>398082</v>
      </c>
      <c r="F319" s="319"/>
      <c r="G319" s="320"/>
      <c r="H319" s="321"/>
      <c r="I319" s="322"/>
      <c r="J319" s="323"/>
    </row>
    <row r="320" spans="1:10" ht="15" customHeight="1">
      <c r="A320" s="315" t="str">
        <f>IF(B320="","",IF(B319="",SUM(COUNT($A$5:A319)+1),""))</f>
        <v/>
      </c>
      <c r="B320" s="1223"/>
      <c r="C320" s="1385"/>
      <c r="D320" s="317"/>
      <c r="E320" s="318"/>
      <c r="F320" s="319"/>
      <c r="G320" s="320"/>
      <c r="H320" s="321"/>
      <c r="I320" s="322"/>
      <c r="J320" s="323"/>
    </row>
    <row r="321" spans="1:10" ht="15" customHeight="1">
      <c r="A321" s="315" t="str">
        <f>IF(B321="","",IF(B320="",SUM(COUNT($A$5:A320)+1),""))</f>
        <v/>
      </c>
      <c r="B321" s="1223"/>
      <c r="C321" s="1385" t="s">
        <v>2887</v>
      </c>
      <c r="D321" s="317"/>
      <c r="E321" s="318"/>
      <c r="F321" s="319"/>
      <c r="G321" s="320"/>
      <c r="H321" s="321"/>
      <c r="I321" s="322"/>
      <c r="J321" s="323"/>
    </row>
    <row r="322" spans="1:10" ht="15" customHeight="1">
      <c r="A322" s="315" t="str">
        <f>IF(B322="","",IF(B321="",SUM(COUNT($A$5:A321)+1),""))</f>
        <v/>
      </c>
      <c r="B322" s="1223"/>
      <c r="C322" s="316"/>
      <c r="D322" s="317"/>
      <c r="E322" s="318"/>
      <c r="F322" s="319"/>
      <c r="G322" s="320"/>
      <c r="H322" s="321"/>
      <c r="I322" s="322"/>
      <c r="J322" s="323"/>
    </row>
    <row r="323" spans="1:10" ht="15" customHeight="1">
      <c r="A323" s="315">
        <f>IF(B323="","",IF(B322="",SUM(COUNT($A$5:A322)+1),""))</f>
        <v>47</v>
      </c>
      <c r="B323" s="1223">
        <v>1013001</v>
      </c>
      <c r="C323" s="316" t="s">
        <v>2396</v>
      </c>
      <c r="D323" s="317">
        <v>54000</v>
      </c>
      <c r="E323" s="318"/>
      <c r="F323" s="319"/>
      <c r="G323" s="320"/>
      <c r="H323" s="321"/>
      <c r="I323" s="322"/>
      <c r="J323" s="323"/>
    </row>
    <row r="324" spans="1:10" ht="15" customHeight="1">
      <c r="A324" s="315" t="str">
        <f>IF(B324="","",IF(B323="",SUM(COUNT($A$5:A323)+1),""))</f>
        <v/>
      </c>
      <c r="B324" s="1223">
        <v>106810</v>
      </c>
      <c r="C324" s="1386" t="s">
        <v>2397</v>
      </c>
      <c r="D324" s="317">
        <v>8625780</v>
      </c>
      <c r="E324" s="318"/>
      <c r="F324" s="319"/>
      <c r="G324" s="320"/>
      <c r="H324" s="321"/>
      <c r="I324" s="322"/>
      <c r="J324" s="323"/>
    </row>
    <row r="325" spans="1:10" ht="15" customHeight="1">
      <c r="A325" s="315" t="str">
        <f>IF(B325="","",IF(B324="",SUM(COUNT($A$5:A324)+1),""))</f>
        <v/>
      </c>
      <c r="B325" s="1223">
        <v>106960</v>
      </c>
      <c r="C325" s="316" t="s">
        <v>2478</v>
      </c>
      <c r="D325" s="317"/>
      <c r="E325" s="318">
        <v>210334400.00164101</v>
      </c>
      <c r="F325" s="319"/>
      <c r="G325" s="320"/>
      <c r="H325" s="321"/>
      <c r="I325" s="322"/>
      <c r="J325" s="323"/>
    </row>
    <row r="326" spans="1:10" ht="15" customHeight="1">
      <c r="A326" s="315" t="str">
        <f>IF(B326="","",IF(B325="",SUM(COUNT($A$5:A325)+1),""))</f>
        <v/>
      </c>
      <c r="B326" s="1223">
        <v>110000</v>
      </c>
      <c r="C326" s="316" t="s">
        <v>2400</v>
      </c>
      <c r="D326" s="317">
        <v>201654619.99814799</v>
      </c>
      <c r="E326" s="318"/>
      <c r="F326" s="319"/>
      <c r="G326" s="320"/>
      <c r="H326" s="321"/>
      <c r="I326" s="322"/>
      <c r="J326" s="323"/>
    </row>
    <row r="327" spans="1:10" ht="15" customHeight="1">
      <c r="A327" s="315" t="str">
        <f>IF(B327="","",IF(B326="",SUM(COUNT($A$5:A326)+1),""))</f>
        <v/>
      </c>
      <c r="B327" s="1223"/>
      <c r="C327" s="316"/>
      <c r="D327" s="317"/>
      <c r="E327" s="318"/>
      <c r="F327" s="319"/>
      <c r="G327" s="320"/>
      <c r="H327" s="321"/>
      <c r="I327" s="322"/>
      <c r="J327" s="323"/>
    </row>
    <row r="328" spans="1:10" ht="15" customHeight="1">
      <c r="A328" s="315" t="str">
        <f>IF(B328="","",IF(B327="",SUM(COUNT($A$5:A327)+1),""))</f>
        <v/>
      </c>
      <c r="B328" s="1223"/>
      <c r="C328" s="1385" t="s">
        <v>2887</v>
      </c>
      <c r="D328" s="317"/>
      <c r="E328" s="318"/>
      <c r="F328" s="319"/>
      <c r="G328" s="320"/>
      <c r="H328" s="321"/>
      <c r="I328" s="322"/>
      <c r="J328" s="323"/>
    </row>
    <row r="329" spans="1:10" ht="15" customHeight="1">
      <c r="A329" s="315" t="str">
        <f>IF(B329="","",IF(B328="",SUM(COUNT($A$5:A328)+1),""))</f>
        <v/>
      </c>
      <c r="B329" s="1223"/>
      <c r="C329" s="316"/>
      <c r="D329" s="317"/>
      <c r="E329" s="318"/>
      <c r="F329" s="319"/>
      <c r="G329" s="320"/>
      <c r="H329" s="321"/>
      <c r="I329" s="322"/>
      <c r="J329" s="323"/>
    </row>
    <row r="330" spans="1:10" ht="15" customHeight="1">
      <c r="A330" s="315">
        <f>IF(B330="","",IF(B329="",SUM(COUNT($A$5:A329)+1),""))</f>
        <v>48</v>
      </c>
      <c r="B330" s="1580">
        <v>106960</v>
      </c>
      <c r="C330" s="1562" t="str">
        <f>IF(B330="","",VLOOKUP(B330,'[104]TB for financial'!A:B,2,0))</f>
        <v>Stat, Of Recognized Income and Expense</v>
      </c>
      <c r="D330" s="1563"/>
      <c r="E330" s="1563">
        <v>8395</v>
      </c>
      <c r="F330" s="319"/>
      <c r="G330" s="320"/>
      <c r="H330" s="321"/>
      <c r="I330" s="322"/>
      <c r="J330" s="323"/>
    </row>
    <row r="331" spans="1:10" ht="15" customHeight="1">
      <c r="A331" s="315" t="str">
        <f>IF(B331="","",IF(B330="",SUM(COUNT($A$5:A330)+1),""))</f>
        <v/>
      </c>
      <c r="B331" s="1580">
        <v>488000</v>
      </c>
      <c r="C331" s="1562" t="str">
        <f>IF(B331="","",VLOOKUP(B331,'[104]TB for financial'!A:B,2,0))</f>
        <v>DEFERRED TAX</v>
      </c>
      <c r="D331" s="1563">
        <f>E330</f>
        <v>8395</v>
      </c>
      <c r="E331" s="1564"/>
      <c r="F331" s="319"/>
      <c r="G331" s="320"/>
      <c r="H331" s="321"/>
      <c r="I331" s="322"/>
      <c r="J331" s="323"/>
    </row>
    <row r="332" spans="1:10" ht="28.5" customHeight="1">
      <c r="A332" s="315" t="str">
        <f>IF(B332="","",IF(B331="",SUM(COUNT($A$5:A331)+1),""))</f>
        <v/>
      </c>
      <c r="B332" s="1580"/>
      <c r="C332" s="1566" t="s">
        <v>2896</v>
      </c>
      <c r="D332" s="1563"/>
      <c r="E332" s="1564"/>
      <c r="F332" s="319"/>
      <c r="G332" s="320"/>
      <c r="H332" s="321"/>
      <c r="I332" s="322"/>
      <c r="J332" s="323"/>
    </row>
    <row r="333" spans="1:10" ht="15" customHeight="1">
      <c r="A333" s="315" t="str">
        <f>IF(B333="","",IF(B332="",SUM(COUNT($A$5:A332)+1),""))</f>
        <v/>
      </c>
      <c r="B333" s="1223"/>
      <c r="C333" s="316"/>
      <c r="D333" s="317"/>
      <c r="E333" s="318"/>
      <c r="F333" s="319"/>
      <c r="G333" s="320"/>
      <c r="H333" s="321"/>
      <c r="I333" s="322"/>
      <c r="J333" s="323"/>
    </row>
    <row r="334" spans="1:10" ht="15" customHeight="1">
      <c r="A334" s="315">
        <v>49</v>
      </c>
      <c r="B334" s="1580">
        <v>695900</v>
      </c>
      <c r="C334" s="1562" t="str">
        <f>IF(B334="","",VLOOKUP(B334,'[104]TB for financial'!A:B,2,0))</f>
        <v>DEFERRED TAX CHARGES</v>
      </c>
      <c r="D334" s="1563">
        <f>26164-5938-19065</f>
        <v>1161</v>
      </c>
      <c r="E334" s="1563"/>
      <c r="F334" s="319"/>
      <c r="G334" s="320"/>
      <c r="H334" s="321"/>
      <c r="I334" s="322"/>
      <c r="J334" s="323"/>
    </row>
    <row r="335" spans="1:10" ht="15" customHeight="1">
      <c r="A335" s="315" t="str">
        <f>IF(B335="","",IF(B334="",SUM(COUNT($A$5:A334)+1),""))</f>
        <v/>
      </c>
      <c r="B335" s="1580">
        <v>488000</v>
      </c>
      <c r="C335" s="1562" t="str">
        <f>IF(B335="","",VLOOKUP(B335,'[104]TB for financial'!A:B,2,0))</f>
        <v>DEFERRED TAX</v>
      </c>
      <c r="D335" s="1563"/>
      <c r="E335" s="1564">
        <f>D334</f>
        <v>1161</v>
      </c>
      <c r="F335" s="319"/>
      <c r="G335" s="320"/>
      <c r="H335" s="321"/>
      <c r="I335" s="322"/>
      <c r="J335" s="323"/>
    </row>
    <row r="336" spans="1:10" ht="31.95" customHeight="1">
      <c r="A336" s="315" t="str">
        <f>IF(B336="","",IF(B335="",SUM(COUNT($A$5:A335)+1),""))</f>
        <v/>
      </c>
      <c r="B336" s="1580"/>
      <c r="C336" s="1566" t="s">
        <v>2897</v>
      </c>
      <c r="D336" s="1563"/>
      <c r="E336" s="1564"/>
      <c r="F336" s="319"/>
      <c r="G336" s="320"/>
      <c r="H336" s="321"/>
      <c r="I336" s="322"/>
      <c r="J336" s="323"/>
    </row>
    <row r="337" spans="1:10" ht="15" customHeight="1">
      <c r="A337" s="315" t="str">
        <f>IF(B337="","",IF(B336="",SUM(COUNT($A$5:A336)+1),""))</f>
        <v/>
      </c>
      <c r="B337" s="327"/>
      <c r="C337" s="316"/>
      <c r="D337" s="317"/>
      <c r="E337" s="318"/>
      <c r="F337" s="319"/>
      <c r="G337" s="320"/>
      <c r="H337" s="321"/>
      <c r="I337" s="322"/>
      <c r="J337" s="323"/>
    </row>
    <row r="338" spans="1:10" ht="15" customHeight="1">
      <c r="A338" s="315">
        <f>IF(B338="","",IF(B337="",SUM(COUNT($A$5:A337)+1),""))</f>
        <v>50</v>
      </c>
      <c r="B338" s="1580">
        <v>695900</v>
      </c>
      <c r="C338" s="1562" t="str">
        <f>IF(B338="","",VLOOKUP(B338,'[104]TB for financial'!A:B,2,0))</f>
        <v>DEFERRED TAX CHARGES</v>
      </c>
      <c r="D338" s="1563"/>
      <c r="E338" s="1563">
        <v>51288</v>
      </c>
      <c r="F338" s="319"/>
      <c r="G338" s="320"/>
      <c r="H338" s="321"/>
      <c r="I338" s="322"/>
      <c r="J338" s="323"/>
    </row>
    <row r="339" spans="1:10" ht="15" customHeight="1">
      <c r="A339" s="315" t="str">
        <f>IF(B339="","",IF(B338="",SUM(COUNT($A$5:A338)+1),""))</f>
        <v/>
      </c>
      <c r="B339" s="1580">
        <v>488000</v>
      </c>
      <c r="C339" s="1562" t="str">
        <f>IF(B339="","",VLOOKUP(B339,'[104]TB for financial'!A:B,2,0))</f>
        <v>DEFERRED TAX</v>
      </c>
      <c r="D339" s="1563">
        <f>+E338</f>
        <v>51288</v>
      </c>
      <c r="E339" s="1564"/>
      <c r="F339" s="319"/>
      <c r="G339" s="320"/>
      <c r="H339" s="321"/>
      <c r="I339" s="322"/>
      <c r="J339" s="323"/>
    </row>
    <row r="340" spans="1:10" ht="47.55" customHeight="1">
      <c r="A340" s="315" t="str">
        <f>IF(B340="","",IF(B339="",SUM(COUNT($A$5:A339)+1),""))</f>
        <v/>
      </c>
      <c r="B340" s="1580"/>
      <c r="C340" s="1566" t="s">
        <v>2898</v>
      </c>
      <c r="D340" s="1563"/>
      <c r="E340" s="1564"/>
      <c r="F340" s="319"/>
      <c r="G340" s="320"/>
      <c r="H340" s="321"/>
      <c r="I340" s="322"/>
      <c r="J340" s="323"/>
    </row>
    <row r="341" spans="1:10" ht="15" customHeight="1">
      <c r="A341" s="315" t="str">
        <f>IF(B341="","",IF(B340="",SUM(COUNT($A$5:A340)+1),""))</f>
        <v/>
      </c>
      <c r="B341" s="327"/>
      <c r="C341" s="316"/>
      <c r="D341" s="317"/>
      <c r="E341" s="318"/>
      <c r="F341" s="319"/>
      <c r="G341" s="320"/>
      <c r="H341" s="321"/>
      <c r="I341" s="322"/>
      <c r="J341" s="323"/>
    </row>
    <row r="342" spans="1:10" ht="15" customHeight="1">
      <c r="A342" s="1581">
        <f>IF(B342="","",IF(B341="",SUM(COUNT($A$5:A341)+1),""))</f>
        <v>51</v>
      </c>
      <c r="B342" s="1580">
        <v>695900</v>
      </c>
      <c r="C342" s="1562" t="str">
        <f>IF(B342="","",VLOOKUP(B342,'[104]TB for financial'!A:B,2,0))</f>
        <v>DEFERRED TAX CHARGES</v>
      </c>
      <c r="D342" s="1563">
        <v>12340</v>
      </c>
      <c r="E342" s="1563"/>
      <c r="F342" s="319"/>
      <c r="G342" s="320"/>
      <c r="H342" s="321"/>
      <c r="I342" s="322"/>
      <c r="J342" s="323"/>
    </row>
    <row r="343" spans="1:10" ht="15" customHeight="1">
      <c r="A343" s="1581" t="str">
        <f>IF(B343="","",IF(B342="",SUM(COUNT($A$5:A342)+1),""))</f>
        <v/>
      </c>
      <c r="B343" s="1580">
        <v>488000</v>
      </c>
      <c r="C343" s="1562" t="str">
        <f>IF(B343="","",VLOOKUP(B343,'[104]TB for financial'!A:B,2,0))</f>
        <v>DEFERRED TAX</v>
      </c>
      <c r="D343" s="1563"/>
      <c r="E343" s="1564">
        <f>+D342</f>
        <v>12340</v>
      </c>
      <c r="F343" s="319"/>
      <c r="G343" s="320"/>
      <c r="H343" s="321"/>
      <c r="I343" s="322"/>
      <c r="J343" s="323"/>
    </row>
    <row r="344" spans="1:10" ht="30.45" customHeight="1">
      <c r="A344" s="1581" t="str">
        <f>IF(B344="","",IF(B343="",SUM(COUNT($A$5:A343)+1),""))</f>
        <v/>
      </c>
      <c r="B344" s="1580"/>
      <c r="C344" s="1566" t="s">
        <v>2899</v>
      </c>
      <c r="D344" s="1563"/>
      <c r="E344" s="1564"/>
      <c r="F344" s="319"/>
      <c r="G344" s="320"/>
      <c r="H344" s="321"/>
      <c r="I344" s="322"/>
      <c r="J344" s="323"/>
    </row>
    <row r="345" spans="1:10" ht="15" customHeight="1">
      <c r="A345" s="315" t="str">
        <f>IF(B345="","",IF(B344="",SUM(COUNT($A$5:A344)+1),""))</f>
        <v/>
      </c>
      <c r="B345" s="327"/>
      <c r="C345" s="316"/>
      <c r="D345" s="318"/>
      <c r="E345" s="318"/>
      <c r="F345" s="319"/>
      <c r="G345" s="320"/>
      <c r="H345" s="321"/>
      <c r="I345" s="322"/>
      <c r="J345" s="323"/>
    </row>
    <row r="346" spans="1:10" ht="15" customHeight="1">
      <c r="A346" s="315">
        <f>IF(B346="","",IF(B345="",SUM(COUNT($A$5:A345)+1),""))</f>
        <v>52</v>
      </c>
      <c r="B346" s="1582">
        <v>4085000</v>
      </c>
      <c r="C346" s="1562" t="str">
        <f>IF(B346="","",VLOOKUP(B346,'[104]TB for financial'!A:B,2,0))</f>
        <v>TRADE CREDITORS - PURCH. INV. ACCRUALS GROUP</v>
      </c>
      <c r="D346" s="1563">
        <v>28980</v>
      </c>
      <c r="E346" s="1564"/>
      <c r="F346" s="1586" t="s">
        <v>2901</v>
      </c>
      <c r="G346" s="320"/>
      <c r="H346" s="321"/>
      <c r="I346" s="322"/>
      <c r="J346" s="323"/>
    </row>
    <row r="347" spans="1:10" ht="15" customHeight="1">
      <c r="A347" s="315" t="str">
        <f>IF(B347="","",IF(B346="",SUM(COUNT($A$5:A346)+1),""))</f>
        <v/>
      </c>
      <c r="B347" s="1582">
        <v>606130</v>
      </c>
      <c r="C347" s="1562" t="str">
        <f>IF(B347="","",VLOOKUP(B347,'[104]TB for financial'!A:B,2,0))</f>
        <v>ELECTRICITY</v>
      </c>
      <c r="D347" s="1563"/>
      <c r="E347" s="1564">
        <v>32200</v>
      </c>
      <c r="F347" s="1586" t="s">
        <v>2903</v>
      </c>
      <c r="G347" s="320"/>
      <c r="H347" s="321"/>
      <c r="I347" s="322"/>
      <c r="J347" s="323"/>
    </row>
    <row r="348" spans="1:10" ht="15" customHeight="1">
      <c r="A348" s="315" t="str">
        <f>IF(B348="","",IF(B347="",SUM(COUNT($A$5:A347)+1),""))</f>
        <v/>
      </c>
      <c r="B348" s="1582">
        <v>437407</v>
      </c>
      <c r="C348" s="1562" t="str">
        <f>IF(B348="","",VLOOKUP(B348,'[104]TB for financial'!A:B,2,0))</f>
        <v>TDS - Rent</v>
      </c>
      <c r="D348" s="1563">
        <f>+E347-D346</f>
        <v>3220</v>
      </c>
      <c r="E348" s="1564"/>
      <c r="F348" s="319"/>
      <c r="G348" s="320"/>
      <c r="H348" s="321"/>
      <c r="I348" s="322"/>
      <c r="J348" s="323"/>
    </row>
    <row r="349" spans="1:10" ht="15" customHeight="1">
      <c r="A349" s="315"/>
      <c r="B349" s="1582">
        <v>4085000</v>
      </c>
      <c r="C349" s="1562" t="str">
        <f>IF(B349="","",VLOOKUP(B349,'[104]TB for financial'!A:B,2,0))</f>
        <v>TRADE CREDITORS - PURCH. INV. ACCRUALS GROUP</v>
      </c>
      <c r="D349" s="1563">
        <v>32200</v>
      </c>
      <c r="E349" s="1564"/>
      <c r="F349" s="319"/>
      <c r="G349" s="320"/>
      <c r="H349" s="321"/>
      <c r="I349" s="322"/>
      <c r="J349" s="323"/>
    </row>
    <row r="350" spans="1:10" ht="15" customHeight="1">
      <c r="A350" s="315" t="str">
        <f>IF(B350="","",IF(B349="",SUM(COUNT($A$5:A349)+1),""))</f>
        <v/>
      </c>
      <c r="B350" s="1582">
        <v>606130</v>
      </c>
      <c r="C350" s="1562" t="str">
        <f>IF(B350="","",VLOOKUP(B350,'[104]TB for financial'!A:B,2,0))</f>
        <v>ELECTRICITY</v>
      </c>
      <c r="D350" s="1564"/>
      <c r="E350" s="1564">
        <v>31000</v>
      </c>
      <c r="F350" s="319"/>
      <c r="G350" s="320"/>
      <c r="H350" s="321"/>
      <c r="I350" s="322"/>
      <c r="J350" s="323"/>
    </row>
    <row r="351" spans="1:10" ht="15" customHeight="1">
      <c r="A351" s="315" t="str">
        <f>IF(B351="","",IF(B350="",SUM(COUNT($A$5:A350)+1),""))</f>
        <v/>
      </c>
      <c r="B351" s="1582">
        <v>606130</v>
      </c>
      <c r="C351" s="1562" t="str">
        <f>IF(B351="","",VLOOKUP(B351,'[104]TB for financial'!A:B,2,0))</f>
        <v>ELECTRICITY</v>
      </c>
      <c r="D351" s="1563"/>
      <c r="E351" s="1564">
        <v>1200</v>
      </c>
      <c r="F351" s="319"/>
      <c r="G351" s="320"/>
      <c r="H351" s="321"/>
      <c r="I351" s="322"/>
      <c r="J351" s="323"/>
    </row>
    <row r="352" spans="1:10" ht="15" customHeight="1">
      <c r="A352" s="315"/>
      <c r="B352" s="1583">
        <v>4085000</v>
      </c>
      <c r="C352" s="1536" t="s">
        <v>2657</v>
      </c>
      <c r="D352"/>
      <c r="E352" s="1584">
        <v>27690</v>
      </c>
      <c r="F352" s="319"/>
      <c r="G352" s="320"/>
      <c r="H352" s="321"/>
      <c r="I352" s="322"/>
      <c r="J352" s="323"/>
    </row>
    <row r="353" spans="1:10" ht="15" customHeight="1">
      <c r="A353" s="315" t="str">
        <f>IF(B353="","",IF(B352="",SUM(COUNT($A$5:A352)+1),""))</f>
        <v/>
      </c>
      <c r="B353" s="1583">
        <v>4085000</v>
      </c>
      <c r="C353" s="1536" t="s">
        <v>2657</v>
      </c>
      <c r="D353"/>
      <c r="E353" s="1584">
        <v>8389</v>
      </c>
      <c r="F353" s="319"/>
      <c r="G353" s="320"/>
      <c r="H353" s="321"/>
      <c r="I353" s="322"/>
      <c r="J353" s="323"/>
    </row>
    <row r="354" spans="1:10" ht="15" customHeight="1">
      <c r="A354" s="315" t="str">
        <f>IF(B354="","",IF(B353="",SUM(COUNT($A$5:A353)+1),""))</f>
        <v/>
      </c>
      <c r="B354" s="1583">
        <v>408151</v>
      </c>
      <c r="C354" s="1536" t="s">
        <v>2410</v>
      </c>
      <c r="D354" s="1585">
        <v>36079</v>
      </c>
      <c r="E354"/>
      <c r="F354" s="319"/>
      <c r="G354" s="320"/>
      <c r="H354" s="321"/>
      <c r="I354" s="322"/>
      <c r="J354" s="323"/>
    </row>
    <row r="355" spans="1:10" ht="15" customHeight="1">
      <c r="A355" s="315" t="str">
        <f>IF(B355="","",IF(B354="",SUM(COUNT($A$5:A354)+1),""))</f>
        <v/>
      </c>
      <c r="B355" s="327"/>
      <c r="C355" s="1587" t="s">
        <v>2902</v>
      </c>
      <c r="D355" s="317"/>
      <c r="E355" s="318"/>
      <c r="F355" s="319"/>
      <c r="G355" s="320"/>
      <c r="H355" s="321"/>
      <c r="I355" s="322"/>
      <c r="J355" s="323"/>
    </row>
    <row r="356" spans="1:10" ht="15" customHeight="1">
      <c r="A356" s="315" t="str">
        <f>IF(B356="","",IF(B355="",SUM(COUNT($A$5:A355)+1),""))</f>
        <v/>
      </c>
      <c r="B356" s="327"/>
      <c r="C356" s="316"/>
      <c r="D356" s="318"/>
      <c r="E356" s="318"/>
      <c r="F356" s="319"/>
      <c r="G356" s="320"/>
      <c r="H356" s="321"/>
      <c r="I356" s="322"/>
      <c r="J356" s="323"/>
    </row>
    <row r="357" spans="1:10" ht="15" customHeight="1">
      <c r="A357" s="315">
        <f>A346+1</f>
        <v>53</v>
      </c>
      <c r="B357" s="327">
        <v>401500</v>
      </c>
      <c r="C357" s="316" t="s">
        <v>2482</v>
      </c>
      <c r="D357" s="318">
        <v>3360</v>
      </c>
      <c r="E357" s="318"/>
      <c r="F357" s="319"/>
      <c r="G357" s="320"/>
      <c r="H357" s="321"/>
      <c r="I357" s="322"/>
      <c r="J357" s="323"/>
    </row>
    <row r="358" spans="1:10" ht="15" customHeight="1">
      <c r="A358" s="315" t="str">
        <f>IF(B358="","",IF(B357="",SUM(COUNT($A$5:A357)+1),""))</f>
        <v/>
      </c>
      <c r="B358" s="327">
        <v>4015000</v>
      </c>
      <c r="C358" s="316" t="s">
        <v>2407</v>
      </c>
      <c r="D358" s="317"/>
      <c r="E358" s="318">
        <v>3360</v>
      </c>
      <c r="F358" s="319"/>
      <c r="G358" s="320"/>
      <c r="H358" s="321"/>
      <c r="I358" s="322"/>
      <c r="J358" s="323"/>
    </row>
    <row r="359" spans="1:10" ht="15" customHeight="1">
      <c r="A359" s="315" t="str">
        <f>IF(B359="","",IF(B358="",SUM(COUNT($A$5:A358)+1),""))</f>
        <v/>
      </c>
      <c r="B359" s="327">
        <v>4015000</v>
      </c>
      <c r="C359" s="316" t="s">
        <v>2407</v>
      </c>
      <c r="D359" s="318">
        <v>7770.1</v>
      </c>
      <c r="E359" s="318"/>
      <c r="F359" s="319"/>
      <c r="G359" s="320"/>
      <c r="H359" s="321"/>
      <c r="I359" s="322"/>
      <c r="J359" s="323"/>
    </row>
    <row r="360" spans="1:10" ht="15" customHeight="1">
      <c r="A360" s="315" t="str">
        <f>IF(B360="","",IF(B359="",SUM(COUNT($A$5:A359)+1),""))</f>
        <v/>
      </c>
      <c r="B360" s="327">
        <v>401500</v>
      </c>
      <c r="C360" s="316" t="s">
        <v>2482</v>
      </c>
      <c r="D360" s="317"/>
      <c r="E360" s="318">
        <v>7770.1</v>
      </c>
      <c r="F360" s="319"/>
      <c r="G360" s="320"/>
      <c r="H360" s="321"/>
      <c r="I360" s="322"/>
      <c r="J360" s="323"/>
    </row>
    <row r="361" spans="1:10" ht="15" customHeight="1">
      <c r="A361" s="315" t="str">
        <f>IF(B361="","",IF(B360="",SUM(COUNT($A$5:A360)+1),""))</f>
        <v/>
      </c>
      <c r="B361" s="327"/>
      <c r="C361" s="1587" t="s">
        <v>2904</v>
      </c>
      <c r="D361" s="317"/>
      <c r="E361" s="318"/>
      <c r="F361" s="319"/>
      <c r="G361" s="320"/>
      <c r="H361" s="321"/>
      <c r="I361" s="322"/>
      <c r="J361" s="323"/>
    </row>
    <row r="362" spans="1:10" ht="15" customHeight="1">
      <c r="A362" s="315" t="str">
        <f>IF(B362="","",IF(B361="",SUM(COUNT($A$5:A361)+1),""))</f>
        <v/>
      </c>
      <c r="B362" s="327"/>
      <c r="C362" s="316"/>
      <c r="D362" s="317"/>
      <c r="E362" s="318"/>
      <c r="F362" s="319"/>
      <c r="G362" s="1277">
        <f>IF(H362="PL - PL",0,IF(D362="",-E362,D362))</f>
        <v>0</v>
      </c>
      <c r="H362" s="321"/>
      <c r="I362" s="322"/>
      <c r="J362" s="323"/>
    </row>
    <row r="363" spans="1:10" ht="15" customHeight="1">
      <c r="A363" s="315">
        <f>A357+1</f>
        <v>54</v>
      </c>
      <c r="B363" s="327">
        <v>613200</v>
      </c>
      <c r="C363" s="316" t="s">
        <v>2905</v>
      </c>
      <c r="D363" s="318">
        <v>26230</v>
      </c>
      <c r="E363" s="318"/>
      <c r="F363" s="1586" t="s">
        <v>2908</v>
      </c>
      <c r="G363" s="1277"/>
      <c r="H363" s="321"/>
      <c r="I363" s="322"/>
      <c r="J363" s="323"/>
    </row>
    <row r="364" spans="1:10" ht="15" customHeight="1">
      <c r="A364" s="315" t="str">
        <f>IF(B364="","",IF(B363="",SUM(COUNT($A$5:A363)+1),""))</f>
        <v/>
      </c>
      <c r="B364" s="327">
        <v>606130</v>
      </c>
      <c r="C364" s="316" t="s">
        <v>2497</v>
      </c>
      <c r="D364" s="317">
        <v>1460</v>
      </c>
      <c r="E364" s="318"/>
      <c r="F364" s="319"/>
      <c r="G364" s="320"/>
      <c r="H364" s="321"/>
      <c r="I364" s="322"/>
      <c r="J364" s="323"/>
    </row>
    <row r="365" spans="1:10" ht="15" customHeight="1">
      <c r="A365" s="315" t="str">
        <f>IF(B365="","",IF(B364="",SUM(COUNT($A$5:A364)+1),""))</f>
        <v/>
      </c>
      <c r="B365" s="327">
        <v>615290</v>
      </c>
      <c r="C365" s="316" t="s">
        <v>2906</v>
      </c>
      <c r="D365" s="317">
        <v>5983</v>
      </c>
      <c r="E365" s="318"/>
      <c r="F365" s="319"/>
      <c r="G365" s="320"/>
      <c r="H365" s="321"/>
      <c r="I365" s="322"/>
      <c r="J365" s="323"/>
    </row>
    <row r="366" spans="1:10" ht="15" customHeight="1">
      <c r="A366" s="315" t="str">
        <f>IF(B366="","",IF(B365="",SUM(COUNT($A$5:A365)+1),""))</f>
        <v/>
      </c>
      <c r="B366" s="327">
        <v>627100</v>
      </c>
      <c r="C366" s="316" t="s">
        <v>2907</v>
      </c>
      <c r="D366" s="317">
        <v>2406</v>
      </c>
      <c r="E366" s="318"/>
      <c r="F366" s="319"/>
      <c r="G366" s="320"/>
      <c r="H366" s="321"/>
      <c r="I366" s="322"/>
      <c r="J366" s="323"/>
    </row>
    <row r="367" spans="1:10" ht="15" customHeight="1">
      <c r="A367" s="315" t="str">
        <f>IF(B367="","",IF(B366="",SUM(COUNT($A$5:A366)+1),""))</f>
        <v/>
      </c>
      <c r="B367" s="327">
        <v>408151</v>
      </c>
      <c r="C367" s="316" t="s">
        <v>2410</v>
      </c>
      <c r="D367" s="318"/>
      <c r="E367" s="318">
        <f>SUM(D363:D366)</f>
        <v>36079</v>
      </c>
      <c r="F367" s="319"/>
      <c r="G367" s="320"/>
      <c r="H367" s="321"/>
      <c r="I367" s="322"/>
      <c r="J367" s="323"/>
    </row>
    <row r="368" spans="1:10">
      <c r="A368" s="315" t="str">
        <f>IF(B368="","",IF(B367="",SUM(COUNT($A$5:A367)+1),""))</f>
        <v/>
      </c>
      <c r="B368" s="327"/>
      <c r="C368" s="1385" t="s">
        <v>2909</v>
      </c>
      <c r="D368" s="317"/>
      <c r="E368" s="318"/>
      <c r="F368" s="319"/>
      <c r="G368" s="320"/>
      <c r="H368" s="321"/>
      <c r="I368" s="1438"/>
      <c r="J368" s="323"/>
    </row>
    <row r="369" spans="1:10" ht="15" customHeight="1">
      <c r="A369" s="315" t="str">
        <f>IF(B369="","",IF(B368="",SUM(COUNT($A$5:A368)+1),""))</f>
        <v/>
      </c>
      <c r="B369" s="327"/>
      <c r="C369" s="316"/>
      <c r="D369" s="318"/>
      <c r="E369" s="318"/>
      <c r="F369" s="319"/>
      <c r="G369" s="320"/>
      <c r="H369" s="321"/>
      <c r="I369" s="322"/>
      <c r="J369" s="323"/>
    </row>
    <row r="370" spans="1:10" ht="15" customHeight="1">
      <c r="A370" s="315">
        <v>55</v>
      </c>
      <c r="B370" s="327">
        <v>418150</v>
      </c>
      <c r="C370" s="316" t="s">
        <v>2489</v>
      </c>
      <c r="D370" s="317">
        <v>60007</v>
      </c>
      <c r="E370" s="318"/>
      <c r="F370" s="319"/>
      <c r="G370" s="320"/>
      <c r="H370" s="321"/>
      <c r="I370" s="322"/>
      <c r="J370" s="323"/>
    </row>
    <row r="371" spans="1:10" ht="15" customHeight="1">
      <c r="A371" s="315" t="str">
        <f>IF(B371="","",IF(B370="",SUM(COUNT($A$5:A370)+1),""))</f>
        <v/>
      </c>
      <c r="B371" s="327">
        <v>779000</v>
      </c>
      <c r="C371" s="316" t="s">
        <v>2609</v>
      </c>
      <c r="D371" s="318"/>
      <c r="E371" s="317">
        <v>60007</v>
      </c>
      <c r="F371" s="319"/>
      <c r="G371" s="320"/>
      <c r="H371" s="321"/>
      <c r="I371" s="322"/>
      <c r="J371" s="323"/>
    </row>
    <row r="372" spans="1:10">
      <c r="A372" s="315" t="str">
        <f>IF(B372="","",IF(B371="",SUM(COUNT($A$5:A371)+1),""))</f>
        <v/>
      </c>
      <c r="B372" s="327"/>
      <c r="C372" s="1385" t="s">
        <v>2910</v>
      </c>
      <c r="D372" s="317"/>
      <c r="E372" s="318"/>
      <c r="F372" s="319"/>
      <c r="G372" s="320"/>
      <c r="H372" s="321"/>
      <c r="I372" s="322"/>
      <c r="J372" s="323"/>
    </row>
    <row r="373" spans="1:10" ht="15" customHeight="1">
      <c r="A373" s="315" t="str">
        <f>IF(B373="","",IF(B372="",SUM(COUNT($A$5:A372)+1),""))</f>
        <v/>
      </c>
      <c r="B373" s="1223"/>
      <c r="C373" s="316"/>
      <c r="D373" s="318"/>
      <c r="E373" s="317"/>
      <c r="F373" s="319"/>
      <c r="G373" s="320"/>
      <c r="H373" s="321"/>
      <c r="I373" s="322"/>
      <c r="J373" s="323"/>
    </row>
    <row r="374" spans="1:10" ht="15" customHeight="1">
      <c r="A374" s="315">
        <v>56</v>
      </c>
      <c r="B374" s="1223">
        <v>409100</v>
      </c>
      <c r="C374" s="316" t="s">
        <v>2658</v>
      </c>
      <c r="D374" s="317">
        <v>49094</v>
      </c>
      <c r="E374" s="318"/>
      <c r="F374" s="319"/>
      <c r="G374" s="320"/>
      <c r="H374" s="321"/>
      <c r="I374" s="322" t="s">
        <v>2912</v>
      </c>
      <c r="J374" s="323"/>
    </row>
    <row r="375" spans="1:10" ht="15" customHeight="1">
      <c r="A375" s="315" t="str">
        <f>IF(B375="","",IF(B374="",SUM(COUNT($A$5:A374)+1),""))</f>
        <v/>
      </c>
      <c r="B375" s="1223">
        <v>401100</v>
      </c>
      <c r="C375" s="316" t="s">
        <v>2482</v>
      </c>
      <c r="D375" s="318"/>
      <c r="E375" s="318">
        <v>49094</v>
      </c>
      <c r="F375" s="319"/>
      <c r="G375" s="320"/>
      <c r="H375" s="321"/>
      <c r="I375" s="322"/>
      <c r="J375" s="323"/>
    </row>
    <row r="376" spans="1:10">
      <c r="A376" s="315" t="str">
        <f>IF(B376="","",IF(B375="",SUM(COUNT($A$5:A375)+1),""))</f>
        <v/>
      </c>
      <c r="B376" s="1223"/>
      <c r="C376" s="1385" t="s">
        <v>2911</v>
      </c>
      <c r="D376" s="317"/>
      <c r="E376" s="318"/>
      <c r="F376" s="319"/>
      <c r="G376" s="320"/>
      <c r="H376" s="321"/>
      <c r="I376" s="322"/>
      <c r="J376" s="323"/>
    </row>
    <row r="377" spans="1:10" ht="15" customHeight="1">
      <c r="A377" s="315" t="str">
        <f>IF(B377="","",IF(B376="",SUM(COUNT($A$5:A376)+1),""))</f>
        <v/>
      </c>
      <c r="B377" s="1223"/>
      <c r="C377" s="316"/>
      <c r="D377" s="318"/>
      <c r="E377" s="318"/>
      <c r="F377" s="319"/>
      <c r="G377" s="320"/>
      <c r="H377" s="321"/>
      <c r="I377" s="322"/>
      <c r="J377" s="323"/>
    </row>
    <row r="378" spans="1:10" ht="15" customHeight="1">
      <c r="A378" s="315">
        <v>57</v>
      </c>
      <c r="B378" s="1529">
        <v>695900</v>
      </c>
      <c r="C378" s="316" t="str">
        <f>IF(B378="","",VLOOKUP(B378,'[101]TB for financial'!A:B,2,0))</f>
        <v>DEFERRED TAX CHARGES</v>
      </c>
      <c r="D378" s="317"/>
      <c r="E378" s="1558">
        <f>D379</f>
        <v>26397166.31552</v>
      </c>
      <c r="F378" s="319"/>
      <c r="G378" s="320"/>
      <c r="H378" s="321"/>
      <c r="I378" s="322"/>
      <c r="J378" s="323"/>
    </row>
    <row r="379" spans="1:10" ht="15" customHeight="1">
      <c r="A379" s="315" t="str">
        <f>IF(B379="","",IF(B378="",SUM(COUNT($A$5:A378)+1),""))</f>
        <v/>
      </c>
      <c r="B379" s="1529">
        <v>155000</v>
      </c>
      <c r="C379" s="316" t="str">
        <f>IF(B379="","",VLOOKUP(B379,'[101]TB for financial'!A:B,2,0))</f>
        <v>DEFERRED TAX LIABILITY</v>
      </c>
      <c r="D379" s="1557">
        <v>26397166.31552</v>
      </c>
      <c r="E379" s="318"/>
      <c r="F379" s="319"/>
      <c r="G379" s="320"/>
      <c r="H379" s="321"/>
      <c r="I379" s="322"/>
      <c r="J379" s="323"/>
    </row>
    <row r="380" spans="1:10" ht="28.8">
      <c r="A380" s="315" t="str">
        <f>IF(B380="","",IF(B379="",SUM(COUNT($A$5:A379)+1),""))</f>
        <v/>
      </c>
      <c r="B380" s="1529"/>
      <c r="C380" s="1385" t="s">
        <v>2913</v>
      </c>
      <c r="D380" s="317"/>
      <c r="E380" s="318"/>
      <c r="F380" s="319"/>
      <c r="G380" s="320"/>
      <c r="H380" s="321"/>
      <c r="I380" s="322"/>
      <c r="J380" s="323"/>
    </row>
    <row r="381" spans="1:10" ht="15" customHeight="1">
      <c r="A381" s="315" t="str">
        <f>IF(B381="","",IF(B380="",SUM(COUNT($A$5:A380)+1),""))</f>
        <v/>
      </c>
      <c r="B381" s="1223"/>
      <c r="C381" s="316"/>
      <c r="D381" s="318"/>
      <c r="E381" s="318"/>
      <c r="F381" s="319"/>
      <c r="G381" s="320"/>
      <c r="H381" s="321"/>
      <c r="I381" s="322"/>
      <c r="J381" s="323"/>
    </row>
    <row r="382" spans="1:10" ht="15" customHeight="1">
      <c r="A382" s="315">
        <v>58</v>
      </c>
      <c r="B382" s="1223">
        <v>779000</v>
      </c>
      <c r="C382" s="316" t="s">
        <v>2609</v>
      </c>
      <c r="D382" s="317">
        <v>99169</v>
      </c>
      <c r="E382" s="318"/>
      <c r="F382" s="319"/>
      <c r="G382" s="320"/>
      <c r="H382" s="321"/>
      <c r="I382" s="322"/>
      <c r="J382" s="323"/>
    </row>
    <row r="383" spans="1:10" ht="15" customHeight="1">
      <c r="A383" s="315" t="str">
        <f>IF(B383="","",IF(B382="",SUM(COUNT($A$5:A382)+1),""))</f>
        <v/>
      </c>
      <c r="B383" s="1223">
        <v>418150</v>
      </c>
      <c r="C383" s="316" t="s">
        <v>2489</v>
      </c>
      <c r="D383" s="318"/>
      <c r="E383" s="318">
        <f>D382</f>
        <v>99169</v>
      </c>
      <c r="F383" s="319"/>
      <c r="G383" s="1277">
        <f>IF(H383="PL - PL",0,IF(D383="",-E383,D383))</f>
        <v>-99169</v>
      </c>
      <c r="H383" s="321"/>
      <c r="I383" s="322"/>
      <c r="J383" s="323"/>
    </row>
    <row r="384" spans="1:10" ht="28.8">
      <c r="A384" s="315" t="str">
        <f>IF(B384="","",IF(B383="",SUM(COUNT($A$5:A383)+1),""))</f>
        <v/>
      </c>
      <c r="B384" s="1223"/>
      <c r="C384" s="1385" t="s">
        <v>2914</v>
      </c>
      <c r="D384" s="317"/>
      <c r="E384" s="318"/>
      <c r="F384" s="319"/>
      <c r="G384" s="320"/>
      <c r="H384" s="321"/>
      <c r="I384" s="322"/>
      <c r="J384" s="323"/>
    </row>
    <row r="385" spans="1:11" ht="15" customHeight="1">
      <c r="A385" s="315" t="str">
        <f>IF(B385="","",IF(B384="",SUM(COUNT($A$5:A384)+1),""))</f>
        <v/>
      </c>
      <c r="B385" s="1223"/>
      <c r="C385" s="316"/>
      <c r="D385" s="318"/>
      <c r="E385" s="318"/>
      <c r="F385" s="319"/>
      <c r="G385" s="320"/>
      <c r="H385" s="321"/>
      <c r="I385" s="322"/>
      <c r="J385" s="323"/>
    </row>
    <row r="386" spans="1:11" ht="15" customHeight="1">
      <c r="A386" s="315">
        <f>IF(B386="","",IF(B385="",SUM(COUNT($A$5:A385)+1),""))</f>
        <v>59</v>
      </c>
      <c r="B386" s="1223">
        <v>425004</v>
      </c>
      <c r="C386" s="316" t="s">
        <v>2417</v>
      </c>
      <c r="D386" s="317"/>
      <c r="E386" s="318">
        <v>83335</v>
      </c>
      <c r="F386" s="319"/>
      <c r="G386" s="320" t="s">
        <v>2917</v>
      </c>
      <c r="H386" s="321"/>
      <c r="I386" s="322"/>
      <c r="J386" s="323"/>
    </row>
    <row r="387" spans="1:11" ht="15" customHeight="1">
      <c r="A387" s="315" t="str">
        <f>IF(B387="","",IF(B386="",SUM(COUNT($A$5:A386)+1),""))</f>
        <v/>
      </c>
      <c r="B387" s="1223">
        <v>437000</v>
      </c>
      <c r="C387" s="316" t="s">
        <v>2845</v>
      </c>
      <c r="D387" s="318"/>
      <c r="E387" s="318">
        <v>37835</v>
      </c>
      <c r="F387" s="319"/>
      <c r="G387" s="1277">
        <f>IF(H387="PL - PL",0,IF(D387="",-E387,D387))</f>
        <v>-37835</v>
      </c>
      <c r="H387" s="321"/>
      <c r="I387" s="322"/>
      <c r="J387" s="323"/>
    </row>
    <row r="388" spans="1:11" ht="15" customHeight="1">
      <c r="A388" s="315" t="str">
        <f>IF(B388="","",IF(B387="",SUM(COUNT($A$5:A387)+1),""))</f>
        <v/>
      </c>
      <c r="B388" s="1223">
        <v>425000</v>
      </c>
      <c r="C388" s="316" t="s">
        <v>2416</v>
      </c>
      <c r="D388" s="317"/>
      <c r="E388" s="318">
        <v>151443</v>
      </c>
      <c r="F388" s="319"/>
      <c r="G388" s="320"/>
      <c r="H388" s="321"/>
      <c r="I388" s="322"/>
      <c r="J388" s="323"/>
    </row>
    <row r="389" spans="1:11" ht="15" customHeight="1">
      <c r="A389" s="315" t="str">
        <f>IF(B389="","",IF(B388="",SUM(COUNT($A$5:A388)+1),""))</f>
        <v/>
      </c>
      <c r="B389" s="1223">
        <v>437000</v>
      </c>
      <c r="C389" s="316" t="s">
        <v>2845</v>
      </c>
      <c r="D389" s="318"/>
      <c r="E389" s="318">
        <v>6620</v>
      </c>
      <c r="F389" s="319"/>
      <c r="G389" s="320"/>
      <c r="H389" s="321"/>
      <c r="I389" s="322"/>
      <c r="J389" s="323"/>
    </row>
    <row r="390" spans="1:11" ht="15" customHeight="1">
      <c r="A390" s="315" t="str">
        <f>IF(B390="","",IF(B389="",SUM(COUNT($A$5:A389)+1),""))</f>
        <v/>
      </c>
      <c r="B390" s="1223">
        <v>427100</v>
      </c>
      <c r="C390" s="316" t="s">
        <v>2418</v>
      </c>
      <c r="D390" s="317">
        <v>83335</v>
      </c>
      <c r="E390" s="318"/>
      <c r="F390" s="319"/>
      <c r="G390" s="1277">
        <f>IF(H390="PL - PL",0,IF(D390="",-E390,D390))</f>
        <v>83335</v>
      </c>
      <c r="H390" s="321"/>
      <c r="I390" s="322"/>
      <c r="J390" s="323"/>
    </row>
    <row r="391" spans="1:11" ht="15" customHeight="1">
      <c r="A391" s="315" t="str">
        <f>IF(B391="","",IF(B390="",SUM(COUNT($A$5:A390)+1),""))</f>
        <v/>
      </c>
      <c r="B391" s="1223">
        <v>427100</v>
      </c>
      <c r="C391" s="316" t="s">
        <v>2418</v>
      </c>
      <c r="D391" s="318">
        <v>37835</v>
      </c>
      <c r="E391" s="318"/>
      <c r="F391" s="319"/>
      <c r="G391" s="320"/>
      <c r="H391" s="321"/>
      <c r="I391" s="322"/>
      <c r="J391" s="323"/>
    </row>
    <row r="392" spans="1:11" ht="15" customHeight="1">
      <c r="A392" s="315"/>
      <c r="B392" s="1223">
        <v>427100</v>
      </c>
      <c r="C392" s="316" t="s">
        <v>2418</v>
      </c>
      <c r="D392" s="1388">
        <v>151443</v>
      </c>
      <c r="E392" s="318"/>
      <c r="F392" s="319"/>
      <c r="G392" s="320"/>
      <c r="H392" s="321"/>
      <c r="I392" s="322"/>
      <c r="J392" s="323"/>
    </row>
    <row r="393" spans="1:11" ht="15" customHeight="1">
      <c r="A393" s="315"/>
      <c r="B393" s="1223">
        <v>427100</v>
      </c>
      <c r="C393" s="316" t="s">
        <v>2418</v>
      </c>
      <c r="D393" s="1388">
        <v>6620</v>
      </c>
      <c r="E393" s="318"/>
      <c r="F393" s="319"/>
      <c r="G393" s="320"/>
      <c r="H393" s="321"/>
      <c r="I393" s="322"/>
      <c r="J393" s="323"/>
    </row>
    <row r="394" spans="1:11" ht="15" customHeight="1">
      <c r="A394" s="315" t="str">
        <f>IF(B394="","",IF(B391="",SUM(COUNT($A$5:A391)+1),""))</f>
        <v/>
      </c>
      <c r="B394" s="1223"/>
      <c r="C394" s="1385" t="s">
        <v>2915</v>
      </c>
      <c r="D394" s="317"/>
      <c r="E394" s="318"/>
      <c r="F394" s="319"/>
      <c r="G394" s="320"/>
      <c r="H394" s="321"/>
      <c r="I394" s="322"/>
      <c r="J394" s="323"/>
    </row>
    <row r="395" spans="1:11" ht="15" customHeight="1">
      <c r="A395" s="315" t="str">
        <f>IF(B395="","",IF(B394="",SUM(COUNT($A$5:A394)+1),""))</f>
        <v/>
      </c>
      <c r="B395" s="1223"/>
      <c r="C395" s="316"/>
      <c r="D395" s="318"/>
      <c r="E395" s="318"/>
      <c r="F395" s="319"/>
      <c r="G395" s="320"/>
      <c r="H395" s="321"/>
      <c r="I395" s="322"/>
      <c r="J395" s="323"/>
    </row>
    <row r="396" spans="1:11" ht="15" customHeight="1">
      <c r="A396" s="315">
        <v>60</v>
      </c>
      <c r="B396" s="1223">
        <v>428611</v>
      </c>
      <c r="C396" s="316" t="s">
        <v>2844</v>
      </c>
      <c r="D396" s="317">
        <v>32160</v>
      </c>
      <c r="E396" s="318"/>
      <c r="F396" s="319"/>
      <c r="G396" s="320" t="s">
        <v>2917</v>
      </c>
      <c r="H396" s="321"/>
      <c r="I396" s="322"/>
      <c r="J396" s="323"/>
    </row>
    <row r="397" spans="1:11" ht="15" customHeight="1">
      <c r="A397" s="315" t="str">
        <f>IF(B397="","",IF(B396="",SUM(COUNT($A$5:A396)+1),""))</f>
        <v/>
      </c>
      <c r="B397" s="1223">
        <v>641702</v>
      </c>
      <c r="C397" s="316" t="s">
        <v>2510</v>
      </c>
      <c r="D397" s="318"/>
      <c r="E397" s="318">
        <f>D396</f>
        <v>32160</v>
      </c>
      <c r="F397" s="319"/>
      <c r="G397" s="320"/>
      <c r="H397" s="321"/>
      <c r="I397" s="322"/>
      <c r="J397" s="323"/>
    </row>
    <row r="398" spans="1:11" ht="15" customHeight="1">
      <c r="A398" s="315" t="str">
        <f>IF(B398="","",IF(B397="",SUM(COUNT($A$5:A397)+1),""))</f>
        <v/>
      </c>
      <c r="B398" s="1223"/>
      <c r="C398" s="1385" t="s">
        <v>2916</v>
      </c>
      <c r="D398" s="317"/>
      <c r="E398" s="318"/>
      <c r="F398" s="319"/>
      <c r="G398" s="320"/>
      <c r="H398" s="321"/>
      <c r="I398" s="322"/>
      <c r="J398" s="323"/>
    </row>
    <row r="399" spans="1:11" ht="15" customHeight="1">
      <c r="A399" s="315" t="str">
        <f>IF(B399="","",IF(B398="",SUM(COUNT($A$5:A398)+1),""))</f>
        <v/>
      </c>
      <c r="B399" s="1223"/>
      <c r="C399" s="316"/>
      <c r="D399" s="318"/>
      <c r="E399" s="318"/>
      <c r="F399" s="319"/>
      <c r="G399" s="320"/>
      <c r="H399" s="321"/>
      <c r="I399" s="322"/>
      <c r="J399" s="323"/>
    </row>
    <row r="400" spans="1:11" ht="15" customHeight="1">
      <c r="A400" s="315">
        <f>IF(B400="","",IF(B399="",SUM(COUNT($A$5:A399)+1),""))</f>
        <v>61</v>
      </c>
      <c r="B400" s="1223">
        <v>658000</v>
      </c>
      <c r="C400" s="316" t="s">
        <v>2673</v>
      </c>
      <c r="D400" s="317"/>
      <c r="E400" s="318"/>
      <c r="F400" s="319"/>
      <c r="G400" s="320"/>
      <c r="H400" s="321"/>
      <c r="I400" s="322"/>
      <c r="J400" s="323"/>
      <c r="K400" s="289">
        <v>3180167</v>
      </c>
    </row>
    <row r="401" spans="1:11" ht="15" customHeight="1">
      <c r="A401" s="315" t="str">
        <f>IF(B401="","",IF(B400="",SUM(COUNT($A$5:A400)+1),""))</f>
        <v/>
      </c>
      <c r="B401" s="1223">
        <v>401500</v>
      </c>
      <c r="C401" s="316" t="s">
        <v>2482</v>
      </c>
      <c r="D401" s="318"/>
      <c r="E401" s="318"/>
      <c r="F401" s="319"/>
      <c r="G401" s="320"/>
      <c r="H401" s="321"/>
      <c r="I401" s="322"/>
      <c r="J401" s="323"/>
      <c r="K401" s="289">
        <f>+'BS Gr'!D643</f>
        <v>0</v>
      </c>
    </row>
    <row r="402" spans="1:11" ht="15" customHeight="1">
      <c r="A402" s="315" t="str">
        <f>IF(B402="","",IF(B401="",SUM(COUNT($A$5:A401)+1),""))</f>
        <v/>
      </c>
      <c r="B402" s="1223"/>
      <c r="C402" s="1385" t="s">
        <v>2991</v>
      </c>
      <c r="D402" s="317"/>
      <c r="E402" s="318"/>
      <c r="F402" s="319"/>
      <c r="G402" s="320"/>
      <c r="H402" s="321"/>
      <c r="I402" s="322"/>
      <c r="J402" s="323"/>
      <c r="K402" s="289">
        <f>+K400-K401</f>
        <v>3180167</v>
      </c>
    </row>
    <row r="403" spans="1:11" ht="15" customHeight="1">
      <c r="A403" s="315" t="str">
        <f>IF(B403="","",IF(B402="",SUM(COUNT($A$5:A402)+1),""))</f>
        <v/>
      </c>
      <c r="B403" s="1223"/>
      <c r="C403" s="316" t="str">
        <f>IF(B403="","",VLOOKUP(B403,'TB for financial'!A:B,2,0))</f>
        <v/>
      </c>
      <c r="D403" s="317"/>
      <c r="E403" s="318"/>
      <c r="F403" s="319"/>
      <c r="G403" s="320"/>
      <c r="H403" s="321"/>
      <c r="I403" s="322"/>
      <c r="J403" s="323"/>
    </row>
    <row r="404" spans="1:11" ht="15" customHeight="1">
      <c r="A404" s="315" t="str">
        <f>IF(B404="","",IF(B403="",SUM(COUNT($A$5:A403)+1),""))</f>
        <v/>
      </c>
      <c r="B404" s="1223"/>
      <c r="C404" s="316" t="str">
        <f>IF(B404="","",VLOOKUP(B404,'TB for financial'!A:B,2,0))</f>
        <v/>
      </c>
      <c r="D404" s="317"/>
      <c r="E404" s="318"/>
      <c r="F404" s="319"/>
      <c r="G404" s="320"/>
      <c r="H404" s="321"/>
      <c r="I404" s="322"/>
      <c r="J404" s="323"/>
    </row>
    <row r="405" spans="1:11" ht="15" customHeight="1">
      <c r="A405" s="315" t="str">
        <f>IF(B405="","",IF(B404="",SUM(COUNT($A$5:A404)+1),""))</f>
        <v/>
      </c>
      <c r="B405" s="1223"/>
      <c r="C405" s="316" t="str">
        <f>IF(B405="","",VLOOKUP(B405,'TB for financial'!A:B,2,0))</f>
        <v/>
      </c>
      <c r="D405" s="318"/>
      <c r="E405" s="318"/>
      <c r="F405" s="319"/>
      <c r="G405" s="320"/>
      <c r="H405" s="321"/>
      <c r="I405" s="322"/>
      <c r="J405" s="323"/>
    </row>
    <row r="406" spans="1:11" ht="15" customHeight="1">
      <c r="A406" s="315" t="str">
        <f>IF(B406="","",IF(B405="",SUM(COUNT($A$5:A405)+1),""))</f>
        <v/>
      </c>
      <c r="B406" s="1223"/>
      <c r="C406" s="316" t="str">
        <f>IF(B406="","",VLOOKUP(B406,'TB for financial'!A:B,2,0))</f>
        <v/>
      </c>
      <c r="D406" s="317"/>
      <c r="E406" s="318"/>
      <c r="F406" s="319"/>
      <c r="G406" s="320"/>
      <c r="H406" s="321"/>
      <c r="I406" s="322"/>
      <c r="J406" s="323"/>
    </row>
    <row r="407" spans="1:11" ht="15" customHeight="1">
      <c r="A407" s="315" t="str">
        <f>IF(B407="","",IF(B406="",SUM(COUNT($A$5:A406)+1),""))</f>
        <v/>
      </c>
      <c r="B407" s="1223"/>
      <c r="C407" s="316" t="str">
        <f>IF(B407="","",VLOOKUP(B407,'TB for financial'!A:B,2,0))</f>
        <v/>
      </c>
      <c r="D407" s="318"/>
      <c r="E407" s="318"/>
      <c r="F407" s="319"/>
      <c r="G407" s="320"/>
      <c r="H407" s="321"/>
      <c r="I407" s="322"/>
      <c r="J407" s="323"/>
    </row>
    <row r="408" spans="1:11" ht="15" customHeight="1">
      <c r="A408" s="315" t="str">
        <f>IF(B408="","",IF(B407="",SUM(COUNT($A$5:A407)+1),""))</f>
        <v/>
      </c>
      <c r="B408" s="1223"/>
      <c r="C408" s="316" t="str">
        <f>IF(B408="","",VLOOKUP(B408,'TB for financial'!A:B,2,0))</f>
        <v/>
      </c>
      <c r="D408" s="317"/>
      <c r="E408" s="318"/>
      <c r="F408" s="319"/>
      <c r="G408" s="320"/>
      <c r="H408" s="321"/>
      <c r="I408" s="322"/>
      <c r="J408" s="323"/>
    </row>
    <row r="409" spans="1:11" ht="15" customHeight="1">
      <c r="A409" s="315" t="str">
        <f>IF(B409="","",IF(B408="",SUM(COUNT($A$5:A408)+1),""))</f>
        <v/>
      </c>
      <c r="B409" s="1223"/>
      <c r="C409" s="316" t="str">
        <f>IF(B409="","",VLOOKUP(B409,'TB for financial'!A:B,2,0))</f>
        <v/>
      </c>
      <c r="D409" s="318"/>
      <c r="E409" s="318"/>
      <c r="F409" s="319"/>
      <c r="G409" s="320"/>
      <c r="H409" s="321"/>
      <c r="I409" s="322"/>
      <c r="J409" s="323"/>
    </row>
    <row r="410" spans="1:11" ht="15" customHeight="1">
      <c r="A410" s="315" t="str">
        <f>IF(B410="","",IF(B409="",SUM(COUNT($A$5:A409)+1),""))</f>
        <v/>
      </c>
      <c r="B410" s="1223"/>
      <c r="C410" s="316" t="str">
        <f>IF(B410="","",VLOOKUP(B410,'TB for financial'!A:B,2,0))</f>
        <v/>
      </c>
      <c r="D410" s="317"/>
      <c r="E410" s="318"/>
      <c r="F410" s="319"/>
      <c r="G410" s="320"/>
      <c r="H410" s="321"/>
      <c r="I410" s="322"/>
      <c r="J410" s="323"/>
    </row>
    <row r="411" spans="1:11" ht="15" customHeight="1">
      <c r="A411" s="315"/>
      <c r="B411" s="1223"/>
      <c r="C411" s="316" t="str">
        <f>IF(B411="","",VLOOKUP(B411,'TB for financial'!A:B,2,0))</f>
        <v/>
      </c>
      <c r="D411" s="318"/>
      <c r="E411" s="318"/>
      <c r="F411" s="319"/>
      <c r="G411" s="320"/>
      <c r="H411" s="321"/>
      <c r="I411" s="322"/>
      <c r="J411" s="323"/>
    </row>
    <row r="412" spans="1:11" ht="15" customHeight="1">
      <c r="A412" s="315" t="str">
        <f>IF(B412="","",IF(B410="",SUM(COUNT($A$5:A410)+1),""))</f>
        <v/>
      </c>
      <c r="B412" s="1223"/>
      <c r="C412" s="316" t="str">
        <f>IF(B412="","",VLOOKUP(B412,'TB for financial'!A:B,2,0))</f>
        <v/>
      </c>
      <c r="D412" s="317"/>
      <c r="E412" s="318"/>
      <c r="F412" s="319"/>
      <c r="G412" s="320"/>
      <c r="H412" s="321"/>
      <c r="I412" s="322"/>
      <c r="J412" s="323"/>
    </row>
    <row r="413" spans="1:11" ht="15" customHeight="1">
      <c r="A413" s="315" t="str">
        <f>IF(B413="","",IF(B412="",SUM(COUNT($A$5:A412)+1),""))</f>
        <v/>
      </c>
      <c r="B413" s="1223"/>
      <c r="C413" s="316" t="str">
        <f>IF(B413="","",VLOOKUP(B413,'TB for financial'!A:B,2,0))</f>
        <v/>
      </c>
      <c r="D413" s="318"/>
      <c r="E413" s="318"/>
      <c r="F413" s="319"/>
      <c r="G413" s="320"/>
      <c r="H413" s="321"/>
      <c r="I413" s="322"/>
      <c r="J413" s="323"/>
    </row>
    <row r="414" spans="1:11" ht="15" customHeight="1">
      <c r="A414" s="315" t="str">
        <f>IF(B414="","",IF(B413="",SUM(COUNT($A$5:A413)+1),""))</f>
        <v/>
      </c>
      <c r="B414" s="1223"/>
      <c r="C414" s="316" t="str">
        <f>IF(B414="","",VLOOKUP(B414,'TB for financial'!A:B,2,0))</f>
        <v/>
      </c>
      <c r="D414" s="317"/>
      <c r="E414" s="318"/>
      <c r="F414" s="319"/>
      <c r="G414" s="320"/>
      <c r="H414" s="321"/>
      <c r="I414" s="322"/>
      <c r="J414" s="323"/>
    </row>
    <row r="415" spans="1:11" ht="15" customHeight="1">
      <c r="A415" s="315"/>
      <c r="B415" s="1223"/>
      <c r="C415" s="316" t="str">
        <f>IF(B415="","",VLOOKUP(B415,'TB for financial'!A:B,2,0))</f>
        <v/>
      </c>
      <c r="D415" s="317"/>
      <c r="E415" s="318"/>
      <c r="F415" s="319"/>
      <c r="G415" s="320"/>
      <c r="H415" s="321"/>
      <c r="I415" s="322"/>
      <c r="J415" s="323"/>
    </row>
    <row r="416" spans="1:11" ht="15" customHeight="1">
      <c r="A416" s="315" t="str">
        <f>IF(B416="","",IF(B414="",SUM(COUNT($A$5:A414)+1),""))</f>
        <v/>
      </c>
      <c r="B416" s="1223"/>
      <c r="C416" s="316" t="str">
        <f>IF(B416="","",VLOOKUP(B416,'TB for financial'!A:B,2,0))</f>
        <v/>
      </c>
      <c r="D416" s="1222"/>
      <c r="E416" s="318"/>
      <c r="F416" s="319"/>
      <c r="G416" s="320"/>
      <c r="H416" s="321"/>
      <c r="I416" s="322"/>
      <c r="J416" s="323"/>
    </row>
    <row r="417" spans="1:10" ht="15" customHeight="1">
      <c r="A417" s="315" t="str">
        <f>IF(B417="","",IF(B416="",SUM(COUNT($A$5:A416)+1),""))</f>
        <v/>
      </c>
      <c r="B417" s="1223"/>
      <c r="C417" s="316" t="str">
        <f>IF(B417="","",VLOOKUP(B417,'TB for financial'!A:B,2,0))</f>
        <v/>
      </c>
      <c r="E417" s="1222"/>
      <c r="F417" s="319"/>
      <c r="G417" s="320"/>
      <c r="H417" s="321"/>
      <c r="I417" s="322"/>
      <c r="J417" s="323"/>
    </row>
    <row r="418" spans="1:10" ht="15" customHeight="1">
      <c r="A418" s="315" t="str">
        <f>IF(B418="","",IF(B417="",SUM(COUNT($A$5:A417)+1),""))</f>
        <v/>
      </c>
      <c r="B418" s="1223"/>
      <c r="C418" s="316" t="str">
        <f>IF(B418="","",VLOOKUP(B418,'TB for financial'!A:B,2,0))</f>
        <v/>
      </c>
      <c r="E418" s="1222"/>
      <c r="F418" s="319"/>
      <c r="G418" s="320"/>
      <c r="H418" s="321"/>
      <c r="I418" s="322"/>
      <c r="J418" s="323"/>
    </row>
    <row r="419" spans="1:10" ht="15" customHeight="1">
      <c r="A419" s="315" t="str">
        <f>IF(B419="","",IF(B418="",SUM(COUNT($A$5:A418)+1),""))</f>
        <v/>
      </c>
      <c r="B419" s="1223"/>
      <c r="C419" s="316" t="str">
        <f>IF(B419="","",VLOOKUP(B419,'TB for financial'!A:B,2,0))</f>
        <v/>
      </c>
      <c r="D419" s="1222"/>
      <c r="E419" s="1222"/>
      <c r="F419" s="319"/>
      <c r="G419" s="320"/>
      <c r="H419" s="321"/>
      <c r="I419" s="322"/>
      <c r="J419" s="323"/>
    </row>
    <row r="420" spans="1:10" ht="15" customHeight="1">
      <c r="A420" s="315" t="str">
        <f>IF(B420="","",IF(B419="",SUM(COUNT($A$5:A419)+1),""))</f>
        <v/>
      </c>
      <c r="B420" s="1223"/>
      <c r="C420" s="316" t="str">
        <f>IF(B420="","",VLOOKUP(B420,'TB for financial'!A:B,2,0))</f>
        <v/>
      </c>
      <c r="D420" s="1222"/>
      <c r="E420" s="318"/>
      <c r="F420" s="319"/>
      <c r="G420" s="320"/>
      <c r="H420" s="321"/>
      <c r="I420" s="322"/>
      <c r="J420" s="323"/>
    </row>
    <row r="421" spans="1:10" ht="15" customHeight="1">
      <c r="A421" s="315" t="str">
        <f>IF(B421="","",IF(B420="",SUM(COUNT($A$5:A420)+1),""))</f>
        <v/>
      </c>
      <c r="B421" s="1223"/>
      <c r="C421" s="316" t="str">
        <f>IF(B421="","",VLOOKUP(B421,'TB for financial'!A:B,2,0))</f>
        <v/>
      </c>
      <c r="D421" s="318"/>
      <c r="E421" s="1222"/>
      <c r="F421" s="319"/>
      <c r="G421" s="320"/>
      <c r="H421" s="321"/>
      <c r="I421" s="322"/>
      <c r="J421" s="323"/>
    </row>
    <row r="422" spans="1:10" ht="15" customHeight="1">
      <c r="A422" s="315" t="str">
        <f>IF(B422="","",IF(B421="",SUM(COUNT($A$5:A421)+1),""))</f>
        <v/>
      </c>
      <c r="B422" s="1223"/>
      <c r="C422" s="316" t="str">
        <f>IF(B422="","",VLOOKUP(B422,'TB for financial'!A:B,2,0))</f>
        <v/>
      </c>
      <c r="E422" s="318"/>
      <c r="F422" s="319"/>
      <c r="G422" s="320"/>
      <c r="H422" s="321"/>
      <c r="I422" s="322"/>
      <c r="J422" s="323"/>
    </row>
    <row r="423" spans="1:10" ht="15" customHeight="1">
      <c r="A423" s="315" t="str">
        <f>IF(B423="","",IF(B422="",SUM(COUNT($A$5:A422)+1),""))</f>
        <v/>
      </c>
      <c r="B423" s="1223"/>
      <c r="C423" s="316" t="str">
        <f>IF(B423="","",VLOOKUP(B423,'TB for financial'!A:B,2,0))</f>
        <v/>
      </c>
      <c r="D423" s="318"/>
      <c r="E423" s="1222"/>
      <c r="F423" s="319"/>
      <c r="G423" s="320"/>
      <c r="H423" s="321"/>
      <c r="I423" s="322"/>
      <c r="J423" s="323"/>
    </row>
    <row r="424" spans="1:10" ht="15" customHeight="1">
      <c r="A424" s="315"/>
      <c r="B424" s="1223"/>
      <c r="C424" s="316" t="str">
        <f>IF(B424="","",VLOOKUP(B424,'TB for financial'!A:B,2,0))</f>
        <v/>
      </c>
      <c r="E424" s="1222"/>
      <c r="F424" s="319"/>
      <c r="G424" s="320"/>
      <c r="H424" s="321"/>
      <c r="I424" s="322"/>
      <c r="J424" s="323"/>
    </row>
    <row r="425" spans="1:10" ht="15" customHeight="1">
      <c r="A425" s="315" t="str">
        <f>IF(B425="","",IF(B423="",SUM(COUNT($A$5:A423)+1),""))</f>
        <v/>
      </c>
      <c r="B425" s="1223"/>
      <c r="C425" s="316" t="str">
        <f>IF(B425="","",VLOOKUP(B425,'TB for financial'!A:B,2,0))</f>
        <v/>
      </c>
      <c r="D425" s="1222"/>
      <c r="E425" s="1222"/>
      <c r="F425" s="319"/>
      <c r="G425" s="320"/>
      <c r="H425" s="321"/>
      <c r="I425" s="322"/>
      <c r="J425" s="323"/>
    </row>
    <row r="426" spans="1:10" ht="15" customHeight="1">
      <c r="A426" s="315" t="str">
        <f>IF(B426="","",IF(B425="",SUM(COUNT($A$5:A425)+1),""))</f>
        <v/>
      </c>
      <c r="B426" s="1223"/>
      <c r="C426" s="316" t="str">
        <f>IF(B426="","",VLOOKUP(B426,'TB for financial'!A:B,2,0))</f>
        <v/>
      </c>
      <c r="E426" s="1222"/>
      <c r="F426" s="319"/>
      <c r="G426" s="320"/>
      <c r="H426" s="321"/>
      <c r="I426" s="322"/>
      <c r="J426" s="323"/>
    </row>
    <row r="427" spans="1:10" ht="15" customHeight="1">
      <c r="A427" s="315" t="str">
        <f>IF(B427="","",IF(B426="",SUM(COUNT($A$5:A426)+1),""))</f>
        <v/>
      </c>
      <c r="B427" s="1223"/>
      <c r="C427" s="316" t="str">
        <f>IF(B427="","",VLOOKUP(B427,'TB for financial'!A:B,2,0))</f>
        <v/>
      </c>
      <c r="D427" s="1222"/>
      <c r="E427" s="1222"/>
      <c r="F427" s="319"/>
      <c r="G427" s="320"/>
      <c r="H427" s="321"/>
      <c r="I427" s="322"/>
      <c r="J427" s="323"/>
    </row>
    <row r="428" spans="1:10" ht="15" customHeight="1">
      <c r="A428" s="315" t="str">
        <f>IF(B428="","",IF(B427="",SUM(COUNT($A$5:A427)+1),""))</f>
        <v/>
      </c>
      <c r="B428" s="1223"/>
      <c r="C428" s="316" t="str">
        <f>IF(B428="","",VLOOKUP(B428,'TB for financial'!A:B,2,0))</f>
        <v/>
      </c>
      <c r="E428" s="1222"/>
      <c r="F428" s="319"/>
      <c r="G428" s="320"/>
      <c r="H428" s="321"/>
      <c r="I428" s="322"/>
      <c r="J428" s="323"/>
    </row>
    <row r="429" spans="1:10" ht="15" customHeight="1">
      <c r="A429" s="315" t="str">
        <f>IF(B429="","",IF(B428="",SUM(COUNT($A$5:A428)+1),""))</f>
        <v/>
      </c>
      <c r="B429" s="1223"/>
      <c r="C429" s="316" t="str">
        <f>IF(B429="","",VLOOKUP(B429,'TB for financial'!A:B,2,0))</f>
        <v/>
      </c>
      <c r="D429" s="1222"/>
      <c r="E429" s="1222"/>
      <c r="F429" s="319"/>
      <c r="G429" s="320"/>
      <c r="H429" s="321"/>
      <c r="I429" s="322"/>
      <c r="J429" s="323"/>
    </row>
    <row r="430" spans="1:10" ht="15" customHeight="1">
      <c r="A430" s="315" t="str">
        <f>IF(B430="","",IF(B429="",SUM(COUNT($A$5:A429)+1),""))</f>
        <v/>
      </c>
      <c r="B430" s="1223"/>
      <c r="C430" s="316" t="str">
        <f>IF(B430="","",VLOOKUP(B430,'TB for financial'!A:B,2,0))</f>
        <v/>
      </c>
      <c r="E430" s="1222"/>
      <c r="F430" s="319"/>
      <c r="G430" s="320"/>
      <c r="H430" s="321"/>
      <c r="I430" s="322"/>
      <c r="J430" s="323"/>
    </row>
    <row r="431" spans="1:10" ht="15" customHeight="1">
      <c r="A431" s="315" t="str">
        <f>IF(B431="","",IF(B430="",SUM(COUNT($A$5:A430)+1),""))</f>
        <v/>
      </c>
      <c r="B431" s="1223"/>
      <c r="C431" s="316" t="str">
        <f>IF(B431="","",VLOOKUP(B431,'TB for financial'!A:B,2,0))</f>
        <v/>
      </c>
      <c r="D431" s="1222"/>
      <c r="F431" s="319"/>
      <c r="G431" s="320"/>
      <c r="H431" s="321"/>
      <c r="I431" s="322"/>
      <c r="J431" s="323"/>
    </row>
    <row r="432" spans="1:10" ht="15" customHeight="1">
      <c r="A432" s="315" t="str">
        <f>IF(B432="","",IF(B431="",SUM(COUNT($A$5:A431)+1),""))</f>
        <v/>
      </c>
      <c r="B432" s="1223"/>
      <c r="C432" s="316" t="str">
        <f>IF(B432="","",VLOOKUP(B432,'TB for financial'!A:B,2,0))</f>
        <v/>
      </c>
      <c r="D432" s="317"/>
      <c r="E432" s="1222"/>
      <c r="F432" s="319"/>
      <c r="G432" s="320"/>
      <c r="H432" s="321"/>
      <c r="I432" s="322"/>
      <c r="J432" s="323"/>
    </row>
    <row r="433" spans="1:10" ht="15" customHeight="1">
      <c r="A433" s="315" t="str">
        <f>IF(B433="","",IF(B432="",SUM(COUNT($A$5:A432)+1),""))</f>
        <v/>
      </c>
      <c r="B433" s="1223"/>
      <c r="C433" s="316" t="str">
        <f>IF(B433="","",VLOOKUP(B433,'TB for financial'!A:B,2,0))</f>
        <v/>
      </c>
      <c r="D433" s="317"/>
      <c r="E433" s="318"/>
      <c r="F433" s="319"/>
      <c r="G433" s="320"/>
      <c r="H433" s="321"/>
      <c r="I433" s="322"/>
      <c r="J433" s="323"/>
    </row>
    <row r="434" spans="1:10" ht="15" customHeight="1">
      <c r="A434" s="315" t="str">
        <f>IF(B434="","",IF(B433="",SUM(COUNT($A$5:A433)+1),""))</f>
        <v/>
      </c>
      <c r="B434" s="1223"/>
      <c r="C434" s="316" t="str">
        <f>IF(B434="","",VLOOKUP(B434,'TB for financial'!A:B,2,0))</f>
        <v/>
      </c>
      <c r="D434" s="317"/>
      <c r="E434" s="318"/>
      <c r="F434" s="319"/>
      <c r="G434" s="320"/>
      <c r="H434" s="321"/>
      <c r="I434" s="322"/>
      <c r="J434" s="323"/>
    </row>
    <row r="435" spans="1:10" ht="15" customHeight="1">
      <c r="A435" s="315" t="str">
        <f>IF(B435="","",IF(B434="",SUM(COUNT($A$5:A434)+1),""))</f>
        <v/>
      </c>
      <c r="B435" s="1223"/>
      <c r="C435" s="316" t="str">
        <f>IF(B435="","",VLOOKUP(B435,'TB for financial'!A:B,2,0))</f>
        <v/>
      </c>
      <c r="D435" s="317"/>
      <c r="E435" s="318"/>
      <c r="F435" s="319"/>
      <c r="G435" s="320"/>
      <c r="H435" s="321"/>
      <c r="I435" s="322"/>
      <c r="J435" s="323"/>
    </row>
    <row r="436" spans="1:10" ht="15" customHeight="1">
      <c r="A436" s="315" t="str">
        <f>IF(B436="","",IF(B435="",SUM(COUNT($A$5:A435)+1),""))</f>
        <v/>
      </c>
      <c r="B436" s="1223"/>
      <c r="C436" s="316" t="str">
        <f>IF(B436="","",VLOOKUP(B436,'TB for financial'!A:B,2,0))</f>
        <v/>
      </c>
      <c r="D436" s="317"/>
      <c r="E436" s="318"/>
      <c r="F436" s="319"/>
      <c r="G436" s="320"/>
      <c r="H436" s="321"/>
      <c r="I436" s="322"/>
      <c r="J436" s="323"/>
    </row>
    <row r="437" spans="1:10" ht="15" customHeight="1">
      <c r="A437" s="315" t="str">
        <f>IF(B437="","",IF(B436="",SUM(COUNT($A$5:A436)+1),""))</f>
        <v/>
      </c>
      <c r="B437" s="1223"/>
      <c r="C437" s="316" t="str">
        <f>IF(B437="","",VLOOKUP(B437,'TB for financial'!A:B,2,0))</f>
        <v/>
      </c>
      <c r="D437" s="318"/>
      <c r="E437" s="317"/>
      <c r="F437" s="319"/>
      <c r="G437" s="320"/>
      <c r="H437" s="321"/>
      <c r="I437" s="322"/>
      <c r="J437" s="323"/>
    </row>
    <row r="438" spans="1:10" ht="15" customHeight="1">
      <c r="A438" s="315" t="str">
        <f>IF(B438="","",IF(B437="",SUM(COUNT($A$5:A437)+1),""))</f>
        <v/>
      </c>
      <c r="B438" s="1223"/>
      <c r="C438" s="316" t="str">
        <f>IF(B438="","",VLOOKUP(B438,'TB for financial'!A:B,2,0))</f>
        <v/>
      </c>
      <c r="D438" s="318"/>
      <c r="E438" s="677"/>
      <c r="F438" s="319"/>
      <c r="G438" s="320"/>
      <c r="H438" s="321"/>
      <c r="I438" s="322"/>
      <c r="J438" s="323"/>
    </row>
    <row r="439" spans="1:10" ht="15" customHeight="1">
      <c r="A439" s="315" t="str">
        <f>IF(B439="","",IF(B438="",SUM(COUNT($A$5:A438)+1),""))</f>
        <v/>
      </c>
      <c r="B439" s="1223"/>
      <c r="C439" s="316" t="str">
        <f>IF(B439="","",VLOOKUP(B439,'TB for financial'!A:B,2,0))</f>
        <v/>
      </c>
      <c r="D439" s="318"/>
      <c r="E439" s="317"/>
      <c r="F439" s="319"/>
      <c r="G439" s="320"/>
      <c r="H439" s="321"/>
      <c r="I439" s="322"/>
      <c r="J439" s="323"/>
    </row>
    <row r="440" spans="1:10" ht="15" customHeight="1">
      <c r="A440" s="315" t="str">
        <f>IF(B440="","",IF(B439="",SUM(COUNT($A$5:A439)+1),""))</f>
        <v/>
      </c>
      <c r="B440" s="1223"/>
      <c r="C440" s="316" t="str">
        <f>IF(B440="","",VLOOKUP(B440,'TB for financial'!A:B,2,0))</f>
        <v/>
      </c>
      <c r="D440" s="318"/>
      <c r="E440" s="677"/>
      <c r="F440" s="319"/>
      <c r="G440" s="320"/>
      <c r="H440" s="321"/>
      <c r="I440" s="322"/>
      <c r="J440" s="323"/>
    </row>
    <row r="441" spans="1:10" ht="15" customHeight="1">
      <c r="A441" s="315" t="str">
        <f>IF(B441="","",IF(B440="",SUM(COUNT($A$5:A440)+1),""))</f>
        <v/>
      </c>
      <c r="B441" s="1223"/>
      <c r="C441" s="316" t="str">
        <f>IF(B441="","",VLOOKUP(B441,'TB for financial'!A:B,2,0))</f>
        <v/>
      </c>
      <c r="D441" s="318"/>
      <c r="E441" s="317"/>
      <c r="F441" s="319"/>
      <c r="G441" s="320"/>
      <c r="H441" s="321"/>
      <c r="I441" s="322"/>
      <c r="J441" s="323"/>
    </row>
    <row r="442" spans="1:10" ht="15" customHeight="1">
      <c r="A442" s="315" t="str">
        <f>IF(B442="","",IF(B441="",SUM(COUNT($A$5:A441)+1),""))</f>
        <v/>
      </c>
      <c r="B442" s="1223"/>
      <c r="C442" s="316" t="str">
        <f>IF(B442="","",VLOOKUP(B442,'TB for financial'!A:B,2,0))</f>
        <v/>
      </c>
      <c r="D442" s="318"/>
      <c r="E442" s="677"/>
      <c r="F442" s="319"/>
      <c r="G442" s="320"/>
      <c r="H442" s="321"/>
      <c r="I442" s="322"/>
      <c r="J442" s="323"/>
    </row>
    <row r="443" spans="1:10" ht="15" customHeight="1">
      <c r="A443" s="315" t="str">
        <f>IF(B443="","",IF(B442="",SUM(COUNT($A$5:A442)+1),""))</f>
        <v/>
      </c>
      <c r="B443" s="1223"/>
      <c r="C443" s="316" t="str">
        <f>IF(B443="","",VLOOKUP(B443,'TB for financial'!A:B,2,0))</f>
        <v/>
      </c>
      <c r="D443" s="318"/>
      <c r="E443" s="317"/>
      <c r="F443" s="319"/>
      <c r="G443" s="320"/>
      <c r="H443" s="321"/>
      <c r="I443" s="322"/>
      <c r="J443" s="323"/>
    </row>
    <row r="444" spans="1:10" ht="15" customHeight="1">
      <c r="A444" s="315" t="str">
        <f>IF(B444="","",IF(B443="",SUM(COUNT($A$5:A443)+1),""))</f>
        <v/>
      </c>
      <c r="B444" s="1223"/>
      <c r="C444" s="316" t="str">
        <f>IF(B444="","",VLOOKUP(B444,'TB for financial'!A:B,2,0))</f>
        <v/>
      </c>
      <c r="D444" s="318"/>
      <c r="E444" s="677"/>
      <c r="F444" s="319"/>
      <c r="G444" s="320"/>
      <c r="H444" s="321"/>
      <c r="I444" s="322"/>
      <c r="J444" s="323"/>
    </row>
    <row r="445" spans="1:10" ht="15" customHeight="1">
      <c r="A445" s="315" t="str">
        <f>IF(B445="","",IF(B444="",SUM(COUNT($A$5:A444)+1),""))</f>
        <v/>
      </c>
      <c r="B445" s="1223"/>
      <c r="C445" s="316" t="str">
        <f>IF(B445="","",VLOOKUP(B445,'TB for financial'!A:B,2,0))</f>
        <v/>
      </c>
      <c r="D445" s="318"/>
      <c r="E445" s="317"/>
      <c r="F445" s="319"/>
      <c r="G445" s="320"/>
      <c r="H445" s="321"/>
      <c r="I445" s="322"/>
      <c r="J445" s="323"/>
    </row>
    <row r="446" spans="1:10" ht="15" customHeight="1">
      <c r="A446" s="315" t="str">
        <f>IF(B446="","",IF(B445="",SUM(COUNT($A$5:A445)+1),""))</f>
        <v/>
      </c>
      <c r="B446" s="1223"/>
      <c r="C446" s="316" t="str">
        <f>IF(B446="","",VLOOKUP(B446,'TB for financial'!A:B,2,0))</f>
        <v/>
      </c>
      <c r="D446" s="318"/>
      <c r="E446" s="677"/>
      <c r="F446" s="319"/>
      <c r="G446" s="320"/>
      <c r="H446" s="321"/>
      <c r="I446" s="322"/>
      <c r="J446" s="323"/>
    </row>
    <row r="447" spans="1:10" ht="15" customHeight="1">
      <c r="A447" s="315" t="str">
        <f>IF(B447="","",IF(B446="",SUM(COUNT($A$5:A446)+1),""))</f>
        <v/>
      </c>
      <c r="B447" s="1223"/>
      <c r="C447" s="316" t="str">
        <f>IF(B447="","",VLOOKUP(B447,'TB for financial'!A:B,2,0))</f>
        <v/>
      </c>
      <c r="D447" s="318"/>
      <c r="E447" s="317"/>
      <c r="F447" s="319"/>
      <c r="G447" s="320"/>
      <c r="H447" s="321"/>
      <c r="I447" s="322"/>
      <c r="J447" s="323"/>
    </row>
    <row r="448" spans="1:10" ht="15" customHeight="1">
      <c r="A448" s="315" t="str">
        <f>IF(B448="","",IF(B447="",SUM(COUNT($A$5:A447)+1),""))</f>
        <v/>
      </c>
      <c r="B448" s="1223"/>
      <c r="C448" s="316" t="str">
        <f>IF(B448="","",VLOOKUP(B448,'TB for financial'!A:B,2,0))</f>
        <v/>
      </c>
      <c r="D448" s="318"/>
      <c r="E448" s="677"/>
      <c r="F448" s="319"/>
      <c r="G448" s="320"/>
      <c r="H448" s="321"/>
      <c r="I448" s="322"/>
      <c r="J448" s="323"/>
    </row>
    <row r="449" spans="1:10" ht="15" customHeight="1">
      <c r="A449" s="315" t="str">
        <f>IF(B449="","",IF(B448="",SUM(COUNT($A$5:A448)+1),""))</f>
        <v/>
      </c>
      <c r="B449" s="1223"/>
      <c r="C449" s="316" t="str">
        <f>IF(B449="","",VLOOKUP(B449,'TB for financial'!A:B,2,0))</f>
        <v/>
      </c>
      <c r="D449" s="318"/>
      <c r="E449" s="317"/>
      <c r="F449" s="319"/>
      <c r="G449" s="320"/>
      <c r="H449" s="321"/>
      <c r="I449" s="322"/>
      <c r="J449" s="323"/>
    </row>
    <row r="450" spans="1:10" ht="15" customHeight="1">
      <c r="A450" s="315" t="str">
        <f>IF(B450="","",IF(B449="",SUM(COUNT($A$5:A449)+1),""))</f>
        <v/>
      </c>
      <c r="B450" s="1223"/>
      <c r="C450" s="316" t="str">
        <f>IF(B450="","",VLOOKUP(B450,'TB for financial'!A:B,2,0))</f>
        <v/>
      </c>
      <c r="D450" s="318"/>
      <c r="E450" s="677"/>
      <c r="F450" s="319"/>
      <c r="G450" s="320"/>
      <c r="H450" s="321"/>
      <c r="I450" s="322"/>
      <c r="J450" s="323"/>
    </row>
    <row r="451" spans="1:10" ht="15" customHeight="1">
      <c r="A451" s="315" t="str">
        <f>IF(B451="","",IF(B450="",SUM(COUNT($A$5:A450)+1),""))</f>
        <v/>
      </c>
      <c r="B451" s="1223"/>
      <c r="C451" s="316" t="str">
        <f>IF(B451="","",VLOOKUP(B451,'TB for financial'!A:B,2,0))</f>
        <v/>
      </c>
      <c r="D451" s="318"/>
      <c r="E451" s="317"/>
      <c r="F451" s="319"/>
      <c r="G451" s="320"/>
      <c r="H451" s="321"/>
      <c r="I451" s="322"/>
      <c r="J451" s="323"/>
    </row>
    <row r="452" spans="1:10" ht="15" customHeight="1">
      <c r="A452" s="315" t="str">
        <f>IF(B452="","",IF(B451="",SUM(COUNT($A$5:A451)+1),""))</f>
        <v/>
      </c>
      <c r="B452" s="1223"/>
      <c r="C452" s="316" t="str">
        <f>IF(B452="","",VLOOKUP(B452,'TB for financial'!A:B,2,0))</f>
        <v/>
      </c>
      <c r="D452" s="318"/>
      <c r="E452" s="677"/>
      <c r="F452" s="319"/>
      <c r="G452" s="320"/>
      <c r="H452" s="321"/>
      <c r="I452" s="322"/>
      <c r="J452" s="323"/>
    </row>
    <row r="453" spans="1:10" ht="15" customHeight="1">
      <c r="A453" s="315" t="str">
        <f>IF(B453="","",IF(B452="",SUM(COUNT($A$5:A452)+1),""))</f>
        <v/>
      </c>
      <c r="B453" s="1223"/>
      <c r="C453" s="316" t="str">
        <f>IF(B453="","",VLOOKUP(B453,'TB for financial'!A:B,2,0))</f>
        <v/>
      </c>
      <c r="D453" s="318"/>
      <c r="E453" s="317"/>
      <c r="F453" s="319"/>
      <c r="G453" s="320"/>
      <c r="H453" s="321"/>
      <c r="I453" s="322"/>
      <c r="J453" s="323"/>
    </row>
    <row r="454" spans="1:10" ht="15" customHeight="1">
      <c r="A454" s="315" t="str">
        <f>IF(B454="","",IF(B453="",SUM(COUNT($A$5:A453)+1),""))</f>
        <v/>
      </c>
      <c r="B454" s="1223"/>
      <c r="C454" s="316" t="str">
        <f>IF(B454="","",VLOOKUP(B454,'TB for financial'!A:B,2,0))</f>
        <v/>
      </c>
      <c r="D454" s="318"/>
      <c r="E454" s="677"/>
      <c r="F454" s="319"/>
      <c r="G454" s="320"/>
      <c r="H454" s="321"/>
      <c r="I454" s="322"/>
      <c r="J454" s="323"/>
    </row>
    <row r="455" spans="1:10" ht="15" customHeight="1">
      <c r="A455" s="315" t="str">
        <f>IF(B455="","",IF(B454="",SUM(COUNT($A$5:A454)+1),""))</f>
        <v/>
      </c>
      <c r="B455" s="1223"/>
      <c r="C455" s="316" t="str">
        <f>IF(B455="","",VLOOKUP(B455,'TB for financial'!A:B,2,0))</f>
        <v/>
      </c>
      <c r="D455" s="318"/>
      <c r="E455" s="317"/>
      <c r="F455" s="319"/>
      <c r="G455" s="320"/>
      <c r="H455" s="321"/>
      <c r="I455" s="322"/>
      <c r="J455" s="323"/>
    </row>
    <row r="456" spans="1:10" ht="15" customHeight="1">
      <c r="A456" s="315" t="str">
        <f>IF(B456="","",IF(B455="",SUM(COUNT($A$5:A455)+1),""))</f>
        <v/>
      </c>
      <c r="B456" s="1223"/>
      <c r="C456" s="316" t="str">
        <f>IF(B456="","",VLOOKUP(B456,'TB for financial'!A:B,2,0))</f>
        <v/>
      </c>
      <c r="D456" s="318"/>
      <c r="E456" s="677"/>
      <c r="F456" s="319"/>
      <c r="G456" s="320"/>
      <c r="H456" s="321"/>
      <c r="I456" s="322"/>
      <c r="J456" s="323"/>
    </row>
    <row r="457" spans="1:10" ht="15" customHeight="1">
      <c r="A457" s="315" t="str">
        <f>IF(B457="","",IF(B456="",SUM(COUNT($A$5:A456)+1),""))</f>
        <v/>
      </c>
      <c r="B457" s="1223"/>
      <c r="C457" s="316" t="str">
        <f>IF(B457="","",VLOOKUP(B457,'TB for financial'!A:B,2,0))</f>
        <v/>
      </c>
      <c r="D457" s="318"/>
      <c r="E457" s="317"/>
      <c r="F457" s="319"/>
      <c r="G457" s="320"/>
      <c r="H457" s="321"/>
      <c r="I457" s="322"/>
      <c r="J457" s="323"/>
    </row>
    <row r="458" spans="1:10" ht="15" customHeight="1">
      <c r="A458" s="315" t="str">
        <f>IF(B458="","",IF(B457="",SUM(COUNT($A$5:A457)+1),""))</f>
        <v/>
      </c>
      <c r="B458" s="1223"/>
      <c r="C458" s="316" t="str">
        <f>IF(B458="","",VLOOKUP(B458,'TB for financial'!A:B,2,0))</f>
        <v/>
      </c>
      <c r="D458" s="318"/>
      <c r="E458" s="677"/>
      <c r="F458" s="319"/>
      <c r="G458" s="320"/>
      <c r="H458" s="321"/>
      <c r="I458" s="322"/>
      <c r="J458" s="323"/>
    </row>
    <row r="459" spans="1:10" ht="15" customHeight="1">
      <c r="A459" s="315" t="str">
        <f>IF(B459="","",IF(B458="",SUM(COUNT($A$5:A458)+1),""))</f>
        <v/>
      </c>
      <c r="B459" s="1223"/>
      <c r="C459" s="316" t="str">
        <f>IF(B459="","",VLOOKUP(B459,'TB for financial'!A:B,2,0))</f>
        <v/>
      </c>
      <c r="D459" s="318"/>
      <c r="E459" s="317"/>
      <c r="F459" s="319"/>
      <c r="G459" s="320"/>
      <c r="H459" s="321"/>
      <c r="I459" s="322"/>
      <c r="J459" s="323"/>
    </row>
    <row r="460" spans="1:10" ht="15" customHeight="1">
      <c r="A460" s="315" t="str">
        <f>IF(B460="","",IF(B459="",SUM(COUNT($A$5:A459)+1),""))</f>
        <v/>
      </c>
      <c r="B460" s="1223"/>
      <c r="C460" s="316" t="str">
        <f>IF(B460="","",VLOOKUP(B460,'TB for financial'!A:B,2,0))</f>
        <v/>
      </c>
      <c r="D460" s="318"/>
      <c r="E460" s="677"/>
      <c r="F460" s="319"/>
      <c r="G460" s="320"/>
      <c r="H460" s="321"/>
      <c r="I460" s="322"/>
      <c r="J460" s="323"/>
    </row>
    <row r="461" spans="1:10" ht="15" customHeight="1">
      <c r="A461" s="315" t="str">
        <f>IF(B461="","",IF(B460="",SUM(COUNT($A$5:A460)+1),""))</f>
        <v/>
      </c>
      <c r="B461" s="1223"/>
      <c r="C461" s="316" t="str">
        <f>IF(B461="","",VLOOKUP(B461,'TB for financial'!A:B,2,0))</f>
        <v/>
      </c>
      <c r="D461" s="317"/>
      <c r="E461" s="318"/>
      <c r="F461" s="319"/>
      <c r="G461" s="320"/>
      <c r="H461" s="321"/>
      <c r="I461" s="322"/>
      <c r="J461" s="323"/>
    </row>
    <row r="462" spans="1:10" ht="15" customHeight="1">
      <c r="A462" s="315" t="str">
        <f>IF(B462="","",IF(B461="",SUM(COUNT($A$5:A461)+1),""))</f>
        <v/>
      </c>
      <c r="B462" s="1223"/>
      <c r="C462" s="316" t="str">
        <f>IF(B462="","",VLOOKUP(B462,'TB for financial'!A:B,2,0))</f>
        <v/>
      </c>
      <c r="D462" s="317"/>
      <c r="E462" s="318"/>
      <c r="F462" s="319"/>
      <c r="G462" s="320"/>
      <c r="H462" s="321"/>
      <c r="I462" s="322"/>
      <c r="J462" s="323"/>
    </row>
    <row r="463" spans="1:10" ht="15" customHeight="1">
      <c r="A463" s="315" t="str">
        <f>IF(B463="","",IF(B462="",SUM(COUNT($A$5:A462)+1),""))</f>
        <v/>
      </c>
      <c r="B463" s="1223"/>
      <c r="C463" s="316" t="str">
        <f>IF(B463="","",VLOOKUP(B463,'TB for financial'!A:B,2,0))</f>
        <v/>
      </c>
      <c r="D463" s="317"/>
      <c r="E463" s="318"/>
      <c r="F463" s="319"/>
      <c r="G463" s="320"/>
      <c r="H463" s="321"/>
      <c r="I463" s="322"/>
      <c r="J463" s="323"/>
    </row>
    <row r="464" spans="1:10" ht="15" customHeight="1">
      <c r="A464" s="315" t="str">
        <f>IF(B464="","",IF(B463="",SUM(COUNT($A$5:A463)+1),""))</f>
        <v/>
      </c>
      <c r="B464" s="1223"/>
      <c r="C464" s="316" t="str">
        <f>IF(B464="","",VLOOKUP(B464,'TB for financial'!A:B,2,0))</f>
        <v/>
      </c>
      <c r="D464" s="317"/>
      <c r="E464" s="318"/>
      <c r="F464" s="319"/>
      <c r="G464" s="320"/>
      <c r="H464" s="321"/>
      <c r="I464" s="322"/>
      <c r="J464" s="323"/>
    </row>
    <row r="465" spans="1:10" ht="15" customHeight="1">
      <c r="A465" s="315" t="str">
        <f>IF(B465="","",IF(B464="",SUM(COUNT($A$5:A464)+1),""))</f>
        <v/>
      </c>
      <c r="B465" s="1223"/>
      <c r="C465" s="316" t="str">
        <f>IF(B465="","",VLOOKUP(B465,'TB for financial'!A:B,2,0))</f>
        <v/>
      </c>
      <c r="D465" s="318"/>
      <c r="E465" s="317"/>
      <c r="F465" s="319"/>
      <c r="G465" s="320"/>
      <c r="H465" s="321"/>
      <c r="I465" s="322"/>
      <c r="J465" s="323"/>
    </row>
    <row r="466" spans="1:10" ht="15" customHeight="1">
      <c r="A466" s="315" t="str">
        <f>IF(B466="","",IF(B465="",SUM(COUNT($A$5:A465)+1),""))</f>
        <v/>
      </c>
      <c r="B466" s="1223"/>
      <c r="C466" s="316" t="str">
        <f>IF(B466="","",VLOOKUP(B466,'TB for financial'!A:B,2,0))</f>
        <v/>
      </c>
      <c r="D466" s="318"/>
      <c r="E466" s="677"/>
      <c r="F466" s="319"/>
      <c r="G466" s="320"/>
      <c r="H466" s="321"/>
      <c r="I466" s="322"/>
      <c r="J466" s="323"/>
    </row>
    <row r="467" spans="1:10" ht="15" customHeight="1">
      <c r="A467" s="315" t="str">
        <f>IF(B467="","",IF(B466="",SUM(COUNT($A$5:A466)+1),""))</f>
        <v/>
      </c>
      <c r="B467" s="1223"/>
      <c r="C467" s="316" t="str">
        <f>IF(B467="","",VLOOKUP(B467,'TB for financial'!A:B,2,0))</f>
        <v/>
      </c>
      <c r="D467" s="318"/>
      <c r="E467" s="317"/>
      <c r="F467" s="319"/>
      <c r="G467" s="320"/>
      <c r="H467" s="321"/>
      <c r="I467" s="322"/>
      <c r="J467" s="323"/>
    </row>
    <row r="468" spans="1:10" ht="15" customHeight="1">
      <c r="A468" s="315" t="str">
        <f>IF(B468="","",IF(B467="",SUM(COUNT($A$5:A467)+1),""))</f>
        <v/>
      </c>
      <c r="B468" s="1223"/>
      <c r="C468" s="316" t="str">
        <f>IF(B468="","",VLOOKUP(B468,'TB for financial'!A:B,2,0))</f>
        <v/>
      </c>
      <c r="D468" s="318"/>
      <c r="E468" s="677"/>
      <c r="F468" s="319"/>
      <c r="G468" s="320"/>
      <c r="H468" s="321"/>
      <c r="I468" s="330"/>
      <c r="J468" s="323"/>
    </row>
    <row r="469" spans="1:10" ht="15" customHeight="1">
      <c r="A469" s="315" t="str">
        <f>IF(B469="","",IF(B468="",SUM(COUNT($A$5:A468)+1),""))</f>
        <v/>
      </c>
      <c r="B469" s="1223"/>
      <c r="C469" s="316" t="str">
        <f>IF(B469="","",VLOOKUP(B469,'TB for financial'!A:B,2,0))</f>
        <v/>
      </c>
      <c r="D469" s="318"/>
      <c r="E469" s="317"/>
      <c r="F469" s="319"/>
      <c r="G469" s="320"/>
      <c r="H469" s="321"/>
      <c r="I469" s="330"/>
      <c r="J469" s="323"/>
    </row>
    <row r="470" spans="1:10" ht="15" customHeight="1">
      <c r="A470" s="315" t="str">
        <f>IF(B470="","",IF(B469="",SUM(COUNT($A$5:A469)+1),""))</f>
        <v/>
      </c>
      <c r="B470" s="1223"/>
      <c r="C470" s="316" t="str">
        <f>IF(B470="","",VLOOKUP(B470,'TB for financial'!A:B,2,0))</f>
        <v/>
      </c>
      <c r="D470" s="318"/>
      <c r="E470" s="677"/>
      <c r="F470" s="319"/>
      <c r="G470" s="320"/>
      <c r="H470" s="321"/>
      <c r="I470" s="322"/>
      <c r="J470" s="323"/>
    </row>
    <row r="471" spans="1:10" ht="15" customHeight="1">
      <c r="A471" s="315" t="str">
        <f>IF(B471="","",IF(B470="",SUM(COUNT($A$5:A470)+1),""))</f>
        <v/>
      </c>
      <c r="B471" s="1223"/>
      <c r="C471" s="316" t="str">
        <f>IF(B471="","",VLOOKUP(B471,'TB for financial'!A:B,2,0))</f>
        <v/>
      </c>
      <c r="D471" s="318"/>
      <c r="E471" s="317"/>
      <c r="F471" s="319"/>
      <c r="G471" s="320"/>
      <c r="H471" s="321"/>
      <c r="I471" s="322"/>
      <c r="J471" s="323"/>
    </row>
    <row r="472" spans="1:10" ht="15" customHeight="1">
      <c r="A472" s="315" t="str">
        <f>IF(B472="","",IF(B471="",SUM(COUNT($A$5:A471)+1),""))</f>
        <v/>
      </c>
      <c r="B472" s="1223"/>
      <c r="C472" s="316" t="str">
        <f>IF(B472="","",VLOOKUP(B472,'TB for financial'!A:B,2,0))</f>
        <v/>
      </c>
      <c r="D472" s="318"/>
      <c r="E472" s="677"/>
      <c r="F472" s="319"/>
      <c r="G472" s="320"/>
      <c r="H472" s="321"/>
      <c r="I472" s="322"/>
      <c r="J472" s="323"/>
    </row>
    <row r="473" spans="1:10" ht="15" customHeight="1">
      <c r="A473" s="315" t="str">
        <f>IF(B473="","",IF(B472="",SUM(COUNT($A$5:A472)+1),""))</f>
        <v/>
      </c>
      <c r="B473" s="1223"/>
      <c r="C473" s="316" t="str">
        <f>IF(B473="","",VLOOKUP(B473,'TB for financial'!A:B,2,0))</f>
        <v/>
      </c>
      <c r="D473" s="318"/>
      <c r="E473" s="317"/>
      <c r="F473" s="319"/>
      <c r="G473" s="320"/>
      <c r="H473" s="321"/>
      <c r="I473" s="322"/>
      <c r="J473" s="323"/>
    </row>
    <row r="474" spans="1:10" ht="15" customHeight="1">
      <c r="A474" s="315" t="str">
        <f>IF(B474="","",IF(B473="",SUM(COUNT($A$5:A473)+1),""))</f>
        <v/>
      </c>
      <c r="B474" s="1223"/>
      <c r="C474" s="316" t="str">
        <f>IF(B474="","",VLOOKUP(B474,'TB for financial'!A:B,2,0))</f>
        <v/>
      </c>
      <c r="D474" s="318"/>
      <c r="E474" s="677"/>
      <c r="F474" s="319"/>
      <c r="G474" s="320"/>
      <c r="H474" s="321"/>
      <c r="I474" s="322"/>
      <c r="J474" s="323"/>
    </row>
    <row r="475" spans="1:10" ht="15" customHeight="1">
      <c r="A475" s="315" t="str">
        <f>IF(B475="","",IF(B474="",SUM(COUNT($A$5:A474)+1),""))</f>
        <v/>
      </c>
      <c r="B475" s="1223"/>
      <c r="C475" s="316" t="str">
        <f>IF(B475="","",VLOOKUP(B475,'TB for financial'!A:B,2,0))</f>
        <v/>
      </c>
      <c r="D475" s="318"/>
      <c r="E475" s="317"/>
      <c r="F475" s="319"/>
      <c r="G475" s="320"/>
      <c r="H475" s="321"/>
      <c r="I475" s="322"/>
      <c r="J475" s="323"/>
    </row>
    <row r="476" spans="1:10" ht="15" customHeight="1">
      <c r="A476" s="315" t="str">
        <f>IF(B476="","",IF(B475="",SUM(COUNT($A$5:A475)+1),""))</f>
        <v/>
      </c>
      <c r="B476" s="1223"/>
      <c r="C476" s="316" t="str">
        <f>IF(B476="","",VLOOKUP(B476,'TB for financial'!A:B,2,0))</f>
        <v/>
      </c>
      <c r="D476" s="318"/>
      <c r="E476" s="677"/>
      <c r="F476" s="319"/>
      <c r="G476" s="320"/>
      <c r="H476" s="321"/>
      <c r="I476" s="322"/>
      <c r="J476" s="323"/>
    </row>
    <row r="477" spans="1:10" ht="15" customHeight="1">
      <c r="A477" s="315" t="str">
        <f>IF(B477="","",IF(B476="",SUM(COUNT($A$5:A476)+1),""))</f>
        <v/>
      </c>
      <c r="B477" s="1223"/>
      <c r="C477" s="316" t="str">
        <f>IF(B477="","",VLOOKUP(B477,'TB for financial'!A:B,2,0))</f>
        <v/>
      </c>
      <c r="D477" s="318"/>
      <c r="E477" s="317"/>
      <c r="F477" s="319"/>
      <c r="G477" s="320"/>
      <c r="H477" s="321"/>
      <c r="I477" s="322"/>
      <c r="J477" s="323"/>
    </row>
    <row r="478" spans="1:10" ht="15" customHeight="1">
      <c r="A478" s="315" t="str">
        <f>IF(B478="","",IF(B477="",SUM(COUNT($A$5:A477)+1),""))</f>
        <v/>
      </c>
      <c r="B478" s="1223"/>
      <c r="C478" s="316" t="str">
        <f>IF(B478="","",VLOOKUP(B478,'TB for financial'!A:B,2,0))</f>
        <v/>
      </c>
      <c r="D478" s="318"/>
      <c r="E478" s="677"/>
      <c r="F478" s="319"/>
      <c r="G478" s="320"/>
      <c r="H478" s="321"/>
      <c r="I478" s="322"/>
      <c r="J478" s="323"/>
    </row>
    <row r="479" spans="1:10" ht="15" customHeight="1">
      <c r="A479" s="315" t="str">
        <f>IF(B479="","",IF(B478="",SUM(COUNT($A$5:A478)+1),""))</f>
        <v/>
      </c>
      <c r="B479" s="1223"/>
      <c r="C479" s="316" t="str">
        <f>IF(B479="","",VLOOKUP(B479,'TB for financial'!A:B,2,0))</f>
        <v/>
      </c>
      <c r="D479" s="318"/>
      <c r="E479" s="317"/>
      <c r="F479" s="319"/>
      <c r="G479" s="320"/>
      <c r="H479" s="321"/>
      <c r="I479" s="322"/>
      <c r="J479" s="323"/>
    </row>
    <row r="480" spans="1:10" ht="15" customHeight="1">
      <c r="A480" s="315" t="str">
        <f>IF(B480="","",IF(B479="",SUM(COUNT($A$5:A479)+1),""))</f>
        <v/>
      </c>
      <c r="B480" s="1223"/>
      <c r="C480" s="316" t="str">
        <f>IF(B480="","",VLOOKUP(B480,'TB for financial'!A:B,2,0))</f>
        <v/>
      </c>
      <c r="D480" s="318"/>
      <c r="E480" s="677"/>
      <c r="F480" s="319"/>
      <c r="G480" s="320"/>
      <c r="H480" s="321"/>
      <c r="I480" s="322"/>
      <c r="J480" s="323"/>
    </row>
    <row r="481" spans="1:10" ht="15" customHeight="1">
      <c r="A481" s="315" t="str">
        <f>IF(B481="","",IF(B480="",SUM(COUNT($A$5:A480)+1),""))</f>
        <v/>
      </c>
      <c r="B481" s="1223"/>
      <c r="C481" s="316" t="str">
        <f>IF(B481="","",VLOOKUP(B481,'TB for financial'!A:B,2,0))</f>
        <v/>
      </c>
      <c r="D481" s="318"/>
      <c r="E481" s="317"/>
      <c r="F481" s="319"/>
      <c r="G481" s="320"/>
      <c r="H481" s="321"/>
      <c r="I481" s="322"/>
      <c r="J481" s="323"/>
    </row>
    <row r="482" spans="1:10" ht="15" customHeight="1">
      <c r="A482" s="315" t="str">
        <f>IF(B482="","",IF(B481="",SUM(COUNT($A$5:A481)+1),""))</f>
        <v/>
      </c>
      <c r="B482" s="1223"/>
      <c r="C482" s="316" t="str">
        <f>IF(B482="","",VLOOKUP(B482,'TB for financial'!A:B,2,0))</f>
        <v/>
      </c>
      <c r="D482" s="318"/>
      <c r="E482" s="677"/>
      <c r="F482" s="319"/>
      <c r="G482" s="320"/>
      <c r="H482" s="321"/>
      <c r="I482" s="322"/>
      <c r="J482" s="323"/>
    </row>
    <row r="483" spans="1:10" ht="15" customHeight="1">
      <c r="A483" s="315" t="str">
        <f>IF(B483="","",IF(B482="",SUM(COUNT($A$5:A482)+1),""))</f>
        <v/>
      </c>
      <c r="B483" s="1223"/>
      <c r="C483" s="316" t="str">
        <f>IF(B483="","",VLOOKUP(B483,'TB for financial'!A:B,2,0))</f>
        <v/>
      </c>
      <c r="D483" s="318"/>
      <c r="E483" s="317"/>
      <c r="F483" s="319"/>
      <c r="G483" s="320"/>
      <c r="H483" s="321"/>
      <c r="I483" s="322"/>
      <c r="J483" s="323"/>
    </row>
    <row r="484" spans="1:10" ht="15" customHeight="1">
      <c r="A484" s="315" t="str">
        <f>IF(B484="","",IF(B483="",SUM(COUNT($A$5:A483)+1),""))</f>
        <v/>
      </c>
      <c r="B484" s="1223"/>
      <c r="C484" s="316" t="str">
        <f>IF(B484="","",VLOOKUP(B484,'TB for financial'!A:B,2,0))</f>
        <v/>
      </c>
      <c r="D484" s="318"/>
      <c r="E484" s="677"/>
      <c r="F484" s="319"/>
      <c r="G484" s="320"/>
      <c r="H484" s="321"/>
      <c r="I484" s="322"/>
      <c r="J484" s="323"/>
    </row>
    <row r="485" spans="1:10" ht="15" customHeight="1">
      <c r="A485" s="315" t="str">
        <f>IF(B485="","",IF(B484="",SUM(COUNT($A$5:A484)+1),""))</f>
        <v/>
      </c>
      <c r="B485" s="1223"/>
      <c r="C485" s="316" t="str">
        <f>IF(B485="","",VLOOKUP(B485,'TB for financial'!A:B,2,0))</f>
        <v/>
      </c>
      <c r="D485" s="318"/>
      <c r="E485" s="317"/>
      <c r="F485" s="319"/>
      <c r="G485" s="320"/>
      <c r="H485" s="321"/>
      <c r="I485" s="322"/>
      <c r="J485" s="323"/>
    </row>
    <row r="486" spans="1:10" ht="15" customHeight="1">
      <c r="A486" s="315" t="str">
        <f>IF(B486="","",IF(B485="",SUM(COUNT($A$5:A485)+1),""))</f>
        <v/>
      </c>
      <c r="B486" s="1223"/>
      <c r="C486" s="316" t="str">
        <f>IF(B486="","",VLOOKUP(B486,'TB for financial'!A:B,2,0))</f>
        <v/>
      </c>
      <c r="D486" s="318"/>
      <c r="E486" s="677"/>
      <c r="F486" s="319"/>
      <c r="G486" s="320">
        <f>IF(H486="PL - PL",0,IF(D486="",-E486,D486))</f>
        <v>0</v>
      </c>
      <c r="H486" s="321"/>
      <c r="I486" s="322"/>
      <c r="J486" s="323"/>
    </row>
    <row r="487" spans="1:10" ht="15" customHeight="1">
      <c r="A487" s="315" t="str">
        <f>IF(B487="","",IF(B486="",SUM(COUNT($A$5:A486)+1),""))</f>
        <v/>
      </c>
      <c r="B487" s="1223"/>
      <c r="C487" s="316" t="str">
        <f>IF(B487="","",VLOOKUP(B487,'TB for financial'!A:B,2,0))</f>
        <v/>
      </c>
      <c r="D487" s="318"/>
      <c r="E487" s="317"/>
      <c r="F487" s="319"/>
      <c r="G487" s="320"/>
      <c r="H487" s="321"/>
      <c r="I487" s="322"/>
      <c r="J487" s="323"/>
    </row>
    <row r="488" spans="1:10" ht="15" customHeight="1">
      <c r="A488" s="315" t="str">
        <f>IF(B488="","",IF(B487="",SUM(COUNT($A$5:A487)+1),""))</f>
        <v/>
      </c>
      <c r="B488" s="1223"/>
      <c r="C488" s="316" t="str">
        <f>IF(B488="","",VLOOKUP(B488,'TB for financial'!A:B,2,0))</f>
        <v/>
      </c>
      <c r="D488" s="318"/>
      <c r="E488" s="677"/>
      <c r="F488" s="319"/>
      <c r="G488" s="320"/>
      <c r="H488" s="321"/>
      <c r="I488" s="322"/>
      <c r="J488" s="323"/>
    </row>
    <row r="489" spans="1:10" ht="15" customHeight="1">
      <c r="A489" s="315" t="str">
        <f>IF(B489="","",IF(B488="",SUM(COUNT($A$5:A488)+1),""))</f>
        <v/>
      </c>
      <c r="B489" s="1223"/>
      <c r="C489" s="316" t="str">
        <f>IF(B489="","",VLOOKUP(B489,'TB for financial'!A:B,2,0))</f>
        <v/>
      </c>
      <c r="D489" s="318"/>
      <c r="E489" s="317"/>
      <c r="F489" s="319"/>
      <c r="G489" s="320"/>
      <c r="H489" s="321"/>
      <c r="I489" s="322"/>
      <c r="J489" s="323"/>
    </row>
    <row r="490" spans="1:10" ht="15" customHeight="1">
      <c r="A490" s="315" t="str">
        <f>IF(B490="","",IF(B489="",SUM(COUNT($A$5:A489)+1),""))</f>
        <v/>
      </c>
      <c r="B490" s="1223"/>
      <c r="C490" s="316" t="str">
        <f>IF(B490="","",VLOOKUP(B490,'TB for financial'!A:B,2,0))</f>
        <v/>
      </c>
      <c r="D490" s="318"/>
      <c r="E490" s="677"/>
      <c r="F490" s="319"/>
      <c r="G490" s="320"/>
      <c r="H490" s="321"/>
      <c r="I490" s="322"/>
      <c r="J490" s="323"/>
    </row>
    <row r="491" spans="1:10" ht="15" customHeight="1">
      <c r="A491" s="315" t="str">
        <f>IF(B491="","",IF(B490="",SUM(COUNT($A$5:A490)+1),""))</f>
        <v/>
      </c>
      <c r="B491" s="1223"/>
      <c r="C491" s="316" t="str">
        <f>IF(B491="","",VLOOKUP(B491,'TB for financial'!A:B,2,0))</f>
        <v/>
      </c>
      <c r="D491" s="318"/>
      <c r="E491" s="317"/>
      <c r="F491" s="319"/>
      <c r="G491" s="320"/>
      <c r="H491" s="321"/>
      <c r="I491" s="322"/>
      <c r="J491" s="323"/>
    </row>
    <row r="492" spans="1:10" ht="15" customHeight="1">
      <c r="A492" s="315" t="str">
        <f>IF(B492="","",IF(B491="",SUM(COUNT($A$5:A491)+1),""))</f>
        <v/>
      </c>
      <c r="B492" s="1223"/>
      <c r="C492" s="316" t="str">
        <f>IF(B492="","",VLOOKUP(B492,'TB for financial'!A:B,2,0))</f>
        <v/>
      </c>
      <c r="D492" s="318"/>
      <c r="E492" s="677"/>
      <c r="F492" s="319"/>
      <c r="G492" s="320"/>
      <c r="H492" s="321"/>
      <c r="I492" s="322"/>
      <c r="J492" s="323"/>
    </row>
    <row r="493" spans="1:10" ht="15" customHeight="1">
      <c r="A493" s="315" t="str">
        <f>IF(B493="","",IF(B492="",SUM(COUNT($A$5:A492)+1),""))</f>
        <v/>
      </c>
      <c r="B493" s="1223"/>
      <c r="C493" s="316" t="str">
        <f>IF(B493="","",VLOOKUP(B493,'TB for financial'!A:B,2,0))</f>
        <v/>
      </c>
      <c r="D493" s="318"/>
      <c r="E493" s="317"/>
      <c r="F493" s="319"/>
      <c r="G493" s="320"/>
      <c r="H493" s="321"/>
      <c r="I493" s="322"/>
      <c r="J493" s="323"/>
    </row>
    <row r="494" spans="1:10" ht="15" customHeight="1">
      <c r="A494" s="315" t="str">
        <f>IF(B494="","",IF(B493="",SUM(COUNT($A$5:A493)+1),""))</f>
        <v/>
      </c>
      <c r="B494" s="1223"/>
      <c r="C494" s="316" t="str">
        <f>IF(B494="","",VLOOKUP(B494,'TB for financial'!A:B,2,0))</f>
        <v/>
      </c>
      <c r="D494" s="318"/>
      <c r="E494" s="677"/>
      <c r="F494" s="319"/>
      <c r="G494" s="320"/>
      <c r="H494" s="321"/>
      <c r="I494" s="322"/>
      <c r="J494" s="323"/>
    </row>
    <row r="495" spans="1:10" ht="15" customHeight="1">
      <c r="A495" s="315" t="str">
        <f>IF(B495="","",IF(B494="",SUM(COUNT($A$5:A494)+1),""))</f>
        <v/>
      </c>
      <c r="B495" s="1223"/>
      <c r="C495" s="316" t="str">
        <f>IF(B495="","",VLOOKUP(B495,'TB for financial'!A:B,2,0))</f>
        <v/>
      </c>
      <c r="D495" s="318"/>
      <c r="E495" s="317"/>
      <c r="F495" s="319"/>
      <c r="G495" s="320"/>
      <c r="H495" s="321"/>
      <c r="I495" s="322"/>
      <c r="J495" s="323"/>
    </row>
    <row r="496" spans="1:10" ht="15" customHeight="1">
      <c r="A496" s="315" t="str">
        <f>IF(B496="","",IF(B495="",SUM(COUNT($A$5:A495)+1),""))</f>
        <v/>
      </c>
      <c r="B496" s="1223"/>
      <c r="C496" s="316" t="str">
        <f>IF(B496="","",VLOOKUP(B496,'TB for financial'!A:B,2,0))</f>
        <v/>
      </c>
      <c r="D496" s="318"/>
      <c r="E496" s="677"/>
      <c r="F496" s="319"/>
      <c r="G496" s="320"/>
      <c r="H496" s="321"/>
      <c r="I496" s="322"/>
      <c r="J496" s="323"/>
    </row>
    <row r="497" spans="1:10" ht="15" customHeight="1">
      <c r="A497" s="315" t="str">
        <f>IF(B497="","",IF(B496="",SUM(COUNT($A$5:A496)+1),""))</f>
        <v/>
      </c>
      <c r="B497" s="1223"/>
      <c r="C497" s="316" t="str">
        <f>IF(B497="","",VLOOKUP(B497,'TB for financial'!A:B,2,0))</f>
        <v/>
      </c>
      <c r="D497" s="318"/>
      <c r="E497" s="317"/>
      <c r="F497" s="319"/>
      <c r="G497" s="320"/>
      <c r="H497" s="321"/>
      <c r="I497" s="322"/>
      <c r="J497" s="323"/>
    </row>
    <row r="498" spans="1:10" ht="15" customHeight="1">
      <c r="A498" s="315" t="str">
        <f>IF(B498="","",IF(B497="",SUM(COUNT($A$5:A497)+1),""))</f>
        <v/>
      </c>
      <c r="B498" s="1223"/>
      <c r="C498" s="316" t="str">
        <f>IF(B498="","",VLOOKUP(B498,'TB for financial'!A:B,2,0))</f>
        <v/>
      </c>
      <c r="D498" s="318"/>
      <c r="E498" s="677"/>
      <c r="F498" s="319"/>
      <c r="G498" s="320"/>
      <c r="H498" s="321"/>
      <c r="I498" s="322"/>
      <c r="J498" s="323"/>
    </row>
    <row r="499" spans="1:10" ht="15" customHeight="1">
      <c r="A499" s="315" t="str">
        <f>IF(B499="","",IF(B498="",SUM(COUNT($A$5:A498)+1),""))</f>
        <v/>
      </c>
      <c r="B499" s="1223"/>
      <c r="C499" s="316" t="str">
        <f>IF(B499="","",VLOOKUP(B499,'TB for financial'!A:B,2,0))</f>
        <v/>
      </c>
      <c r="D499" s="318"/>
      <c r="E499" s="317"/>
      <c r="F499" s="319"/>
      <c r="G499" s="320"/>
      <c r="H499" s="321"/>
      <c r="I499" s="322"/>
      <c r="J499" s="323"/>
    </row>
    <row r="500" spans="1:10" ht="15" customHeight="1">
      <c r="A500" s="315" t="str">
        <f>IF(B500="","",IF(B499="",SUM(COUNT($A$5:A499)+1),""))</f>
        <v/>
      </c>
      <c r="B500" s="1223"/>
      <c r="C500" s="316" t="str">
        <f>IF(B500="","",VLOOKUP(B500,'TB for financial'!A:B,2,0))</f>
        <v/>
      </c>
      <c r="D500" s="318"/>
      <c r="E500" s="677"/>
      <c r="F500" s="319"/>
      <c r="G500" s="320"/>
      <c r="H500" s="321"/>
      <c r="I500" s="322"/>
      <c r="J500" s="323"/>
    </row>
    <row r="501" spans="1:10" ht="15" customHeight="1">
      <c r="A501" s="315" t="str">
        <f>IF(B501="","",IF(B500="",SUM(COUNT($A$5:A500)+1),""))</f>
        <v/>
      </c>
      <c r="B501" s="1223"/>
      <c r="C501" s="316" t="str">
        <f>IF(B501="","",VLOOKUP(B501,'TB for financial'!A:B,2,0))</f>
        <v/>
      </c>
      <c r="D501" s="318"/>
      <c r="E501" s="317"/>
      <c r="F501" s="319"/>
      <c r="G501" s="320"/>
      <c r="H501" s="321"/>
      <c r="I501" s="322"/>
      <c r="J501" s="323"/>
    </row>
    <row r="502" spans="1:10" ht="15" customHeight="1">
      <c r="A502" s="315" t="str">
        <f>IF(B502="","",IF(B501="",SUM(COUNT($A$5:A501)+1),""))</f>
        <v/>
      </c>
      <c r="B502" s="1223"/>
      <c r="C502" s="316" t="str">
        <f>IF(B502="","",VLOOKUP(B502,'TB for financial'!A:B,2,0))</f>
        <v/>
      </c>
      <c r="D502" s="318"/>
      <c r="E502" s="677"/>
      <c r="F502" s="319"/>
      <c r="G502" s="320"/>
      <c r="H502" s="321"/>
      <c r="I502" s="322"/>
      <c r="J502" s="323"/>
    </row>
    <row r="503" spans="1:10" ht="15" customHeight="1">
      <c r="A503" s="315" t="str">
        <f>IF(B503="","",IF(B502="",SUM(COUNT($A$5:A502)+1),""))</f>
        <v/>
      </c>
      <c r="B503" s="1223"/>
      <c r="C503" s="316" t="str">
        <f>IF(B503="","",VLOOKUP(B503,'TB for financial'!A:B,2,0))</f>
        <v/>
      </c>
      <c r="D503" s="318"/>
      <c r="E503" s="317"/>
      <c r="F503" s="319"/>
      <c r="G503" s="320"/>
      <c r="H503" s="321"/>
      <c r="I503" s="322"/>
      <c r="J503" s="323"/>
    </row>
    <row r="504" spans="1:10" ht="15" customHeight="1">
      <c r="A504" s="315" t="str">
        <f>IF(B504="","",IF(B503="",SUM(COUNT($A$5:A503)+1),""))</f>
        <v/>
      </c>
      <c r="B504" s="1223"/>
      <c r="C504" s="316" t="str">
        <f>IF(B504="","",VLOOKUP(B504,'TB for financial'!A:B,2,0))</f>
        <v/>
      </c>
      <c r="D504" s="318"/>
      <c r="E504" s="677"/>
      <c r="F504" s="319"/>
      <c r="G504" s="320"/>
      <c r="H504" s="321"/>
      <c r="I504" s="322"/>
      <c r="J504" s="323"/>
    </row>
    <row r="505" spans="1:10" ht="15" customHeight="1">
      <c r="A505" s="315" t="str">
        <f>IF(B505="","",IF(B504="",SUM(COUNT($A$5:A504)+1),""))</f>
        <v/>
      </c>
      <c r="B505" s="1223"/>
      <c r="C505" s="316" t="str">
        <f>IF(B505="","",VLOOKUP(B505,'TB for financial'!A:B,2,0))</f>
        <v/>
      </c>
      <c r="D505" s="318"/>
      <c r="E505" s="317"/>
      <c r="F505" s="319"/>
      <c r="G505" s="320"/>
      <c r="H505" s="321"/>
      <c r="I505" s="322"/>
      <c r="J505" s="323"/>
    </row>
    <row r="506" spans="1:10" ht="15" customHeight="1">
      <c r="A506" s="315" t="str">
        <f>IF(B506="","",IF(B505="",SUM(COUNT($A$5:A505)+1),""))</f>
        <v/>
      </c>
      <c r="B506" s="1223"/>
      <c r="C506" s="316" t="str">
        <f>IF(B506="","",VLOOKUP(B506,'TB for financial'!A:B,2,0))</f>
        <v/>
      </c>
      <c r="D506" s="318"/>
      <c r="E506" s="677"/>
      <c r="F506" s="319"/>
      <c r="G506" s="320"/>
      <c r="H506" s="321"/>
      <c r="I506" s="322"/>
      <c r="J506" s="323"/>
    </row>
    <row r="507" spans="1:10" ht="15" customHeight="1">
      <c r="A507" s="315" t="str">
        <f>IF(B507="","",IF(B506="",SUM(COUNT($A$5:A506)+1),""))</f>
        <v/>
      </c>
      <c r="B507" s="1223"/>
      <c r="C507" s="316" t="str">
        <f>IF(B507="","",VLOOKUP(B507,'TB for financial'!A:B,2,0))</f>
        <v/>
      </c>
      <c r="D507" s="318"/>
      <c r="E507" s="677"/>
      <c r="F507" s="319"/>
      <c r="G507" s="320"/>
      <c r="H507" s="321"/>
      <c r="I507" s="322"/>
      <c r="J507" s="323"/>
    </row>
    <row r="508" spans="1:10" ht="15" customHeight="1">
      <c r="A508" s="315" t="str">
        <f>IF(B508="","",IF(B507="",SUM(COUNT($A$5:A507)+1),""))</f>
        <v/>
      </c>
      <c r="B508" s="1223"/>
      <c r="C508" s="316" t="str">
        <f>IF(B508="","",VLOOKUP(B508,'TB for financial'!A:B,2,0))</f>
        <v/>
      </c>
      <c r="D508" s="318"/>
      <c r="E508" s="677"/>
      <c r="F508" s="319"/>
      <c r="G508" s="320"/>
      <c r="H508" s="321"/>
      <c r="I508" s="322"/>
      <c r="J508" s="323"/>
    </row>
    <row r="509" spans="1:10" ht="15" customHeight="1">
      <c r="A509" s="315" t="str">
        <f>IF(B509="","",IF(B508="",SUM(COUNT($A$5:A508)+1),""))</f>
        <v/>
      </c>
      <c r="B509" s="1223"/>
      <c r="C509" s="316" t="str">
        <f>IF(B509="","",VLOOKUP(B509,'TB for financial'!A:B,2,0))</f>
        <v/>
      </c>
      <c r="D509" s="318"/>
      <c r="E509" s="317"/>
      <c r="F509" s="319"/>
      <c r="G509" s="320"/>
      <c r="H509" s="321"/>
      <c r="I509" s="322"/>
      <c r="J509" s="323"/>
    </row>
    <row r="510" spans="1:10" ht="15" customHeight="1">
      <c r="A510" s="315" t="str">
        <f>IF(B510="","",IF(B509="",SUM(COUNT($A$5:A509)+1),""))</f>
        <v/>
      </c>
      <c r="B510" s="1223"/>
      <c r="C510" s="316" t="str">
        <f>IF(B510="","",VLOOKUP(B510,'TB for financial'!A:B,2,0))</f>
        <v/>
      </c>
      <c r="D510" s="318"/>
      <c r="E510" s="677"/>
      <c r="F510" s="319"/>
      <c r="G510" s="320">
        <f t="shared" ref="G510:G521" si="3">IF(H510="PL - PL",0,IF(D510="",-E510,D510))</f>
        <v>0</v>
      </c>
      <c r="H510" s="321"/>
      <c r="I510" s="322"/>
      <c r="J510" s="323"/>
    </row>
    <row r="511" spans="1:10" ht="15" customHeight="1">
      <c r="A511" s="315" t="str">
        <f>IF(B511="","",IF(B510="",SUM(COUNT($A$5:A510)+1),""))</f>
        <v/>
      </c>
      <c r="B511" s="1223"/>
      <c r="C511" s="316" t="str">
        <f>IF(B511="","",VLOOKUP(B511,'TB for financial'!A:B,2,0))</f>
        <v/>
      </c>
      <c r="D511" s="318"/>
      <c r="E511" s="317"/>
      <c r="F511" s="319"/>
      <c r="G511" s="320">
        <f t="shared" si="3"/>
        <v>0</v>
      </c>
      <c r="H511" s="321"/>
      <c r="I511" s="322"/>
      <c r="J511" s="323"/>
    </row>
    <row r="512" spans="1:10" ht="15" customHeight="1">
      <c r="A512" s="315" t="str">
        <f>IF(B512="","",IF(B511="",SUM(COUNT($A$5:A511)+1),""))</f>
        <v/>
      </c>
      <c r="B512" s="1223"/>
      <c r="C512" s="316" t="str">
        <f>IF(B512="","",VLOOKUP(B512,'TB for financial'!A:B,2,0))</f>
        <v/>
      </c>
      <c r="D512" s="318"/>
      <c r="E512" s="677"/>
      <c r="F512" s="319"/>
      <c r="G512" s="320">
        <f t="shared" si="3"/>
        <v>0</v>
      </c>
      <c r="H512" s="321"/>
      <c r="I512" s="322"/>
      <c r="J512" s="323"/>
    </row>
    <row r="513" spans="1:10" ht="15" customHeight="1">
      <c r="A513" s="315" t="str">
        <f>IF(B513="","",IF(B512="",SUM(COUNT($A$5:A512)+1),""))</f>
        <v/>
      </c>
      <c r="B513" s="1223"/>
      <c r="C513" s="316" t="str">
        <f>IF(B513="","",VLOOKUP(B513,'TB for financial'!A:B,2,0))</f>
        <v/>
      </c>
      <c r="D513" s="318"/>
      <c r="E513" s="317"/>
      <c r="F513" s="319"/>
      <c r="G513" s="320">
        <f t="shared" si="3"/>
        <v>0</v>
      </c>
      <c r="H513" s="321"/>
      <c r="I513" s="322"/>
      <c r="J513" s="323"/>
    </row>
    <row r="514" spans="1:10" ht="15" customHeight="1">
      <c r="A514" s="315" t="str">
        <f>IF(B514="","",IF(B513="",SUM(COUNT($A$5:A513)+1),""))</f>
        <v/>
      </c>
      <c r="B514" s="1223"/>
      <c r="C514" s="316" t="str">
        <f>IF(B514="","",VLOOKUP(B514,'TB for financial'!A:B,2,0))</f>
        <v/>
      </c>
      <c r="D514" s="318"/>
      <c r="E514" s="677"/>
      <c r="F514" s="319"/>
      <c r="G514" s="320">
        <f t="shared" si="3"/>
        <v>0</v>
      </c>
      <c r="H514" s="321"/>
      <c r="I514" s="322"/>
      <c r="J514" s="323"/>
    </row>
    <row r="515" spans="1:10" ht="15" customHeight="1">
      <c r="A515" s="315" t="str">
        <f>IF(B515="","",IF(B514="",SUM(COUNT($A$5:A514)+1),""))</f>
        <v/>
      </c>
      <c r="B515" s="1223"/>
      <c r="C515" s="316" t="str">
        <f>IF(B515="","",VLOOKUP(B515,'TB for financial'!A:B,2,0))</f>
        <v/>
      </c>
      <c r="D515" s="318"/>
      <c r="E515" s="317"/>
      <c r="F515" s="319"/>
      <c r="G515" s="320">
        <f t="shared" si="3"/>
        <v>0</v>
      </c>
      <c r="H515" s="321"/>
      <c r="I515" s="322"/>
      <c r="J515" s="323"/>
    </row>
    <row r="516" spans="1:10" ht="15" customHeight="1">
      <c r="A516" s="315" t="str">
        <f>IF(B516="","",IF(B515="",SUM(COUNT($A$5:A515)+1),""))</f>
        <v/>
      </c>
      <c r="B516" s="1223"/>
      <c r="C516" s="316" t="str">
        <f>IF(B516="","",VLOOKUP(B516,'TB for financial'!A:B,2,0))</f>
        <v/>
      </c>
      <c r="D516" s="317"/>
      <c r="E516" s="318"/>
      <c r="F516" s="319"/>
      <c r="G516" s="320">
        <f t="shared" si="3"/>
        <v>0</v>
      </c>
      <c r="H516" s="321"/>
      <c r="I516" s="322"/>
      <c r="J516" s="323"/>
    </row>
    <row r="517" spans="1:10" ht="15" customHeight="1">
      <c r="A517" s="315" t="str">
        <f>IF(B517="","",IF(B516="",SUM(COUNT($A$5:A516)+1),""))</f>
        <v/>
      </c>
      <c r="B517" s="1223"/>
      <c r="C517" s="316" t="str">
        <f>IF(B517="","",VLOOKUP(B517,'TB for financial'!A:B,2,0))</f>
        <v/>
      </c>
      <c r="D517" s="318"/>
      <c r="E517" s="317"/>
      <c r="F517" s="319"/>
      <c r="G517" s="320">
        <f t="shared" si="3"/>
        <v>0</v>
      </c>
      <c r="H517" s="321"/>
      <c r="I517" s="322"/>
      <c r="J517" s="323"/>
    </row>
    <row r="518" spans="1:10" ht="15" customHeight="1">
      <c r="A518" s="315"/>
      <c r="B518" s="1223"/>
      <c r="C518" s="316" t="str">
        <f>IF(B518="","",VLOOKUP(B518,'TB for financial'!A:B,2,0))</f>
        <v/>
      </c>
      <c r="D518" s="318"/>
      <c r="E518" s="317"/>
      <c r="F518" s="319"/>
      <c r="G518" s="320"/>
      <c r="H518" s="321"/>
      <c r="I518" s="322"/>
      <c r="J518" s="323"/>
    </row>
    <row r="519" spans="1:10" ht="15" customHeight="1">
      <c r="A519" s="315"/>
      <c r="B519" s="1223"/>
      <c r="C519" s="316" t="str">
        <f>IF(B519="","",VLOOKUP(B519,'TB for financial'!A:B,2,0))</f>
        <v/>
      </c>
      <c r="D519" s="318"/>
      <c r="E519" s="1388"/>
      <c r="F519" s="319"/>
      <c r="G519" s="320"/>
      <c r="H519" s="321"/>
      <c r="I519" s="322"/>
      <c r="J519" s="323"/>
    </row>
    <row r="520" spans="1:10" ht="15" customHeight="1">
      <c r="A520" s="315"/>
      <c r="B520" s="1223"/>
      <c r="C520" s="316" t="str">
        <f>IF(B520="","",VLOOKUP(B520,'TB for financial'!A:B,2,0))</f>
        <v/>
      </c>
      <c r="D520" s="318"/>
      <c r="E520" s="317"/>
      <c r="F520" s="319"/>
      <c r="G520" s="320"/>
      <c r="H520" s="321"/>
      <c r="I520" s="322"/>
      <c r="J520" s="323"/>
    </row>
    <row r="521" spans="1:10" ht="15" customHeight="1">
      <c r="A521" s="315" t="str">
        <f>IF(B521="","",IF(B517="",SUM(COUNT($A$5:A517)+1),""))</f>
        <v/>
      </c>
      <c r="B521" s="1223"/>
      <c r="C521" s="316" t="str">
        <f>IF(B521="","",VLOOKUP(B521,'TB for financial'!A:B,2,0))</f>
        <v/>
      </c>
      <c r="D521" s="317"/>
      <c r="E521" s="318"/>
      <c r="F521" s="319"/>
      <c r="G521" s="320">
        <f t="shared" si="3"/>
        <v>0</v>
      </c>
      <c r="H521" s="321"/>
      <c r="I521" s="322"/>
      <c r="J521" s="323"/>
    </row>
    <row r="522" spans="1:10" ht="15" customHeight="1">
      <c r="A522" s="315" t="str">
        <f>IF(B522="","",IF(B521="",SUM(COUNT($A$5:A521)+1),""))</f>
        <v/>
      </c>
      <c r="B522" s="1223"/>
      <c r="C522" s="316" t="str">
        <f>IF(B522="","",VLOOKUP(B522,'TB for financial'!A:B,2,0))</f>
        <v/>
      </c>
      <c r="D522" s="317"/>
      <c r="E522" s="318"/>
      <c r="F522" s="319"/>
      <c r="G522" s="320"/>
      <c r="H522" s="321"/>
      <c r="I522" s="322"/>
      <c r="J522" s="323"/>
    </row>
    <row r="523" spans="1:10" ht="15" customHeight="1">
      <c r="A523" s="315" t="str">
        <f>IF(B523="","",IF(B522="",SUM(COUNT($A$5:A522)+1),""))</f>
        <v/>
      </c>
      <c r="B523" s="324"/>
      <c r="C523" s="1386"/>
      <c r="D523" s="317"/>
      <c r="E523" s="318"/>
      <c r="F523" s="319"/>
      <c r="G523" s="320">
        <f>IF(H523="PL - PL",0,IF(D523="",-E523,D523))</f>
        <v>0</v>
      </c>
      <c r="H523" s="321"/>
      <c r="I523" s="322"/>
      <c r="J523" s="323"/>
    </row>
    <row r="524" spans="1:10" ht="15" customHeight="1">
      <c r="A524" s="315" t="str">
        <f>IF(B524="","",IF(B523="",SUM(COUNT($A$5:A523)+1),""))</f>
        <v/>
      </c>
      <c r="B524" s="315"/>
      <c r="C524" s="316" t="str">
        <f>IF(B524="","",VLOOKUP(B524,'TB for financial'!A:B,2,0))</f>
        <v/>
      </c>
      <c r="D524" s="318"/>
      <c r="E524" s="318"/>
      <c r="F524" s="319"/>
      <c r="G524" s="320">
        <f t="shared" ref="G524:G530" si="4">IF(H524="PL - PL",0,IF(D524="",-E524,D524))</f>
        <v>0</v>
      </c>
      <c r="H524" s="321"/>
      <c r="I524" s="322"/>
      <c r="J524" s="323"/>
    </row>
    <row r="525" spans="1:10" ht="15" customHeight="1">
      <c r="A525" s="315" t="str">
        <f>IF(B525="","",IF(B524="",SUM(COUNT($A$5:A524)+1),""))</f>
        <v/>
      </c>
      <c r="B525" s="324"/>
      <c r="C525" s="316" t="str">
        <f>IF(B525="","",VLOOKUP(B525,'TB for financial'!A:B,2,0))</f>
        <v/>
      </c>
      <c r="D525" s="318"/>
      <c r="E525" s="318"/>
      <c r="F525" s="319"/>
      <c r="G525" s="320">
        <f t="shared" si="4"/>
        <v>0</v>
      </c>
      <c r="H525" s="321"/>
      <c r="I525" s="322"/>
      <c r="J525" s="323"/>
    </row>
    <row r="526" spans="1:10" ht="15" customHeight="1">
      <c r="A526" s="315" t="str">
        <f>IF(B526="","",IF(B525="",SUM(COUNT($A$5:A525)+1),""))</f>
        <v/>
      </c>
      <c r="B526" s="327"/>
      <c r="C526" s="316" t="str">
        <f>IF(B526="","",VLOOKUP(B526,'TB for financial'!A:B,2,0))</f>
        <v/>
      </c>
      <c r="D526" s="317"/>
      <c r="E526" s="318"/>
      <c r="F526" s="319"/>
      <c r="G526" s="320">
        <f t="shared" si="4"/>
        <v>0</v>
      </c>
      <c r="H526" s="321"/>
      <c r="I526" s="322"/>
      <c r="J526" s="323"/>
    </row>
    <row r="527" spans="1:10" ht="15" customHeight="1">
      <c r="A527" s="315" t="str">
        <f>IF(B527="","",IF(B526="",SUM(COUNT($A$5:A526)+1),""))</f>
        <v/>
      </c>
      <c r="B527" s="324"/>
      <c r="C527" s="316" t="str">
        <f>IF(B527="","",VLOOKUP(B527,'TB for financial'!A:B,2,0))</f>
        <v/>
      </c>
      <c r="D527" s="1222"/>
      <c r="E527" s="1222"/>
      <c r="F527" s="319"/>
      <c r="G527" s="320">
        <f t="shared" si="4"/>
        <v>0</v>
      </c>
      <c r="H527" s="321"/>
      <c r="I527" s="322"/>
      <c r="J527" s="323"/>
    </row>
    <row r="528" spans="1:10" ht="15" customHeight="1">
      <c r="A528" s="315" t="str">
        <f>IF(B528="","",IF(B527="",SUM(COUNT($A$5:A527)+1),""))</f>
        <v/>
      </c>
      <c r="B528" s="324"/>
      <c r="C528" s="316" t="str">
        <f>IF(B528="","",VLOOKUP(B528,'TB for financial'!A:B,2,0))</f>
        <v/>
      </c>
      <c r="E528" s="1222"/>
      <c r="F528" s="319"/>
      <c r="G528" s="320">
        <f t="shared" si="4"/>
        <v>0</v>
      </c>
      <c r="H528" s="321"/>
      <c r="I528" s="322"/>
      <c r="J528" s="323"/>
    </row>
    <row r="529" spans="1:10" ht="27.75" customHeight="1">
      <c r="A529" s="315" t="str">
        <f>IF(B529="","",IF(B528="",SUM(COUNT($A$5:A528)+1),""))</f>
        <v/>
      </c>
      <c r="B529" s="324"/>
      <c r="C529" s="1385"/>
      <c r="D529" s="317"/>
      <c r="E529" s="318"/>
      <c r="F529" s="319"/>
      <c r="G529" s="320">
        <f t="shared" si="4"/>
        <v>0</v>
      </c>
      <c r="H529" s="321"/>
      <c r="I529" s="322"/>
      <c r="J529" s="323"/>
    </row>
    <row r="530" spans="1:10" ht="15" customHeight="1">
      <c r="A530" s="315" t="str">
        <f>IF(B530="","",IF(B529="",SUM(COUNT($A$5:A529)+1),""))</f>
        <v/>
      </c>
      <c r="C530" s="316" t="str">
        <f>IF(B530="","",VLOOKUP(B530,'TB for financial'!A:B,2,0))</f>
        <v/>
      </c>
      <c r="D530" s="1222"/>
      <c r="E530" s="1222"/>
      <c r="F530" s="319"/>
      <c r="G530" s="320">
        <f t="shared" si="4"/>
        <v>0</v>
      </c>
      <c r="H530" s="321"/>
      <c r="I530" s="322"/>
      <c r="J530" s="323"/>
    </row>
    <row r="531" spans="1:10" ht="15" customHeight="1">
      <c r="A531" s="315" t="str">
        <f>IF(B531="","",IF(B530="",SUM(COUNT($A$5:A530)+1),""))</f>
        <v/>
      </c>
      <c r="C531" s="316" t="str">
        <f>IF(B531="","",VLOOKUP(B531,'TB for financial'!A:B,2,0))</f>
        <v/>
      </c>
      <c r="E531" s="1222"/>
      <c r="F531" s="319"/>
      <c r="G531" s="320"/>
      <c r="H531" s="321"/>
      <c r="I531" s="322"/>
      <c r="J531" s="323"/>
    </row>
    <row r="532" spans="1:10" ht="15" customHeight="1">
      <c r="A532" s="315"/>
      <c r="C532" s="316" t="str">
        <f>IF(B532="","",VLOOKUP(B532,'TB for financial'!A:B,2,0))</f>
        <v/>
      </c>
      <c r="E532" s="1222"/>
      <c r="F532" s="319"/>
      <c r="G532" s="320"/>
      <c r="H532" s="321"/>
      <c r="I532" s="322"/>
      <c r="J532" s="323"/>
    </row>
    <row r="533" spans="1:10" ht="15" customHeight="1">
      <c r="A533" s="315" t="str">
        <f>IF(B533="","",IF(B531="",SUM(COUNT($A$5:A531)+1),""))</f>
        <v/>
      </c>
      <c r="C533" s="316" t="str">
        <f>IF(B533="","",VLOOKUP(B533,'TB for financial'!A:B,2,0))</f>
        <v/>
      </c>
      <c r="D533" s="317"/>
      <c r="E533" s="318"/>
      <c r="F533" s="319"/>
      <c r="G533" s="320">
        <f>IF(H533="PL - PL",0,IF(D533="",-E533,D533))</f>
        <v>0</v>
      </c>
      <c r="H533" s="321"/>
      <c r="I533" s="322"/>
      <c r="J533" s="323"/>
    </row>
    <row r="534" spans="1:10" ht="27" customHeight="1">
      <c r="A534" s="315" t="str">
        <f>IF(B534="","",IF(B533="",SUM(COUNT($A$5:A533)+1),""))</f>
        <v/>
      </c>
      <c r="C534" s="1385"/>
      <c r="D534" s="1222"/>
      <c r="F534" s="319"/>
      <c r="G534" s="320">
        <f>IF(H534="PL - PL",0,IF(D534="",-E534,D534))</f>
        <v>0</v>
      </c>
      <c r="H534" s="321"/>
      <c r="I534" s="322"/>
      <c r="J534" s="323"/>
    </row>
    <row r="535" spans="1:10" ht="15" customHeight="1">
      <c r="A535" s="315" t="str">
        <f>IF(B535="","",IF(B534="",SUM(COUNT($A$5:A534)+1),""))</f>
        <v/>
      </c>
      <c r="C535" s="316" t="str">
        <f>IF(B535="","",VLOOKUP(B535,'TB for financial'!A:B,2,0))</f>
        <v/>
      </c>
      <c r="D535" s="1222"/>
      <c r="E535" s="1225"/>
      <c r="F535" s="319"/>
      <c r="G535" s="320"/>
      <c r="H535" s="321"/>
      <c r="I535" s="322"/>
      <c r="J535" s="323"/>
    </row>
    <row r="536" spans="1:10" ht="15" customHeight="1">
      <c r="A536" s="315" t="str">
        <f>IF(B536="","",IF(B535="",SUM(COUNT($A$5:A535)+1),""))</f>
        <v/>
      </c>
      <c r="C536" s="316" t="str">
        <f>IF(B536="","",VLOOKUP(B536,'TB for financial'!A:B,2,0))</f>
        <v/>
      </c>
      <c r="D536" s="318"/>
      <c r="E536" s="677"/>
      <c r="F536" s="319"/>
      <c r="G536" s="320">
        <f t="shared" ref="G536:G568" si="5">IF(H536="PL - PL",0,IF(D536="",-E536,D536))</f>
        <v>0</v>
      </c>
      <c r="H536" s="321"/>
      <c r="I536" s="322"/>
      <c r="J536" s="323"/>
    </row>
    <row r="537" spans="1:10" ht="15" customHeight="1">
      <c r="A537" s="315" t="str">
        <f>IF(B537="","",IF(B536="",SUM(COUNT($A$5:A536)+1),""))</f>
        <v/>
      </c>
      <c r="C537" s="316" t="str">
        <f>IF(B537="","",VLOOKUP(B537,'TB for financial'!A:B,2,0))</f>
        <v/>
      </c>
      <c r="D537" s="1222"/>
      <c r="F537" s="319"/>
      <c r="G537" s="320">
        <f t="shared" si="5"/>
        <v>0</v>
      </c>
      <c r="H537" s="321"/>
      <c r="I537" s="322"/>
      <c r="J537" s="323"/>
    </row>
    <row r="538" spans="1:10" ht="15" customHeight="1">
      <c r="A538" s="315" t="str">
        <f>IF(B538="","",IF(B537="",SUM(COUNT($A$5:A537)+1),""))</f>
        <v/>
      </c>
      <c r="C538" s="1385"/>
      <c r="D538" s="1222"/>
      <c r="E538" s="1225"/>
      <c r="F538" s="319"/>
      <c r="G538" s="320">
        <f t="shared" si="5"/>
        <v>0</v>
      </c>
      <c r="H538" s="321"/>
      <c r="I538" s="322"/>
      <c r="J538" s="323"/>
    </row>
    <row r="539" spans="1:10" ht="15" customHeight="1">
      <c r="A539" s="315" t="str">
        <f>IF(B539="","",IF(B538="",SUM(COUNT($A$5:A538)+1),""))</f>
        <v/>
      </c>
      <c r="C539" s="316" t="str">
        <f>IF(B539="","",VLOOKUP(B539,'TB for financial'!A:B,2,0))</f>
        <v/>
      </c>
      <c r="D539" s="674"/>
      <c r="E539" s="676"/>
      <c r="F539" s="319"/>
      <c r="G539" s="320">
        <f t="shared" si="5"/>
        <v>0</v>
      </c>
      <c r="H539" s="321"/>
      <c r="I539" s="322"/>
      <c r="J539" s="323"/>
    </row>
    <row r="540" spans="1:10" ht="15" customHeight="1">
      <c r="A540" s="315" t="str">
        <f>IF(B540="","",IF(B539="",SUM(COUNT($A$5:A539)+1),""))</f>
        <v/>
      </c>
      <c r="C540" s="316" t="str">
        <f>IF(B540="","",VLOOKUP(B540,'TB for financial'!A:B,2,0))</f>
        <v/>
      </c>
      <c r="D540" s="1222"/>
      <c r="E540" s="1225"/>
      <c r="F540" s="319"/>
      <c r="G540" s="320">
        <f t="shared" si="5"/>
        <v>0</v>
      </c>
      <c r="H540" s="321"/>
      <c r="I540" s="322"/>
      <c r="J540" s="323"/>
    </row>
    <row r="541" spans="1:10" ht="15" customHeight="1">
      <c r="A541" s="315" t="str">
        <f>IF(B541="","",IF(B540="",SUM(COUNT($A$5:A540)+1),""))</f>
        <v/>
      </c>
      <c r="C541" s="316" t="str">
        <f>IF(B541="","",VLOOKUP(B541,'TB for financial'!A:B,2,0))</f>
        <v/>
      </c>
      <c r="D541" s="1222"/>
      <c r="E541" s="1225"/>
      <c r="F541" s="319"/>
      <c r="G541" s="320">
        <f t="shared" si="5"/>
        <v>0</v>
      </c>
      <c r="H541" s="321"/>
      <c r="I541" s="322"/>
      <c r="J541" s="323"/>
    </row>
    <row r="542" spans="1:10" ht="15" customHeight="1">
      <c r="A542" s="315" t="str">
        <f>IF(B542="","",IF(B541="",SUM(COUNT($A$5:A541)+1),""))</f>
        <v/>
      </c>
      <c r="C542" s="1385"/>
      <c r="D542" s="1222"/>
      <c r="E542" s="1225"/>
      <c r="F542" s="319"/>
      <c r="G542" s="320">
        <f t="shared" si="5"/>
        <v>0</v>
      </c>
      <c r="H542" s="321"/>
      <c r="I542" s="322"/>
      <c r="J542" s="323"/>
    </row>
    <row r="543" spans="1:10" ht="15" customHeight="1">
      <c r="A543" s="315" t="str">
        <f>IF(B543="","",IF(B542="",SUM(COUNT($A$5:A542)+1),""))</f>
        <v/>
      </c>
      <c r="C543" s="316" t="str">
        <f>IF(B543="","",VLOOKUP(B543,'TB for financial'!A:B,2,0))</f>
        <v/>
      </c>
      <c r="D543" s="1222"/>
      <c r="E543" s="1225"/>
      <c r="F543" s="319"/>
      <c r="G543" s="320">
        <f t="shared" si="5"/>
        <v>0</v>
      </c>
      <c r="H543" s="321"/>
      <c r="I543" s="322"/>
      <c r="J543" s="323"/>
    </row>
    <row r="544" spans="1:10" ht="15" customHeight="1">
      <c r="A544" s="315" t="str">
        <f>IF(B544="","",IF(B543="",SUM(COUNT($A$5:A543)+1),""))</f>
        <v/>
      </c>
      <c r="C544" s="316" t="str">
        <f>IF(B544="","",VLOOKUP(B544,'TB for financial'!A:B,2,0))</f>
        <v/>
      </c>
      <c r="D544" s="674"/>
      <c r="E544" s="676"/>
      <c r="F544" s="319"/>
      <c r="G544" s="320">
        <f t="shared" si="5"/>
        <v>0</v>
      </c>
      <c r="H544" s="321"/>
      <c r="I544" s="322"/>
      <c r="J544" s="323"/>
    </row>
    <row r="545" spans="1:10" ht="15" customHeight="1">
      <c r="A545" s="315" t="str">
        <f>IF(B545="","",IF(B544="",SUM(COUNT($A$5:A544)+1),""))</f>
        <v/>
      </c>
      <c r="C545" s="316" t="str">
        <f>IF(B545="","",VLOOKUP(B545,'TB for financial'!A:B,2,0))</f>
        <v/>
      </c>
      <c r="D545" s="1222"/>
      <c r="F545" s="319"/>
      <c r="G545" s="320">
        <f t="shared" si="5"/>
        <v>0</v>
      </c>
      <c r="H545" s="321"/>
      <c r="I545" s="322"/>
      <c r="J545" s="323"/>
    </row>
    <row r="546" spans="1:10" ht="15" customHeight="1">
      <c r="A546" s="315" t="str">
        <f>IF(B546="","",IF(B545="",SUM(COUNT($A$5:A545)+1),""))</f>
        <v/>
      </c>
      <c r="C546" s="1385"/>
      <c r="D546" s="1222"/>
      <c r="E546" s="1225"/>
      <c r="F546" s="319"/>
      <c r="G546" s="320">
        <f t="shared" si="5"/>
        <v>0</v>
      </c>
      <c r="H546" s="321"/>
      <c r="I546" s="322"/>
      <c r="J546" s="323"/>
    </row>
    <row r="547" spans="1:10" ht="15" customHeight="1">
      <c r="A547" s="315" t="str">
        <f>IF(B547="","",IF(B546="",SUM(COUNT($A$5:A546)+1),""))</f>
        <v/>
      </c>
      <c r="C547" s="316" t="str">
        <f>IF(B547="","",VLOOKUP(B547,'TB for financial'!A:B,2,0))</f>
        <v/>
      </c>
      <c r="D547" s="1222"/>
      <c r="E547" s="1225"/>
      <c r="F547" s="319"/>
      <c r="G547" s="320">
        <f t="shared" si="5"/>
        <v>0</v>
      </c>
      <c r="H547" s="321"/>
      <c r="I547" s="322"/>
      <c r="J547" s="323"/>
    </row>
    <row r="548" spans="1:10" ht="15" customHeight="1">
      <c r="A548" s="315" t="str">
        <f>IF(B548="","",IF(B547="",SUM(COUNT($A$5:A547)+1),""))</f>
        <v/>
      </c>
      <c r="C548" s="316" t="str">
        <f>IF(B548="","",VLOOKUP(B548,'TB for financial'!A:B,2,0))</f>
        <v/>
      </c>
      <c r="D548" s="318"/>
      <c r="E548" s="317"/>
      <c r="F548" s="319"/>
      <c r="G548" s="320">
        <f t="shared" si="5"/>
        <v>0</v>
      </c>
      <c r="H548" s="321"/>
      <c r="I548" s="322"/>
      <c r="J548" s="323"/>
    </row>
    <row r="549" spans="1:10" ht="15" customHeight="1">
      <c r="A549" s="315" t="str">
        <f>IF(B549="","",IF(B548="",SUM(COUNT($A$5:A548)+1),""))</f>
        <v/>
      </c>
      <c r="C549" s="316" t="str">
        <f>IF(B549="","",VLOOKUP(B549,'TB for financial'!A:B,2,0))</f>
        <v/>
      </c>
      <c r="D549" s="1222"/>
      <c r="E549" s="1225"/>
      <c r="F549" s="319"/>
      <c r="G549" s="320">
        <f t="shared" si="5"/>
        <v>0</v>
      </c>
      <c r="H549" s="321"/>
      <c r="I549" s="322"/>
      <c r="J549" s="323"/>
    </row>
    <row r="550" spans="1:10" ht="15" customHeight="1">
      <c r="A550" s="315" t="str">
        <f>IF(B550="","",IF(B549="",SUM(COUNT($A$5:A549)+1),""))</f>
        <v/>
      </c>
      <c r="C550" s="1385"/>
      <c r="D550" s="1222"/>
      <c r="E550" s="1225"/>
      <c r="F550" s="319"/>
      <c r="G550" s="320">
        <f t="shared" si="5"/>
        <v>0</v>
      </c>
      <c r="H550" s="321"/>
      <c r="I550" s="322"/>
      <c r="J550" s="323"/>
    </row>
    <row r="551" spans="1:10" ht="15" customHeight="1">
      <c r="A551" s="315" t="str">
        <f>IF(B551="","",IF(B550="",SUM(COUNT($A$5:A550)+1),""))</f>
        <v/>
      </c>
      <c r="C551" s="316" t="str">
        <f>IF(B551="","",VLOOKUP(B551,'TB for financial'!A:B,2,0))</f>
        <v/>
      </c>
      <c r="D551" s="318"/>
      <c r="E551" s="677"/>
      <c r="F551" s="319"/>
      <c r="G551" s="320">
        <f t="shared" si="5"/>
        <v>0</v>
      </c>
      <c r="H551" s="321"/>
      <c r="I551" s="322"/>
      <c r="J551" s="323"/>
    </row>
    <row r="552" spans="1:10" ht="15" customHeight="1">
      <c r="A552" s="315" t="str">
        <f>IF(B552="","",IF(B551="",SUM(COUNT($A$5:A551)+1),""))</f>
        <v/>
      </c>
      <c r="C552" s="316" t="str">
        <f>IF(B552="","",VLOOKUP(B552,'TB for financial'!A:B,2,0))</f>
        <v/>
      </c>
      <c r="D552" s="1222"/>
      <c r="F552" s="319"/>
      <c r="G552" s="320">
        <f t="shared" si="5"/>
        <v>0</v>
      </c>
      <c r="H552" s="321"/>
      <c r="I552" s="322"/>
      <c r="J552" s="323"/>
    </row>
    <row r="553" spans="1:10" ht="15" customHeight="1">
      <c r="A553" s="315" t="str">
        <f>IF(B553="","",IF(B552="",SUM(COUNT($A$5:A552)+1),""))</f>
        <v/>
      </c>
      <c r="C553" s="316" t="str">
        <f>IF(B553="","",VLOOKUP(B553,'TB for financial'!A:B,2,0))</f>
        <v/>
      </c>
      <c r="D553" s="1222"/>
      <c r="E553" s="1225"/>
      <c r="F553" s="319"/>
      <c r="G553" s="320">
        <f t="shared" si="5"/>
        <v>0</v>
      </c>
      <c r="H553" s="321"/>
      <c r="I553" s="322"/>
      <c r="J553" s="323"/>
    </row>
    <row r="554" spans="1:10" ht="15" customHeight="1">
      <c r="A554" s="315" t="str">
        <f>IF(B554="","",IF(B553="",SUM(COUNT($A$5:A553)+1),""))</f>
        <v/>
      </c>
      <c r="C554" s="1385"/>
      <c r="D554" s="318"/>
      <c r="E554" s="317"/>
      <c r="F554" s="319"/>
      <c r="G554" s="320">
        <f t="shared" si="5"/>
        <v>0</v>
      </c>
      <c r="H554" s="321"/>
      <c r="I554" s="322"/>
      <c r="J554" s="323"/>
    </row>
    <row r="555" spans="1:10" ht="15" customHeight="1">
      <c r="A555" s="315" t="str">
        <f>IF(B555="","",IF(B554="",SUM(COUNT($A$5:A554)+1),""))</f>
        <v/>
      </c>
      <c r="C555" s="316" t="str">
        <f>IF(B555="","",VLOOKUP(B555,'TB for financial'!A:B,2,0))</f>
        <v/>
      </c>
      <c r="D555" s="318"/>
      <c r="E555" s="677"/>
      <c r="F555" s="319"/>
      <c r="G555" s="320">
        <f t="shared" si="5"/>
        <v>0</v>
      </c>
      <c r="H555" s="321"/>
      <c r="I555" s="322"/>
      <c r="J555" s="323"/>
    </row>
    <row r="556" spans="1:10" ht="15" customHeight="1">
      <c r="A556" s="315" t="str">
        <f>IF(B556="","",IF(B555="",SUM(COUNT($A$5:A555)+1),""))</f>
        <v/>
      </c>
      <c r="C556" s="316" t="str">
        <f>IF(B556="","",VLOOKUP(B556,'TB for financial'!A:B,2,0))</f>
        <v/>
      </c>
      <c r="D556" s="674"/>
      <c r="E556" s="676"/>
      <c r="F556" s="319"/>
      <c r="G556" s="320">
        <f t="shared" si="5"/>
        <v>0</v>
      </c>
      <c r="H556" s="321"/>
      <c r="I556" s="322"/>
      <c r="J556" s="323"/>
    </row>
    <row r="557" spans="1:10" ht="15" customHeight="1">
      <c r="A557" s="315" t="str">
        <f>IF(B557="","",IF(B556="",SUM(COUNT($A$5:A556)+1),""))</f>
        <v/>
      </c>
      <c r="C557" s="316" t="str">
        <f>IF(B557="","",VLOOKUP(B557,'TB for financial'!A:B,2,0))</f>
        <v/>
      </c>
      <c r="D557" s="674"/>
      <c r="E557" s="676"/>
      <c r="F557" s="319"/>
      <c r="G557" s="320">
        <f t="shared" si="5"/>
        <v>0</v>
      </c>
      <c r="H557" s="321"/>
      <c r="I557" s="322"/>
      <c r="J557" s="323"/>
    </row>
    <row r="558" spans="1:10" ht="15" customHeight="1">
      <c r="A558" s="315" t="str">
        <f>IF(B558="","",IF(B557="",SUM(COUNT($A$5:A557)+1),""))</f>
        <v/>
      </c>
      <c r="C558" s="316" t="str">
        <f>IF(B558="","",VLOOKUP(B558,'TB for financial'!A:B,2,0))</f>
        <v/>
      </c>
      <c r="D558" s="674"/>
      <c r="E558" s="676"/>
      <c r="F558" s="319"/>
      <c r="G558" s="320">
        <f t="shared" si="5"/>
        <v>0</v>
      </c>
      <c r="H558" s="321"/>
      <c r="I558" s="322"/>
      <c r="J558" s="323"/>
    </row>
    <row r="559" spans="1:10" ht="15" customHeight="1">
      <c r="A559" s="315" t="str">
        <f>IF(B559="","",IF(B558="",SUM(COUNT($A$5:A558)+1),""))</f>
        <v/>
      </c>
      <c r="C559" s="316" t="str">
        <f>IF(B559="","",VLOOKUP(B559,'TB for financial'!A:B,2,0))</f>
        <v/>
      </c>
      <c r="D559" s="674"/>
      <c r="E559" s="676"/>
      <c r="F559" s="319"/>
      <c r="G559" s="320">
        <f t="shared" si="5"/>
        <v>0</v>
      </c>
      <c r="H559" s="321"/>
      <c r="I559" s="322"/>
      <c r="J559" s="323"/>
    </row>
    <row r="560" spans="1:10" ht="15" customHeight="1">
      <c r="A560" s="315" t="str">
        <f>IF(B560="","",IF(B559="",SUM(COUNT($A$5:A559)+1),""))</f>
        <v/>
      </c>
      <c r="C560" s="316" t="str">
        <f>IF(B560="","",VLOOKUP(B560,'TB for financial'!A:B,2,0))</f>
        <v/>
      </c>
      <c r="D560" s="674"/>
      <c r="E560" s="676"/>
      <c r="F560" s="319"/>
      <c r="G560" s="320">
        <f t="shared" si="5"/>
        <v>0</v>
      </c>
      <c r="H560" s="321"/>
      <c r="I560" s="322"/>
      <c r="J560" s="323"/>
    </row>
    <row r="561" spans="1:10" ht="15" customHeight="1">
      <c r="A561" s="315" t="str">
        <f>IF(B561="","",IF(B560="",SUM(COUNT($A$5:A560)+1),""))</f>
        <v/>
      </c>
      <c r="C561" s="316" t="str">
        <f>IF(B561="","",VLOOKUP(B561,'TB for financial'!A:B,2,0))</f>
        <v/>
      </c>
      <c r="D561" s="674"/>
      <c r="E561" s="676"/>
      <c r="F561" s="319"/>
      <c r="G561" s="320">
        <f t="shared" si="5"/>
        <v>0</v>
      </c>
      <c r="H561" s="321"/>
      <c r="I561" s="322"/>
      <c r="J561" s="323"/>
    </row>
    <row r="562" spans="1:10" ht="15" customHeight="1">
      <c r="A562" s="315" t="str">
        <f>IF(B562="","",IF(B561="",SUM(COUNT($A$5:A561)+1),""))</f>
        <v/>
      </c>
      <c r="C562" s="316" t="str">
        <f>IF(B562="","",VLOOKUP(B562,'TB for financial'!A:B,2,0))</f>
        <v/>
      </c>
      <c r="D562" s="674"/>
      <c r="E562" s="676"/>
      <c r="F562" s="319"/>
      <c r="G562" s="320">
        <f t="shared" si="5"/>
        <v>0</v>
      </c>
      <c r="H562" s="321"/>
      <c r="I562" s="322"/>
      <c r="J562" s="323"/>
    </row>
    <row r="563" spans="1:10" ht="15" customHeight="1">
      <c r="A563" s="315" t="str">
        <f>IF(B563="","",IF(B562="",SUM(COUNT($A$5:A562)+1),""))</f>
        <v/>
      </c>
      <c r="C563" s="316" t="str">
        <f>IF(B563="","",VLOOKUP(B563,'TB for financial'!A:B,2,0))</f>
        <v/>
      </c>
      <c r="D563" s="674"/>
      <c r="E563" s="676"/>
      <c r="F563" s="319"/>
      <c r="G563" s="320">
        <f t="shared" si="5"/>
        <v>0</v>
      </c>
      <c r="H563" s="321"/>
      <c r="I563" s="322"/>
      <c r="J563" s="323"/>
    </row>
    <row r="564" spans="1:10" ht="15" customHeight="1">
      <c r="A564" s="315" t="str">
        <f>IF(B564="","",IF(B563="",SUM(COUNT($A$5:A563)+1),""))</f>
        <v/>
      </c>
      <c r="C564" s="1385"/>
      <c r="D564" s="674"/>
      <c r="E564" s="676"/>
      <c r="F564" s="319"/>
      <c r="G564" s="320">
        <f t="shared" si="5"/>
        <v>0</v>
      </c>
      <c r="H564" s="321"/>
      <c r="I564" s="322"/>
      <c r="J564" s="323"/>
    </row>
    <row r="565" spans="1:10" ht="15" customHeight="1">
      <c r="A565" s="315" t="str">
        <f>IF(B565="","",IF(B564="",SUM(COUNT($A$5:A564)+1),""))</f>
        <v/>
      </c>
      <c r="C565" s="316" t="str">
        <f>IF(B565="","",VLOOKUP(B565,'TB for financial'!A:B,2,0))</f>
        <v/>
      </c>
      <c r="D565" s="674"/>
      <c r="E565" s="676"/>
      <c r="F565" s="319"/>
      <c r="G565" s="320">
        <f t="shared" si="5"/>
        <v>0</v>
      </c>
      <c r="H565" s="321"/>
      <c r="I565" s="322"/>
      <c r="J565" s="323"/>
    </row>
    <row r="566" spans="1:10" ht="15" customHeight="1">
      <c r="A566" s="315" t="str">
        <f>IF(B566="","",IF(B565="",SUM(COUNT($A$5:A565)+1),""))</f>
        <v/>
      </c>
      <c r="C566" s="316" t="str">
        <f>IF(B566="","",VLOOKUP(B566,'TB for financial'!A:B,2,0))</f>
        <v/>
      </c>
      <c r="D566" s="674"/>
      <c r="E566" s="676"/>
      <c r="F566" s="319"/>
      <c r="G566" s="320">
        <f t="shared" si="5"/>
        <v>0</v>
      </c>
      <c r="H566" s="321"/>
      <c r="I566" s="322"/>
      <c r="J566" s="323"/>
    </row>
    <row r="567" spans="1:10" ht="15" customHeight="1">
      <c r="A567" s="315" t="str">
        <f>IF(B567="","",IF(B566="",SUM(COUNT($A$5:A566)+1),""))</f>
        <v/>
      </c>
      <c r="C567" s="316" t="str">
        <f>IF(B567="","",VLOOKUP(B567,'TB for financial'!A:B,2,0))</f>
        <v/>
      </c>
      <c r="D567" s="674"/>
      <c r="E567" s="676"/>
      <c r="F567" s="319"/>
      <c r="G567" s="320">
        <f t="shared" si="5"/>
        <v>0</v>
      </c>
      <c r="H567" s="321"/>
      <c r="I567" s="322"/>
      <c r="J567" s="323"/>
    </row>
    <row r="568" spans="1:10" ht="15" customHeight="1">
      <c r="A568" s="315" t="str">
        <f>IF(B568="","",IF(B567="",SUM(COUNT($A$5:A567)+1),""))</f>
        <v/>
      </c>
      <c r="C568" s="316" t="str">
        <f>IF(B568="","",VLOOKUP(B568,'TB for financial'!A:B,2,0))</f>
        <v/>
      </c>
      <c r="D568" s="674"/>
      <c r="E568" s="676"/>
      <c r="F568" s="319"/>
      <c r="G568" s="320">
        <f t="shared" si="5"/>
        <v>0</v>
      </c>
      <c r="H568" s="321"/>
      <c r="I568" s="322"/>
      <c r="J568" s="323"/>
    </row>
    <row r="569" spans="1:10" ht="15" customHeight="1">
      <c r="A569" s="315" t="str">
        <f>IF(B569="","",IF(B568="",SUM(COUNT($A$5:A568)+1),""))</f>
        <v/>
      </c>
      <c r="C569" s="316" t="str">
        <f>IF(B569="","",VLOOKUP(B569,'TB for financial'!A:B,2,0))</f>
        <v/>
      </c>
      <c r="D569" s="318"/>
      <c r="E569" s="317"/>
      <c r="F569" s="319"/>
      <c r="G569" s="320"/>
      <c r="H569" s="321"/>
      <c r="I569" s="322"/>
      <c r="J569" s="323"/>
    </row>
    <row r="570" spans="1:10" ht="15" customHeight="1">
      <c r="A570" s="315" t="str">
        <f>IF(B570="","",IF(B569="",SUM(COUNT($A$5:A569)+1),""))</f>
        <v/>
      </c>
      <c r="B570" s="327"/>
      <c r="C570" s="316" t="str">
        <f>IF(B570="","",VLOOKUP(B570,'TB for financial'!A:B,2,0))</f>
        <v/>
      </c>
      <c r="D570" s="674"/>
      <c r="E570" s="676"/>
      <c r="F570" s="319"/>
      <c r="G570" s="320">
        <f>IF(H570="PL - PL",0,IF(D570="",-E570,D570))</f>
        <v>0</v>
      </c>
      <c r="H570" s="321"/>
      <c r="I570" s="322"/>
      <c r="J570" s="323"/>
    </row>
    <row r="571" spans="1:10" ht="15" customHeight="1">
      <c r="A571" s="315" t="str">
        <f>IF(B571="","",IF(B570="",SUM(COUNT($A$5:A570)+1),""))</f>
        <v/>
      </c>
      <c r="B571" s="327"/>
      <c r="C571" s="316" t="str">
        <f>IF(B571="","",VLOOKUP(B571,'TB for financial'!A:B,2,0))</f>
        <v/>
      </c>
      <c r="D571" s="674"/>
      <c r="E571" s="676"/>
      <c r="F571" s="319"/>
      <c r="G571" s="320">
        <f>IF(H571="PL - PL",0,IF(D571="",-E571,D571))</f>
        <v>0</v>
      </c>
      <c r="H571" s="321"/>
      <c r="I571" s="322"/>
      <c r="J571" s="323"/>
    </row>
    <row r="572" spans="1:10" ht="15" customHeight="1">
      <c r="A572" s="315" t="str">
        <f>IF(B572="","",IF(B571="",SUM(COUNT($A$5:A571)+1),""))</f>
        <v/>
      </c>
      <c r="B572" s="327"/>
      <c r="C572" s="316" t="str">
        <f>IF(B572="","",VLOOKUP(B572,'TB for financial'!A:B,2,0))</f>
        <v/>
      </c>
      <c r="D572" s="674"/>
      <c r="E572" s="676"/>
      <c r="F572" s="319"/>
      <c r="G572" s="320">
        <f>IF(H572="PL - PL",0,IF(D572="",-E572,D572))</f>
        <v>0</v>
      </c>
      <c r="H572" s="321"/>
      <c r="I572" s="322"/>
      <c r="J572" s="323"/>
    </row>
    <row r="573" spans="1:10" ht="15" customHeight="1">
      <c r="A573" s="315" t="str">
        <f>IF(B573="","",IF(B572="",SUM(COUNT($A$5:A572)+1),""))</f>
        <v/>
      </c>
      <c r="B573" s="327"/>
      <c r="C573" s="316" t="str">
        <f>IF(B573="","",VLOOKUP(B573,'TB for financial'!A:B,2,0))</f>
        <v/>
      </c>
      <c r="D573" s="673"/>
      <c r="E573" s="674"/>
      <c r="F573" s="319"/>
      <c r="G573" s="320">
        <f>IF(H573="PL - PL",0,IF(D573="",-E573,D573))</f>
        <v>0</v>
      </c>
      <c r="H573" s="321"/>
      <c r="I573" s="322"/>
      <c r="J573" s="323"/>
    </row>
    <row r="574" spans="1:10" ht="15" customHeight="1">
      <c r="A574" s="315" t="str">
        <f>IF(B574="","",IF(B573="",SUM(COUNT($A$5:A573)+1),""))</f>
        <v/>
      </c>
      <c r="B574" s="327"/>
      <c r="C574" s="316" t="str">
        <f>IF(B574="","",VLOOKUP(B574,'TB for financial'!A:B,2,0))</f>
        <v/>
      </c>
      <c r="D574" s="318"/>
      <c r="E574" s="317"/>
      <c r="F574" s="319"/>
      <c r="G574" s="320"/>
      <c r="H574" s="321"/>
      <c r="I574" s="322"/>
      <c r="J574" s="323"/>
    </row>
    <row r="575" spans="1:10" ht="15" customHeight="1">
      <c r="A575" s="315" t="str">
        <f>IF(B575="","",IF(B574="",SUM(COUNT($A$5:A574)+1),""))</f>
        <v/>
      </c>
      <c r="B575" s="327"/>
      <c r="C575" s="316" t="str">
        <f>IF(B575="","",VLOOKUP(B575,'TB for financial'!A:B,2,0))</f>
        <v/>
      </c>
      <c r="D575" s="318"/>
      <c r="E575" s="317"/>
      <c r="F575" s="319"/>
      <c r="G575" s="320"/>
      <c r="H575" s="321"/>
      <c r="I575" s="322"/>
      <c r="J575" s="323"/>
    </row>
    <row r="576" spans="1:10" ht="15" customHeight="1">
      <c r="A576" s="315" t="str">
        <f>IF(B576="","",IF(B575="",SUM(COUNT($A$5:A575)+1),""))</f>
        <v/>
      </c>
      <c r="B576" s="327"/>
      <c r="C576" s="316" t="str">
        <f>IF(B576="","",VLOOKUP(B576,'TB for financial'!A:B,2,0))</f>
        <v/>
      </c>
      <c r="D576" s="674"/>
      <c r="E576" s="674"/>
      <c r="F576" s="319"/>
      <c r="G576" s="320">
        <f>IF(H576="PL - PL",0,IF(D576="",-E576,D576))</f>
        <v>0</v>
      </c>
      <c r="H576" s="321"/>
      <c r="I576" s="322"/>
      <c r="J576" s="323"/>
    </row>
    <row r="577" spans="1:10" ht="15" customHeight="1">
      <c r="A577" s="315" t="str">
        <f>IF(B577="","",IF(B576="",SUM(COUNT($A$5:A576)+1),""))</f>
        <v/>
      </c>
      <c r="B577" s="327"/>
      <c r="C577" s="1385"/>
      <c r="D577" s="673"/>
      <c r="E577" s="674"/>
      <c r="F577" s="319"/>
      <c r="G577" s="320">
        <f>IF(H577="PL - PL",0,IF(D577="",-E577,D577))</f>
        <v>0</v>
      </c>
      <c r="H577" s="321"/>
      <c r="I577" s="322"/>
      <c r="J577" s="323"/>
    </row>
    <row r="578" spans="1:10" ht="15" customHeight="1">
      <c r="A578" s="315" t="str">
        <f>IF(B578="","",IF(B577="",SUM(COUNT($A$5:A577)+1),""))</f>
        <v/>
      </c>
      <c r="B578" s="327"/>
      <c r="C578" s="316" t="str">
        <f>IF(B578="","",VLOOKUP(B578,'TB for financial'!A:B,2,0))</f>
        <v/>
      </c>
      <c r="D578" s="674"/>
      <c r="E578" s="675"/>
      <c r="F578" s="319"/>
      <c r="G578" s="320"/>
      <c r="H578" s="321"/>
      <c r="I578" s="322"/>
      <c r="J578" s="323"/>
    </row>
    <row r="579" spans="1:10" ht="15" customHeight="1">
      <c r="A579" s="315" t="str">
        <f>IF(B579="","",IF(B578="",SUM(COUNT($A$5:A578)+1),""))</f>
        <v/>
      </c>
      <c r="B579" s="327"/>
      <c r="C579" s="316" t="str">
        <f>IF(B579="","",VLOOKUP(B579,'TB for financial'!A:B,2,0))</f>
        <v/>
      </c>
      <c r="D579" s="674"/>
      <c r="E579" s="675"/>
      <c r="F579" s="319"/>
      <c r="G579" s="320"/>
      <c r="H579" s="321"/>
      <c r="I579" s="322"/>
      <c r="J579" s="323"/>
    </row>
    <row r="580" spans="1:10" ht="15" customHeight="1">
      <c r="A580" s="315" t="str">
        <f>IF(B580="","",IF(B579="",SUM(COUNT($A$5:A579)+1),""))</f>
        <v/>
      </c>
      <c r="B580" s="327"/>
      <c r="C580" s="316" t="str">
        <f>IF(B580="","",VLOOKUP(B580,'TB for financial'!A:B,2,0))</f>
        <v/>
      </c>
      <c r="D580" s="674"/>
      <c r="E580" s="675"/>
      <c r="F580" s="319"/>
      <c r="G580" s="320"/>
      <c r="H580" s="321"/>
      <c r="I580" s="322"/>
      <c r="J580" s="323"/>
    </row>
    <row r="581" spans="1:10" ht="15" customHeight="1">
      <c r="A581" s="315" t="str">
        <f>IF(B581="","",IF(B580="",SUM(COUNT($A$5:A580)+1),""))</f>
        <v/>
      </c>
      <c r="B581" s="327"/>
      <c r="C581" s="316" t="str">
        <f>IF(B581="","",VLOOKUP(B581,'TB for financial'!A:B,2,0))</f>
        <v/>
      </c>
      <c r="D581" s="674"/>
      <c r="E581" s="675"/>
      <c r="F581" s="319"/>
      <c r="G581" s="320"/>
      <c r="H581" s="321"/>
      <c r="I581" s="322"/>
      <c r="J581" s="323"/>
    </row>
    <row r="582" spans="1:10" ht="15" customHeight="1">
      <c r="A582" s="315" t="str">
        <f>IF(B582="","",IF(B581="",SUM(COUNT($A$5:A581)+1),""))</f>
        <v/>
      </c>
      <c r="B582" s="327"/>
      <c r="C582" s="316" t="str">
        <f>IF(B582="","",VLOOKUP(B582,'TB for financial'!A:B,2,0))</f>
        <v/>
      </c>
      <c r="D582" s="674"/>
      <c r="E582" s="675"/>
      <c r="F582" s="319"/>
      <c r="G582" s="320"/>
      <c r="H582" s="321"/>
      <c r="I582" s="322"/>
      <c r="J582" s="323"/>
    </row>
    <row r="583" spans="1:10" ht="15" customHeight="1">
      <c r="A583" s="315" t="str">
        <f>IF(B583="","",IF(B582="",SUM(COUNT($A$5:A582)+1),""))</f>
        <v/>
      </c>
      <c r="B583" s="327"/>
      <c r="C583" s="1385"/>
      <c r="D583" s="674"/>
      <c r="E583" s="675"/>
      <c r="F583" s="319"/>
      <c r="G583" s="320"/>
      <c r="H583" s="321"/>
      <c r="I583" s="322"/>
      <c r="J583" s="323"/>
    </row>
    <row r="584" spans="1:10" ht="15" customHeight="1">
      <c r="A584" s="315" t="str">
        <f>IF(B584="","",IF(B583="",SUM(COUNT($A$5:A583)+1),""))</f>
        <v/>
      </c>
      <c r="B584" s="327"/>
      <c r="C584" s="316" t="str">
        <f>IF(B584="","",VLOOKUP(B584,'TB for financial'!A:B,2,0))</f>
        <v/>
      </c>
      <c r="D584" s="674"/>
      <c r="E584" s="675"/>
      <c r="F584" s="319"/>
      <c r="G584" s="320"/>
      <c r="H584" s="321"/>
      <c r="I584" s="322"/>
      <c r="J584" s="323"/>
    </row>
    <row r="585" spans="1:10" ht="15" customHeight="1">
      <c r="A585" s="315" t="str">
        <f>IF(B585="","",IF(B584="",SUM(COUNT($A$5:A584)+1),""))</f>
        <v/>
      </c>
      <c r="B585" s="327"/>
      <c r="C585" s="316" t="str">
        <f>IF(B585="","",VLOOKUP(B585,'TB for financial'!A:B,2,0))</f>
        <v/>
      </c>
      <c r="D585" s="674"/>
      <c r="E585" s="675"/>
      <c r="F585" s="319"/>
      <c r="G585" s="320"/>
      <c r="H585" s="321"/>
      <c r="I585" s="322"/>
      <c r="J585" s="323"/>
    </row>
    <row r="586" spans="1:10" ht="15" customHeight="1">
      <c r="A586" s="315" t="str">
        <f>IF(B586="","",IF(B585="",SUM(COUNT($A$5:A585)+1),""))</f>
        <v/>
      </c>
      <c r="B586" s="327"/>
      <c r="C586" s="316" t="str">
        <f>IF(B586="","",VLOOKUP(B586,'TB for financial'!A:B,2,0))</f>
        <v/>
      </c>
      <c r="D586" s="674"/>
      <c r="E586" s="675"/>
      <c r="F586" s="319"/>
      <c r="G586" s="320"/>
      <c r="H586" s="321"/>
      <c r="I586" s="322"/>
      <c r="J586" s="323"/>
    </row>
    <row r="587" spans="1:10" ht="15" customHeight="1">
      <c r="A587" s="315" t="str">
        <f>IF(B587="","",IF(B586="",SUM(COUNT($A$5:A586)+1),""))</f>
        <v/>
      </c>
      <c r="B587" s="327"/>
      <c r="C587" s="316" t="str">
        <f>IF(B587="","",VLOOKUP(B587,'TB for financial'!A:B,2,0))</f>
        <v/>
      </c>
      <c r="D587" s="674"/>
      <c r="E587" s="675"/>
      <c r="F587" s="319"/>
      <c r="G587" s="320"/>
      <c r="H587" s="321"/>
      <c r="I587" s="322"/>
      <c r="J587" s="323"/>
    </row>
    <row r="588" spans="1:10" ht="15" customHeight="1">
      <c r="A588" s="315" t="str">
        <f>IF(B588="","",IF(B587="",SUM(COUNT($A$5:A587)+1),""))</f>
        <v/>
      </c>
      <c r="B588" s="327"/>
      <c r="C588" s="1385"/>
      <c r="D588" s="674"/>
      <c r="E588" s="675"/>
      <c r="F588" s="319"/>
      <c r="G588" s="320"/>
      <c r="H588" s="321"/>
      <c r="I588" s="322"/>
      <c r="J588" s="323"/>
    </row>
    <row r="589" spans="1:10" ht="15" customHeight="1">
      <c r="A589" s="315" t="str">
        <f>IF(B589="","",IF(B588="",SUM(COUNT($A$5:A588)+1),""))</f>
        <v/>
      </c>
      <c r="B589" s="327"/>
      <c r="C589" s="316" t="str">
        <f>IF(B589="","",VLOOKUP(B589,'TB for financial'!A:B,2,0))</f>
        <v/>
      </c>
      <c r="D589" s="674"/>
      <c r="E589" s="675"/>
      <c r="F589" s="319"/>
      <c r="G589" s="320"/>
      <c r="H589" s="321"/>
      <c r="I589" s="322"/>
      <c r="J589" s="323"/>
    </row>
    <row r="590" spans="1:10" ht="15" customHeight="1">
      <c r="A590" s="315" t="str">
        <f>IF(B590="","",IF(B589="",SUM(COUNT($A$5:A589)+1),""))</f>
        <v/>
      </c>
      <c r="B590" s="327"/>
      <c r="C590" s="316" t="str">
        <f>IF(B590="","",VLOOKUP(B590,'TB for financial'!A:B,2,0))</f>
        <v/>
      </c>
      <c r="D590" s="674"/>
      <c r="E590" s="675"/>
      <c r="F590" s="319"/>
      <c r="G590" s="320"/>
      <c r="H590" s="321"/>
      <c r="I590" s="322"/>
      <c r="J590" s="323"/>
    </row>
    <row r="591" spans="1:10" ht="15" customHeight="1">
      <c r="A591" s="315" t="str">
        <f>IF(B591="","",IF(B590="",SUM(COUNT($A$5:A590)+1),""))</f>
        <v/>
      </c>
      <c r="B591" s="327"/>
      <c r="C591" s="316" t="str">
        <f>IF(B591="","",VLOOKUP(B591,'TB for financial'!A:B,2,0))</f>
        <v/>
      </c>
      <c r="D591" s="674"/>
      <c r="E591" s="675"/>
      <c r="F591" s="319"/>
      <c r="G591" s="320"/>
      <c r="H591" s="321"/>
      <c r="I591" s="322"/>
      <c r="J591" s="323"/>
    </row>
    <row r="592" spans="1:10" ht="15" customHeight="1">
      <c r="A592" s="315" t="str">
        <f>IF(B592="","",IF(B591="",SUM(COUNT($A$5:A591)+1),""))</f>
        <v/>
      </c>
      <c r="B592" s="327"/>
      <c r="C592" s="1385"/>
      <c r="D592" s="674"/>
      <c r="E592" s="675"/>
      <c r="F592" s="319"/>
      <c r="G592" s="320"/>
      <c r="H592" s="321"/>
      <c r="I592" s="322"/>
      <c r="J592" s="323"/>
    </row>
    <row r="593" spans="1:10" ht="15" customHeight="1">
      <c r="A593" s="315" t="str">
        <f>IF(B593="","",IF(B592="",SUM(COUNT($A$5:A592)+1),""))</f>
        <v/>
      </c>
      <c r="B593" s="327"/>
      <c r="C593" s="316" t="str">
        <f>IF(B593="","",VLOOKUP(B593,'TB for financial'!A:B,2,0))</f>
        <v/>
      </c>
      <c r="D593" s="674"/>
      <c r="E593" s="675"/>
      <c r="F593" s="319"/>
      <c r="G593" s="320"/>
      <c r="H593" s="321"/>
      <c r="I593" s="322"/>
      <c r="J593" s="323"/>
    </row>
    <row r="594" spans="1:10" ht="15" customHeight="1">
      <c r="A594" s="315" t="str">
        <f>IF(B594="","",IF(B593="",SUM(COUNT($A$5:A593)+1),""))</f>
        <v/>
      </c>
      <c r="B594" s="327"/>
      <c r="C594" s="316" t="str">
        <f>IF(B594="","",VLOOKUP(B594,'TB for financial'!A:B,2,0))</f>
        <v/>
      </c>
      <c r="D594" s="674"/>
      <c r="E594" s="674"/>
      <c r="F594" s="319"/>
      <c r="G594" s="320">
        <f t="shared" ref="G594:G599" si="6">IF(H594="PL - PL",0,IF(D594="",-E594,D594))</f>
        <v>0</v>
      </c>
      <c r="H594" s="321"/>
      <c r="I594" s="322"/>
      <c r="J594" s="323"/>
    </row>
    <row r="595" spans="1:10" ht="15" customHeight="1">
      <c r="A595" s="315" t="str">
        <f>IF(B595="","",IF(B594="",SUM(COUNT($A$5:A594)+1),""))</f>
        <v/>
      </c>
      <c r="B595" s="327"/>
      <c r="C595" s="316" t="str">
        <f>IF(B595="","",VLOOKUP(B595,'TB for financial'!A:B,2,0))</f>
        <v/>
      </c>
      <c r="D595" s="674"/>
      <c r="E595" s="675"/>
      <c r="F595" s="319"/>
      <c r="G595" s="320">
        <f t="shared" si="6"/>
        <v>0</v>
      </c>
      <c r="H595" s="321"/>
      <c r="I595" s="322"/>
      <c r="J595" s="323"/>
    </row>
    <row r="596" spans="1:10" ht="15" customHeight="1">
      <c r="A596" s="315" t="str">
        <f>IF(B596="","",IF(B595="",SUM(COUNT($A$5:A595)+1),""))</f>
        <v/>
      </c>
      <c r="B596" s="327"/>
      <c r="C596" s="316" t="str">
        <f>IF(B596="","",VLOOKUP(B596,'TB for financial'!A:B,2,0))</f>
        <v/>
      </c>
      <c r="D596" s="674"/>
      <c r="E596" s="674"/>
      <c r="F596" s="319"/>
      <c r="G596" s="320">
        <f t="shared" si="6"/>
        <v>0</v>
      </c>
      <c r="H596" s="321"/>
      <c r="I596" s="322"/>
      <c r="J596" s="323"/>
    </row>
    <row r="597" spans="1:10" ht="15" customHeight="1">
      <c r="A597" s="315" t="str">
        <f>IF(B597="","",IF(B596="",SUM(COUNT($A$5:A596)+1),""))</f>
        <v/>
      </c>
      <c r="B597" s="327"/>
      <c r="C597" s="316" t="str">
        <f>IF(B597="","",VLOOKUP(B597,'TB for financial'!A:B,2,0))</f>
        <v/>
      </c>
      <c r="D597" s="674"/>
      <c r="E597" s="675"/>
      <c r="F597" s="319"/>
      <c r="G597" s="320">
        <f t="shared" si="6"/>
        <v>0</v>
      </c>
      <c r="H597" s="321"/>
      <c r="I597" s="322"/>
      <c r="J597" s="323"/>
    </row>
    <row r="598" spans="1:10" ht="15" customHeight="1">
      <c r="A598" s="315" t="str">
        <f>IF(B598="","",IF(B597="",SUM(COUNT($A$5:A597)+1),""))</f>
        <v/>
      </c>
      <c r="B598" s="327"/>
      <c r="C598" s="316" t="str">
        <f>IF(B598="","",VLOOKUP(B598,'TB for financial'!A:B,2,0))</f>
        <v/>
      </c>
      <c r="D598" s="674"/>
      <c r="E598" s="675"/>
      <c r="F598" s="319"/>
      <c r="G598" s="320">
        <f t="shared" si="6"/>
        <v>0</v>
      </c>
      <c r="H598" s="321"/>
      <c r="I598" s="322"/>
      <c r="J598" s="323"/>
    </row>
    <row r="599" spans="1:10" ht="15" customHeight="1">
      <c r="A599" s="315" t="str">
        <f>IF(B599="","",IF(B598="",SUM(COUNT($A$5:A598)+1),""))</f>
        <v/>
      </c>
      <c r="B599" s="327"/>
      <c r="C599" s="316" t="str">
        <f>IF(B599="","",VLOOKUP(B599,'TB for financial'!A:B,2,0))</f>
        <v/>
      </c>
      <c r="D599" s="674"/>
      <c r="E599" s="675"/>
      <c r="F599" s="319"/>
      <c r="G599" s="320">
        <f t="shared" si="6"/>
        <v>0</v>
      </c>
      <c r="H599" s="321"/>
      <c r="I599" s="322"/>
      <c r="J599" s="323"/>
    </row>
    <row r="600" spans="1:10" ht="15" customHeight="1">
      <c r="A600" s="315"/>
      <c r="B600" s="327"/>
      <c r="C600" s="1385"/>
      <c r="D600" s="674"/>
      <c r="E600" s="675"/>
      <c r="F600" s="319"/>
      <c r="G600" s="320"/>
      <c r="H600" s="321"/>
      <c r="I600" s="322"/>
      <c r="J600" s="323"/>
    </row>
    <row r="601" spans="1:10" ht="15" customHeight="1">
      <c r="A601" s="315" t="str">
        <f>IF(B601="","",IF(B599="",SUM(COUNT($A$5:A599)+1),""))</f>
        <v/>
      </c>
      <c r="B601" s="327"/>
      <c r="C601" s="316" t="str">
        <f>IF(B601="","",VLOOKUP(B601,'TB for financial'!A:B,2,0))</f>
        <v/>
      </c>
      <c r="D601" s="674"/>
      <c r="E601" s="675"/>
      <c r="F601" s="319"/>
      <c r="G601" s="320"/>
      <c r="H601" s="321"/>
      <c r="I601" s="322"/>
      <c r="J601" s="323"/>
    </row>
    <row r="602" spans="1:10" ht="15" customHeight="1">
      <c r="A602" s="315" t="str">
        <f>IF(B602="","",IF(B601="",SUM(COUNT($A$5:A601)+1),""))</f>
        <v/>
      </c>
      <c r="B602" s="327"/>
      <c r="C602" s="316" t="str">
        <f>IF(B602="","",VLOOKUP(B602,'TB for financial'!A:B,2,0))</f>
        <v/>
      </c>
      <c r="D602" s="674"/>
      <c r="E602" s="675"/>
      <c r="F602" s="319"/>
      <c r="G602" s="320">
        <f>IF(H602="PL - PL",0,IF(D602="",-E602,D602))</f>
        <v>0</v>
      </c>
      <c r="H602" s="321"/>
      <c r="I602" s="322"/>
      <c r="J602" s="323"/>
    </row>
    <row r="603" spans="1:10" ht="15" customHeight="1">
      <c r="A603" s="315" t="str">
        <f>IF(B603="","",IF(B602="",SUM(COUNT($A$5:A602)+1),""))</f>
        <v/>
      </c>
      <c r="B603" s="327"/>
      <c r="C603" s="316" t="str">
        <f>IF(B603="","",VLOOKUP(B603,'TB for financial'!A:B,2,0))</f>
        <v/>
      </c>
      <c r="D603" s="674"/>
      <c r="E603" s="675"/>
      <c r="F603" s="319"/>
      <c r="G603" s="320">
        <f>IF(H603="PL - PL",0,IF(D603="",-E603,D603))</f>
        <v>0</v>
      </c>
      <c r="H603" s="321"/>
      <c r="I603" s="322"/>
      <c r="J603" s="323"/>
    </row>
    <row r="604" spans="1:10" ht="15" customHeight="1">
      <c r="A604" s="315" t="str">
        <f>IF(B604="","",IF(B603="",SUM(COUNT($A$5:A603)+1),""))</f>
        <v/>
      </c>
      <c r="B604" s="327"/>
      <c r="C604" s="316" t="str">
        <f>IF(B604="","",VLOOKUP(B604,'TB for financial'!A:B,2,0))</f>
        <v/>
      </c>
      <c r="D604" s="673"/>
      <c r="E604" s="674"/>
      <c r="F604" s="319"/>
      <c r="G604" s="320"/>
      <c r="H604" s="321"/>
      <c r="I604" s="322"/>
      <c r="J604" s="323"/>
    </row>
    <row r="605" spans="1:10" ht="15" customHeight="1">
      <c r="A605" s="315" t="str">
        <f>IF(B605="","",IF(B604="",SUM(COUNT($A$5:A604)+1),""))</f>
        <v/>
      </c>
      <c r="B605" s="327"/>
      <c r="C605" s="316" t="str">
        <f>IF(B605="","",VLOOKUP(B605,'TB for financial'!A:B,2,0))</f>
        <v/>
      </c>
      <c r="D605" s="673"/>
      <c r="E605" s="674"/>
      <c r="F605" s="319"/>
      <c r="G605" s="320"/>
      <c r="H605" s="321"/>
      <c r="I605" s="322"/>
      <c r="J605" s="323"/>
    </row>
    <row r="606" spans="1:10" ht="15" customHeight="1">
      <c r="A606" s="315" t="str">
        <f>IF(B606="","",IF(B605="",SUM(COUNT($A$5:A605)+1),""))</f>
        <v/>
      </c>
      <c r="B606" s="327"/>
      <c r="C606" s="316" t="str">
        <f>IF(B606="","",VLOOKUP(B606,'TB for financial'!A:B,2,0))</f>
        <v/>
      </c>
      <c r="D606" s="673"/>
      <c r="E606" s="673"/>
      <c r="F606" s="319"/>
      <c r="G606" s="320">
        <f>IF(H606="PL - PL",0,IF(D606="",-E606,D606))</f>
        <v>0</v>
      </c>
      <c r="H606" s="321"/>
      <c r="I606" s="322"/>
      <c r="J606" s="323"/>
    </row>
    <row r="607" spans="1:10" ht="15" customHeight="1">
      <c r="A607" s="315" t="str">
        <f>IF(B607="","",IF(B606="",SUM(COUNT($A$5:A606)+1),""))</f>
        <v/>
      </c>
      <c r="B607" s="327"/>
      <c r="C607" s="316" t="str">
        <f>IF(B607="","",VLOOKUP(B607,'TB for financial'!A:B,2,0))</f>
        <v/>
      </c>
      <c r="D607" s="673"/>
      <c r="E607" s="674"/>
      <c r="F607" s="319"/>
      <c r="G607" s="320">
        <f>IF(H607="PL - PL",0,IF(D607="",-E607,D607))</f>
        <v>0</v>
      </c>
      <c r="H607" s="321"/>
      <c r="I607" s="322"/>
      <c r="J607" s="323"/>
    </row>
    <row r="608" spans="1:10" ht="15" customHeight="1">
      <c r="A608" s="315" t="str">
        <f>IF(B608="","",IF(B607="",SUM(COUNT($A$5:A607)+1),""))</f>
        <v/>
      </c>
      <c r="B608" s="327"/>
      <c r="C608" s="316" t="str">
        <f>IF(B608="","",VLOOKUP(B608,'TB for financial'!A:B,2,0))</f>
        <v/>
      </c>
      <c r="D608" s="674"/>
      <c r="E608" s="674"/>
      <c r="F608" s="319"/>
      <c r="G608" s="320"/>
      <c r="H608" s="321"/>
      <c r="I608" s="322"/>
      <c r="J608" s="323"/>
    </row>
    <row r="609" spans="1:10" ht="15" customHeight="1">
      <c r="A609" s="315" t="str">
        <f>IF(B609="","",IF(B608="",SUM(COUNT($A$5:A608)+1),""))</f>
        <v/>
      </c>
      <c r="B609" s="327"/>
      <c r="C609" s="316" t="str">
        <f>IF(B609="","",VLOOKUP(B609,'TB for financial'!A:B,2,0))</f>
        <v/>
      </c>
      <c r="D609" s="674"/>
      <c r="E609" s="675"/>
      <c r="F609" s="319"/>
      <c r="G609" s="320"/>
      <c r="H609" s="321"/>
      <c r="I609" s="322"/>
      <c r="J609" s="323"/>
    </row>
    <row r="610" spans="1:10" ht="15" customHeight="1">
      <c r="A610" s="315" t="str">
        <f>IF(B610="","",IF(B609="",SUM(COUNT($A$5:A609)+1),""))</f>
        <v/>
      </c>
      <c r="B610" s="327"/>
      <c r="C610" s="316" t="str">
        <f>IF(B610="","",VLOOKUP(B610,'TB for financial'!A:B,2,0))</f>
        <v/>
      </c>
      <c r="D610" s="674"/>
      <c r="E610" s="675"/>
      <c r="F610" s="319"/>
      <c r="G610" s="320">
        <f>IF(H610="PL - PL",0,IF(D610="",-E610,D610))</f>
        <v>0</v>
      </c>
      <c r="H610" s="321"/>
      <c r="I610" s="322"/>
      <c r="J610" s="323"/>
    </row>
    <row r="611" spans="1:10" ht="15" customHeight="1">
      <c r="A611" s="315" t="str">
        <f>IF(B611="","",IF(B610="",SUM(COUNT($A$5:A610)+1),""))</f>
        <v/>
      </c>
      <c r="B611" s="327"/>
      <c r="C611" s="316" t="str">
        <f>IF(B611="","",VLOOKUP(B611,'TB for financial'!A:B,2,0))</f>
        <v/>
      </c>
      <c r="D611" s="674"/>
      <c r="E611" s="675"/>
      <c r="F611" s="319"/>
      <c r="G611" s="320">
        <f>IF(H611="PL - PL",0,IF(D611="",-E611,D611))</f>
        <v>0</v>
      </c>
      <c r="H611" s="321"/>
      <c r="I611" s="322"/>
      <c r="J611" s="323"/>
    </row>
    <row r="612" spans="1:10" ht="15" customHeight="1">
      <c r="A612" s="315" t="str">
        <f>IF(B612="","",IF(B611="",SUM(COUNT($A$5:A611)+1),""))</f>
        <v/>
      </c>
      <c r="B612" s="327"/>
      <c r="C612" s="1385"/>
      <c r="D612" s="674"/>
      <c r="E612" s="675"/>
      <c r="F612" s="319"/>
      <c r="G612" s="320">
        <f>IF(H612="PL - PL",0,IF(D612="",-E612,D612))</f>
        <v>0</v>
      </c>
      <c r="H612" s="321"/>
      <c r="I612" s="322"/>
      <c r="J612" s="323"/>
    </row>
    <row r="613" spans="1:10" ht="15" customHeight="1">
      <c r="A613" s="315" t="str">
        <f>IF(B613="","",IF(B612="",SUM(COUNT($A$5:A612)+1),""))</f>
        <v/>
      </c>
      <c r="B613" s="327"/>
      <c r="C613" s="316" t="str">
        <f>IF(B613="","",VLOOKUP(B613,'TB for financial'!A:B,2,0))</f>
        <v/>
      </c>
      <c r="D613" s="674"/>
      <c r="E613" s="676"/>
      <c r="F613" s="319"/>
      <c r="G613" s="320">
        <f>IF(H613="PL - PL",0,IF(D613="",-E613,D613))</f>
        <v>0</v>
      </c>
      <c r="H613" s="321"/>
      <c r="I613" s="322"/>
      <c r="J613" s="323"/>
    </row>
    <row r="614" spans="1:10" ht="15" customHeight="1">
      <c r="A614" s="315" t="str">
        <f>IF(B614="","",IF(B613="",SUM(COUNT($A$5:A613)+1),""))</f>
        <v/>
      </c>
      <c r="B614" s="327"/>
      <c r="C614" s="316" t="str">
        <f>IF(B614="","",VLOOKUP(B614,'TB for financial'!A:B,2,0))</f>
        <v/>
      </c>
      <c r="D614" s="674"/>
      <c r="E614" s="674"/>
      <c r="F614" s="319"/>
      <c r="G614" s="320"/>
      <c r="H614" s="321"/>
      <c r="I614" s="322"/>
      <c r="J614" s="323"/>
    </row>
    <row r="615" spans="1:10" ht="15" customHeight="1">
      <c r="A615" s="315" t="str">
        <f>IF(B615="","",IF(B614="",SUM(COUNT($A$5:A614)+1),""))</f>
        <v/>
      </c>
      <c r="B615" s="327"/>
      <c r="C615" s="316" t="str">
        <f>IF(B615="","",VLOOKUP(B615,'TB for financial'!A:B,2,0))</f>
        <v/>
      </c>
      <c r="D615" s="674"/>
      <c r="E615" s="676"/>
      <c r="F615" s="319"/>
      <c r="G615" s="320">
        <f>IF(H615="PL - PL",0,IF(D615="",-E615,D615))</f>
        <v>0</v>
      </c>
      <c r="H615" s="321"/>
      <c r="I615" s="322"/>
      <c r="J615" s="323"/>
    </row>
    <row r="616" spans="1:10" ht="15" customHeight="1">
      <c r="A616" s="315" t="str">
        <f>IF(B616="","",IF(B615="",SUM(COUNT($A$5:A615)+1),""))</f>
        <v/>
      </c>
      <c r="B616" s="327"/>
      <c r="C616" s="316" t="str">
        <f>IF(B616="","",VLOOKUP(B616,'TB for financial'!A:B,2,0))</f>
        <v/>
      </c>
      <c r="D616" s="674"/>
      <c r="E616" s="674"/>
      <c r="F616" s="319"/>
      <c r="G616" s="320">
        <f>IF(H616="PL - PL",0,IF(D616="",-E616,D616))</f>
        <v>0</v>
      </c>
      <c r="H616" s="321"/>
      <c r="I616" s="322"/>
      <c r="J616" s="323"/>
    </row>
    <row r="617" spans="1:10" ht="15" customHeight="1">
      <c r="A617" s="315" t="str">
        <f>IF(B617="","",IF(B616="",SUM(COUNT($A$5:A616)+1),""))</f>
        <v/>
      </c>
      <c r="B617" s="327"/>
      <c r="C617" s="316" t="str">
        <f>IF(B617="","",VLOOKUP(B617,'TB for financial'!A:B,2,0))</f>
        <v/>
      </c>
      <c r="D617" s="674"/>
      <c r="E617" s="675"/>
      <c r="F617" s="319"/>
      <c r="G617" s="320"/>
      <c r="H617" s="321"/>
      <c r="I617" s="322"/>
      <c r="J617" s="323"/>
    </row>
    <row r="618" spans="1:10" ht="15" customHeight="1">
      <c r="A618" s="315" t="str">
        <f>IF(B618="","",IF(B617="",SUM(COUNT($A$5:A617)+1),""))</f>
        <v/>
      </c>
      <c r="B618" s="327"/>
      <c r="C618" s="1385"/>
      <c r="D618" s="674"/>
      <c r="E618" s="675"/>
      <c r="F618" s="319"/>
      <c r="G618" s="320">
        <f>IF(H618="PL - PL",0,IF(D618="",-E618,D618))</f>
        <v>0</v>
      </c>
      <c r="H618" s="321"/>
      <c r="I618" s="322"/>
      <c r="J618" s="323"/>
    </row>
    <row r="619" spans="1:10" ht="15" customHeight="1">
      <c r="A619" s="315" t="str">
        <f>IF(B619="","",IF(B618="",SUM(COUNT($A$5:A618)+1),""))</f>
        <v/>
      </c>
      <c r="B619" s="327"/>
      <c r="C619" s="316" t="str">
        <f>IF(B619="","",VLOOKUP(B619,'TB for financial'!A:B,2,0))</f>
        <v/>
      </c>
      <c r="D619" s="674"/>
      <c r="E619" s="675"/>
      <c r="F619" s="319"/>
      <c r="G619" s="320">
        <f>IF(H619="PL - PL",0,IF(D619="",-E619,D619))</f>
        <v>0</v>
      </c>
      <c r="H619" s="321"/>
      <c r="I619" s="322"/>
      <c r="J619" s="323"/>
    </row>
    <row r="620" spans="1:10" ht="15" customHeight="1">
      <c r="A620" s="315" t="str">
        <f>IF(B620="","",IF(B619="",SUM(COUNT($A$5:A619)+1),""))</f>
        <v/>
      </c>
      <c r="B620" s="327"/>
      <c r="C620" s="316" t="str">
        <f>IF(B620="","",VLOOKUP(B620,'TB for financial'!A:B,2,0))</f>
        <v/>
      </c>
      <c r="D620" s="674"/>
      <c r="E620" s="675"/>
      <c r="F620" s="319"/>
      <c r="G620" s="320"/>
      <c r="H620" s="321"/>
      <c r="I620" s="322"/>
      <c r="J620" s="323"/>
    </row>
    <row r="621" spans="1:10" ht="15" customHeight="1">
      <c r="A621" s="315" t="str">
        <f>IF(B621="","",IF(B620="",SUM(COUNT($A$5:A620)+1),""))</f>
        <v/>
      </c>
      <c r="B621" s="327"/>
      <c r="C621" s="316" t="str">
        <f>IF(B621="","",VLOOKUP(B621,'TB for financial'!A:B,2,0))</f>
        <v/>
      </c>
      <c r="D621" s="674"/>
      <c r="E621" s="675"/>
      <c r="F621" s="319"/>
      <c r="G621" s="320"/>
      <c r="H621" s="321"/>
      <c r="I621" s="322"/>
      <c r="J621" s="323"/>
    </row>
    <row r="622" spans="1:10" ht="15" customHeight="1">
      <c r="A622" s="315" t="str">
        <f>IF(B622="","",IF(B621="",SUM(COUNT($A$5:A621)+1),""))</f>
        <v/>
      </c>
      <c r="B622" s="327"/>
      <c r="C622" s="1385"/>
      <c r="D622" s="674"/>
      <c r="E622" s="675"/>
      <c r="F622" s="319"/>
      <c r="G622" s="320"/>
      <c r="H622" s="321"/>
      <c r="I622" s="322"/>
      <c r="J622" s="323"/>
    </row>
    <row r="623" spans="1:10" ht="15" customHeight="1">
      <c r="A623" s="315" t="str">
        <f>IF(B623="","",IF(B622="",SUM(COUNT($A$5:A622)+1),""))</f>
        <v/>
      </c>
      <c r="B623" s="327"/>
      <c r="C623" s="316" t="str">
        <f>IF(B623="","",VLOOKUP(B623,'TB for financial'!A:B,2,0))</f>
        <v/>
      </c>
      <c r="D623" s="674"/>
      <c r="E623" s="675"/>
      <c r="F623" s="319"/>
      <c r="G623" s="320"/>
      <c r="H623" s="321"/>
      <c r="I623" s="322"/>
      <c r="J623" s="323"/>
    </row>
    <row r="624" spans="1:10" ht="15" customHeight="1">
      <c r="A624" s="315" t="str">
        <f>IF(B624="","",IF(B623="",SUM(COUNT($A$5:A623)+1),""))</f>
        <v/>
      </c>
      <c r="B624" s="327"/>
      <c r="C624" s="316" t="str">
        <f>IF(B624="","",VLOOKUP(B624,'TB for financial'!A:B,2,0))</f>
        <v/>
      </c>
      <c r="D624" s="674"/>
      <c r="E624" s="675"/>
      <c r="F624" s="319"/>
      <c r="G624" s="320">
        <f>IF(H624="PL - PL",0,IF(D624="",-E624,D624))</f>
        <v>0</v>
      </c>
      <c r="H624" s="321"/>
      <c r="I624" s="322"/>
      <c r="J624" s="323"/>
    </row>
    <row r="625" spans="1:10" ht="15" customHeight="1">
      <c r="A625" s="315" t="str">
        <f>IF(B625="","",IF(B624="",SUM(COUNT($A$5:A624)+1),""))</f>
        <v/>
      </c>
      <c r="B625" s="327"/>
      <c r="C625" s="316" t="str">
        <f>IF(B625="","",VLOOKUP(B625,'TB for financial'!A:B,2,0))</f>
        <v/>
      </c>
      <c r="D625" s="674"/>
      <c r="E625" s="676"/>
      <c r="F625" s="319"/>
      <c r="G625" s="320">
        <f>IF(H625="PL - PL",0,IF(D625="",-E625,D625))</f>
        <v>0</v>
      </c>
      <c r="H625" s="321"/>
      <c r="I625" s="322"/>
      <c r="J625" s="323"/>
    </row>
    <row r="626" spans="1:10" ht="15" customHeight="1">
      <c r="A626" s="315" t="str">
        <f>IF(B626="","",IF(B625="",SUM(COUNT($A$5:A625)+1),""))</f>
        <v/>
      </c>
      <c r="B626" s="327"/>
      <c r="C626" s="1385"/>
      <c r="D626" s="673"/>
      <c r="E626" s="674"/>
      <c r="F626" s="319"/>
      <c r="G626" s="320"/>
      <c r="H626" s="321"/>
      <c r="I626" s="322"/>
      <c r="J626" s="323"/>
    </row>
    <row r="627" spans="1:10" ht="15" customHeight="1">
      <c r="A627" s="315" t="str">
        <f>IF(B627="","",IF(B626="",SUM(COUNT($A$5:A626)+1),""))</f>
        <v/>
      </c>
      <c r="B627" s="327"/>
      <c r="C627" s="316" t="str">
        <f>IF(B627="","",VLOOKUP(B627,'TB for financial'!A:B,2,0))</f>
        <v/>
      </c>
      <c r="D627" s="674"/>
      <c r="E627" s="676"/>
      <c r="F627" s="319"/>
      <c r="G627" s="320">
        <f>IF(H627="PL - PL",0,IF(D627="",-E627,D627))</f>
        <v>0</v>
      </c>
      <c r="H627" s="321"/>
      <c r="I627" s="322"/>
      <c r="J627" s="323"/>
    </row>
    <row r="628" spans="1:10" ht="15" customHeight="1">
      <c r="A628" s="315" t="str">
        <f>IF(B628="","",IF(B627="",SUM(COUNT($A$5:A627)+1),""))</f>
        <v/>
      </c>
      <c r="B628" s="327"/>
      <c r="C628" s="316" t="str">
        <f>IF(B628="","",VLOOKUP(B628,'TB for financial'!A:B,2,0))</f>
        <v/>
      </c>
      <c r="D628" s="674"/>
      <c r="E628" s="676"/>
      <c r="F628" s="319"/>
      <c r="G628" s="320">
        <f>IF(H628="PL - PL",0,IF(D628="",-E628,D628))</f>
        <v>0</v>
      </c>
      <c r="H628" s="321"/>
      <c r="I628" s="322"/>
      <c r="J628" s="323"/>
    </row>
    <row r="629" spans="1:10" ht="15" customHeight="1">
      <c r="A629" s="315" t="str">
        <f>IF(B629="","",IF(B628="",SUM(COUNT($A$5:A628)+1),""))</f>
        <v/>
      </c>
      <c r="B629" s="327"/>
      <c r="C629" s="316" t="str">
        <f>IF(B629="","",VLOOKUP(B629,'TB for financial'!A:B,2,0))</f>
        <v/>
      </c>
      <c r="D629" s="318"/>
      <c r="E629" s="317"/>
      <c r="F629" s="319"/>
      <c r="G629" s="320">
        <f t="shared" ref="G629:G634" si="7">IF(H629="PL - PL",0,IF(D629="",-E629,D629))</f>
        <v>0</v>
      </c>
      <c r="H629" s="321"/>
      <c r="I629" s="322"/>
      <c r="J629" s="323"/>
    </row>
    <row r="630" spans="1:10" ht="15" customHeight="1">
      <c r="A630" s="315" t="str">
        <f>IF(B630="","",IF(B629="",SUM(COUNT($A$5:A629)+1),""))</f>
        <v/>
      </c>
      <c r="C630" s="1385"/>
      <c r="D630" s="318"/>
      <c r="E630" s="677"/>
      <c r="F630" s="319"/>
      <c r="G630" s="320">
        <f t="shared" si="7"/>
        <v>0</v>
      </c>
      <c r="H630" s="321"/>
      <c r="I630" s="322"/>
      <c r="J630" s="323"/>
    </row>
    <row r="631" spans="1:10" ht="15" customHeight="1">
      <c r="A631" s="315" t="str">
        <f>IF(B631="","",IF(B630="",SUM(COUNT($A$5:A630)+1),""))</f>
        <v/>
      </c>
      <c r="C631" s="316" t="str">
        <f>IF(B631="","",VLOOKUP(B631,'TB for financial'!A:B,2,0))</f>
        <v/>
      </c>
      <c r="D631" s="318"/>
      <c r="E631" s="677"/>
      <c r="F631" s="319"/>
      <c r="G631" s="320">
        <f t="shared" si="7"/>
        <v>0</v>
      </c>
      <c r="H631" s="321"/>
      <c r="I631" s="322"/>
      <c r="J631" s="323"/>
    </row>
    <row r="632" spans="1:10" ht="15" customHeight="1">
      <c r="A632" s="315" t="str">
        <f>IF(B632="","",IF(B631="",SUM(COUNT($A$5:A631)+1),""))</f>
        <v/>
      </c>
      <c r="B632" s="327"/>
      <c r="C632" s="316" t="str">
        <f>IF(B632="","",VLOOKUP(B632,'TB for financial'!A:B,2,0))</f>
        <v/>
      </c>
      <c r="D632" s="318"/>
      <c r="E632" s="317"/>
      <c r="F632" s="319"/>
      <c r="G632" s="320">
        <f t="shared" si="7"/>
        <v>0</v>
      </c>
      <c r="H632" s="321"/>
      <c r="I632" s="322"/>
      <c r="J632" s="323"/>
    </row>
    <row r="633" spans="1:10" ht="15" customHeight="1">
      <c r="A633" s="315" t="str">
        <f>IF(B633="","",IF(B632="",SUM(COUNT($A$5:A632)+1),""))</f>
        <v/>
      </c>
      <c r="C633" s="316" t="str">
        <f>IF(B633="","",VLOOKUP(B633,'TB for financial'!A:B,2,0))</f>
        <v/>
      </c>
      <c r="D633" s="318"/>
      <c r="E633" s="677"/>
      <c r="F633" s="319"/>
      <c r="G633" s="320">
        <f t="shared" si="7"/>
        <v>0</v>
      </c>
      <c r="H633" s="321"/>
      <c r="I633" s="322"/>
      <c r="J633" s="323"/>
    </row>
    <row r="634" spans="1:10" ht="15" customHeight="1">
      <c r="A634" s="315" t="str">
        <f>IF(B634="","",IF(B633="",SUM(COUNT($A$5:A633)+1),""))</f>
        <v/>
      </c>
      <c r="C634" s="316" t="str">
        <f>IF(B634="","",VLOOKUP(B634,'TB for financial'!A:B,2,0))</f>
        <v/>
      </c>
      <c r="D634" s="318"/>
      <c r="E634" s="677"/>
      <c r="F634" s="319"/>
      <c r="G634" s="320">
        <f t="shared" si="7"/>
        <v>0</v>
      </c>
      <c r="H634" s="321"/>
      <c r="I634" s="322"/>
      <c r="J634" s="323"/>
    </row>
    <row r="635" spans="1:10" ht="15" customHeight="1">
      <c r="A635" s="315" t="str">
        <f>IF(B635="","",IF(B634="",SUM(COUNT($A$5:A634)+1),""))</f>
        <v/>
      </c>
      <c r="B635" s="327"/>
      <c r="C635" s="316" t="str">
        <f>IF(B635="","",VLOOKUP(B635,'TB for financial'!A:B,2,0))</f>
        <v/>
      </c>
      <c r="D635" s="318"/>
      <c r="E635" s="317"/>
      <c r="F635" s="319"/>
      <c r="G635" s="320"/>
      <c r="H635" s="321"/>
      <c r="I635" s="322"/>
      <c r="J635" s="323"/>
    </row>
    <row r="636" spans="1:10" ht="15" customHeight="1">
      <c r="A636" s="315" t="str">
        <f>IF(B636="","",IF(B635="",SUM(COUNT($A$5:A635)+1),""))</f>
        <v/>
      </c>
      <c r="B636" s="327"/>
      <c r="C636" s="316" t="str">
        <f>IF(B636="","",VLOOKUP(B636,'TB for financial'!A:B,2,0))</f>
        <v/>
      </c>
      <c r="D636" s="674"/>
      <c r="E636" s="676"/>
      <c r="F636" s="319"/>
      <c r="G636" s="320"/>
      <c r="H636" s="321"/>
      <c r="I636" s="322"/>
      <c r="J636" s="323"/>
    </row>
    <row r="637" spans="1:10" ht="15" customHeight="1">
      <c r="A637" s="315" t="str">
        <f>IF(B637="","",IF(B636="",SUM(COUNT($A$5:A636)+1),""))</f>
        <v/>
      </c>
      <c r="B637" s="327"/>
      <c r="C637" s="316" t="str">
        <f>IF(B637="","",VLOOKUP(B637,'TB for financial'!A:B,2,0))</f>
        <v/>
      </c>
      <c r="D637" s="674"/>
      <c r="E637" s="676"/>
      <c r="F637" s="319"/>
      <c r="G637" s="320"/>
      <c r="H637" s="321"/>
      <c r="I637" s="322"/>
      <c r="J637" s="323"/>
    </row>
    <row r="638" spans="1:10" ht="15" customHeight="1">
      <c r="A638" s="315" t="str">
        <f>IF(B638="","",IF(B637="",SUM(COUNT($A$5:A637)+1),""))</f>
        <v/>
      </c>
      <c r="B638" s="327"/>
      <c r="C638" s="316" t="str">
        <f>IF(B638="","",VLOOKUP(B638,'TB for financial'!A:B,2,0))</f>
        <v/>
      </c>
      <c r="D638" s="674"/>
      <c r="E638" s="676"/>
      <c r="F638" s="319"/>
      <c r="G638" s="320"/>
      <c r="H638" s="321"/>
      <c r="I638" s="322"/>
      <c r="J638" s="323"/>
    </row>
    <row r="639" spans="1:10" ht="15" customHeight="1">
      <c r="A639" s="315" t="str">
        <f>IF(B639="","",IF(B638="",SUM(COUNT($A$5:A638)+1),""))</f>
        <v/>
      </c>
      <c r="B639" s="327"/>
      <c r="C639" s="316" t="str">
        <f>IF(B639="","",VLOOKUP(B639,'TB for financial'!A:B,2,0))</f>
        <v/>
      </c>
      <c r="D639" s="674"/>
      <c r="E639" s="676"/>
      <c r="F639" s="319"/>
      <c r="G639" s="320"/>
      <c r="H639" s="321"/>
      <c r="I639" s="322"/>
      <c r="J639" s="323"/>
    </row>
    <row r="640" spans="1:10" ht="15" customHeight="1">
      <c r="A640" s="315" t="str">
        <f>IF(B640="","",IF(B639="",SUM(COUNT($A$5:A639)+1),""))</f>
        <v/>
      </c>
      <c r="B640" s="327"/>
      <c r="C640" s="316" t="str">
        <f>IF(B640="","",VLOOKUP(B640,'TB for financial'!A:B,2,0))</f>
        <v/>
      </c>
      <c r="D640" s="674"/>
      <c r="E640" s="676"/>
      <c r="F640" s="319"/>
      <c r="G640" s="320"/>
      <c r="H640" s="321"/>
      <c r="I640" s="322"/>
      <c r="J640" s="323"/>
    </row>
    <row r="641" spans="1:10" ht="15" customHeight="1">
      <c r="A641" s="315" t="str">
        <f>IF(B641="","",IF(B640="",SUM(COUNT($A$5:A640)+1),""))</f>
        <v/>
      </c>
      <c r="B641" s="327"/>
      <c r="C641" s="1385"/>
      <c r="D641" s="674"/>
      <c r="E641" s="676"/>
      <c r="F641" s="319"/>
      <c r="G641" s="320"/>
      <c r="H641" s="321"/>
      <c r="I641" s="322"/>
      <c r="J641" s="323"/>
    </row>
    <row r="642" spans="1:10" ht="15" customHeight="1">
      <c r="A642" s="315" t="str">
        <f>IF(B642="","",IF(B641="",SUM(COUNT($A$5:A641)+1),""))</f>
        <v/>
      </c>
      <c r="B642" s="327"/>
      <c r="C642" s="316" t="str">
        <f>IF(B642="","",VLOOKUP(B642,'TB for financial'!A:B,2,0))</f>
        <v/>
      </c>
      <c r="D642" s="674"/>
      <c r="E642" s="676"/>
      <c r="F642" s="319"/>
      <c r="G642" s="320"/>
      <c r="H642" s="321"/>
      <c r="I642" s="322"/>
      <c r="J642" s="323"/>
    </row>
    <row r="643" spans="1:10" ht="15" customHeight="1">
      <c r="A643" s="315" t="str">
        <f>IF(B643="","",IF(B642="",SUM(COUNT($A$5:A642)+1),""))</f>
        <v/>
      </c>
      <c r="B643" s="327"/>
      <c r="C643" s="316" t="str">
        <f>IF(B643="","",VLOOKUP(B643,'TB for financial'!A:B,2,0))</f>
        <v/>
      </c>
      <c r="D643" s="674"/>
      <c r="E643" s="675"/>
      <c r="F643" s="319"/>
      <c r="G643" s="320"/>
      <c r="H643" s="321"/>
      <c r="I643" s="322"/>
      <c r="J643" s="323"/>
    </row>
    <row r="644" spans="1:10" ht="15" customHeight="1">
      <c r="A644" s="315" t="str">
        <f>IF(B644="","",IF(B643="",SUM(COUNT($A$5:A643)+1),""))</f>
        <v/>
      </c>
      <c r="B644" s="327"/>
      <c r="C644" s="316" t="str">
        <f>IF(B644="","",VLOOKUP(B644,'TB for financial'!A:B,2,0))</f>
        <v/>
      </c>
      <c r="D644" s="318"/>
      <c r="E644" s="317"/>
      <c r="F644" s="319"/>
      <c r="G644" s="320"/>
      <c r="H644" s="321"/>
      <c r="I644" s="322"/>
      <c r="J644" s="323"/>
    </row>
    <row r="645" spans="1:10" ht="15" customHeight="1">
      <c r="A645" s="315" t="str">
        <f>IF(B645="","",IF(B644="",SUM(COUNT($A$5:A644)+1),""))</f>
        <v/>
      </c>
      <c r="B645" s="327"/>
      <c r="C645" s="316" t="str">
        <f>IF(B645="","",VLOOKUP(B645,'TB for financial'!A:B,2,0))</f>
        <v/>
      </c>
      <c r="D645" s="318"/>
      <c r="E645" s="317"/>
      <c r="F645" s="319"/>
      <c r="G645" s="320"/>
      <c r="H645" s="321"/>
      <c r="I645" s="322"/>
      <c r="J645" s="323"/>
    </row>
    <row r="646" spans="1:10" ht="15" customHeight="1">
      <c r="A646" s="315" t="str">
        <f>IF(B646="","",IF(B645="",SUM(COUNT($A$5:A645)+1),""))</f>
        <v/>
      </c>
      <c r="C646" s="316" t="str">
        <f>IF(B646="","",VLOOKUP(B646,'TB for financial'!A:B,2,0))</f>
        <v/>
      </c>
      <c r="D646" s="318"/>
      <c r="E646" s="317"/>
      <c r="F646" s="319"/>
      <c r="G646" s="320"/>
      <c r="H646" s="321"/>
      <c r="I646" s="322"/>
      <c r="J646" s="323"/>
    </row>
    <row r="647" spans="1:10" ht="15" customHeight="1">
      <c r="A647" s="315" t="str">
        <f>IF(B647="","",IF(B646="",SUM(COUNT($A$5:A646)+1),""))</f>
        <v/>
      </c>
      <c r="C647" s="1385"/>
      <c r="D647" s="318"/>
      <c r="E647" s="317"/>
      <c r="F647" s="319"/>
      <c r="G647" s="320"/>
      <c r="H647" s="321"/>
      <c r="I647" s="322"/>
      <c r="J647" s="323"/>
    </row>
    <row r="648" spans="1:10" ht="15" customHeight="1">
      <c r="A648" s="315" t="str">
        <f>IF(B648="","",IF(B647="",SUM(COUNT($A$5:A647)+1),""))</f>
        <v/>
      </c>
      <c r="B648" s="327"/>
      <c r="C648" s="316" t="str">
        <f>IF(B648="","",VLOOKUP(B648,'TB for financial'!A:B,2,0))</f>
        <v/>
      </c>
      <c r="D648" s="318"/>
      <c r="E648" s="317"/>
      <c r="F648" s="319"/>
      <c r="G648" s="320"/>
      <c r="H648" s="321"/>
      <c r="I648" s="322"/>
      <c r="J648" s="323"/>
    </row>
    <row r="649" spans="1:10" ht="15" customHeight="1">
      <c r="A649" s="315" t="str">
        <f>IF(B649="","",IF(B648="",SUM(COUNT($A$5:A648)+1),""))</f>
        <v/>
      </c>
      <c r="C649" s="316" t="str">
        <f>IF(B649="","",VLOOKUP(B649,'TB for financial'!A:B,2,0))</f>
        <v/>
      </c>
      <c r="D649" s="318"/>
      <c r="E649" s="677"/>
      <c r="F649" s="319"/>
      <c r="G649" s="320"/>
      <c r="H649" s="321"/>
      <c r="I649" s="322"/>
      <c r="J649" s="323"/>
    </row>
    <row r="650" spans="1:10" ht="15" customHeight="1">
      <c r="A650" s="315" t="str">
        <f>IF(B650="","",IF(B649="",SUM(COUNT($A$5:A649)+1),""))</f>
        <v/>
      </c>
      <c r="C650" s="316" t="str">
        <f>IF(B650="","",VLOOKUP(B650,'TB for financial'!A:B,2,0))</f>
        <v/>
      </c>
      <c r="D650" s="318"/>
      <c r="E650" s="677"/>
      <c r="F650" s="319"/>
      <c r="G650" s="320"/>
      <c r="H650" s="321"/>
      <c r="I650" s="322"/>
      <c r="J650" s="323"/>
    </row>
    <row r="651" spans="1:10" ht="15" customHeight="1">
      <c r="A651" s="315" t="str">
        <f>IF(B651="","",IF(B650="",SUM(COUNT($A$5:A650)+1),""))</f>
        <v/>
      </c>
      <c r="C651" s="316" t="str">
        <f>IF(B651="","",VLOOKUP(B651,'TB for financial'!A:B,2,0))</f>
        <v/>
      </c>
      <c r="D651" s="318"/>
      <c r="E651" s="677"/>
      <c r="F651" s="319"/>
      <c r="G651" s="320"/>
      <c r="H651" s="321"/>
      <c r="I651" s="322"/>
      <c r="J651" s="323"/>
    </row>
    <row r="652" spans="1:10" ht="15" customHeight="1">
      <c r="A652" s="315" t="str">
        <f>IF(B652="","",IF(B651="",SUM(COUNT($A$5:A651)+1),""))</f>
        <v/>
      </c>
      <c r="C652" s="1385"/>
      <c r="D652" s="318"/>
      <c r="E652" s="677"/>
      <c r="F652" s="319"/>
      <c r="G652" s="320"/>
      <c r="H652" s="321"/>
      <c r="I652" s="322"/>
      <c r="J652" s="323"/>
    </row>
    <row r="653" spans="1:10">
      <c r="A653" s="315" t="str">
        <f>IF(B653="","",IF(B652="",SUM(COUNT($A$5:A652)+1),""))</f>
        <v/>
      </c>
      <c r="B653" s="327"/>
      <c r="C653" s="316" t="str">
        <f>IF(B653="","",VLOOKUP(B653,'TB for financial'!A:B,2,0))</f>
        <v/>
      </c>
      <c r="D653" s="318"/>
      <c r="E653" s="317"/>
      <c r="F653" s="319"/>
      <c r="G653" s="320"/>
      <c r="H653" s="321"/>
      <c r="I653" s="322"/>
      <c r="J653" s="323"/>
    </row>
    <row r="654" spans="1:10" ht="15" customHeight="1">
      <c r="A654" s="315" t="str">
        <f>IF(B654="","",IF(B653="",SUM(COUNT($A$5:A653)+1),""))</f>
        <v/>
      </c>
      <c r="B654" s="327"/>
      <c r="C654" s="316" t="str">
        <f>IF(B654="","",VLOOKUP(B654,'TB for financial'!A:B,2,0))</f>
        <v/>
      </c>
      <c r="D654" s="318"/>
      <c r="E654" s="317"/>
      <c r="F654" s="319"/>
      <c r="G654" s="320"/>
      <c r="H654" s="321"/>
      <c r="I654" s="322"/>
      <c r="J654" s="323"/>
    </row>
    <row r="655" spans="1:10" ht="15" customHeight="1">
      <c r="A655" s="315" t="str">
        <f>IF(B655="","",IF(B654="",SUM(COUNT($A$5:A654)+1),""))</f>
        <v/>
      </c>
      <c r="B655" s="327"/>
      <c r="C655" s="316" t="str">
        <f>IF(B655="","",VLOOKUP(B655,'TB for financial'!A:B,2,0))</f>
        <v/>
      </c>
      <c r="D655" s="317"/>
      <c r="E655" s="318"/>
      <c r="F655" s="319"/>
      <c r="G655" s="320">
        <f>IF(H655="PL - PL",0,IF(D655="",-E655,D655))</f>
        <v>0</v>
      </c>
      <c r="H655" s="321"/>
      <c r="I655" s="322"/>
      <c r="J655" s="323"/>
    </row>
    <row r="656" spans="1:10" ht="15" customHeight="1">
      <c r="A656" s="315" t="str">
        <f>IF(B656="","",IF(B655="",SUM(COUNT($A$5:A655)+1),""))</f>
        <v/>
      </c>
      <c r="B656" s="327"/>
      <c r="C656" s="1385"/>
      <c r="D656" s="317"/>
      <c r="E656" s="318"/>
      <c r="F656" s="319"/>
      <c r="G656" s="320"/>
      <c r="H656" s="321"/>
      <c r="I656" s="322"/>
      <c r="J656" s="323"/>
    </row>
    <row r="657" spans="1:10" ht="15" customHeight="1">
      <c r="A657" s="315" t="str">
        <f>IF(B657="","",IF(B656="",SUM(COUNT($A$5:A656)+1),""))</f>
        <v/>
      </c>
      <c r="B657" s="327"/>
      <c r="C657" s="316" t="str">
        <f>IF(B657="","",VLOOKUP(B657,'TB for financial'!A:B,2,0))</f>
        <v/>
      </c>
      <c r="D657" s="317"/>
      <c r="E657" s="318"/>
      <c r="F657" s="319"/>
      <c r="G657" s="320">
        <f>IF(H657="PL - PL",0,IF(D657="",-E657,D657))</f>
        <v>0</v>
      </c>
      <c r="H657" s="321"/>
      <c r="I657" s="322"/>
      <c r="J657" s="323"/>
    </row>
    <row r="658" spans="1:10" ht="15" customHeight="1">
      <c r="A658" s="315" t="str">
        <f>IF(B658="","",IF(B657="",SUM(COUNT($A$5:A657)+1),""))</f>
        <v/>
      </c>
      <c r="B658" s="327"/>
      <c r="C658" s="316" t="str">
        <f>IF(B658="","",VLOOKUP(B658,'TB for financial'!A:B,2,0))</f>
        <v/>
      </c>
      <c r="D658" s="317"/>
      <c r="E658" s="318"/>
      <c r="F658" s="319"/>
      <c r="G658" s="320"/>
      <c r="H658" s="321"/>
      <c r="I658" s="322"/>
      <c r="J658" s="323"/>
    </row>
    <row r="659" spans="1:10" ht="15" customHeight="1">
      <c r="A659" s="315" t="str">
        <f>IF(B659="","",IF(B658="",SUM(COUNT($A$5:A658)+1),""))</f>
        <v/>
      </c>
      <c r="B659" s="327"/>
      <c r="C659" s="316" t="str">
        <f>IF(B659="","",VLOOKUP(B659,'TB for financial'!A:B,2,0))</f>
        <v/>
      </c>
      <c r="D659" s="318"/>
      <c r="E659" s="317"/>
      <c r="F659" s="319"/>
      <c r="G659" s="320"/>
      <c r="H659" s="321"/>
      <c r="I659" s="322"/>
      <c r="J659" s="323"/>
    </row>
    <row r="660" spans="1:10" ht="15" customHeight="1">
      <c r="A660" s="315" t="str">
        <f>IF(B660="","",IF(B659="",SUM(COUNT($A$5:A659)+1),""))</f>
        <v/>
      </c>
      <c r="C660" s="316" t="str">
        <f>IF(B660="","",VLOOKUP(B660,'TB for financial'!A:B,2,0))</f>
        <v/>
      </c>
      <c r="D660" s="318"/>
      <c r="E660" s="317"/>
      <c r="F660" s="319"/>
      <c r="G660" s="320">
        <f>IF(H660="PL - PL",0,IF(D660="",-E660,D660))</f>
        <v>0</v>
      </c>
      <c r="H660" s="321"/>
      <c r="I660" s="322"/>
      <c r="J660" s="323"/>
    </row>
    <row r="661" spans="1:10" ht="15" customHeight="1">
      <c r="A661" s="315" t="str">
        <f>IF(B661="","",IF(B660="",SUM(COUNT($A$5:A660)+1),""))</f>
        <v/>
      </c>
      <c r="C661" s="316" t="str">
        <f>IF(B661="","",VLOOKUP(B661,'TB for financial'!A:B,2,0))</f>
        <v/>
      </c>
      <c r="D661" s="317"/>
      <c r="E661" s="318"/>
      <c r="F661" s="319"/>
      <c r="G661" s="320"/>
      <c r="H661" s="321"/>
      <c r="I661" s="322"/>
      <c r="J661" s="323"/>
    </row>
    <row r="662" spans="1:10">
      <c r="A662" s="315" t="str">
        <f>IF(B662="","",IF(B661="",SUM(COUNT($A$5:A661)+1),""))</f>
        <v/>
      </c>
      <c r="B662" s="327"/>
      <c r="C662" s="316" t="str">
        <f>IF(B662="","",VLOOKUP(B662,'TB for financial'!A:B,2,0))</f>
        <v/>
      </c>
      <c r="D662" s="318"/>
      <c r="E662" s="317"/>
      <c r="F662" s="319"/>
      <c r="G662" s="320"/>
      <c r="H662" s="321"/>
      <c r="I662" s="322"/>
      <c r="J662" s="323"/>
    </row>
    <row r="663" spans="1:10" ht="15" customHeight="1">
      <c r="A663" s="315" t="str">
        <f>IF(B663="","",IF(B662="",SUM(COUNT($A$5:A662)+1),""))</f>
        <v/>
      </c>
      <c r="B663" s="327"/>
      <c r="C663" s="316" t="str">
        <f>IF(B663="","",VLOOKUP(B663,'TB for financial'!A:B,2,0))</f>
        <v/>
      </c>
      <c r="D663" s="318"/>
      <c r="E663" s="317"/>
      <c r="F663" s="319"/>
      <c r="G663" s="320"/>
      <c r="H663" s="321"/>
      <c r="I663" s="322"/>
      <c r="J663" s="323"/>
    </row>
    <row r="664" spans="1:10" ht="15" customHeight="1">
      <c r="A664" s="315" t="str">
        <f>IF(B664="","",IF(B663="",SUM(COUNT($A$5:A663)+1),""))</f>
        <v/>
      </c>
      <c r="C664" s="316" t="str">
        <f>IF(B664="","",VLOOKUP(B664,'TB for financial'!A:B,2,0))</f>
        <v/>
      </c>
      <c r="D664" s="318"/>
      <c r="E664" s="318"/>
      <c r="F664" s="319"/>
      <c r="G664" s="320">
        <f>IF(H664="PL - PL",0,IF(D664="",-E664,D664))</f>
        <v>0</v>
      </c>
      <c r="H664" s="321"/>
      <c r="I664" s="322"/>
      <c r="J664" s="323"/>
    </row>
    <row r="665" spans="1:10" ht="15" customHeight="1">
      <c r="A665" s="315" t="str">
        <f>IF(B665="","",IF(B664="",SUM(COUNT($A$5:A664)+1),""))</f>
        <v/>
      </c>
      <c r="C665" s="316" t="str">
        <f>IF(B665="","",VLOOKUP(B665,'TB for financial'!A:B,2,0))</f>
        <v/>
      </c>
      <c r="D665" s="317"/>
      <c r="E665" s="318"/>
      <c r="F665" s="319"/>
      <c r="G665" s="320"/>
      <c r="H665" s="321"/>
      <c r="I665" s="322"/>
      <c r="J665" s="323"/>
    </row>
    <row r="666" spans="1:10">
      <c r="A666" s="315" t="str">
        <f>IF(B666="","",IF(B665="",SUM(COUNT($A$5:A665)+1),""))</f>
        <v/>
      </c>
      <c r="B666" s="327"/>
      <c r="C666" s="316" t="str">
        <f>IF(B666="","",VLOOKUP(B666,'TB for financial'!A:B,2,0))</f>
        <v/>
      </c>
      <c r="D666" s="318"/>
      <c r="E666" s="317"/>
      <c r="F666" s="319"/>
      <c r="G666" s="320"/>
      <c r="H666" s="321"/>
      <c r="I666" s="322"/>
      <c r="J666" s="323"/>
    </row>
    <row r="667" spans="1:10" ht="15" customHeight="1">
      <c r="A667" s="315" t="str">
        <f>IF(B667="","",IF(B666="",SUM(COUNT($A$5:A666)+1),""))</f>
        <v/>
      </c>
      <c r="B667" s="327"/>
      <c r="C667" s="316" t="str">
        <f>IF(B667="","",VLOOKUP(B667,'TB for financial'!A:B,2,0))</f>
        <v/>
      </c>
      <c r="D667" s="318"/>
      <c r="E667" s="318"/>
      <c r="F667" s="319"/>
      <c r="G667" s="320"/>
      <c r="H667" s="321"/>
      <c r="I667" s="322"/>
      <c r="J667" s="323"/>
    </row>
    <row r="668" spans="1:10" ht="15" customHeight="1">
      <c r="A668" s="315" t="str">
        <f>IF(B668="","",IF(B667="",SUM(COUNT($A$5:A667)+1),""))</f>
        <v/>
      </c>
      <c r="C668" s="316" t="str">
        <f>IF(B668="","",VLOOKUP(B668,'TB for financial'!A:B,2,0))</f>
        <v/>
      </c>
      <c r="D668" s="318"/>
      <c r="E668" s="317"/>
      <c r="F668" s="319"/>
      <c r="G668" s="320">
        <f>IF(H668="PL - PL",0,IF(D668="",-E668,D668))</f>
        <v>0</v>
      </c>
      <c r="H668" s="321"/>
      <c r="I668" s="322"/>
      <c r="J668" s="323"/>
    </row>
    <row r="669" spans="1:10" ht="15" customHeight="1">
      <c r="A669" s="315" t="str">
        <f>IF(B669="","",IF(B668="",SUM(COUNT($A$5:A668)+1),""))</f>
        <v/>
      </c>
      <c r="C669" s="316" t="str">
        <f>IF(B669="","",VLOOKUP(B669,'TB for financial'!A:B,2,0))</f>
        <v/>
      </c>
      <c r="D669" s="318"/>
      <c r="E669" s="318"/>
      <c r="F669" s="319"/>
      <c r="G669" s="320"/>
      <c r="H669" s="321"/>
      <c r="I669" s="322"/>
      <c r="J669" s="323"/>
    </row>
    <row r="670" spans="1:10">
      <c r="A670" s="315" t="str">
        <f>IF(B670="","",IF(B669="",SUM(COUNT($A$5:A669)+1),""))</f>
        <v/>
      </c>
      <c r="B670" s="327"/>
      <c r="C670" s="316" t="str">
        <f>IF(B670="","",VLOOKUP(B670,'TB for financial'!A:B,2,0))</f>
        <v/>
      </c>
      <c r="D670" s="318"/>
      <c r="E670" s="317"/>
      <c r="F670" s="319"/>
      <c r="G670" s="320"/>
      <c r="H670" s="321"/>
      <c r="I670" s="322"/>
      <c r="J670" s="323"/>
    </row>
    <row r="671" spans="1:10" ht="15" customHeight="1">
      <c r="A671" s="315" t="str">
        <f>IF(B671="","",IF(B670="",SUM(COUNT($A$5:A670)+1),""))</f>
        <v/>
      </c>
      <c r="B671" s="327"/>
      <c r="C671" s="316" t="str">
        <f>IF(B671="","",VLOOKUP(B671,'TB for financial'!A:B,2,0))</f>
        <v/>
      </c>
      <c r="D671" s="318"/>
      <c r="E671" s="317"/>
      <c r="F671" s="319"/>
      <c r="G671" s="320"/>
      <c r="H671" s="321"/>
      <c r="I671" s="322"/>
      <c r="J671" s="323"/>
    </row>
    <row r="672" spans="1:10" ht="15" customHeight="1">
      <c r="A672" s="315" t="str">
        <f>IF(B672="","",IF(B671="",SUM(COUNT($A$5:A671)+1),""))</f>
        <v/>
      </c>
      <c r="C672" s="316" t="str">
        <f>IF(B672="","",VLOOKUP(B672,'TB for financial'!A:B,2,0))</f>
        <v/>
      </c>
      <c r="D672" s="318"/>
      <c r="E672" s="317"/>
      <c r="F672" s="319"/>
      <c r="G672" s="320">
        <f>IF(H672="PL - PL",0,IF(D672="",-E672,D672))</f>
        <v>0</v>
      </c>
      <c r="H672" s="321"/>
      <c r="I672" s="322"/>
      <c r="J672" s="323"/>
    </row>
    <row r="673" spans="1:10" ht="15" customHeight="1">
      <c r="A673" s="315" t="str">
        <f>IF(B673="","",IF(B672="",SUM(COUNT($A$5:A672)+1),""))</f>
        <v/>
      </c>
      <c r="C673" s="316" t="str">
        <f>IF(B673="","",VLOOKUP(B673,'TB for financial'!A:B,2,0))</f>
        <v/>
      </c>
      <c r="D673" s="318"/>
      <c r="E673" s="318"/>
      <c r="F673" s="319"/>
      <c r="G673" s="320"/>
      <c r="H673" s="321"/>
      <c r="I673" s="322"/>
      <c r="J673" s="323"/>
    </row>
    <row r="674" spans="1:10">
      <c r="A674" s="315" t="str">
        <f>IF(B674="","",IF(B673="",SUM(COUNT($A$5:A673)+1),""))</f>
        <v/>
      </c>
      <c r="B674" s="327"/>
      <c r="C674" s="316" t="str">
        <f>IF(B674="","",VLOOKUP(B674,'TB for financial'!A:B,2,0))</f>
        <v/>
      </c>
      <c r="D674" s="318"/>
      <c r="E674" s="317"/>
      <c r="F674" s="319"/>
      <c r="G674" s="320"/>
      <c r="H674" s="321"/>
      <c r="I674" s="322"/>
      <c r="J674" s="323"/>
    </row>
    <row r="675" spans="1:10" ht="15" customHeight="1">
      <c r="A675" s="315" t="str">
        <f>IF(B675="","",IF(B674="",SUM(COUNT($A$5:A674)+1),""))</f>
        <v/>
      </c>
      <c r="B675" s="327"/>
      <c r="C675" s="316" t="str">
        <f>IF(B675="","",VLOOKUP(B675,'TB for financial'!A:B,2,0))</f>
        <v/>
      </c>
      <c r="D675" s="318"/>
      <c r="E675" s="317"/>
      <c r="F675" s="319"/>
      <c r="G675" s="320"/>
      <c r="H675" s="321"/>
      <c r="I675" s="322"/>
      <c r="J675" s="323"/>
    </row>
    <row r="676" spans="1:10" ht="15" customHeight="1">
      <c r="A676" s="315" t="str">
        <f>IF(B676="","",IF(B675="",SUM(COUNT($A$5:A675)+1),""))</f>
        <v/>
      </c>
      <c r="B676" s="327"/>
      <c r="C676" s="316" t="str">
        <f>IF(B676="","",VLOOKUP(B676,'TB for financial'!A:B,2,0))</f>
        <v/>
      </c>
      <c r="D676" s="318"/>
      <c r="E676" s="317"/>
      <c r="F676" s="319"/>
      <c r="G676" s="320"/>
      <c r="H676" s="321"/>
      <c r="I676" s="322"/>
      <c r="J676" s="323"/>
    </row>
    <row r="677" spans="1:10" ht="15" customHeight="1">
      <c r="A677" s="315" t="str">
        <f>IF(B677="","",IF(B676="",SUM(COUNT($A$5:A676)+1),""))</f>
        <v/>
      </c>
      <c r="B677" s="327"/>
      <c r="C677" s="316" t="str">
        <f>IF(B677="","",VLOOKUP(B677,'TB for financial'!A:B,2,0))</f>
        <v/>
      </c>
      <c r="D677" s="318"/>
      <c r="E677" s="317"/>
      <c r="F677" s="319"/>
      <c r="G677" s="320"/>
      <c r="H677" s="321"/>
      <c r="I677" s="322"/>
      <c r="J677" s="323"/>
    </row>
    <row r="678" spans="1:10" ht="15" customHeight="1">
      <c r="A678" s="315" t="str">
        <f>IF(B678="","",IF(B677="",SUM(COUNT($A$5:A677)+1),""))</f>
        <v/>
      </c>
      <c r="B678" s="327"/>
      <c r="C678" s="316" t="str">
        <f>IF(B678="","",VLOOKUP(B678,'TB for financial'!A:B,2,0))</f>
        <v/>
      </c>
      <c r="D678" s="318"/>
      <c r="E678" s="317"/>
      <c r="F678" s="319"/>
      <c r="G678" s="320"/>
      <c r="H678" s="321"/>
      <c r="I678" s="322"/>
      <c r="J678" s="323"/>
    </row>
    <row r="679" spans="1:10" ht="15" customHeight="1">
      <c r="A679" s="315" t="str">
        <f>IF(B679="","",IF(B678="",SUM(COUNT($A$5:A678)+1),""))</f>
        <v/>
      </c>
      <c r="B679" s="327"/>
      <c r="C679" s="316" t="str">
        <f>IF(B679="","",VLOOKUP(B679,'TB for financial'!A:B,2,0))</f>
        <v/>
      </c>
      <c r="D679" s="1222"/>
      <c r="E679" s="1222"/>
      <c r="F679" s="319"/>
      <c r="G679" s="320"/>
      <c r="H679" s="321"/>
      <c r="I679" s="322"/>
      <c r="J679" s="323"/>
    </row>
    <row r="680" spans="1:10" ht="15" customHeight="1">
      <c r="A680" s="315" t="str">
        <f>IF(B680="","",IF(B679="",SUM(COUNT($A$5:A679)+1),""))</f>
        <v/>
      </c>
      <c r="B680" s="327"/>
      <c r="C680" s="316" t="str">
        <f>IF(B680="","",VLOOKUP(B680,'TB for financial'!A:B,2,0))</f>
        <v/>
      </c>
      <c r="D680" s="1222"/>
      <c r="E680" s="1225"/>
      <c r="F680" s="319"/>
      <c r="G680" s="320"/>
      <c r="H680" s="321"/>
      <c r="I680" s="322"/>
      <c r="J680" s="323"/>
    </row>
    <row r="681" spans="1:10" ht="15" customHeight="1">
      <c r="A681" s="315" t="str">
        <f>IF(B681="","",IF(B680="",SUM(COUNT($A$5:A680)+1),""))</f>
        <v/>
      </c>
      <c r="B681" s="327"/>
      <c r="C681" s="1385"/>
      <c r="D681" s="1222"/>
      <c r="E681" s="1225"/>
      <c r="F681" s="319"/>
      <c r="G681" s="320"/>
      <c r="H681" s="321"/>
      <c r="I681" s="322"/>
      <c r="J681" s="323"/>
    </row>
    <row r="682" spans="1:10" ht="15" customHeight="1">
      <c r="A682" s="315" t="str">
        <f>IF(B682="","",IF(B681="",SUM(COUNT($A$5:A681)+1),""))</f>
        <v/>
      </c>
      <c r="B682" s="327"/>
      <c r="C682" s="316" t="str">
        <f>IF(B682="","",VLOOKUP(B682,'TB for financial'!A:B,2,0))</f>
        <v/>
      </c>
      <c r="D682" s="1222"/>
      <c r="E682" s="1225"/>
      <c r="F682" s="319"/>
      <c r="G682" s="320"/>
      <c r="H682" s="321"/>
      <c r="I682" s="322"/>
      <c r="J682" s="323"/>
    </row>
    <row r="683" spans="1:10" ht="15" customHeight="1">
      <c r="A683" s="315" t="str">
        <f>IF(B683="","",IF(B682="",SUM(COUNT($A$5:A682)+1),""))</f>
        <v/>
      </c>
      <c r="B683" s="327"/>
      <c r="C683" s="316" t="str">
        <f>IF(B683="","",VLOOKUP(B683,'TB for financial'!A:B,2,0))</f>
        <v/>
      </c>
      <c r="D683" s="318"/>
      <c r="E683" s="317"/>
      <c r="F683" s="319"/>
      <c r="G683" s="320"/>
      <c r="H683" s="321"/>
      <c r="I683" s="322"/>
      <c r="J683" s="323"/>
    </row>
    <row r="684" spans="1:10" ht="29.25" customHeight="1">
      <c r="A684" s="315" t="str">
        <f>IF(B684="","",IF(B683="",SUM(COUNT($A$5:A683)+1),""))</f>
        <v/>
      </c>
      <c r="B684" s="327"/>
      <c r="C684" s="316" t="str">
        <f>IF(B684="","",VLOOKUP(B684,'TB for financial'!A:B,2,0))</f>
        <v/>
      </c>
      <c r="D684" s="318"/>
      <c r="E684" s="317"/>
      <c r="F684" s="319"/>
      <c r="G684" s="320"/>
      <c r="H684" s="321"/>
      <c r="I684" s="1438"/>
      <c r="J684" s="323"/>
    </row>
    <row r="685" spans="1:10" ht="15" customHeight="1">
      <c r="A685" s="315" t="str">
        <f>IF(B685="","",IF(B684="",SUM(COUNT($A$5:A684)+1),""))</f>
        <v/>
      </c>
      <c r="B685" s="1224"/>
      <c r="C685" s="316" t="str">
        <f>IF(B685="","",VLOOKUP(B685,'TB for financial'!A:B,2,0))</f>
        <v/>
      </c>
      <c r="E685" s="1222"/>
      <c r="F685" s="319"/>
      <c r="G685" s="320"/>
      <c r="H685" s="321"/>
      <c r="I685" s="322"/>
      <c r="J685" s="323"/>
    </row>
    <row r="686" spans="1:10" ht="15" customHeight="1">
      <c r="A686" s="315" t="str">
        <f>IF(B686="","",IF(B685="",SUM(COUNT($A$5:A685)+1),""))</f>
        <v/>
      </c>
      <c r="B686" s="1224"/>
      <c r="C686" s="1385"/>
      <c r="E686" s="318"/>
      <c r="F686" s="319"/>
      <c r="G686" s="320"/>
      <c r="H686" s="321"/>
      <c r="I686" s="322"/>
      <c r="J686" s="323"/>
    </row>
    <row r="687" spans="1:10" ht="15" customHeight="1">
      <c r="A687" s="315" t="str">
        <f>IF(B687="","",IF(B686="",SUM(COUNT($A$5:A686)+1),""))</f>
        <v/>
      </c>
      <c r="B687" s="1224"/>
      <c r="C687" s="316" t="str">
        <f>IF(B687="","",VLOOKUP(B687,'TB for financial'!A:B,2,0))</f>
        <v/>
      </c>
      <c r="E687" s="1222"/>
      <c r="F687" s="319"/>
      <c r="G687" s="320"/>
      <c r="H687" s="321"/>
      <c r="I687" s="322"/>
      <c r="J687" s="323"/>
    </row>
    <row r="688" spans="1:10" ht="15" customHeight="1">
      <c r="A688" s="315" t="str">
        <f>IF(B688="","",IF(B687="",SUM(COUNT($A$5:A687)+1),""))</f>
        <v/>
      </c>
      <c r="B688" s="1224"/>
      <c r="C688" s="316" t="str">
        <f>IF(B688="","",VLOOKUP(B688,'TB for financial'!A:B,2,0))</f>
        <v/>
      </c>
      <c r="D688" s="317"/>
      <c r="E688" s="318"/>
      <c r="F688" s="319"/>
      <c r="G688" s="320"/>
      <c r="H688" s="321"/>
      <c r="I688" s="322"/>
      <c r="J688" s="323"/>
    </row>
    <row r="689" spans="1:10" ht="15" customHeight="1">
      <c r="A689" s="315" t="str">
        <f>IF(B689="","",IF(B688="",SUM(COUNT($A$5:A688)+1),""))</f>
        <v/>
      </c>
      <c r="B689" s="1224"/>
      <c r="C689" s="316" t="str">
        <f>IF(B689="","",VLOOKUP(B689,'TB for financial'!A:B,2,0))</f>
        <v/>
      </c>
      <c r="D689" s="1222"/>
      <c r="F689" s="319"/>
      <c r="G689" s="320"/>
      <c r="H689" s="321"/>
      <c r="I689" s="322"/>
      <c r="J689" s="323"/>
    </row>
    <row r="690" spans="1:10" ht="15" customHeight="1">
      <c r="A690" s="315" t="str">
        <f>IF(B690="","",IF(B689="",SUM(COUNT($A$5:A689)+1),""))</f>
        <v/>
      </c>
      <c r="C690" s="316" t="str">
        <f>IF(B690="","",VLOOKUP(B690,'TB for financial'!A:B,2,0))</f>
        <v/>
      </c>
      <c r="D690" s="1222"/>
      <c r="F690" s="319"/>
      <c r="G690" s="320"/>
      <c r="H690" s="321"/>
      <c r="I690" s="322"/>
      <c r="J690" s="323"/>
    </row>
    <row r="691" spans="1:10" ht="15" customHeight="1">
      <c r="A691" s="315" t="str">
        <f>IF(B691="","",IF(B690="",SUM(COUNT($A$5:A690)+1),""))</f>
        <v/>
      </c>
      <c r="C691" s="316" t="str">
        <f>IF(B691="","",VLOOKUP(B691,'TB for financial'!A:B,2,0))</f>
        <v/>
      </c>
      <c r="D691" s="317"/>
      <c r="E691" s="318"/>
      <c r="F691" s="319"/>
      <c r="G691" s="320"/>
      <c r="H691" s="321"/>
      <c r="I691" s="322"/>
      <c r="J691" s="323"/>
    </row>
    <row r="692" spans="1:10" ht="15" customHeight="1">
      <c r="A692" s="315" t="str">
        <f>IF(B692="","",IF(B691="",SUM(COUNT($A$5:A691)+1),""))</f>
        <v/>
      </c>
      <c r="B692" s="1224"/>
      <c r="C692" s="316" t="str">
        <f>IF(B692="","",VLOOKUP(B692,'TB for financial'!A:B,2,0))</f>
        <v/>
      </c>
      <c r="D692" s="1222"/>
      <c r="F692" s="319"/>
      <c r="G692" s="320"/>
      <c r="H692" s="321"/>
      <c r="I692" s="322"/>
      <c r="J692" s="323"/>
    </row>
    <row r="693" spans="1:10" ht="15" customHeight="1">
      <c r="A693" s="315" t="str">
        <f>IF(B693="","",IF(B692="",SUM(COUNT($A$5:A692)+1),""))</f>
        <v/>
      </c>
      <c r="B693" s="1224"/>
      <c r="C693" s="1385"/>
      <c r="D693" s="1222"/>
      <c r="F693" s="319"/>
      <c r="G693" s="320"/>
      <c r="H693" s="321"/>
      <c r="I693" s="322"/>
      <c r="J693" s="323"/>
    </row>
    <row r="694" spans="1:10" ht="15" customHeight="1">
      <c r="A694" s="315" t="str">
        <f>IF(B694="","",IF(B693="",SUM(COUNT($A$5:A693)+1),""))</f>
        <v/>
      </c>
      <c r="C694" s="316" t="str">
        <f>IF(B694="","",VLOOKUP(B694,'TB for financial'!A:B,2,0))</f>
        <v/>
      </c>
      <c r="D694" s="1222"/>
      <c r="E694" s="1222"/>
      <c r="F694" s="319"/>
      <c r="G694" s="320"/>
      <c r="H694" s="321"/>
      <c r="I694" s="322"/>
      <c r="J694" s="323"/>
    </row>
    <row r="695" spans="1:10" ht="15" customHeight="1">
      <c r="A695" s="315" t="str">
        <f>IF(B695="","",IF(B694="",SUM(COUNT($A$5:A694)+1),""))</f>
        <v/>
      </c>
      <c r="C695" s="316" t="str">
        <f>IF(B695="","",VLOOKUP(B695,'TB for financial'!A:B,2,0))</f>
        <v/>
      </c>
      <c r="E695" s="318"/>
      <c r="F695" s="319"/>
      <c r="G695" s="320"/>
      <c r="H695" s="321"/>
      <c r="I695" s="322"/>
      <c r="J695" s="323"/>
    </row>
    <row r="696" spans="1:10" ht="15" customHeight="1">
      <c r="A696" s="315" t="str">
        <f>IF(B696="","",IF(B695="",SUM(COUNT($A$5:A695)+1),""))</f>
        <v/>
      </c>
      <c r="C696" s="316" t="str">
        <f>IF(B696="","",VLOOKUP(B696,'TB for financial'!A:B,2,0))</f>
        <v/>
      </c>
      <c r="D696" s="317"/>
      <c r="E696" s="318"/>
      <c r="F696" s="319"/>
      <c r="G696" s="320"/>
      <c r="H696" s="321"/>
      <c r="I696" s="322"/>
      <c r="J696" s="323"/>
    </row>
    <row r="697" spans="1:10" ht="15" customHeight="1">
      <c r="A697" s="315" t="str">
        <f>IF(B697="","",IF(B696="",SUM(COUNT($A$5:A696)+1),""))</f>
        <v/>
      </c>
      <c r="C697" s="316" t="str">
        <f>IF(B697="","",VLOOKUP(B697,'TB for financial'!A:B,2,0))</f>
        <v/>
      </c>
      <c r="D697" s="317"/>
      <c r="E697" s="318"/>
      <c r="F697" s="319"/>
      <c r="G697" s="320"/>
      <c r="H697" s="321"/>
      <c r="I697" s="322"/>
      <c r="J697" s="323"/>
    </row>
    <row r="698" spans="1:10" ht="15" customHeight="1">
      <c r="A698" s="315" t="str">
        <f>IF(B698="","",IF(B697="",SUM(COUNT($A$5:A697)+1),""))</f>
        <v/>
      </c>
      <c r="C698" s="316" t="str">
        <f>IF(B698="","",VLOOKUP(B698,'TB for financial'!A:B,2,0))</f>
        <v/>
      </c>
      <c r="D698" s="317"/>
      <c r="E698" s="318"/>
      <c r="F698" s="319"/>
      <c r="G698" s="320"/>
      <c r="H698" s="321"/>
      <c r="I698" s="322"/>
      <c r="J698" s="323"/>
    </row>
    <row r="699" spans="1:10" ht="15" customHeight="1">
      <c r="A699" s="315" t="str">
        <f>IF(B699="","",IF(B698="",SUM(COUNT($A$5:A698)+1),""))</f>
        <v/>
      </c>
      <c r="C699" s="316" t="str">
        <f>IF(B699="","",VLOOKUP(B699,'TB for financial'!A:B,2,0))</f>
        <v/>
      </c>
      <c r="D699" s="317"/>
      <c r="E699" s="318"/>
      <c r="F699" s="319"/>
      <c r="G699" s="320"/>
      <c r="H699" s="321"/>
      <c r="I699" s="322"/>
      <c r="J699" s="323"/>
    </row>
    <row r="700" spans="1:10" ht="15" customHeight="1">
      <c r="A700" s="315" t="str">
        <f>IF(B700="","",IF(B699="",SUM(COUNT($A$5:A699)+1),""))</f>
        <v/>
      </c>
      <c r="C700" s="316" t="str">
        <f>IF(B700="","",VLOOKUP(B700,'TB for financial'!A:B,2,0))</f>
        <v/>
      </c>
      <c r="D700" s="317"/>
      <c r="E700" s="318"/>
      <c r="F700" s="319"/>
      <c r="G700" s="320"/>
      <c r="H700" s="321"/>
      <c r="I700" s="322"/>
      <c r="J700" s="323"/>
    </row>
    <row r="701" spans="1:10" ht="15" customHeight="1">
      <c r="A701" s="315" t="str">
        <f>IF(B701="","",IF(B700="",SUM(COUNT($A$5:A700)+1),""))</f>
        <v/>
      </c>
      <c r="B701" s="1224"/>
      <c r="C701" s="1385"/>
      <c r="D701" s="317"/>
      <c r="E701" s="318"/>
      <c r="F701" s="319"/>
      <c r="G701" s="320"/>
      <c r="H701" s="321"/>
      <c r="I701" s="322"/>
      <c r="J701" s="323"/>
    </row>
    <row r="702" spans="1:10" ht="15" customHeight="1">
      <c r="A702" s="315" t="str">
        <f>IF(B702="","",IF(B701="",SUM(COUNT($A$5:A701)+1),""))</f>
        <v/>
      </c>
      <c r="C702" s="316" t="str">
        <f>IF(B702="","",VLOOKUP(B702,'TB for financial'!A:B,2,0))</f>
        <v/>
      </c>
      <c r="D702" s="317"/>
      <c r="E702" s="318"/>
      <c r="F702" s="319"/>
      <c r="G702" s="320"/>
      <c r="H702" s="321"/>
      <c r="I702" s="322"/>
      <c r="J702" s="323"/>
    </row>
    <row r="703" spans="1:10" ht="15" customHeight="1">
      <c r="A703" s="315" t="str">
        <f>IF(B703="","",IF(B702="",SUM(COUNT($A$5:A702)+1),""))</f>
        <v/>
      </c>
      <c r="C703" s="316" t="str">
        <f>IF(B703="","",VLOOKUP(B703,'TB for financial'!A:B,2,0))</f>
        <v/>
      </c>
      <c r="D703" s="317"/>
      <c r="E703" s="318"/>
      <c r="F703" s="319"/>
      <c r="G703" s="320"/>
      <c r="H703" s="321"/>
      <c r="I703" s="322"/>
      <c r="J703" s="323"/>
    </row>
    <row r="704" spans="1:10" ht="15" customHeight="1">
      <c r="A704" s="315" t="str">
        <f>IF(B704="","",IF(B703="",SUM(COUNT($A$5:A703)+1),""))</f>
        <v/>
      </c>
      <c r="B704" s="1224"/>
      <c r="C704" s="316" t="str">
        <f>IF(B704="","",VLOOKUP(B704,'TB for financial'!A:B,2,0))</f>
        <v/>
      </c>
      <c r="D704" s="317"/>
      <c r="E704" s="318"/>
      <c r="F704" s="319"/>
      <c r="G704" s="320"/>
      <c r="H704" s="321"/>
      <c r="I704" s="322"/>
      <c r="J704" s="323"/>
    </row>
    <row r="705" spans="1:10" ht="15" customHeight="1">
      <c r="A705" s="315" t="str">
        <f>IF(B705="","",IF(B704="",SUM(COUNT($A$5:A704)+1),""))</f>
        <v/>
      </c>
      <c r="B705" s="1224"/>
      <c r="C705" s="316" t="str">
        <f>IF(B705="","",VLOOKUP(B705,'TB for financial'!A:B,2,0))</f>
        <v/>
      </c>
      <c r="D705" s="317"/>
      <c r="E705" s="318"/>
      <c r="F705" s="319"/>
      <c r="G705" s="320"/>
      <c r="H705" s="321"/>
      <c r="I705" s="322"/>
      <c r="J705" s="323"/>
    </row>
    <row r="706" spans="1:10" ht="15" customHeight="1">
      <c r="A706" s="315" t="str">
        <f>IF(B706="","",IF(B705="",SUM(COUNT($A$5:A705)+1),""))</f>
        <v/>
      </c>
      <c r="B706" s="327"/>
      <c r="C706" s="316" t="str">
        <f>IF(B706="","",VLOOKUP(B706,'TB for financial'!A:B,2,0))</f>
        <v/>
      </c>
      <c r="D706" s="317"/>
      <c r="E706" s="318"/>
      <c r="F706" s="319"/>
      <c r="G706" s="320"/>
      <c r="H706" s="321"/>
      <c r="I706" s="322"/>
      <c r="J706" s="323"/>
    </row>
    <row r="707" spans="1:10" ht="15" customHeight="1">
      <c r="A707" s="315" t="str">
        <f>IF(B707="","",IF(B706="",SUM(COUNT($A$5:A706)+1),""))</f>
        <v/>
      </c>
      <c r="B707" s="327"/>
      <c r="C707" s="316" t="str">
        <f>IF(B707="","",VLOOKUP(B707,'TB for financial'!A:B,2,0))</f>
        <v/>
      </c>
      <c r="D707" s="317"/>
      <c r="E707" s="318"/>
      <c r="F707" s="319"/>
      <c r="G707" s="320"/>
      <c r="H707" s="321"/>
      <c r="I707" s="322"/>
      <c r="J707" s="323"/>
    </row>
    <row r="708" spans="1:10" ht="15" customHeight="1">
      <c r="A708" s="315" t="str">
        <f>IF(B708="","",IF(B707="",SUM(COUNT($A$5:A707)+1),""))</f>
        <v/>
      </c>
      <c r="B708" s="327"/>
      <c r="C708" s="316" t="str">
        <f>IF(B708="","",VLOOKUP(B708,'TB for financial'!A:B,2,0))</f>
        <v/>
      </c>
      <c r="D708" s="317"/>
      <c r="E708" s="318"/>
      <c r="F708" s="319"/>
      <c r="G708" s="320"/>
      <c r="H708" s="321"/>
      <c r="I708" s="322"/>
      <c r="J708" s="323"/>
    </row>
    <row r="709" spans="1:10" ht="15" customHeight="1">
      <c r="A709" s="315" t="str">
        <f>IF(B709="","",IF(B708="",SUM(COUNT($A$5:A708)+1),""))</f>
        <v/>
      </c>
      <c r="B709" s="327"/>
      <c r="C709" s="316" t="str">
        <f>IF(B709="","",VLOOKUP(B709,'TB for financial'!A:B,2,0))</f>
        <v/>
      </c>
      <c r="D709" s="317"/>
      <c r="E709" s="318"/>
      <c r="F709" s="319"/>
      <c r="G709" s="320"/>
      <c r="H709" s="321"/>
      <c r="I709" s="322"/>
      <c r="J709" s="323"/>
    </row>
    <row r="710" spans="1:10" ht="15" customHeight="1">
      <c r="A710" s="315" t="str">
        <f>IF(B710="","",IF(B709="",SUM(COUNT($A$5:A709)+1),""))</f>
        <v/>
      </c>
      <c r="B710" s="327"/>
      <c r="C710" s="316" t="str">
        <f>IF(B710="","",VLOOKUP(B710,'TB for financial'!A:B,2,0))</f>
        <v/>
      </c>
      <c r="D710" s="317"/>
      <c r="E710" s="318"/>
      <c r="F710" s="319"/>
      <c r="G710" s="320"/>
      <c r="H710" s="321"/>
      <c r="I710" s="322"/>
      <c r="J710" s="323"/>
    </row>
    <row r="711" spans="1:10" ht="15" customHeight="1">
      <c r="A711" s="315" t="str">
        <f>IF(B711="","",IF(B710="",SUM(COUNT($A$5:A710)+1),""))</f>
        <v/>
      </c>
      <c r="B711" s="1224"/>
      <c r="C711" s="316" t="str">
        <f>IF(B711="","",VLOOKUP(B711,'TB for financial'!A:B,2,0))</f>
        <v/>
      </c>
      <c r="D711" s="317"/>
      <c r="E711" s="318"/>
      <c r="F711" s="319"/>
      <c r="G711" s="320"/>
      <c r="H711" s="321"/>
      <c r="I711" s="322"/>
      <c r="J711" s="323"/>
    </row>
    <row r="712" spans="1:10" ht="15" customHeight="1">
      <c r="A712" s="315" t="str">
        <f>IF(B712="","",IF(B711="",SUM(COUNT($A$5:A711)+1),""))</f>
        <v/>
      </c>
      <c r="B712" s="327"/>
      <c r="C712" s="316" t="str">
        <f>IF(B712="","",VLOOKUP(B712,'TB for financial'!A:B,2,0))</f>
        <v/>
      </c>
      <c r="D712" s="317"/>
      <c r="E712" s="317"/>
      <c r="F712" s="319"/>
      <c r="G712" s="320"/>
      <c r="H712" s="321"/>
      <c r="I712" s="322"/>
      <c r="J712" s="323"/>
    </row>
    <row r="713" spans="1:10" ht="15" customHeight="1">
      <c r="A713" s="315" t="str">
        <f>IF(B713="","",IF(B712="",SUM(COUNT($A$5:A712)+1),""))</f>
        <v/>
      </c>
      <c r="B713" s="327"/>
      <c r="C713" s="316" t="str">
        <f>IF(B713="","",VLOOKUP(B713,'TB for financial'!A:B,2,0))</f>
        <v/>
      </c>
      <c r="D713" s="317"/>
      <c r="E713" s="317"/>
      <c r="F713" s="319"/>
      <c r="G713" s="320"/>
      <c r="H713" s="321"/>
      <c r="I713" s="322"/>
      <c r="J713" s="323"/>
    </row>
    <row r="714" spans="1:10" ht="15" customHeight="1">
      <c r="A714" s="315" t="str">
        <f>IF(B714="","",IF(B713="",SUM(COUNT($A$5:A713)+1),""))</f>
        <v/>
      </c>
      <c r="B714" s="1224"/>
      <c r="C714" s="316" t="str">
        <f>IF(B714="","",VLOOKUP(B714,'TB for financial'!A:B,2,0))</f>
        <v/>
      </c>
      <c r="D714" s="317"/>
      <c r="E714" s="318"/>
      <c r="F714" s="319"/>
      <c r="G714" s="320"/>
      <c r="H714" s="321"/>
      <c r="I714" s="322"/>
      <c r="J714" s="323"/>
    </row>
    <row r="715" spans="1:10" ht="15" customHeight="1">
      <c r="A715" s="315" t="str">
        <f>IF(B715="","",IF(B714="",SUM(COUNT($A$5:A714)+1),""))</f>
        <v/>
      </c>
      <c r="B715" s="1224"/>
      <c r="C715" s="316" t="str">
        <f>IF(B715="","",VLOOKUP(B715,'TB for financial'!A:B,2,0))</f>
        <v/>
      </c>
      <c r="D715" s="318"/>
      <c r="E715" s="318"/>
      <c r="F715" s="319"/>
      <c r="G715" s="320"/>
      <c r="H715" s="321"/>
      <c r="I715" s="322"/>
      <c r="J715" s="323"/>
    </row>
    <row r="716" spans="1:10" ht="15" customHeight="1">
      <c r="A716" s="315" t="str">
        <f>IF(B716="","",IF(B715="",SUM(COUNT($A$5:A715)+1),""))</f>
        <v/>
      </c>
      <c r="B716" s="1224"/>
      <c r="C716" s="316" t="str">
        <f>IF(B716="","",VLOOKUP(B716,'TB for financial'!A:B,2,0))</f>
        <v/>
      </c>
      <c r="D716" s="317"/>
      <c r="E716" s="318"/>
      <c r="F716" s="319"/>
      <c r="G716" s="320"/>
      <c r="H716" s="321"/>
      <c r="I716" s="322"/>
      <c r="J716" s="323"/>
    </row>
    <row r="717" spans="1:10" ht="15" customHeight="1">
      <c r="A717" s="315" t="str">
        <f>IF(B717="","",IF(B716="",SUM(COUNT($A$5:A716)+1),""))</f>
        <v/>
      </c>
      <c r="B717" s="1224"/>
      <c r="C717" s="316" t="str">
        <f>IF(B717="","",VLOOKUP(B717,'TB for financial'!A:B,2,0))</f>
        <v/>
      </c>
      <c r="D717" s="317"/>
      <c r="E717" s="317"/>
      <c r="F717" s="319"/>
      <c r="G717" s="320"/>
      <c r="H717" s="321"/>
      <c r="I717" s="322"/>
      <c r="J717" s="323"/>
    </row>
    <row r="718" spans="1:10" ht="15" customHeight="1">
      <c r="A718" s="315" t="str">
        <f>IF(B718="","",IF(B717="",SUM(COUNT($A$5:A717)+1),""))</f>
        <v/>
      </c>
      <c r="B718" s="1224"/>
      <c r="C718" s="316" t="str">
        <f>IF(B718="","",VLOOKUP(B718,'TB for financial'!A:B,2,0))</f>
        <v/>
      </c>
      <c r="D718" s="317"/>
      <c r="E718" s="318"/>
      <c r="F718" s="319"/>
      <c r="G718" s="320"/>
      <c r="H718" s="321"/>
      <c r="I718" s="322"/>
      <c r="J718" s="323"/>
    </row>
    <row r="719" spans="1:10" ht="15" customHeight="1">
      <c r="A719" s="315" t="str">
        <f>IF(B719="","",IF(B718="",SUM(COUNT($A$5:A718)+1),""))</f>
        <v/>
      </c>
      <c r="B719" s="1224"/>
      <c r="C719" s="316" t="str">
        <f>IF(B719="","",VLOOKUP(B719,'TB for financial'!A:B,2,0))</f>
        <v/>
      </c>
      <c r="D719" s="317"/>
      <c r="E719" s="318"/>
      <c r="F719" s="319"/>
      <c r="G719" s="320"/>
      <c r="H719" s="321"/>
      <c r="I719" s="322"/>
      <c r="J719" s="323"/>
    </row>
    <row r="720" spans="1:10" ht="15" customHeight="1">
      <c r="A720" s="315" t="str">
        <f>IF(B720="","",IF(B719="",SUM(COUNT($A$5:A719)+1),""))</f>
        <v/>
      </c>
      <c r="B720" s="1224"/>
      <c r="C720" s="316" t="str">
        <f>IF(B720="","",VLOOKUP(B720,'TB for financial'!A:B,2,0))</f>
        <v/>
      </c>
      <c r="D720" s="317"/>
      <c r="E720" s="318"/>
      <c r="F720" s="319"/>
      <c r="G720" s="320"/>
      <c r="H720" s="321"/>
      <c r="I720" s="322"/>
      <c r="J720" s="323"/>
    </row>
    <row r="721" spans="1:10" ht="15" customHeight="1">
      <c r="A721" s="315" t="str">
        <f>IF(B721="","",IF(B720="",SUM(COUNT($A$5:A720)+1),""))</f>
        <v/>
      </c>
      <c r="B721" s="1224"/>
      <c r="C721" s="316" t="str">
        <f>IF(B721="","",VLOOKUP(B721,'TB for financial'!A:B,2,0))</f>
        <v/>
      </c>
      <c r="D721" s="317"/>
      <c r="E721" s="318"/>
      <c r="F721" s="319"/>
      <c r="G721" s="320"/>
      <c r="H721" s="321"/>
      <c r="I721" s="322"/>
      <c r="J721" s="323"/>
    </row>
    <row r="722" spans="1:10" ht="15" customHeight="1">
      <c r="A722" s="315" t="str">
        <f>IF(B722="","",IF(B718="",SUM(COUNT($A$5:A718)+1),""))</f>
        <v/>
      </c>
      <c r="B722" s="1224"/>
      <c r="C722" s="316" t="str">
        <f>IF(B722="","",VLOOKUP(B722,'TB for financial'!A:B,2,0))</f>
        <v/>
      </c>
      <c r="D722" s="317"/>
      <c r="E722" s="318"/>
      <c r="F722" s="319"/>
      <c r="G722" s="320"/>
      <c r="H722" s="321"/>
      <c r="I722" s="322"/>
      <c r="J722" s="323"/>
    </row>
    <row r="723" spans="1:10" ht="15" customHeight="1">
      <c r="A723" s="315" t="str">
        <f>IF(B723="","",IF(B722="",SUM(COUNT($A$5:A722)+1),""))</f>
        <v/>
      </c>
      <c r="B723" s="1224"/>
      <c r="C723" s="316" t="str">
        <f>IF(B723="","",VLOOKUP(B723,'TB for financial'!A:B,2,0))</f>
        <v/>
      </c>
      <c r="D723" s="317"/>
      <c r="E723" s="318"/>
      <c r="F723" s="319"/>
      <c r="G723" s="320"/>
      <c r="H723" s="321"/>
      <c r="I723" s="322"/>
      <c r="J723" s="323"/>
    </row>
    <row r="724" spans="1:10" ht="15" customHeight="1">
      <c r="A724" s="315" t="str">
        <f>IF(B724="","",IF(B723="",SUM(COUNT($A$5:A723)+1),""))</f>
        <v/>
      </c>
      <c r="B724" s="1224"/>
      <c r="C724" s="316" t="str">
        <f>IF(B724="","",VLOOKUP(B724,'TB for financial'!A:B,2,0))</f>
        <v/>
      </c>
      <c r="D724" s="317"/>
      <c r="E724" s="318"/>
      <c r="F724" s="319"/>
      <c r="G724" s="320"/>
      <c r="H724" s="321"/>
      <c r="I724" s="322"/>
      <c r="J724" s="323"/>
    </row>
    <row r="725" spans="1:10" ht="15" customHeight="1">
      <c r="A725" s="315" t="str">
        <f>IF(B725="","",IF(B724="",SUM(COUNT($A$5:A724)+1),""))</f>
        <v/>
      </c>
      <c r="B725" s="1224"/>
      <c r="C725" s="316" t="str">
        <f>IF(B725="","",VLOOKUP(B725,'TB for financial'!A:B,2,0))</f>
        <v/>
      </c>
      <c r="D725" s="317"/>
      <c r="E725" s="318"/>
      <c r="F725" s="319"/>
      <c r="G725" s="320"/>
      <c r="H725" s="321"/>
      <c r="I725" s="322"/>
      <c r="J725" s="323"/>
    </row>
    <row r="726" spans="1:10" ht="15" customHeight="1">
      <c r="A726" s="315" t="str">
        <f>IF(B726="","",IF(B725="",SUM(COUNT($A$5:A725)+1),""))</f>
        <v/>
      </c>
      <c r="B726" s="1224"/>
      <c r="C726" s="316" t="str">
        <f>IF(B726="","",VLOOKUP(B726,'TB for financial'!A:B,2,0))</f>
        <v/>
      </c>
      <c r="D726" s="317"/>
      <c r="E726" s="318"/>
      <c r="F726" s="319"/>
      <c r="G726" s="320"/>
      <c r="H726" s="321"/>
      <c r="I726" s="322"/>
      <c r="J726" s="323"/>
    </row>
    <row r="727" spans="1:10" ht="15" customHeight="1">
      <c r="A727" s="315" t="str">
        <f>IF(B727="","",IF(B726="",SUM(COUNT($A$5:A726)+1),""))</f>
        <v/>
      </c>
      <c r="B727" s="1224"/>
      <c r="C727" s="316" t="str">
        <f>IF(B727="","",VLOOKUP(B727,'TB for financial'!A:B,2,0))</f>
        <v/>
      </c>
      <c r="D727" s="317"/>
      <c r="E727" s="318"/>
      <c r="F727" s="319"/>
      <c r="G727" s="320"/>
      <c r="H727" s="321"/>
      <c r="I727" s="322"/>
      <c r="J727" s="323"/>
    </row>
    <row r="728" spans="1:10" ht="15" customHeight="1">
      <c r="A728" s="315" t="str">
        <f>IF(B728="","",IF(B727="",SUM(COUNT($A$5:A727)+1),""))</f>
        <v/>
      </c>
      <c r="B728" s="1224"/>
      <c r="C728" s="316" t="str">
        <f>IF(B728="","",VLOOKUP(B728,'TB for financial'!A:B,2,0))</f>
        <v/>
      </c>
      <c r="D728" s="317"/>
      <c r="E728" s="318"/>
      <c r="F728" s="319"/>
      <c r="G728" s="320"/>
      <c r="H728" s="321"/>
      <c r="I728" s="322"/>
      <c r="J728" s="323"/>
    </row>
    <row r="729" spans="1:10" ht="15" customHeight="1">
      <c r="A729" s="315" t="str">
        <f>IF(B729="","",IF(B728="",SUM(COUNT($A$5:A728)+1),""))</f>
        <v/>
      </c>
      <c r="B729" s="1224"/>
      <c r="C729" s="316" t="str">
        <f>IF(B729="","",VLOOKUP(B729,'TB for financial'!A:B,2,0))</f>
        <v/>
      </c>
      <c r="D729" s="317"/>
      <c r="E729" s="318"/>
      <c r="F729" s="319"/>
      <c r="G729" s="320"/>
      <c r="H729" s="321"/>
      <c r="I729" s="322"/>
      <c r="J729" s="323"/>
    </row>
    <row r="730" spans="1:10" ht="15" customHeight="1">
      <c r="A730" s="315" t="str">
        <f>IF(B730="","",IF(B729="",SUM(COUNT($A$5:A729)+1),""))</f>
        <v/>
      </c>
      <c r="B730" s="327"/>
      <c r="C730" s="316" t="str">
        <f>IF(B730="","",VLOOKUP(B730,'TB for financial'!A:B,2,0))</f>
        <v/>
      </c>
      <c r="D730" s="317"/>
      <c r="E730" s="318"/>
      <c r="F730" s="319"/>
      <c r="G730" s="320"/>
      <c r="H730" s="321"/>
      <c r="I730" s="322"/>
      <c r="J730" s="323"/>
    </row>
    <row r="731" spans="1:10" ht="15" customHeight="1">
      <c r="A731" s="315" t="str">
        <f>IF(B731="","",IF(B730="",SUM(COUNT($A$5:A730)+1),""))</f>
        <v/>
      </c>
      <c r="B731" s="327"/>
      <c r="C731" s="316" t="str">
        <f>IF(B731="","",VLOOKUP(B731,'TB for financial'!A:B,2,0))</f>
        <v/>
      </c>
      <c r="D731" s="317"/>
      <c r="E731" s="318"/>
      <c r="F731" s="319"/>
      <c r="G731" s="320"/>
      <c r="H731" s="321"/>
      <c r="I731" s="322"/>
      <c r="J731" s="323"/>
    </row>
    <row r="732" spans="1:10" ht="15" customHeight="1">
      <c r="A732" s="315" t="str">
        <f>IF(B732="","",IF(B731="",SUM(COUNT($A$5:A731)+1),""))</f>
        <v/>
      </c>
      <c r="B732" s="327"/>
      <c r="C732" s="316" t="str">
        <f>IF(B732="","",VLOOKUP(B732,'TB for financial'!A:B,2,0))</f>
        <v/>
      </c>
      <c r="D732" s="317"/>
      <c r="E732" s="318"/>
      <c r="F732" s="319"/>
      <c r="G732" s="320"/>
      <c r="H732" s="321"/>
      <c r="I732" s="322"/>
      <c r="J732" s="323"/>
    </row>
    <row r="733" spans="1:10" ht="15" customHeight="1">
      <c r="A733" s="315" t="str">
        <f>IF(B733="","",IF(B732="",SUM(COUNT($A$5:A732)+1),""))</f>
        <v/>
      </c>
      <c r="B733" s="327"/>
      <c r="C733" s="316" t="str">
        <f>IF(B733="","",VLOOKUP(B733,'TB for financial'!A:B,2,0))</f>
        <v/>
      </c>
      <c r="D733" s="317"/>
      <c r="E733" s="318"/>
      <c r="F733" s="319"/>
      <c r="G733" s="320"/>
      <c r="H733" s="321"/>
      <c r="I733" s="322"/>
      <c r="J733" s="323"/>
    </row>
    <row r="734" spans="1:10" ht="15" customHeight="1">
      <c r="A734" s="315" t="str">
        <f>IF(B734="","",IF(B733="",SUM(COUNT($A$5:A733)+1),""))</f>
        <v/>
      </c>
      <c r="B734" s="327"/>
      <c r="C734" s="316" t="str">
        <f>IF(B734="","",VLOOKUP(B734,'TB for financial'!A:B,2,0))</f>
        <v/>
      </c>
      <c r="D734" s="317"/>
      <c r="E734" s="318"/>
      <c r="F734" s="319"/>
      <c r="G734" s="320"/>
      <c r="H734" s="321"/>
      <c r="I734" s="322"/>
      <c r="J734" s="323"/>
    </row>
    <row r="735" spans="1:10" ht="15" customHeight="1">
      <c r="A735" s="315" t="str">
        <f>IF(B735="","",IF(B734="",SUM(COUNT($A$5:A734)+1),""))</f>
        <v/>
      </c>
      <c r="B735" s="327"/>
      <c r="C735" s="316" t="str">
        <f>IF(B735="","",VLOOKUP(B735,'TB for financial'!A:B,2,0))</f>
        <v/>
      </c>
      <c r="D735" s="317"/>
      <c r="E735" s="318"/>
      <c r="F735" s="319"/>
      <c r="G735" s="320"/>
      <c r="H735" s="321"/>
      <c r="I735" s="322"/>
      <c r="J735" s="323"/>
    </row>
    <row r="736" spans="1:10" ht="15" customHeight="1">
      <c r="A736" s="315" t="str">
        <f>IF(B736="","",IF(B735="",SUM(COUNT($A$5:A735)+1),""))</f>
        <v/>
      </c>
      <c r="B736" s="327"/>
      <c r="C736" s="316" t="str">
        <f>IF(B736="","",VLOOKUP(B736,'TB for financial'!A:B,2,0))</f>
        <v/>
      </c>
      <c r="D736" s="317"/>
      <c r="E736" s="318"/>
      <c r="F736" s="319"/>
      <c r="G736" s="320"/>
      <c r="H736" s="321"/>
      <c r="I736" s="322"/>
      <c r="J736" s="323"/>
    </row>
    <row r="737" spans="1:10" ht="15" customHeight="1">
      <c r="A737" s="315" t="str">
        <f>IF(B737="","",IF(B736="",SUM(COUNT($A$5:A736)+1),""))</f>
        <v/>
      </c>
      <c r="B737" s="327"/>
      <c r="C737" s="316" t="str">
        <f>IF(B737="","",VLOOKUP(B737,'TB for financial'!A:B,2,0))</f>
        <v/>
      </c>
      <c r="D737" s="317"/>
      <c r="E737" s="318"/>
      <c r="F737" s="319"/>
      <c r="G737" s="320"/>
      <c r="H737" s="321"/>
      <c r="I737" s="322"/>
      <c r="J737" s="323"/>
    </row>
    <row r="738" spans="1:10" ht="15" customHeight="1">
      <c r="A738" s="315" t="str">
        <f>IF(B738="","",IF(B737="",SUM(COUNT($A$5:A737)+1),""))</f>
        <v/>
      </c>
      <c r="B738" s="327"/>
      <c r="C738" s="316" t="str">
        <f>IF(B738="","",VLOOKUP(B738,'TB for financial'!A:B,2,0))</f>
        <v/>
      </c>
      <c r="D738" s="317"/>
      <c r="E738" s="318"/>
      <c r="F738" s="319"/>
      <c r="G738" s="320"/>
      <c r="H738" s="321"/>
      <c r="I738" s="322"/>
      <c r="J738" s="323"/>
    </row>
    <row r="739" spans="1:10" ht="15" customHeight="1">
      <c r="A739" s="315" t="str">
        <f>IF(B739="","",IF(B738="",SUM(COUNT($A$5:A738)+1),""))</f>
        <v/>
      </c>
      <c r="B739" s="327"/>
      <c r="C739" s="316" t="str">
        <f>IF(B739="","",VLOOKUP(B739,'TB for financial'!A:B,2,0))</f>
        <v/>
      </c>
      <c r="D739" s="317"/>
      <c r="E739" s="318"/>
      <c r="F739" s="319"/>
      <c r="G739" s="320"/>
      <c r="H739" s="321"/>
      <c r="I739" s="322"/>
      <c r="J739" s="323"/>
    </row>
    <row r="740" spans="1:10" ht="15" customHeight="1">
      <c r="A740" s="315" t="str">
        <f>IF(B740="","",IF(B739="",SUM(COUNT($A$5:A739)+1),""))</f>
        <v/>
      </c>
      <c r="B740" s="327"/>
      <c r="C740" s="316" t="str">
        <f>IF(B740="","",VLOOKUP(B740,'TB for financial'!A:B,2,0))</f>
        <v/>
      </c>
      <c r="D740" s="317"/>
      <c r="E740" s="318"/>
      <c r="F740" s="319"/>
      <c r="G740" s="320"/>
      <c r="H740" s="321"/>
      <c r="I740" s="322"/>
      <c r="J740" s="323"/>
    </row>
    <row r="741" spans="1:10" ht="15" customHeight="1">
      <c r="A741" s="315" t="str">
        <f>IF(B741="","",IF(B740="",SUM(COUNT($A$5:A740)+1),""))</f>
        <v/>
      </c>
      <c r="B741" s="327"/>
      <c r="C741" s="316" t="str">
        <f>IF(B741="","",VLOOKUP(B741,'TB for financial'!A:B,2,0))</f>
        <v/>
      </c>
      <c r="D741" s="317"/>
      <c r="E741" s="318"/>
      <c r="F741" s="319"/>
      <c r="G741" s="320"/>
      <c r="H741" s="321"/>
      <c r="I741" s="322"/>
      <c r="J741" s="323"/>
    </row>
    <row r="742" spans="1:10" ht="15" customHeight="1">
      <c r="A742" s="315" t="str">
        <f>IF(B742="","",IF(B741="",SUM(COUNT($A$5:A741)+1),""))</f>
        <v/>
      </c>
      <c r="B742" s="327"/>
      <c r="C742" s="316" t="str">
        <f>IF(B742="","",VLOOKUP(B742,'TB for financial'!A:B,2,0))</f>
        <v/>
      </c>
      <c r="D742" s="317"/>
      <c r="E742" s="318"/>
      <c r="F742" s="319"/>
      <c r="G742" s="320"/>
      <c r="H742" s="321"/>
      <c r="I742" s="322"/>
      <c r="J742" s="323"/>
    </row>
    <row r="743" spans="1:10" ht="15" customHeight="1">
      <c r="A743" s="315" t="str">
        <f>IF(B743="","",IF(B742="",SUM(COUNT($A$5:A742)+1),""))</f>
        <v/>
      </c>
      <c r="B743" s="327"/>
      <c r="C743" s="316" t="str">
        <f>IF(B743="","",VLOOKUP(B743,'TB for financial'!A:B,2,0))</f>
        <v/>
      </c>
      <c r="D743" s="317"/>
      <c r="E743" s="318"/>
      <c r="F743" s="319"/>
      <c r="G743" s="320"/>
      <c r="H743" s="321"/>
      <c r="I743" s="322"/>
      <c r="J743" s="323"/>
    </row>
    <row r="744" spans="1:10" ht="15" customHeight="1">
      <c r="A744" s="315" t="str">
        <f>IF(B744="","",IF(B743="",SUM(COUNT($A$5:A743)+1),""))</f>
        <v/>
      </c>
      <c r="B744" s="327"/>
      <c r="C744" s="316" t="str">
        <f>IF(B744="","",VLOOKUP(B744,'TB for financial'!A:B,2,0))</f>
        <v/>
      </c>
      <c r="D744" s="317"/>
      <c r="E744" s="318"/>
      <c r="F744" s="319"/>
      <c r="G744" s="320"/>
      <c r="H744" s="321"/>
      <c r="I744" s="322"/>
      <c r="J744" s="323"/>
    </row>
    <row r="745" spans="1:10" ht="15" customHeight="1">
      <c r="A745" s="315" t="str">
        <f>IF(B745="","",IF(B744="",SUM(COUNT($A$5:A744)+1),""))</f>
        <v/>
      </c>
      <c r="B745" s="327"/>
      <c r="C745" s="316" t="str">
        <f>IF(B745="","",VLOOKUP(B745,'TB for financial'!A:B,2,0))</f>
        <v/>
      </c>
      <c r="D745" s="317"/>
      <c r="E745" s="318"/>
      <c r="F745" s="319"/>
      <c r="G745" s="320"/>
      <c r="H745" s="321"/>
      <c r="I745" s="322"/>
      <c r="J745" s="323"/>
    </row>
    <row r="746" spans="1:10" ht="15" customHeight="1">
      <c r="A746" s="315" t="str">
        <f>IF(B746="","",IF(B745="",SUM(COUNT($A$5:A745)+1),""))</f>
        <v/>
      </c>
      <c r="B746" s="327"/>
      <c r="C746" s="316" t="str">
        <f>IF(B746="","",VLOOKUP(B746,'TB for financial'!A:B,2,0))</f>
        <v/>
      </c>
      <c r="D746" s="317"/>
      <c r="E746" s="318"/>
      <c r="F746" s="319"/>
      <c r="G746" s="320"/>
      <c r="H746" s="321"/>
      <c r="I746" s="322"/>
      <c r="J746" s="323"/>
    </row>
    <row r="747" spans="1:10" ht="15" customHeight="1">
      <c r="A747" s="315" t="str">
        <f>IF(B747="","",IF(B746="",SUM(COUNT($A$5:A746)+1),""))</f>
        <v/>
      </c>
      <c r="B747" s="327"/>
      <c r="C747" s="316" t="str">
        <f>IF(B747="","",VLOOKUP(B747,'TB for financial'!A:B,2,0))</f>
        <v/>
      </c>
      <c r="D747" s="317"/>
      <c r="E747" s="318"/>
      <c r="F747" s="319"/>
      <c r="G747" s="320"/>
      <c r="H747" s="321"/>
      <c r="I747" s="322"/>
      <c r="J747" s="323"/>
    </row>
    <row r="748" spans="1:10" ht="15" customHeight="1">
      <c r="A748" s="315" t="str">
        <f>IF(B748="","",IF(B747="",SUM(COUNT($A$5:A747)+1),""))</f>
        <v/>
      </c>
      <c r="B748" s="327"/>
      <c r="C748" s="316" t="str">
        <f>IF(B748="","",VLOOKUP(B748,'TB for financial'!A:B,2,0))</f>
        <v/>
      </c>
      <c r="D748" s="317"/>
      <c r="E748" s="318"/>
      <c r="F748" s="319"/>
      <c r="G748" s="320"/>
      <c r="H748" s="321"/>
      <c r="I748" s="322"/>
      <c r="J748" s="323"/>
    </row>
    <row r="749" spans="1:10" ht="15" customHeight="1">
      <c r="A749" s="315" t="str">
        <f>IF(B749="","",IF(B748="",SUM(COUNT($A$5:A748)+1),""))</f>
        <v/>
      </c>
      <c r="B749" s="327"/>
      <c r="C749" s="316" t="str">
        <f>IF(B749="","",VLOOKUP(B749,'TB for financial'!A:B,2,0))</f>
        <v/>
      </c>
      <c r="D749" s="317"/>
      <c r="E749" s="318"/>
      <c r="F749" s="319"/>
      <c r="G749" s="320"/>
      <c r="H749" s="321"/>
      <c r="I749" s="322"/>
      <c r="J749" s="323"/>
    </row>
    <row r="750" spans="1:10" ht="15" customHeight="1">
      <c r="A750" s="315" t="str">
        <f>IF(B750="","",IF(B749="",SUM(COUNT($A$5:A749)+1),""))</f>
        <v/>
      </c>
      <c r="B750" s="327"/>
      <c r="C750" s="316" t="str">
        <f>IF(B750="","",VLOOKUP(B750,'TB for financial'!A:B,2,0))</f>
        <v/>
      </c>
      <c r="D750" s="317"/>
      <c r="E750" s="318"/>
      <c r="F750" s="319"/>
      <c r="G750" s="320"/>
      <c r="H750" s="321"/>
      <c r="I750" s="322"/>
      <c r="J750" s="323"/>
    </row>
    <row r="751" spans="1:10" ht="15" customHeight="1">
      <c r="A751" s="315" t="str">
        <f>IF(B751="","",IF(B750="",SUM(COUNT($A$5:A750)+1),""))</f>
        <v/>
      </c>
      <c r="B751" s="327"/>
      <c r="C751" s="316" t="str">
        <f>IF(B751="","",VLOOKUP(B751,'TB for financial'!A:B,2,0))</f>
        <v/>
      </c>
      <c r="D751" s="317"/>
      <c r="E751" s="318"/>
      <c r="F751" s="319"/>
      <c r="G751" s="320"/>
      <c r="H751" s="321"/>
      <c r="I751" s="322"/>
      <c r="J751" s="323"/>
    </row>
    <row r="752" spans="1:10" ht="15" customHeight="1">
      <c r="A752" s="315" t="str">
        <f>IF(B752="","",IF(B751="",SUM(COUNT($A$5:A751)+1),""))</f>
        <v/>
      </c>
      <c r="B752" s="327"/>
      <c r="C752" s="316" t="str">
        <f>IF(B752="","",VLOOKUP(B752,'TB for financial'!A:B,2,0))</f>
        <v/>
      </c>
      <c r="D752" s="317"/>
      <c r="E752" s="318"/>
      <c r="F752" s="319"/>
      <c r="G752" s="320"/>
      <c r="H752" s="321"/>
      <c r="I752" s="322"/>
      <c r="J752" s="323"/>
    </row>
    <row r="753" spans="1:10" ht="15" customHeight="1">
      <c r="A753" s="315" t="str">
        <f>IF(B753="","",IF(B752="",SUM(COUNT($A$5:A752)+1),""))</f>
        <v/>
      </c>
      <c r="B753" s="327"/>
      <c r="C753" s="316" t="str">
        <f>IF(B753="","",VLOOKUP(B753,'TB for financial'!A:B,2,0))</f>
        <v/>
      </c>
      <c r="D753" s="317"/>
      <c r="E753" s="318"/>
      <c r="F753" s="319"/>
      <c r="G753" s="320"/>
      <c r="H753" s="321"/>
      <c r="I753" s="322"/>
      <c r="J753" s="323"/>
    </row>
    <row r="754" spans="1:10" ht="15" customHeight="1">
      <c r="A754" s="315" t="str">
        <f>IF(B754="","",IF(B753="",SUM(COUNT($A$5:A753)+1),""))</f>
        <v/>
      </c>
      <c r="B754" s="327"/>
      <c r="C754" s="316" t="str">
        <f>IF(B754="","",VLOOKUP(B754,'TB for financial'!A:B,2,0))</f>
        <v/>
      </c>
      <c r="D754" s="317"/>
      <c r="E754" s="318"/>
      <c r="F754" s="319"/>
      <c r="G754" s="320"/>
      <c r="H754" s="321"/>
      <c r="I754" s="322"/>
      <c r="J754" s="323"/>
    </row>
    <row r="755" spans="1:10" ht="15" customHeight="1">
      <c r="A755" s="315" t="str">
        <f>IF(B755="","",IF(B754="",SUM(COUNT($A$5:A754)+1),""))</f>
        <v/>
      </c>
      <c r="B755" s="327"/>
      <c r="C755" s="316" t="str">
        <f>IF(B755="","",VLOOKUP(B755,'TB for financial'!A:B,2,0))</f>
        <v/>
      </c>
      <c r="D755" s="317"/>
      <c r="E755" s="318"/>
      <c r="F755" s="319"/>
      <c r="G755" s="320"/>
      <c r="H755" s="321"/>
      <c r="I755" s="322"/>
      <c r="J755" s="323"/>
    </row>
    <row r="756" spans="1:10" ht="15" customHeight="1">
      <c r="A756" s="315" t="str">
        <f>IF(B756="","",IF(B755="",SUM(COUNT($A$5:A755)+1),""))</f>
        <v/>
      </c>
      <c r="B756" s="327"/>
      <c r="C756" s="316" t="str">
        <f>IF(B756="","",VLOOKUP(B756,'TB for financial'!A:B,2,0))</f>
        <v/>
      </c>
      <c r="D756" s="317"/>
      <c r="E756" s="318"/>
      <c r="F756" s="319"/>
      <c r="G756" s="320"/>
      <c r="H756" s="321"/>
      <c r="I756" s="322"/>
      <c r="J756" s="323"/>
    </row>
    <row r="757" spans="1:10" ht="15" customHeight="1">
      <c r="A757" s="315" t="str">
        <f>IF(B757="","",IF(B756="",SUM(COUNT($A$5:A756)+1),""))</f>
        <v/>
      </c>
      <c r="B757" s="327"/>
      <c r="C757" s="316" t="str">
        <f>IF(B757="","",VLOOKUP(B757,'TB for financial'!A:B,2,0))</f>
        <v/>
      </c>
      <c r="D757" s="317"/>
      <c r="E757" s="318"/>
      <c r="F757" s="319"/>
      <c r="G757" s="320"/>
      <c r="H757" s="321"/>
      <c r="I757" s="322"/>
      <c r="J757" s="323"/>
    </row>
    <row r="758" spans="1:10" ht="15" customHeight="1">
      <c r="A758" s="315" t="str">
        <f>IF(B758="","",IF(B757="",SUM(COUNT($A$5:A757)+1),""))</f>
        <v/>
      </c>
      <c r="B758" s="327"/>
      <c r="C758" s="316" t="str">
        <f>IF(B758="","",VLOOKUP(B758,'TB for financial'!A:B,2,0))</f>
        <v/>
      </c>
      <c r="D758" s="317"/>
      <c r="E758" s="318"/>
      <c r="F758" s="319"/>
      <c r="G758" s="320"/>
      <c r="H758" s="321"/>
      <c r="I758" s="322"/>
      <c r="J758" s="323"/>
    </row>
    <row r="759" spans="1:10" ht="15" customHeight="1">
      <c r="A759" s="315" t="str">
        <f>IF(B759="","",IF(B758="",SUM(COUNT($A$5:A758)+1),""))</f>
        <v/>
      </c>
      <c r="B759" s="327"/>
      <c r="C759" s="316" t="str">
        <f>IF(B759="","",VLOOKUP(B759,'TB for financial'!A:B,2,0))</f>
        <v/>
      </c>
      <c r="D759" s="317"/>
      <c r="E759" s="318"/>
      <c r="F759" s="319"/>
      <c r="G759" s="320"/>
      <c r="H759" s="321"/>
      <c r="I759" s="322"/>
      <c r="J759" s="323"/>
    </row>
    <row r="760" spans="1:10" ht="15" customHeight="1">
      <c r="A760" s="315" t="str">
        <f>IF(B760="","",IF(B759="",SUM(COUNT($A$5:A759)+1),""))</f>
        <v/>
      </c>
      <c r="B760" s="327"/>
      <c r="C760" s="316" t="str">
        <f>IF(B760="","",VLOOKUP(B760,'TB for financial'!A:B,2,0))</f>
        <v/>
      </c>
      <c r="D760" s="317"/>
      <c r="E760" s="318"/>
      <c r="F760" s="319"/>
      <c r="G760" s="320"/>
      <c r="H760" s="321"/>
      <c r="I760" s="322"/>
      <c r="J760" s="323"/>
    </row>
    <row r="761" spans="1:10" ht="15" customHeight="1">
      <c r="A761" s="315" t="str">
        <f>IF(B761="","",IF(B760="",SUM(COUNT($A$5:A760)+1),""))</f>
        <v/>
      </c>
      <c r="B761" s="327"/>
      <c r="C761" s="316" t="str">
        <f>IF(B761="","",VLOOKUP(B761,'TB for financial'!A:B,2,0))</f>
        <v/>
      </c>
      <c r="D761" s="317"/>
      <c r="E761" s="318"/>
      <c r="F761" s="319"/>
      <c r="G761" s="320"/>
      <c r="H761" s="321"/>
      <c r="I761" s="322"/>
      <c r="J761" s="323"/>
    </row>
    <row r="762" spans="1:10" ht="15" customHeight="1">
      <c r="A762" s="315" t="str">
        <f>IF(B762="","",IF(B761="",SUM(COUNT($A$5:A761)+1),""))</f>
        <v/>
      </c>
      <c r="B762" s="327"/>
      <c r="C762" s="316" t="str">
        <f>IF(B762="","",VLOOKUP(B762,'TB for financial'!A:B,2,0))</f>
        <v/>
      </c>
      <c r="D762" s="317"/>
      <c r="E762" s="318"/>
      <c r="F762" s="319"/>
      <c r="G762" s="320"/>
      <c r="H762" s="321"/>
      <c r="I762" s="322"/>
      <c r="J762" s="323"/>
    </row>
    <row r="763" spans="1:10" ht="15" customHeight="1">
      <c r="A763" s="315" t="str">
        <f>IF(B763="","",IF(B699="",SUM(COUNT($A$5:A699)+1),""))</f>
        <v/>
      </c>
      <c r="B763" s="327"/>
      <c r="C763" s="316" t="str">
        <f>IF(B763="","",VLOOKUP(B763,'TB for financial'!A:B,2,0))</f>
        <v/>
      </c>
      <c r="D763" s="317"/>
      <c r="E763" s="318"/>
      <c r="F763" s="319"/>
      <c r="G763" s="320"/>
      <c r="H763" s="321"/>
      <c r="I763" s="322"/>
      <c r="J763" s="323"/>
    </row>
    <row r="764" spans="1:10">
      <c r="A764" s="315" t="str">
        <f>IF(B764="","",IF(B763="",SUM(COUNT($A$5:A763)+1),""))</f>
        <v/>
      </c>
      <c r="B764" s="327"/>
      <c r="C764" s="316" t="str">
        <f>IF(B764="","",VLOOKUP(B764,'TB for financial'!A:B,2,0))</f>
        <v/>
      </c>
      <c r="D764" s="317"/>
      <c r="E764" s="318"/>
      <c r="F764" s="325"/>
      <c r="G764" s="320">
        <f>IF(H764="PL - PL",0,IF(D764="",-E764,D764))</f>
        <v>0</v>
      </c>
      <c r="H764" s="321"/>
      <c r="I764" s="322"/>
      <c r="J764" s="323"/>
    </row>
    <row r="765" spans="1:10">
      <c r="A765" s="315" t="str">
        <f>IF(B765="","",IF(B764="",SUM(COUNT($A$5:A764)+1),""))</f>
        <v/>
      </c>
      <c r="B765" s="327"/>
      <c r="C765" s="316" t="str">
        <f>IF(B765="","",VLOOKUP(B765,'TB for financial'!A:B,2,0))</f>
        <v/>
      </c>
      <c r="D765" s="317"/>
      <c r="E765" s="318"/>
      <c r="F765" s="325"/>
      <c r="G765" s="320">
        <f>IF(H765="PL - PL",0,IF(D765="",-E765,D765))</f>
        <v>0</v>
      </c>
      <c r="H765" s="321"/>
      <c r="I765" s="322"/>
      <c r="J765" s="323"/>
    </row>
    <row r="766" spans="1:10">
      <c r="A766" s="315" t="str">
        <f>IF(B766="","",IF(B765="",SUM(COUNT($A$5:A765)+1),""))</f>
        <v/>
      </c>
      <c r="B766" s="327"/>
      <c r="C766" s="316" t="str">
        <f>IF(B766="","",VLOOKUP(B766,'TB for financial'!A:B,2,0))</f>
        <v/>
      </c>
      <c r="D766" s="317"/>
      <c r="E766" s="318"/>
      <c r="F766" s="319"/>
      <c r="G766" s="320"/>
      <c r="H766" s="321"/>
      <c r="I766" s="322"/>
      <c r="J766" s="323"/>
    </row>
    <row r="767" spans="1:10" ht="15" customHeight="1">
      <c r="A767" s="315" t="str">
        <f>IF(B767="","",IF(B766="",SUM(COUNT($A$5:A766)+1),""))</f>
        <v/>
      </c>
      <c r="B767" s="327"/>
      <c r="C767" s="316" t="str">
        <f>IF(B767="","",VLOOKUP(B767,'TB for financial'!A:B,2,0))</f>
        <v/>
      </c>
      <c r="D767" s="317"/>
      <c r="E767" s="318"/>
      <c r="F767" s="319"/>
      <c r="G767" s="320"/>
      <c r="H767" s="321"/>
      <c r="I767" s="322"/>
      <c r="J767" s="323"/>
    </row>
    <row r="768" spans="1:10">
      <c r="A768" s="315" t="str">
        <f>IF(B768="","",IF(B767="",SUM(COUNT($A$5:A767)+1),""))</f>
        <v/>
      </c>
      <c r="B768" s="327"/>
      <c r="C768" s="316" t="str">
        <f>IF(B768="","",VLOOKUP(B768,'TB for financial'!A:B,2,0))</f>
        <v/>
      </c>
      <c r="D768" s="317"/>
      <c r="E768" s="318"/>
      <c r="F768" s="325"/>
      <c r="G768" s="320">
        <f>IF(H768="PL - PL",0,IF(D768="",-E768,D768))</f>
        <v>0</v>
      </c>
      <c r="H768" s="321"/>
      <c r="I768" s="322"/>
      <c r="J768" s="323"/>
    </row>
    <row r="769" spans="1:10" ht="15" customHeight="1">
      <c r="A769" s="315" t="str">
        <f>IF(B769="","",IF(B768="",SUM(COUNT($A$5:A768)+1),""))</f>
        <v/>
      </c>
      <c r="B769" s="327"/>
      <c r="C769" s="316" t="str">
        <f>IF(B769="","",VLOOKUP(B769,'TB for financial'!A:B,2,0))</f>
        <v/>
      </c>
      <c r="D769" s="317"/>
      <c r="E769" s="318"/>
      <c r="F769" s="325"/>
      <c r="G769" s="320">
        <f>IF(H769="PL - PL",0,IF(D769="",-E769,D769))</f>
        <v>0</v>
      </c>
      <c r="H769" s="321"/>
      <c r="I769" s="322"/>
      <c r="J769" s="323"/>
    </row>
    <row r="770" spans="1:10" ht="15" customHeight="1">
      <c r="A770" s="315" t="str">
        <f>IF(B770="","",IF(B769="",SUM(COUNT($A$5:A769)+1),""))</f>
        <v/>
      </c>
      <c r="B770" s="327"/>
      <c r="C770" s="316" t="str">
        <f>IF(B770="","",VLOOKUP(B770,'TB for financial'!A:B,2,0))</f>
        <v/>
      </c>
      <c r="D770" s="317"/>
      <c r="E770" s="318"/>
      <c r="F770" s="325"/>
      <c r="G770" s="320">
        <f>IF(H770="PL - PL",0,IF(D770="",-E770,D770))</f>
        <v>0</v>
      </c>
      <c r="H770" s="321"/>
      <c r="I770" s="322"/>
      <c r="J770" s="323"/>
    </row>
    <row r="771" spans="1:10" ht="15" customHeight="1">
      <c r="A771" s="315" t="str">
        <f>IF(B771="","",IF(B770="",SUM(COUNT($A$5:A770)+1),""))</f>
        <v/>
      </c>
      <c r="B771" s="327"/>
      <c r="C771" s="316" t="str">
        <f>IF(B771="","",VLOOKUP(B771,'TB for financial'!A:B,2,0))</f>
        <v/>
      </c>
      <c r="D771" s="317"/>
      <c r="E771" s="318"/>
      <c r="F771" s="325"/>
      <c r="G771" s="320">
        <f>IF(H771="PL - PL",0,IF(D771="",-E771,D771))</f>
        <v>0</v>
      </c>
      <c r="H771" s="321"/>
      <c r="I771" s="322"/>
      <c r="J771" s="323"/>
    </row>
    <row r="772" spans="1:10" ht="15" customHeight="1">
      <c r="A772" s="315" t="str">
        <f>IF(B772="","",IF(B771="",SUM(COUNT($A$5:A771)+1),""))</f>
        <v/>
      </c>
      <c r="B772" s="327"/>
      <c r="C772" s="316" t="str">
        <f>IF(B772="","",VLOOKUP(B772,'TB for financial'!A:B,2,0))</f>
        <v/>
      </c>
      <c r="D772" s="317"/>
      <c r="E772" s="318"/>
      <c r="F772" s="325"/>
      <c r="G772" s="320">
        <f>IF(H772="PL - PL",0,IF(D772="",-E772,D772))</f>
        <v>0</v>
      </c>
      <c r="H772" s="321"/>
      <c r="I772" s="322"/>
      <c r="J772" s="323"/>
    </row>
    <row r="773" spans="1:10" ht="15" customHeight="1">
      <c r="A773" s="315" t="str">
        <f>IF(B773="","",IF(B772="",SUM(COUNT($A$5:A772)+1),""))</f>
        <v/>
      </c>
      <c r="B773" s="327"/>
      <c r="C773" s="316" t="str">
        <f>IF(B773="","",VLOOKUP(B773,'TB for financial'!A:B,2,0))</f>
        <v/>
      </c>
      <c r="D773" s="317"/>
      <c r="E773" s="318"/>
      <c r="F773" s="319"/>
      <c r="G773" s="320"/>
      <c r="H773" s="321"/>
      <c r="I773" s="322"/>
      <c r="J773" s="323"/>
    </row>
    <row r="774" spans="1:10" ht="15" customHeight="1">
      <c r="A774" s="315" t="str">
        <f>IF(B774="","",IF(B773="",SUM(COUNT($A$5:A773)+1),""))</f>
        <v/>
      </c>
      <c r="B774" s="327"/>
      <c r="C774" s="316" t="str">
        <f>IF(B774="","",VLOOKUP(B774,'TB for financial'!A:B,2,0))</f>
        <v/>
      </c>
      <c r="D774" s="317"/>
      <c r="E774" s="318"/>
      <c r="F774" s="325"/>
      <c r="G774" s="320">
        <f>IF(H774="PL - PL",0,IF(D774="",-E774,D774))</f>
        <v>0</v>
      </c>
      <c r="H774" s="321"/>
      <c r="I774" s="322"/>
      <c r="J774" s="323"/>
    </row>
    <row r="775" spans="1:10" ht="15" customHeight="1">
      <c r="A775" s="315" t="str">
        <f>IF(B775="","",IF(B774="",SUM(COUNT($A$5:A774)+1),""))</f>
        <v/>
      </c>
      <c r="B775" s="327"/>
      <c r="C775" s="316" t="str">
        <f>IF(B775="","",VLOOKUP(B775,'TB for financial'!A:B,2,0))</f>
        <v/>
      </c>
      <c r="D775" s="317"/>
      <c r="E775" s="318"/>
      <c r="F775" s="325"/>
      <c r="G775" s="320">
        <f>IF(H775="PL - PL",0,IF(D775="",-E775,D775))</f>
        <v>0</v>
      </c>
      <c r="H775" s="321"/>
      <c r="I775" s="322"/>
      <c r="J775" s="323"/>
    </row>
    <row r="776" spans="1:10">
      <c r="A776" s="315" t="str">
        <f>IF(B776="","",IF(B775="",SUM(COUNT($A$5:A775)+1),""))</f>
        <v/>
      </c>
      <c r="B776" s="327"/>
      <c r="C776" s="316" t="str">
        <f>IF(B776="","",VLOOKUP(B776,'TB for financial'!A:B,2,0))</f>
        <v/>
      </c>
      <c r="D776" s="317"/>
      <c r="E776" s="318"/>
      <c r="F776" s="319"/>
      <c r="G776" s="320"/>
      <c r="H776" s="321"/>
      <c r="I776" s="322"/>
      <c r="J776" s="323"/>
    </row>
    <row r="777" spans="1:10" ht="15" customHeight="1">
      <c r="A777" s="315" t="str">
        <f>IF(B777="","",IF(B776="",SUM(COUNT($A$5:A776)+1),""))</f>
        <v/>
      </c>
      <c r="B777" s="327"/>
      <c r="C777" s="316" t="str">
        <f>IF(B777="","",VLOOKUP(B777,'TB for financial'!A:B,2,0))</f>
        <v/>
      </c>
      <c r="D777" s="317"/>
      <c r="E777" s="318"/>
      <c r="F777" s="319"/>
      <c r="G777" s="320">
        <f>IF(H777="PL - PL",0,IF(D777="",-E777,D777))</f>
        <v>0</v>
      </c>
      <c r="H777" s="321"/>
      <c r="I777" s="322"/>
      <c r="J777" s="323"/>
    </row>
    <row r="778" spans="1:10" ht="15" customHeight="1">
      <c r="A778" s="315" t="str">
        <f>IF(B778="","",IF(B777="",SUM(COUNT($A$5:A777)+1),""))</f>
        <v/>
      </c>
      <c r="B778" s="327"/>
      <c r="C778" s="316" t="str">
        <f>IF(B778="","",VLOOKUP(B778,'TB for financial'!A:B,2,0))</f>
        <v/>
      </c>
      <c r="D778" s="317"/>
      <c r="E778" s="318"/>
      <c r="F778" s="319"/>
      <c r="G778" s="320">
        <f>IF(H778="PL - PL",0,IF(D778="",-E778,D778))</f>
        <v>0</v>
      </c>
      <c r="H778" s="321"/>
      <c r="I778" s="322"/>
      <c r="J778" s="323"/>
    </row>
    <row r="779" spans="1:10">
      <c r="A779" s="315" t="str">
        <f>IF(B779="","",IF(B778="",SUM(COUNT($A$5:A778)+1),""))</f>
        <v/>
      </c>
      <c r="B779" s="327"/>
      <c r="C779" s="316" t="str">
        <f>IF(B779="","",VLOOKUP(B779,'TB for financial'!A:B,2,0))</f>
        <v/>
      </c>
      <c r="D779" s="317"/>
      <c r="E779" s="318"/>
      <c r="F779" s="319"/>
      <c r="G779" s="320"/>
      <c r="H779" s="321"/>
      <c r="I779" s="322"/>
      <c r="J779" s="323"/>
    </row>
    <row r="780" spans="1:10" ht="15" customHeight="1">
      <c r="A780" s="315" t="str">
        <f>IF(B780="","",IF(B779="",SUM(COUNT($A$5:A779)+1),""))</f>
        <v/>
      </c>
      <c r="C780" s="316" t="str">
        <f>IF(B780="","",VLOOKUP(B780,'TB for financial'!A:B,2,0))</f>
        <v/>
      </c>
      <c r="D780" s="317"/>
      <c r="E780" s="318"/>
      <c r="F780" s="319"/>
      <c r="G780" s="320"/>
      <c r="H780" s="321"/>
      <c r="I780" s="322"/>
      <c r="J780" s="323"/>
    </row>
    <row r="781" spans="1:10">
      <c r="A781" s="315" t="str">
        <f>IF(B781="","",IF(B780="",SUM(COUNT($A$5:A780)+1),""))</f>
        <v/>
      </c>
      <c r="C781" s="316" t="str">
        <f>IF(B781="","",VLOOKUP(B781,'TB for financial'!A:B,2,0))</f>
        <v/>
      </c>
      <c r="D781" s="317"/>
      <c r="E781" s="318"/>
      <c r="F781" s="319"/>
      <c r="G781" s="320">
        <f>IF(H781="PL - PL",0,IF(D781="",-E781,D781))</f>
        <v>0</v>
      </c>
      <c r="H781" s="321"/>
      <c r="I781" s="322"/>
      <c r="J781" s="323"/>
    </row>
    <row r="782" spans="1:10" ht="15" customHeight="1">
      <c r="A782" s="315" t="str">
        <f>IF(B782="","",IF(B781="",SUM(COUNT($A$5:A781)+1),""))</f>
        <v/>
      </c>
      <c r="C782" s="316" t="str">
        <f>IF(B782="","",VLOOKUP(B782,'TB for financial'!A:B,2,0))</f>
        <v/>
      </c>
      <c r="D782" s="317"/>
      <c r="E782" s="318"/>
      <c r="F782" s="319"/>
      <c r="G782" s="320">
        <f>IF(H782="PL - PL",0,IF(D782="",-E782,D782))</f>
        <v>0</v>
      </c>
      <c r="H782" s="321"/>
      <c r="I782" s="322"/>
      <c r="J782" s="323"/>
    </row>
    <row r="783" spans="1:10" ht="15" customHeight="1">
      <c r="A783" s="315"/>
      <c r="C783" s="316" t="str">
        <f>IF(B783="","",VLOOKUP(B783,'TB for financial'!A:B,2,0))</f>
        <v/>
      </c>
      <c r="D783" s="317"/>
      <c r="E783" s="318"/>
      <c r="F783" s="319"/>
      <c r="G783" s="320"/>
      <c r="H783" s="321"/>
      <c r="I783" s="322"/>
      <c r="J783" s="323"/>
    </row>
    <row r="784" spans="1:10" ht="15" customHeight="1">
      <c r="A784" s="315"/>
      <c r="C784" s="316" t="str">
        <f>IF(B784="","",VLOOKUP(B784,'TB for financial'!A:B,2,0))</f>
        <v/>
      </c>
      <c r="D784" s="317"/>
      <c r="E784" s="318"/>
      <c r="F784" s="319"/>
      <c r="G784" s="320"/>
      <c r="H784" s="321"/>
      <c r="I784" s="322"/>
      <c r="J784" s="323"/>
    </row>
    <row r="785" spans="1:10">
      <c r="A785" s="315"/>
      <c r="C785" s="316" t="str">
        <f>IF(B785="","",VLOOKUP(B785,'TB for financial'!A:B,2,0))</f>
        <v/>
      </c>
      <c r="D785" s="317"/>
      <c r="E785" s="318"/>
      <c r="F785" s="319"/>
      <c r="G785" s="320"/>
      <c r="H785" s="321"/>
      <c r="I785" s="322"/>
      <c r="J785" s="323"/>
    </row>
    <row r="786" spans="1:10" ht="15" customHeight="1">
      <c r="A786" s="315"/>
      <c r="C786" s="316" t="str">
        <f>IF(B786="","",VLOOKUP(B786,'TB for financial'!A:B,2,0))</f>
        <v/>
      </c>
      <c r="D786" s="317"/>
      <c r="E786" s="318"/>
      <c r="F786" s="319"/>
      <c r="G786" s="320"/>
      <c r="H786" s="321"/>
      <c r="I786" s="322"/>
      <c r="J786" s="323"/>
    </row>
    <row r="787" spans="1:10" ht="15" customHeight="1">
      <c r="A787" s="315"/>
      <c r="C787" s="316" t="str">
        <f>IF(B787="","",VLOOKUP(B787,'TB for financial'!A:B,2,0))</f>
        <v/>
      </c>
      <c r="D787" s="317"/>
      <c r="E787" s="318"/>
      <c r="F787" s="319"/>
      <c r="G787" s="320"/>
      <c r="H787" s="321"/>
      <c r="I787" s="322"/>
      <c r="J787" s="323"/>
    </row>
    <row r="788" spans="1:10" ht="15" customHeight="1">
      <c r="A788" s="315"/>
      <c r="C788" s="316" t="str">
        <f>IF(B788="","",VLOOKUP(B788,'TB for financial'!A:B,2,0))</f>
        <v/>
      </c>
      <c r="D788" s="317"/>
      <c r="E788" s="318"/>
      <c r="F788" s="319"/>
      <c r="G788" s="320"/>
      <c r="H788" s="321"/>
      <c r="I788" s="322"/>
      <c r="J788" s="323"/>
    </row>
    <row r="789" spans="1:10" ht="15" customHeight="1">
      <c r="A789" s="315"/>
      <c r="C789" s="316" t="str">
        <f>IF(B789="","",VLOOKUP(B789,'TB for financial'!A:B,2,0))</f>
        <v/>
      </c>
      <c r="D789" s="317"/>
      <c r="E789" s="318"/>
      <c r="F789" s="319"/>
      <c r="G789" s="320"/>
      <c r="H789" s="321"/>
      <c r="I789" s="322"/>
      <c r="J789" s="323"/>
    </row>
    <row r="790" spans="1:10">
      <c r="A790" s="315" t="str">
        <f>IF(B790="","",IF(B782="",SUM(COUNT($A$5:A782)+1),""))</f>
        <v/>
      </c>
      <c r="C790" s="316" t="str">
        <f>IF(B790="","",VLOOKUP(B790,'TB for financial'!A:B,2,0))</f>
        <v/>
      </c>
      <c r="D790" s="317"/>
      <c r="E790" s="318"/>
      <c r="F790" s="325"/>
      <c r="G790" s="320"/>
      <c r="H790" s="321"/>
      <c r="I790" s="322"/>
      <c r="J790" s="323"/>
    </row>
    <row r="791" spans="1:10" ht="15" customHeight="1">
      <c r="A791" s="315" t="str">
        <f>IF(B791="","",IF(B790="",SUM(COUNT($A$5:A790)+1),""))</f>
        <v/>
      </c>
      <c r="C791" s="316" t="str">
        <f>IF(B791="","",VLOOKUP(B791,'TB for financial'!A:B,2,0))</f>
        <v/>
      </c>
      <c r="D791" s="317"/>
      <c r="E791" s="318"/>
      <c r="F791" s="325"/>
      <c r="G791" s="320"/>
      <c r="H791" s="321"/>
      <c r="I791" s="322"/>
      <c r="J791" s="323"/>
    </row>
    <row r="792" spans="1:10" ht="15" customHeight="1">
      <c r="A792" s="315" t="str">
        <f>IF(B792="","",IF(B791="",SUM(COUNT($A$5:A791)+1),""))</f>
        <v/>
      </c>
      <c r="C792" s="316" t="str">
        <f>IF(B792="","",VLOOKUP(B792,'TB for financial'!A:B,2,0))</f>
        <v/>
      </c>
      <c r="D792" s="317"/>
      <c r="E792" s="318"/>
      <c r="F792" s="325"/>
      <c r="G792" s="320">
        <f>IF(H792="PL - PL",0,IF(D792="",-E792,D792))</f>
        <v>0</v>
      </c>
      <c r="H792" s="321"/>
      <c r="I792" s="322"/>
      <c r="J792" s="323"/>
    </row>
    <row r="793" spans="1:10">
      <c r="A793" s="315" t="str">
        <f>IF(B793="","",IF(B792="",SUM(COUNT($A$5:A792)+1),""))</f>
        <v/>
      </c>
      <c r="C793" s="316" t="str">
        <f>IF(B793="","",VLOOKUP(B793,'TB for financial'!A:B,2,0))</f>
        <v/>
      </c>
      <c r="D793" s="317"/>
      <c r="E793" s="318"/>
      <c r="F793" s="319"/>
      <c r="G793" s="320">
        <f>IF(H793="PL - PL",0,IF(D793="",-E793,D793))</f>
        <v>0</v>
      </c>
      <c r="H793" s="321"/>
      <c r="I793" s="322"/>
      <c r="J793" s="323"/>
    </row>
    <row r="794" spans="1:10">
      <c r="A794" s="315" t="str">
        <f>IF(B794="","",IF(B793="",SUM(COUNT($A$5:A793)+1),""))</f>
        <v/>
      </c>
      <c r="C794" s="316" t="str">
        <f>IF(B794="","",VLOOKUP(B794,'TB for financial'!A:B,2,0))</f>
        <v/>
      </c>
      <c r="D794" s="317"/>
      <c r="E794" s="318"/>
      <c r="F794" s="319"/>
      <c r="G794" s="320"/>
      <c r="H794" s="321"/>
      <c r="I794" s="322"/>
      <c r="J794" s="323"/>
    </row>
    <row r="795" spans="1:10" ht="15" customHeight="1">
      <c r="A795" s="315" t="str">
        <f>IF(B795="","",IF(B794="",SUM(COUNT($A$5:A794)+1),""))</f>
        <v/>
      </c>
      <c r="C795" s="316" t="str">
        <f>IF(B795="","",VLOOKUP(B795,'TB for financial'!A:B,2,0))</f>
        <v/>
      </c>
      <c r="D795" s="317"/>
      <c r="E795" s="318"/>
      <c r="F795" s="319"/>
      <c r="G795" s="320"/>
      <c r="H795" s="321"/>
      <c r="I795" s="322"/>
      <c r="J795" s="323"/>
    </row>
    <row r="796" spans="1:10" ht="15" customHeight="1">
      <c r="A796" s="315"/>
      <c r="C796" s="316" t="str">
        <f>IF(B796="","",VLOOKUP(B796,'TB for financial'!A:B,2,0))</f>
        <v/>
      </c>
      <c r="D796" s="317"/>
      <c r="E796" s="318"/>
      <c r="F796" s="319"/>
      <c r="G796" s="320">
        <f>IF(H796="PL - PL",0,IF(D796="",-E796,D796))</f>
        <v>0</v>
      </c>
      <c r="H796" s="321"/>
      <c r="I796" s="322"/>
      <c r="J796" s="323"/>
    </row>
    <row r="797" spans="1:10" ht="15" customHeight="1">
      <c r="A797" s="315"/>
      <c r="C797" s="316" t="str">
        <f>IF(B797="","",VLOOKUP(B797,'TB for financial'!A:B,2,0))</f>
        <v/>
      </c>
      <c r="D797" s="317"/>
      <c r="E797" s="318"/>
      <c r="F797" s="319"/>
      <c r="G797" s="320">
        <f>IF(H797="PL - PL",0,IF(D797="",-E797,D797))</f>
        <v>0</v>
      </c>
      <c r="H797" s="321"/>
      <c r="I797" s="322"/>
      <c r="J797" s="323"/>
    </row>
    <row r="798" spans="1:10" ht="15" customHeight="1">
      <c r="A798" s="315"/>
      <c r="C798" s="316" t="str">
        <f>IF(B798="","",VLOOKUP(B798,'TB for financial'!A:B,2,0))</f>
        <v/>
      </c>
      <c r="D798" s="317"/>
      <c r="E798" s="318"/>
      <c r="F798" s="319"/>
      <c r="G798" s="320"/>
      <c r="H798" s="321"/>
      <c r="I798" s="322"/>
      <c r="J798" s="323"/>
    </row>
    <row r="799" spans="1:10" ht="15" customHeight="1">
      <c r="A799" s="315"/>
      <c r="C799" s="316" t="str">
        <f>IF(B799="","",VLOOKUP(B799,'TB for financial'!A:B,2,0))</f>
        <v/>
      </c>
      <c r="D799" s="317"/>
      <c r="E799" s="318"/>
      <c r="F799" s="319"/>
      <c r="G799" s="320"/>
      <c r="H799" s="321"/>
      <c r="I799" s="322"/>
      <c r="J799" s="323"/>
    </row>
    <row r="800" spans="1:10">
      <c r="A800" s="315" t="str">
        <f>IF(B800="","",IF(B795="",SUM(COUNT($A$5:A795)+1),""))</f>
        <v/>
      </c>
      <c r="C800" s="316" t="str">
        <f>IF(B800="","",VLOOKUP(B800,'TB for financial'!A:B,2,0))</f>
        <v/>
      </c>
      <c r="D800" s="317"/>
      <c r="E800" s="318"/>
      <c r="F800" s="319"/>
      <c r="G800" s="320">
        <f>IF(H800="PL - PL",0,IF(D800="",-E800,D800))</f>
        <v>0</v>
      </c>
      <c r="H800" s="321"/>
      <c r="I800" s="322"/>
      <c r="J800" s="323"/>
    </row>
    <row r="801" spans="1:10" ht="15" customHeight="1">
      <c r="A801" s="315" t="str">
        <f>IF(B801="","",IF(B800="",SUM(COUNT($A$5:A800)+1),""))</f>
        <v/>
      </c>
      <c r="C801" s="316" t="str">
        <f>IF(B801="","",VLOOKUP(B801,'TB for financial'!A:B,2,0))</f>
        <v/>
      </c>
      <c r="D801" s="317"/>
      <c r="E801" s="318"/>
      <c r="F801" s="319"/>
      <c r="G801" s="320">
        <f>IF(H801="PL - PL",0,IF(D801="",-E801,D801))</f>
        <v>0</v>
      </c>
      <c r="H801" s="321"/>
      <c r="I801" s="322"/>
      <c r="J801" s="323"/>
    </row>
    <row r="802" spans="1:10">
      <c r="A802" s="315" t="str">
        <f>IF(B802="","",IF(B801="",SUM(COUNT($A$5:A801)+1),""))</f>
        <v/>
      </c>
      <c r="C802" s="316" t="str">
        <f>IF(B802="","",VLOOKUP(B802,'TB for financial'!A:B,2,0))</f>
        <v/>
      </c>
      <c r="D802" s="317"/>
      <c r="E802" s="317"/>
      <c r="F802" s="319"/>
      <c r="G802" s="320"/>
      <c r="H802" s="321"/>
      <c r="I802" s="322"/>
      <c r="J802" s="323"/>
    </row>
    <row r="803" spans="1:10">
      <c r="A803" s="315"/>
      <c r="C803" s="316" t="str">
        <f>IF(B803="","",VLOOKUP(B803,'TB for financial'!A:B,2,0))</f>
        <v/>
      </c>
      <c r="D803" s="317"/>
      <c r="E803" s="318"/>
      <c r="F803" s="319"/>
      <c r="G803" s="320">
        <f>IF(H803="PL - PL",0,IF(D803="",-E803,D803))</f>
        <v>0</v>
      </c>
      <c r="H803" s="321"/>
      <c r="I803" s="322"/>
      <c r="J803" s="323"/>
    </row>
    <row r="804" spans="1:10">
      <c r="A804" s="315"/>
      <c r="C804" s="316" t="str">
        <f>IF(B804="","",VLOOKUP(B804,'TB for financial'!A:B,2,0))</f>
        <v/>
      </c>
      <c r="D804" s="317"/>
      <c r="E804" s="318"/>
      <c r="F804" s="319"/>
      <c r="G804" s="320">
        <f>IF(H804="PL - PL",0,IF(D804="",-E804,D804))</f>
        <v>0</v>
      </c>
      <c r="H804" s="321"/>
      <c r="I804" s="322"/>
      <c r="J804" s="323"/>
    </row>
    <row r="805" spans="1:10" ht="15" customHeight="1">
      <c r="A805" s="315" t="str">
        <f>IF(B805="","",IF(B802="",SUM(COUNT($A$5:A802)+1),""))</f>
        <v/>
      </c>
      <c r="C805" s="316" t="str">
        <f>IF(B805="","",VLOOKUP(B805,'TB for financial'!A:B,2,0))</f>
        <v/>
      </c>
      <c r="D805" s="317"/>
      <c r="E805" s="318"/>
      <c r="F805" s="319"/>
      <c r="G805" s="320"/>
      <c r="H805" s="321"/>
      <c r="I805" s="322"/>
      <c r="J805" s="323"/>
    </row>
    <row r="806" spans="1:10" ht="15" customHeight="1">
      <c r="A806" s="315" t="str">
        <f>IF(B806="","",IF(B805="",SUM(COUNT($A$5:A805)+1),""))</f>
        <v/>
      </c>
      <c r="C806" s="316" t="str">
        <f>IF(B806="","",VLOOKUP(B806,'TB for financial'!A:B,2,0))</f>
        <v/>
      </c>
      <c r="D806" s="318"/>
      <c r="E806" s="317"/>
      <c r="F806" s="319"/>
      <c r="G806" s="320">
        <f>IF(H806="PL - PL",0,IF(D806="",-E806,D806))</f>
        <v>0</v>
      </c>
      <c r="H806" s="321"/>
      <c r="I806" s="322"/>
      <c r="J806" s="323"/>
    </row>
    <row r="807" spans="1:10" ht="15" customHeight="1">
      <c r="A807" s="315" t="str">
        <f>IF(B807="","",IF(B806="",SUM(COUNT($A$5:A806)+1),""))</f>
        <v/>
      </c>
      <c r="C807" s="316" t="str">
        <f>IF(B807="","",VLOOKUP(B807,'TB for financial'!A:B,2,0))</f>
        <v/>
      </c>
      <c r="D807" s="317"/>
      <c r="E807" s="318"/>
      <c r="F807" s="319"/>
      <c r="G807" s="320">
        <f>IF(H807="PL - PL",0,IF(D807="",-E807,D807))</f>
        <v>0</v>
      </c>
      <c r="H807" s="321"/>
      <c r="I807" s="322"/>
      <c r="J807" s="323"/>
    </row>
    <row r="808" spans="1:10">
      <c r="A808" s="315" t="str">
        <f>IF(B808="","",IF(B807="",SUM(COUNT($A$5:A807)+1),""))</f>
        <v/>
      </c>
      <c r="C808" s="316" t="str">
        <f>IF(B808="","",VLOOKUP(B808,'TB for financial'!A:B,2,0))</f>
        <v/>
      </c>
      <c r="D808" s="317"/>
      <c r="E808" s="318"/>
      <c r="F808" s="319"/>
      <c r="G808" s="320"/>
      <c r="H808" s="321"/>
      <c r="I808" s="322"/>
      <c r="J808" s="323"/>
    </row>
    <row r="809" spans="1:10" ht="15" customHeight="1">
      <c r="A809" s="315" t="str">
        <f>IF(B809="","",IF(B808="",SUM(COUNT($A$5:A808)+1),""))</f>
        <v/>
      </c>
      <c r="C809" s="316" t="str">
        <f>IF(B809="","",VLOOKUP(B809,'TB for financial'!A:B,2,0))</f>
        <v/>
      </c>
      <c r="D809" s="317"/>
      <c r="E809" s="318"/>
      <c r="F809" s="319"/>
      <c r="G809" s="320">
        <f>IF(H809="PL - PL",0,IF(D809="",-E809,D809))</f>
        <v>0</v>
      </c>
      <c r="H809" s="321"/>
      <c r="I809" s="322"/>
      <c r="J809" s="323"/>
    </row>
    <row r="810" spans="1:10" ht="15" customHeight="1">
      <c r="A810" s="315" t="str">
        <f>IF(B810="","",IF(B809="",SUM(COUNT($A$5:A809)+1),""))</f>
        <v/>
      </c>
      <c r="C810" s="316" t="str">
        <f>IF(B810="","",VLOOKUP(B810,'TB for financial'!A:B,2,0))</f>
        <v/>
      </c>
      <c r="D810" s="317"/>
      <c r="E810" s="318"/>
      <c r="F810" s="319"/>
      <c r="G810" s="320">
        <f>IF(H810="PL - PL",0,IF(D810="",-E810,D810))</f>
        <v>0</v>
      </c>
      <c r="H810" s="321"/>
      <c r="I810" s="322"/>
      <c r="J810" s="323"/>
    </row>
    <row r="811" spans="1:10" ht="15" customHeight="1">
      <c r="A811" s="315" t="str">
        <f>IF(B811="","",IF(B810="",SUM(COUNT($A$5:A810)+1),""))</f>
        <v/>
      </c>
      <c r="C811" s="316" t="str">
        <f>IF(B811="","",VLOOKUP(B811,'TB for financial'!A:B,2,0))</f>
        <v/>
      </c>
      <c r="D811" s="317"/>
      <c r="E811" s="318"/>
      <c r="F811" s="319"/>
      <c r="G811" s="320"/>
      <c r="H811" s="321"/>
      <c r="I811" s="322"/>
      <c r="J811" s="323"/>
    </row>
    <row r="812" spans="1:10" ht="15" customHeight="1">
      <c r="A812" s="315" t="str">
        <f>IF(B812="","",IF(B811="",SUM(COUNT($A$5:A811)+1),""))</f>
        <v/>
      </c>
      <c r="C812" s="316" t="str">
        <f>IF(B812="","",VLOOKUP(B812,'TB for financial'!A:B,2,0))</f>
        <v/>
      </c>
      <c r="D812" s="318"/>
      <c r="E812" s="318"/>
      <c r="F812" s="319"/>
      <c r="G812" s="320">
        <f t="shared" ref="G812:G818" si="8">IF(H812="PL - PL",0,IF(D812="",-E812,D812))</f>
        <v>0</v>
      </c>
      <c r="H812" s="321"/>
      <c r="I812" s="322"/>
      <c r="J812" s="323"/>
    </row>
    <row r="813" spans="1:10" ht="15" customHeight="1">
      <c r="A813" s="315" t="str">
        <f>IF(B813="","",IF(B812="",SUM(COUNT($A$5:A812)+1),""))</f>
        <v/>
      </c>
      <c r="C813" s="316" t="str">
        <f>IF(B813="","",VLOOKUP(B813,'TB for financial'!A:B,2,0))</f>
        <v/>
      </c>
      <c r="D813" s="317"/>
      <c r="E813" s="318"/>
      <c r="F813" s="319"/>
      <c r="G813" s="320">
        <f t="shared" si="8"/>
        <v>0</v>
      </c>
      <c r="H813" s="321"/>
      <c r="I813" s="322"/>
      <c r="J813" s="323"/>
    </row>
    <row r="814" spans="1:10">
      <c r="A814" s="315" t="str">
        <f>IF(B814="","",IF(B813="",SUM(COUNT($A$5:A813)+1),""))</f>
        <v/>
      </c>
      <c r="C814" s="316" t="str">
        <f>IF(B814="","",VLOOKUP(B814,'TB for financial'!A:B,2,0))</f>
        <v/>
      </c>
      <c r="D814" s="317"/>
      <c r="E814" s="318"/>
      <c r="F814" s="319"/>
      <c r="G814" s="320">
        <f t="shared" si="8"/>
        <v>0</v>
      </c>
      <c r="H814" s="321"/>
      <c r="I814" s="322"/>
      <c r="J814" s="323"/>
    </row>
    <row r="815" spans="1:10" ht="15" customHeight="1">
      <c r="A815" s="315" t="str">
        <f>IF(B815="","",IF(B814="",SUM(COUNT($A$5:A814)+1),""))</f>
        <v/>
      </c>
      <c r="C815" s="316" t="str">
        <f>IF(B815="","",VLOOKUP(B815,'TB for financial'!A:B,2,0))</f>
        <v/>
      </c>
      <c r="D815" s="317"/>
      <c r="E815" s="318"/>
      <c r="F815" s="319"/>
      <c r="G815" s="320">
        <f t="shared" si="8"/>
        <v>0</v>
      </c>
      <c r="H815" s="321"/>
      <c r="I815" s="322"/>
      <c r="J815" s="323"/>
    </row>
    <row r="816" spans="1:10" ht="15" customHeight="1">
      <c r="A816" s="315" t="str">
        <f>IF(B816="","",IF(B815="",SUM(COUNT($A$5:A815)+1),""))</f>
        <v/>
      </c>
      <c r="C816" s="316" t="str">
        <f>IF(B816="","",VLOOKUP(B816,'TB for financial'!A:B,2,0))</f>
        <v/>
      </c>
      <c r="D816" s="317"/>
      <c r="E816" s="318"/>
      <c r="F816" s="319"/>
      <c r="G816" s="320"/>
      <c r="H816" s="321"/>
      <c r="I816" s="322"/>
      <c r="J816" s="323"/>
    </row>
    <row r="817" spans="1:10" ht="15" customHeight="1">
      <c r="A817" s="315" t="str">
        <f>IF(B817="","",IF(B816="",SUM(COUNT($A$5:A816)+1),""))</f>
        <v/>
      </c>
      <c r="C817" s="316" t="str">
        <f>IF(B817="","",VLOOKUP(B817,'TB for financial'!A:B,2,0))</f>
        <v/>
      </c>
      <c r="D817" s="318"/>
      <c r="E817" s="318"/>
      <c r="F817" s="319"/>
      <c r="G817" s="320">
        <f t="shared" si="8"/>
        <v>0</v>
      </c>
      <c r="H817" s="321"/>
      <c r="I817" s="322"/>
      <c r="J817" s="323"/>
    </row>
    <row r="818" spans="1:10" ht="15" customHeight="1">
      <c r="A818" s="315" t="str">
        <f>IF(B818="","",IF(B817="",SUM(COUNT($A$5:A817)+1),""))</f>
        <v/>
      </c>
      <c r="C818" s="316" t="str">
        <f>IF(B818="","",VLOOKUP(B818,'TB for financial'!A:B,2,0))</f>
        <v/>
      </c>
      <c r="D818" s="317"/>
      <c r="E818" s="318"/>
      <c r="F818" s="319"/>
      <c r="G818" s="320">
        <f t="shared" si="8"/>
        <v>0</v>
      </c>
      <c r="H818" s="321"/>
      <c r="I818" s="322"/>
      <c r="J818" s="323"/>
    </row>
    <row r="819" spans="1:10">
      <c r="A819" s="315" t="str">
        <f>IF(B819="","",IF(B818="",SUM(COUNT($A$5:A818)+1),""))</f>
        <v/>
      </c>
      <c r="C819" s="316" t="str">
        <f>IF(B819="","",VLOOKUP(B819,'TB for financial'!A:B,2,0))</f>
        <v/>
      </c>
      <c r="D819" s="317"/>
      <c r="E819" s="318"/>
      <c r="F819" s="319"/>
      <c r="G819" s="320"/>
      <c r="H819" s="321"/>
      <c r="I819" s="322"/>
      <c r="J819" s="323"/>
    </row>
    <row r="820" spans="1:10" ht="15" customHeight="1">
      <c r="A820" s="315" t="str">
        <f>IF(B820="","",IF(B819="",SUM(COUNT($A$5:A819)+1),""))</f>
        <v/>
      </c>
      <c r="C820" s="316" t="str">
        <f>IF(B820="","",VLOOKUP(B820,'TB for financial'!A:B,2,0))</f>
        <v/>
      </c>
      <c r="D820" s="318"/>
      <c r="E820" s="318"/>
      <c r="F820" s="319"/>
      <c r="G820" s="320"/>
      <c r="H820" s="321"/>
      <c r="I820" s="322"/>
      <c r="J820" s="323"/>
    </row>
    <row r="821" spans="1:10" ht="15" customHeight="1">
      <c r="A821" s="315"/>
      <c r="C821" s="316" t="str">
        <f>IF(B821="","",VLOOKUP(B821,'TB for financial'!A:B,2,0))</f>
        <v/>
      </c>
      <c r="D821" s="318"/>
      <c r="E821" s="318"/>
      <c r="F821" s="319"/>
      <c r="G821" s="320"/>
      <c r="H821" s="321"/>
      <c r="I821" s="322"/>
      <c r="J821" s="323"/>
    </row>
    <row r="822" spans="1:10" ht="15" customHeight="1">
      <c r="A822" s="315" t="str">
        <f>IF(B822="","",IF(B820="",SUM(COUNT($A$5:A820)+1),""))</f>
        <v/>
      </c>
      <c r="C822" s="316" t="str">
        <f>IF(B822="","",VLOOKUP(B822,'TB for financial'!A:B,2,0))</f>
        <v/>
      </c>
      <c r="D822" s="317"/>
      <c r="E822" s="318"/>
      <c r="F822" s="319"/>
      <c r="G822" s="320">
        <f>IF(H822="PL - PL",0,IF(D822="",-E822,D822))</f>
        <v>0</v>
      </c>
      <c r="H822" s="321"/>
      <c r="I822" s="322"/>
      <c r="J822" s="323"/>
    </row>
    <row r="823" spans="1:10" ht="15" customHeight="1">
      <c r="A823" s="315" t="str">
        <f>IF(B823="","",IF(B822="",SUM(COUNT($A$5:A822)+1),""))</f>
        <v/>
      </c>
      <c r="C823" s="316" t="str">
        <f>IF(B823="","",VLOOKUP(B823,'TB for financial'!A:B,2,0))</f>
        <v/>
      </c>
      <c r="D823" s="317"/>
      <c r="E823" s="318"/>
      <c r="F823" s="319"/>
      <c r="G823" s="320">
        <f>IF(H823="PL - PL",0,IF(D823="",-E823,D823))</f>
        <v>0</v>
      </c>
      <c r="H823" s="321"/>
      <c r="I823" s="322"/>
      <c r="J823" s="323"/>
    </row>
    <row r="824" spans="1:10">
      <c r="A824" s="315" t="str">
        <f>IF(B824="","",IF(B823="",SUM(COUNT($A$5:A823)+1),""))</f>
        <v/>
      </c>
      <c r="C824" s="316" t="str">
        <f>IF(B824="","",VLOOKUP(B824,'TB for financial'!A:B,2,0))</f>
        <v/>
      </c>
      <c r="D824" s="317"/>
      <c r="E824" s="318"/>
      <c r="F824" s="319"/>
      <c r="G824" s="320"/>
      <c r="H824" s="321"/>
      <c r="I824" s="322"/>
      <c r="J824" s="323"/>
    </row>
    <row r="825" spans="1:10" ht="15" customHeight="1">
      <c r="A825" s="315" t="str">
        <f>IF(B825="","",IF(B824="",SUM(COUNT($A$5:A824)+1),""))</f>
        <v/>
      </c>
      <c r="C825" s="316" t="str">
        <f>IF(B825="","",VLOOKUP(B825,'TB for financial'!A:B,2,0))</f>
        <v/>
      </c>
      <c r="D825" s="317"/>
      <c r="E825" s="318"/>
      <c r="F825" s="319"/>
      <c r="G825" s="320"/>
      <c r="H825" s="321"/>
      <c r="I825" s="322"/>
      <c r="J825" s="323"/>
    </row>
    <row r="826" spans="1:10" ht="15" customHeight="1">
      <c r="A826" s="315" t="str">
        <f>IF(B826="","",IF(B825="",SUM(COUNT($A$5:A825)+1),""))</f>
        <v/>
      </c>
      <c r="C826" s="316" t="str">
        <f>IF(B826="","",VLOOKUP(B826,'TB for financial'!A:B,2,0))</f>
        <v/>
      </c>
      <c r="D826" s="317"/>
      <c r="E826" s="318"/>
      <c r="F826" s="319"/>
      <c r="G826" s="320"/>
      <c r="H826" s="321"/>
      <c r="I826" s="322"/>
      <c r="J826" s="323"/>
    </row>
    <row r="827" spans="1:10" ht="15" customHeight="1">
      <c r="A827" s="315" t="str">
        <f>IF(B827="","",IF(B826="",SUM(COUNT($A$5:A826)+1),""))</f>
        <v/>
      </c>
      <c r="C827" s="316" t="str">
        <f>IF(B827="","",VLOOKUP(B827,'TB for financial'!A:B,2,0))</f>
        <v/>
      </c>
      <c r="D827" s="317"/>
      <c r="E827" s="318"/>
      <c r="F827" s="319"/>
      <c r="G827" s="320"/>
      <c r="H827" s="321"/>
      <c r="I827" s="322"/>
      <c r="J827" s="323"/>
    </row>
    <row r="828" spans="1:10" ht="15" customHeight="1">
      <c r="A828" s="315" t="str">
        <f>IF(B828="","",IF(B827="",SUM(COUNT($A$5:A827)+1),""))</f>
        <v/>
      </c>
      <c r="C828" s="316" t="str">
        <f>IF(B828="","",VLOOKUP(B828,'TB for financial'!A:B,2,0))</f>
        <v/>
      </c>
      <c r="D828" s="317"/>
      <c r="E828" s="318"/>
      <c r="F828" s="319"/>
      <c r="G828" s="320"/>
      <c r="H828" s="321"/>
      <c r="I828" s="322"/>
      <c r="J828" s="323"/>
    </row>
    <row r="829" spans="1:10" ht="15" customHeight="1">
      <c r="A829" s="315" t="str">
        <f>IF(B829="","",IF(B828="",SUM(COUNT($A$5:A828)+1),""))</f>
        <v/>
      </c>
      <c r="C829" s="316" t="str">
        <f>IF(B829="","",VLOOKUP(B829,'TB for financial'!A:B,2,0))</f>
        <v/>
      </c>
      <c r="D829" s="317"/>
      <c r="E829" s="318"/>
      <c r="F829" s="319"/>
      <c r="G829" s="320"/>
      <c r="H829" s="321"/>
      <c r="I829" s="322"/>
      <c r="J829" s="323"/>
    </row>
    <row r="830" spans="1:10">
      <c r="A830" s="315" t="str">
        <f>IF(B830="","",IF(B829="",SUM(COUNT($A$5:A829)+1),""))</f>
        <v/>
      </c>
      <c r="C830" s="316" t="str">
        <f>IF(B830="","",VLOOKUP(B830,'TB for financial'!A:B,2,0))</f>
        <v/>
      </c>
      <c r="D830" s="317"/>
      <c r="E830" s="318"/>
      <c r="F830" s="319"/>
      <c r="G830" s="320"/>
      <c r="H830" s="321"/>
      <c r="I830" s="322"/>
      <c r="J830" s="323"/>
    </row>
    <row r="831" spans="1:10" ht="15" customHeight="1">
      <c r="A831" s="315" t="str">
        <f>IF(B831="","",IF(B830="",SUM(COUNT($A$5:A830)+1),""))</f>
        <v/>
      </c>
      <c r="C831" s="316" t="str">
        <f>IF(B831="","",VLOOKUP(B831,'TB for financial'!A:B,2,0))</f>
        <v/>
      </c>
      <c r="D831" s="317"/>
      <c r="E831" s="318"/>
      <c r="F831" s="319"/>
      <c r="G831" s="320"/>
      <c r="H831" s="321"/>
      <c r="I831" s="322"/>
      <c r="J831" s="323"/>
    </row>
    <row r="832" spans="1:10">
      <c r="A832" s="315" t="str">
        <f>IF(B832="","",IF(B831="",SUM(COUNT($A$5:A831)+1),""))</f>
        <v/>
      </c>
      <c r="C832" s="316" t="str">
        <f>IF(B832="","",VLOOKUP(B832,'TB for financial'!A:B,2,0))</f>
        <v/>
      </c>
      <c r="D832" s="317"/>
      <c r="E832" s="318"/>
      <c r="F832" s="319"/>
      <c r="G832" s="320"/>
      <c r="H832" s="321"/>
      <c r="I832" s="322"/>
      <c r="J832" s="323"/>
    </row>
    <row r="833" spans="1:10" ht="15" customHeight="1">
      <c r="A833" s="315" t="str">
        <f>IF(B833="","",IF(B832="",SUM(COUNT($A$5:A832)+1),""))</f>
        <v/>
      </c>
      <c r="C833" s="316" t="str">
        <f>IF(B833="","",VLOOKUP(B833,'TB for financial'!A:B,2,0))</f>
        <v/>
      </c>
      <c r="D833" s="317"/>
      <c r="E833" s="318"/>
      <c r="F833" s="319"/>
      <c r="G833" s="320"/>
      <c r="H833" s="321"/>
      <c r="I833" s="322"/>
      <c r="J833" s="323"/>
    </row>
    <row r="834" spans="1:10">
      <c r="A834" s="315" t="str">
        <f>IF(B834="","",IF(B833="",SUM(COUNT($A$5:A833)+1),""))</f>
        <v/>
      </c>
      <c r="C834" s="316" t="str">
        <f>IF(B834="","",VLOOKUP(B834,'TB for financial'!A:B,2,0))</f>
        <v/>
      </c>
      <c r="D834" s="317"/>
      <c r="E834" s="318"/>
      <c r="F834" s="319"/>
      <c r="G834" s="320"/>
      <c r="H834" s="321"/>
      <c r="I834" s="322"/>
      <c r="J834" s="323"/>
    </row>
    <row r="835" spans="1:10" ht="15" customHeight="1">
      <c r="A835" s="315" t="str">
        <f>IF(B835="","",IF(B834="",SUM(COUNT($A$5:A834)+1),""))</f>
        <v/>
      </c>
      <c r="C835" s="316" t="str">
        <f>IF(B835="","",VLOOKUP(B835,'TB for financial'!A:B,2,0))</f>
        <v/>
      </c>
      <c r="D835" s="317"/>
      <c r="E835" s="318"/>
      <c r="F835" s="319"/>
      <c r="G835" s="320"/>
      <c r="H835" s="321"/>
      <c r="I835" s="322"/>
      <c r="J835" s="323"/>
    </row>
    <row r="836" spans="1:10">
      <c r="A836" s="315" t="str">
        <f>IF(B836="","",IF(B835="",SUM(COUNT($A$5:A835)+1),""))</f>
        <v/>
      </c>
      <c r="C836" s="316" t="str">
        <f>IF(B836="","",VLOOKUP(B836,'TB for financial'!A:B,2,0))</f>
        <v/>
      </c>
      <c r="D836" s="317"/>
      <c r="E836" s="318"/>
      <c r="F836" s="319"/>
      <c r="G836" s="320"/>
      <c r="H836" s="321"/>
      <c r="I836" s="679"/>
      <c r="J836" s="323"/>
    </row>
    <row r="837" spans="1:10">
      <c r="A837" s="315" t="str">
        <f>IF(B837="","",IF(B836="",SUM(COUNT($A$5:A836)+1),""))</f>
        <v/>
      </c>
      <c r="C837" s="316" t="str">
        <f>IF(B837="","",VLOOKUP(B837,'TB for financial'!A:B,2,0))</f>
        <v/>
      </c>
      <c r="D837" s="317"/>
      <c r="E837" s="318"/>
      <c r="F837" s="319"/>
      <c r="G837" s="320"/>
      <c r="H837" s="321"/>
      <c r="I837" s="679"/>
      <c r="J837" s="323"/>
    </row>
    <row r="838" spans="1:10">
      <c r="A838" s="315" t="str">
        <f>IF(B838="","",IF(B837="",SUM(COUNT($A$5:A837)+1),""))</f>
        <v/>
      </c>
      <c r="C838" s="316" t="str">
        <f>IF(B838="","",VLOOKUP(B838,'TB for financial'!A:B,2,0))</f>
        <v/>
      </c>
      <c r="D838" s="318"/>
      <c r="E838" s="318"/>
      <c r="F838" s="319"/>
      <c r="G838" s="320"/>
      <c r="H838" s="321"/>
      <c r="I838" s="679"/>
      <c r="J838" s="323"/>
    </row>
    <row r="839" spans="1:10" ht="15" customHeight="1">
      <c r="A839" s="315" t="str">
        <f>IF(B839="","",IF(B838="",SUM(COUNT($A$5:A838)+1),""))</f>
        <v/>
      </c>
      <c r="C839" s="316" t="str">
        <f>IF(B839="","",VLOOKUP(B839,'TB for financial'!A:B,2,0))</f>
        <v/>
      </c>
      <c r="D839" s="318"/>
      <c r="E839" s="318"/>
      <c r="F839" s="319"/>
      <c r="G839" s="320"/>
      <c r="H839" s="321"/>
      <c r="I839" s="322"/>
      <c r="J839" s="323"/>
    </row>
    <row r="840" spans="1:10" ht="15" customHeight="1">
      <c r="A840" s="315" t="str">
        <f>IF(B840="","",IF(B839="",SUM(COUNT($A$5:A839)+1),""))</f>
        <v/>
      </c>
      <c r="C840" s="316" t="str">
        <f>IF(B840="","",VLOOKUP(B840,'TB for financial'!A:B,2,0))</f>
        <v/>
      </c>
      <c r="D840" s="317"/>
      <c r="E840" s="318"/>
      <c r="F840" s="319"/>
      <c r="G840" s="320"/>
      <c r="H840" s="321"/>
      <c r="I840" s="322"/>
      <c r="J840" s="323"/>
    </row>
    <row r="841" spans="1:10" ht="15" customHeight="1">
      <c r="A841" s="315" t="str">
        <f>IF(B841="","",IF(B840="",SUM(COUNT($A$5:A840)+1),""))</f>
        <v/>
      </c>
      <c r="C841" s="316" t="str">
        <f>IF(B841="","",VLOOKUP(B841,'TB for financial'!A:B,2,0))</f>
        <v/>
      </c>
      <c r="D841" s="317"/>
      <c r="E841" s="318"/>
      <c r="F841" s="319"/>
      <c r="G841" s="320"/>
      <c r="H841" s="321"/>
      <c r="I841" s="322"/>
      <c r="J841" s="323"/>
    </row>
    <row r="842" spans="1:10" ht="15" customHeight="1">
      <c r="A842" s="315" t="str">
        <f>IF(B842="","",IF(B841="",SUM(COUNT($A$5:A841)+1),""))</f>
        <v/>
      </c>
      <c r="C842" s="316" t="str">
        <f>IF(B842="","",VLOOKUP(B842,'TB for financial'!A:B,2,0))</f>
        <v/>
      </c>
      <c r="D842" s="317"/>
      <c r="E842" s="318"/>
      <c r="F842" s="319"/>
      <c r="G842" s="320"/>
      <c r="H842" s="321"/>
      <c r="I842" s="322"/>
      <c r="J842" s="323"/>
    </row>
    <row r="843" spans="1:10" ht="15" customHeight="1">
      <c r="A843" s="315"/>
      <c r="C843" s="316" t="str">
        <f>IF(B843="","",VLOOKUP(B843,'TB for financial'!A:B,2,0))</f>
        <v/>
      </c>
      <c r="D843" s="317"/>
      <c r="E843" s="318"/>
      <c r="F843" s="319"/>
      <c r="G843" s="320"/>
      <c r="H843" s="321"/>
      <c r="I843" s="322"/>
      <c r="J843" s="323"/>
    </row>
    <row r="844" spans="1:10">
      <c r="A844" s="315" t="str">
        <f>IF(B844="","",IF(B842="",SUM(COUNT($A$5:A842)+1),""))</f>
        <v/>
      </c>
      <c r="C844" s="316" t="str">
        <f>IF(B844="","",VLOOKUP(B844,'TB for financial'!A:B,2,0))</f>
        <v/>
      </c>
      <c r="D844" s="317"/>
      <c r="E844" s="318"/>
      <c r="F844" s="319"/>
      <c r="G844" s="320"/>
      <c r="H844" s="321"/>
      <c r="I844" s="322"/>
      <c r="J844" s="323"/>
    </row>
    <row r="845" spans="1:10">
      <c r="A845" s="315" t="str">
        <f>IF(B845="","",IF(B844="",SUM(COUNT($A$5:A844)+1),""))</f>
        <v/>
      </c>
      <c r="C845" s="316" t="str">
        <f>IF(B845="","",VLOOKUP(B845,'TB for financial'!A:B,2,0))</f>
        <v/>
      </c>
      <c r="D845" s="317"/>
      <c r="E845" s="318"/>
      <c r="F845" s="319"/>
      <c r="G845" s="320"/>
      <c r="H845" s="321"/>
      <c r="I845" s="322"/>
      <c r="J845" s="323"/>
    </row>
    <row r="846" spans="1:10" ht="15" customHeight="1">
      <c r="A846" s="315" t="str">
        <f>IF(B846="","",IF(B845="",SUM(COUNT($A$5:A845)+1),""))</f>
        <v/>
      </c>
      <c r="C846" s="316" t="str">
        <f>IF(B846="","",VLOOKUP(B846,'TB for financial'!A:B,2,0))</f>
        <v/>
      </c>
      <c r="D846" s="317"/>
      <c r="E846" s="318"/>
      <c r="F846" s="319"/>
      <c r="G846" s="320"/>
      <c r="H846" s="321"/>
      <c r="I846" s="679"/>
      <c r="J846" s="323"/>
    </row>
    <row r="847" spans="1:10" ht="15" customHeight="1">
      <c r="A847" s="315" t="str">
        <f>IF(B847="","",IF(B846="",SUM(COUNT($A$5:A846)+1),""))</f>
        <v/>
      </c>
      <c r="C847" s="316" t="str">
        <f>IF(B847="","",VLOOKUP(B847,'TB for financial'!A:B,2,0))</f>
        <v/>
      </c>
      <c r="D847" s="317"/>
      <c r="E847" s="318"/>
      <c r="F847" s="319"/>
      <c r="G847" s="320"/>
      <c r="H847" s="321"/>
      <c r="I847" s="679"/>
      <c r="J847" s="323"/>
    </row>
    <row r="848" spans="1:10" ht="15" customHeight="1">
      <c r="A848" s="315" t="str">
        <f>IF(B848="","",IF(B847="",SUM(COUNT($A$5:A847)+1),""))</f>
        <v/>
      </c>
      <c r="C848" s="316" t="str">
        <f>IF(B848="","",VLOOKUP(B848,'TB for financial'!A:B,2,0))</f>
        <v/>
      </c>
      <c r="D848" s="317"/>
      <c r="E848" s="318"/>
      <c r="F848" s="319"/>
      <c r="G848" s="320"/>
      <c r="H848" s="321"/>
      <c r="I848" s="679"/>
      <c r="J848" s="323"/>
    </row>
    <row r="849" spans="1:10" ht="15" customHeight="1">
      <c r="A849" s="315" t="str">
        <f>IF(B849="","",IF(B848="",SUM(COUNT($A$5:A848)+1),""))</f>
        <v/>
      </c>
      <c r="C849" s="316" t="str">
        <f>IF(B849="","",VLOOKUP(B849,'TB for financial'!A:B,2,0))</f>
        <v/>
      </c>
      <c r="D849" s="317"/>
      <c r="E849" s="318"/>
      <c r="F849" s="319"/>
      <c r="G849" s="320"/>
      <c r="H849" s="321"/>
      <c r="I849" s="679"/>
      <c r="J849" s="323"/>
    </row>
    <row r="850" spans="1:10" ht="15" customHeight="1">
      <c r="A850" s="315" t="str">
        <f>IF(B850="","",IF(B849="",SUM(COUNT($A$5:A849)+1),""))</f>
        <v/>
      </c>
      <c r="C850" s="316" t="str">
        <f>IF(B850="","",VLOOKUP(B850,'TB for financial'!A:B,2,0))</f>
        <v/>
      </c>
      <c r="D850" s="317"/>
      <c r="E850" s="318"/>
      <c r="F850" s="325"/>
      <c r="G850" s="320"/>
      <c r="H850" s="321"/>
      <c r="I850" s="679"/>
      <c r="J850" s="323"/>
    </row>
    <row r="851" spans="1:10">
      <c r="A851" s="315" t="str">
        <f>IF(B851="","",IF(B850="",SUM(COUNT($A$5:A850)+1),""))</f>
        <v/>
      </c>
      <c r="C851" s="316" t="str">
        <f>IF(B851="","",VLOOKUP(B851,'TB for financial'!A:B,2,0))</f>
        <v/>
      </c>
      <c r="D851" s="317"/>
      <c r="E851" s="318"/>
      <c r="F851" s="319"/>
      <c r="G851" s="320"/>
      <c r="H851" s="321"/>
      <c r="I851" s="322"/>
      <c r="J851" s="323"/>
    </row>
    <row r="852" spans="1:10">
      <c r="A852" s="315" t="str">
        <f>IF(B852="","",IF(B851="",SUM(COUNT($A$5:A851)+1),""))</f>
        <v/>
      </c>
      <c r="C852" s="316" t="str">
        <f>IF(B852="","",VLOOKUP(B852,'TB for financial'!A:B,2,0))</f>
        <v/>
      </c>
      <c r="D852" s="317"/>
      <c r="E852" s="318"/>
      <c r="F852" s="319"/>
      <c r="G852" s="320"/>
      <c r="H852" s="321"/>
      <c r="I852" s="322"/>
      <c r="J852" s="323"/>
    </row>
    <row r="853" spans="1:10" ht="30.75" customHeight="1">
      <c r="A853" s="315" t="str">
        <f>IF(B853="","",IF(B852="",SUM(COUNT($A$5:A852)+1),""))</f>
        <v/>
      </c>
      <c r="C853" s="316" t="str">
        <f>IF(B853="","",VLOOKUP(B853,'TB for financial'!A:B,2,0))</f>
        <v/>
      </c>
      <c r="D853" s="317"/>
      <c r="E853" s="318"/>
      <c r="F853" s="325"/>
      <c r="G853" s="320"/>
      <c r="H853" s="321"/>
      <c r="I853" s="322"/>
      <c r="J853" s="323"/>
    </row>
    <row r="854" spans="1:10" ht="15" customHeight="1">
      <c r="A854" s="315" t="str">
        <f>IF(B854="","",IF(B853="",SUM(COUNT($A$5:A853)+1),""))</f>
        <v/>
      </c>
      <c r="C854" s="316" t="str">
        <f>IF(B854="","",VLOOKUP(B854,'TB for financial'!A:B,2,0))</f>
        <v/>
      </c>
      <c r="D854" s="317"/>
      <c r="E854" s="318"/>
      <c r="F854" s="319"/>
      <c r="G854" s="320"/>
      <c r="H854" s="321"/>
      <c r="I854" s="322"/>
      <c r="J854" s="323"/>
    </row>
    <row r="855" spans="1:10">
      <c r="A855" s="315" t="str">
        <f>IF(B855="","",IF(B854="",SUM(COUNT($A$5:A854)+1),""))</f>
        <v/>
      </c>
      <c r="C855" s="316" t="str">
        <f>IF(B855="","",VLOOKUP(B855,'TB for financial'!A:B,2,0))</f>
        <v/>
      </c>
      <c r="D855" s="317"/>
      <c r="E855" s="318"/>
      <c r="F855" s="319"/>
      <c r="G855" s="320"/>
      <c r="H855" s="321"/>
      <c r="I855" s="322"/>
      <c r="J855" s="323"/>
    </row>
    <row r="856" spans="1:10" ht="15" customHeight="1">
      <c r="A856" s="315" t="str">
        <f>IF(B856="","",IF(B855="",SUM(COUNT($A$5:A855)+1),""))</f>
        <v/>
      </c>
      <c r="C856" s="316" t="str">
        <f>IF(B856="","",VLOOKUP(B856,'TB for financial'!A:B,2,0))</f>
        <v/>
      </c>
      <c r="D856" s="317"/>
      <c r="E856" s="318"/>
      <c r="F856" s="319"/>
      <c r="G856" s="320"/>
      <c r="H856" s="321"/>
      <c r="I856" s="322"/>
      <c r="J856" s="323"/>
    </row>
    <row r="857" spans="1:10" ht="30" customHeight="1">
      <c r="A857" s="315" t="str">
        <f>IF(B857="","",IF(B856="",SUM(COUNT($A$5:A856)+1),""))</f>
        <v/>
      </c>
      <c r="C857" s="316" t="str">
        <f>IF(B857="","",VLOOKUP(B857,'TB for financial'!A:B,2,0))</f>
        <v/>
      </c>
      <c r="D857" s="317"/>
      <c r="E857" s="318"/>
      <c r="F857" s="325"/>
      <c r="G857" s="320"/>
      <c r="H857" s="321"/>
      <c r="I857" s="322"/>
      <c r="J857" s="323"/>
    </row>
    <row r="858" spans="1:10">
      <c r="A858" s="315" t="str">
        <f>IF(B858="","",IF(B857="",SUM(COUNT($A$5:A857)+1),""))</f>
        <v/>
      </c>
      <c r="C858" s="316" t="str">
        <f>IF(B858="","",VLOOKUP(B858,'TB for financial'!A:B,2,0))</f>
        <v/>
      </c>
      <c r="D858" s="317"/>
      <c r="E858" s="318"/>
      <c r="F858" s="325"/>
      <c r="G858" s="320"/>
      <c r="H858" s="321"/>
      <c r="I858" s="322"/>
      <c r="J858" s="323"/>
    </row>
    <row r="859" spans="1:10">
      <c r="A859" s="315" t="str">
        <f>IF(B859="","",IF(B858="",SUM(COUNT($A$5:A858)+1),""))</f>
        <v/>
      </c>
      <c r="C859" s="316" t="str">
        <f>IF(B859="","",VLOOKUP(B859,'TB for financial'!A:B,2,0))</f>
        <v/>
      </c>
      <c r="D859" s="317"/>
      <c r="E859" s="318"/>
      <c r="F859" s="325"/>
      <c r="G859" s="320"/>
      <c r="H859" s="321"/>
      <c r="I859" s="322"/>
      <c r="J859" s="323"/>
    </row>
    <row r="860" spans="1:10">
      <c r="A860" s="315" t="str">
        <f>IF(B860="","",IF(B859="",SUM(COUNT($A$5:A859)+1),""))</f>
        <v/>
      </c>
      <c r="C860" s="316" t="str">
        <f>IF(B860="","",VLOOKUP(B860,'TB for financial'!A:B,2,0))</f>
        <v/>
      </c>
      <c r="D860" s="317"/>
      <c r="E860" s="318"/>
      <c r="F860" s="325"/>
      <c r="G860" s="320"/>
      <c r="H860" s="321"/>
      <c r="I860" s="322"/>
      <c r="J860" s="323"/>
    </row>
    <row r="861" spans="1:10">
      <c r="A861" s="315" t="str">
        <f>IF(B861="","",IF(B860="",SUM(COUNT($A$5:A860)+1),""))</f>
        <v/>
      </c>
      <c r="C861" s="316" t="str">
        <f>IF(B861="","",VLOOKUP(B861,'TB for financial'!A:B,2,0))</f>
        <v/>
      </c>
      <c r="D861" s="317"/>
      <c r="E861" s="318"/>
      <c r="F861" s="325"/>
      <c r="G861" s="320"/>
      <c r="H861" s="321"/>
      <c r="I861" s="322"/>
      <c r="J861" s="323"/>
    </row>
    <row r="862" spans="1:10">
      <c r="A862" s="315" t="str">
        <f>IF(B862="","",IF(B861="",SUM(COUNT($A$5:A861)+1),""))</f>
        <v/>
      </c>
      <c r="C862" s="316" t="str">
        <f>IF(B862="","",VLOOKUP(B862,'TB for financial'!A:B,2,0))</f>
        <v/>
      </c>
      <c r="D862" s="317"/>
      <c r="E862" s="318"/>
      <c r="F862" s="325"/>
      <c r="G862" s="320"/>
      <c r="H862" s="321"/>
      <c r="I862" s="322"/>
      <c r="J862" s="323"/>
    </row>
    <row r="863" spans="1:10">
      <c r="A863" s="315" t="str">
        <f>IF(B863="","",IF(B862="",SUM(COUNT($A$5:A862)+1),""))</f>
        <v/>
      </c>
      <c r="C863" s="316" t="str">
        <f>IF(B863="","",VLOOKUP(B863,'TB for financial'!A:B,2,0))</f>
        <v/>
      </c>
      <c r="D863" s="317"/>
      <c r="E863" s="318"/>
      <c r="F863" s="325"/>
      <c r="G863" s="320"/>
      <c r="H863" s="321"/>
      <c r="I863" s="322"/>
      <c r="J863" s="323"/>
    </row>
    <row r="864" spans="1:10">
      <c r="A864" s="315" t="str">
        <f>IF(B864="","",IF(B863="",SUM(COUNT($A$5:A863)+1),""))</f>
        <v/>
      </c>
      <c r="C864" s="316" t="str">
        <f>IF(B864="","",VLOOKUP(B864,'TB for financial'!A:B,2,0))</f>
        <v/>
      </c>
      <c r="D864" s="317"/>
      <c r="E864" s="318"/>
      <c r="F864" s="325"/>
      <c r="G864" s="320"/>
      <c r="H864" s="321"/>
      <c r="I864" s="322"/>
      <c r="J864" s="323"/>
    </row>
    <row r="865" spans="1:10" ht="15" customHeight="1">
      <c r="A865" s="315" t="str">
        <f>IF(B865="","",IF(B864="",SUM(COUNT($A$5:A864)+1),""))</f>
        <v/>
      </c>
      <c r="C865" s="316" t="str">
        <f>IF(B865="","",VLOOKUP(B865,'TB for financial'!A:B,2,0))</f>
        <v/>
      </c>
      <c r="D865" s="317"/>
      <c r="E865" s="318"/>
      <c r="F865" s="319"/>
      <c r="G865" s="320"/>
      <c r="H865" s="321"/>
      <c r="I865" s="322"/>
      <c r="J865" s="323"/>
    </row>
    <row r="866" spans="1:10" ht="15" customHeight="1">
      <c r="A866" s="315" t="str">
        <f>IF(B866="","",IF(B865="",SUM(COUNT($A$5:A865)+1),""))</f>
        <v/>
      </c>
      <c r="C866" s="316" t="str">
        <f>IF(B866="","",VLOOKUP(B866,'TB for financial'!A:B,2,0))</f>
        <v/>
      </c>
      <c r="D866" s="317"/>
      <c r="E866" s="318"/>
      <c r="F866" s="319"/>
      <c r="G866" s="320"/>
      <c r="H866" s="321"/>
      <c r="I866" s="322"/>
      <c r="J866" s="323"/>
    </row>
    <row r="867" spans="1:10">
      <c r="A867" s="315" t="str">
        <f>IF(B867="","",IF(B866="",SUM(COUNT($A$5:A866)+1),""))</f>
        <v/>
      </c>
      <c r="C867" s="316" t="str">
        <f>IF(B867="","",VLOOKUP(B867,'TB for financial'!A:B,2,0))</f>
        <v/>
      </c>
      <c r="D867" s="317"/>
      <c r="E867" s="318"/>
      <c r="F867" s="319"/>
      <c r="G867" s="320"/>
      <c r="H867" s="321"/>
      <c r="I867" s="322"/>
      <c r="J867" s="323"/>
    </row>
    <row r="868" spans="1:10" ht="15" customHeight="1">
      <c r="A868" s="315" t="str">
        <f>IF(B868="","",IF(B867="",SUM(COUNT($A$5:A867)+1),""))</f>
        <v/>
      </c>
      <c r="C868" s="316" t="str">
        <f>IF(B868="","",VLOOKUP(B868,'TB for financial'!A:B,2,0))</f>
        <v/>
      </c>
      <c r="D868" s="317"/>
      <c r="E868" s="318"/>
      <c r="F868" s="319"/>
      <c r="G868" s="320"/>
      <c r="H868" s="321"/>
      <c r="I868" s="322"/>
      <c r="J868" s="323"/>
    </row>
    <row r="869" spans="1:10" ht="15" customHeight="1">
      <c r="A869" s="315"/>
      <c r="C869" s="316" t="str">
        <f>IF(B869="","",VLOOKUP(B869,'TB for financial'!A:B,2,0))</f>
        <v/>
      </c>
      <c r="D869" s="317"/>
      <c r="E869" s="318"/>
      <c r="F869" s="319"/>
      <c r="G869" s="320"/>
      <c r="H869" s="321"/>
      <c r="I869" s="322"/>
      <c r="J869" s="323"/>
    </row>
    <row r="870" spans="1:10" ht="15" customHeight="1">
      <c r="A870" s="315"/>
      <c r="C870" s="316" t="str">
        <f>IF(B870="","",VLOOKUP(B870,'TB for financial'!A:B,2,0))</f>
        <v/>
      </c>
      <c r="D870" s="317"/>
      <c r="E870" s="318"/>
      <c r="F870" s="319"/>
      <c r="G870" s="320"/>
      <c r="H870" s="321"/>
      <c r="I870" s="322"/>
      <c r="J870" s="323"/>
    </row>
    <row r="871" spans="1:10" ht="31.5" customHeight="1">
      <c r="A871" s="315"/>
      <c r="C871" s="316" t="str">
        <f>IF(B871="","",VLOOKUP(B871,'TB for financial'!A:B,2,0))</f>
        <v/>
      </c>
      <c r="D871" s="317"/>
      <c r="E871" s="318"/>
      <c r="F871" s="319"/>
      <c r="G871" s="320"/>
      <c r="H871" s="321"/>
      <c r="I871" s="322"/>
      <c r="J871" s="323"/>
    </row>
    <row r="872" spans="1:10" ht="15" customHeight="1">
      <c r="A872" s="315"/>
      <c r="C872" s="316" t="str">
        <f>IF(B872="","",VLOOKUP(B872,'TB for financial'!A:B,2,0))</f>
        <v/>
      </c>
      <c r="D872" s="317"/>
      <c r="E872" s="318"/>
      <c r="F872" s="319"/>
      <c r="G872" s="320"/>
      <c r="H872" s="321"/>
      <c r="I872" s="322"/>
      <c r="J872" s="323"/>
    </row>
    <row r="873" spans="1:10" ht="15" customHeight="1">
      <c r="A873" s="315" t="str">
        <f>IF(B873="","",IF(B868="",SUM(COUNT($A$5:A868)+1),""))</f>
        <v/>
      </c>
      <c r="C873" s="316" t="str">
        <f>IF(B873="","",VLOOKUP(B873,'TB for financial'!A:B,2,0))</f>
        <v/>
      </c>
      <c r="D873" s="317"/>
      <c r="E873" s="318"/>
      <c r="F873" s="319"/>
      <c r="G873" s="320"/>
      <c r="H873" s="321"/>
      <c r="I873" s="322"/>
      <c r="J873" s="323"/>
    </row>
    <row r="874" spans="1:10" ht="15" customHeight="1">
      <c r="A874" s="315" t="str">
        <f>IF(B874="","",IF(B873="",SUM(COUNT($A$5:A873)+1),""))</f>
        <v/>
      </c>
      <c r="C874" s="316" t="str">
        <f>IF(B874="","",VLOOKUP(B874,'TB for financial'!A:B,2,0))</f>
        <v/>
      </c>
      <c r="D874" s="317"/>
      <c r="E874" s="318"/>
      <c r="F874" s="319"/>
      <c r="G874" s="320"/>
      <c r="H874" s="321"/>
      <c r="I874" s="322"/>
      <c r="J874" s="323"/>
    </row>
    <row r="875" spans="1:10" ht="15" customHeight="1">
      <c r="A875" s="315" t="str">
        <f>IF(B875="","",IF(B874="",SUM(COUNT($A$5:A874)+1),""))</f>
        <v/>
      </c>
      <c r="C875" s="316" t="str">
        <f>IF(B875="","",VLOOKUP(B875,'TB for financial'!A:B,2,0))</f>
        <v/>
      </c>
      <c r="D875" s="317"/>
      <c r="E875" s="318"/>
      <c r="F875" s="319"/>
      <c r="G875" s="320"/>
      <c r="H875" s="321"/>
      <c r="I875" s="322"/>
      <c r="J875" s="323"/>
    </row>
    <row r="876" spans="1:10" ht="15" customHeight="1">
      <c r="A876" s="315" t="str">
        <f>IF(B876="","",IF(B875="",SUM(COUNT($A$5:A875)+1),""))</f>
        <v/>
      </c>
      <c r="C876" s="316" t="str">
        <f>IF(B876="","",VLOOKUP(B876,'TB for financial'!A:B,2,0))</f>
        <v/>
      </c>
      <c r="D876" s="317"/>
      <c r="E876" s="318"/>
      <c r="F876" s="319"/>
      <c r="G876" s="320"/>
      <c r="H876" s="321"/>
      <c r="I876" s="322"/>
      <c r="J876" s="323"/>
    </row>
    <row r="877" spans="1:10" ht="15" customHeight="1">
      <c r="A877" s="315" t="str">
        <f>IF(B877="","",IF(B876="",SUM(COUNT($A$5:A876)+1),""))</f>
        <v/>
      </c>
      <c r="C877" s="316" t="str">
        <f>IF(B877="","",VLOOKUP(B877,'TB for financial'!A:B,2,0))</f>
        <v/>
      </c>
      <c r="D877" s="317"/>
      <c r="E877" s="318"/>
      <c r="F877" s="319"/>
      <c r="G877" s="320"/>
      <c r="H877" s="321"/>
      <c r="I877" s="322"/>
      <c r="J877" s="323"/>
    </row>
    <row r="878" spans="1:10" ht="15" customHeight="1">
      <c r="A878" s="315" t="str">
        <f>IF(B878="","",IF(B877="",SUM(COUNT($A$5:A877)+1),""))</f>
        <v/>
      </c>
      <c r="C878" s="316" t="str">
        <f>IF(B878="","",VLOOKUP(B878,'TB for financial'!A:B,2,0))</f>
        <v/>
      </c>
      <c r="D878" s="317"/>
      <c r="E878" s="318"/>
      <c r="F878" s="325"/>
      <c r="G878" s="320">
        <f>IF(H878="PL - PL",0,IF(D878="",-E878,D878))</f>
        <v>0</v>
      </c>
      <c r="H878" s="321"/>
      <c r="I878" s="322"/>
      <c r="J878" s="323"/>
    </row>
    <row r="879" spans="1:10" ht="15" customHeight="1">
      <c r="A879" s="315" t="str">
        <f>IF(B879="","",IF(B878="",SUM(COUNT($A$5:A878)+1),""))</f>
        <v/>
      </c>
      <c r="C879" s="316" t="str">
        <f>IF(B879="","",VLOOKUP(B879,'TB for financial'!A:B,2,0))</f>
        <v/>
      </c>
      <c r="D879" s="317"/>
      <c r="E879" s="318"/>
      <c r="F879" s="319"/>
      <c r="G879" s="320"/>
      <c r="H879" s="321"/>
      <c r="I879" s="328"/>
      <c r="J879" s="323"/>
    </row>
    <row r="880" spans="1:10" ht="30.75" customHeight="1">
      <c r="A880" s="315" t="str">
        <f>IF(B880="","",IF(B879="",SUM(COUNT($A$5:A879)+1),""))</f>
        <v/>
      </c>
      <c r="C880" s="316" t="str">
        <f>IF(B880="","",VLOOKUP(B880,'TB for financial'!A:B,2,0))</f>
        <v/>
      </c>
      <c r="D880" s="317"/>
      <c r="E880" s="318"/>
      <c r="F880" s="319"/>
      <c r="G880" s="320"/>
      <c r="H880" s="321"/>
      <c r="I880" s="322"/>
      <c r="J880" s="323"/>
    </row>
    <row r="881" spans="1:10" ht="15" customHeight="1">
      <c r="A881" s="315" t="str">
        <f>IF(B881="","",IF(B880="",SUM(COUNT($A$5:A880)+1),""))</f>
        <v/>
      </c>
      <c r="B881" s="329"/>
      <c r="C881" s="316" t="str">
        <f>IF(B881="","",VLOOKUP(B881,'TB for financial'!A:B,2,0))</f>
        <v/>
      </c>
      <c r="D881" s="317"/>
      <c r="E881" s="318"/>
      <c r="F881" s="319"/>
      <c r="G881" s="320"/>
      <c r="H881" s="321"/>
      <c r="I881" s="322"/>
      <c r="J881" s="323"/>
    </row>
    <row r="882" spans="1:10" ht="15" customHeight="1">
      <c r="A882" s="315" t="str">
        <f>IF(B882="","",IF(B881="",SUM(COUNT($A$5:A881)+1),""))</f>
        <v/>
      </c>
      <c r="C882" s="316" t="str">
        <f>IF(B882="","",VLOOKUP(B882,'TB for financial'!A:B,2,0))</f>
        <v/>
      </c>
      <c r="D882" s="317"/>
      <c r="E882" s="318"/>
      <c r="F882" s="319"/>
      <c r="G882" s="320"/>
      <c r="H882" s="321"/>
      <c r="I882" s="322"/>
      <c r="J882" s="323"/>
    </row>
    <row r="883" spans="1:10" ht="15" customHeight="1">
      <c r="A883" s="315" t="str">
        <f>IF(B883="","",IF(B882="",SUM(COUNT($A$5:A882)+1),""))</f>
        <v/>
      </c>
      <c r="C883" s="316" t="str">
        <f>IF(B883="","",VLOOKUP(B883,'TB for financial'!A:B,2,0))</f>
        <v/>
      </c>
      <c r="D883" s="317"/>
      <c r="E883" s="318"/>
      <c r="F883" s="319"/>
      <c r="G883" s="320"/>
      <c r="H883" s="321"/>
      <c r="I883" s="322"/>
      <c r="J883" s="323"/>
    </row>
    <row r="884" spans="1:10" ht="15" customHeight="1">
      <c r="A884" s="315"/>
      <c r="C884" s="316" t="str">
        <f>IF(B884="","",VLOOKUP(B884,'TB for financial'!A:B,2,0))</f>
        <v/>
      </c>
      <c r="D884" s="317"/>
      <c r="E884" s="318"/>
      <c r="F884" s="319"/>
      <c r="G884" s="320"/>
      <c r="H884" s="321"/>
      <c r="I884" s="322"/>
      <c r="J884" s="323"/>
    </row>
    <row r="885" spans="1:10" ht="15" customHeight="1">
      <c r="A885" s="315"/>
      <c r="C885" s="316" t="str">
        <f>IF(B885="","",VLOOKUP(B885,'TB for financial'!A:B,2,0))</f>
        <v/>
      </c>
      <c r="D885" s="317"/>
      <c r="E885" s="318"/>
      <c r="F885" s="319"/>
      <c r="G885" s="320"/>
      <c r="H885" s="321"/>
      <c r="I885" s="322"/>
      <c r="J885" s="323"/>
    </row>
    <row r="886" spans="1:10" ht="29.25" customHeight="1">
      <c r="A886" s="315" t="str">
        <f>IF(B886="","",IF(B883="",SUM(COUNT($A$5:A883)+1),""))</f>
        <v/>
      </c>
      <c r="C886" s="316" t="str">
        <f>IF(B886="","",VLOOKUP(B886,'TB for financial'!A:B,2,0))</f>
        <v/>
      </c>
      <c r="D886" s="317"/>
      <c r="E886" s="318"/>
      <c r="F886" s="319"/>
      <c r="G886" s="320"/>
      <c r="H886" s="321"/>
      <c r="I886" s="322"/>
      <c r="J886" s="323"/>
    </row>
    <row r="887" spans="1:10">
      <c r="A887" s="315" t="str">
        <f>IF(B887="","",IF(B886="",SUM(COUNT($A$5:A886)+1),""))</f>
        <v/>
      </c>
      <c r="C887" s="316" t="str">
        <f>IF(B887="","",VLOOKUP(B887,'TB for financial'!A:B,2,0))</f>
        <v/>
      </c>
      <c r="D887" s="317"/>
      <c r="E887" s="318"/>
      <c r="F887" s="319"/>
      <c r="G887" s="320"/>
      <c r="H887" s="321"/>
      <c r="I887" s="322"/>
      <c r="J887" s="323"/>
    </row>
    <row r="888" spans="1:10" ht="15" customHeight="1">
      <c r="A888" s="315" t="str">
        <f>IF(B888="","",IF(B887="",SUM(COUNT($A$5:A887)+1),""))</f>
        <v/>
      </c>
      <c r="C888" s="316" t="str">
        <f>IF(B888="","",VLOOKUP(B888,'TB for financial'!A:B,2,0))</f>
        <v/>
      </c>
      <c r="D888" s="317"/>
      <c r="E888" s="318"/>
      <c r="F888" s="319"/>
      <c r="G888" s="320">
        <f>IF(H888="PL - PL",0,IF(D888="",-E888,D888))</f>
        <v>0</v>
      </c>
      <c r="H888" s="321"/>
      <c r="I888" s="322"/>
      <c r="J888" s="323"/>
    </row>
    <row r="889" spans="1:10" ht="15" customHeight="1">
      <c r="A889" s="315" t="str">
        <f>IF(B889="","",IF(B888="",SUM(COUNT($A$5:A888)+1),""))</f>
        <v/>
      </c>
      <c r="C889" s="316" t="str">
        <f>IF(B889="","",VLOOKUP(B889,'TB for financial'!A:B,2,0))</f>
        <v/>
      </c>
      <c r="D889" s="317"/>
      <c r="E889" s="318"/>
      <c r="F889" s="319"/>
      <c r="G889" s="320">
        <f>IF(H889="PL - PL",0,IF(D889="",-E889,D889))</f>
        <v>0</v>
      </c>
      <c r="H889" s="321"/>
      <c r="I889" s="322"/>
      <c r="J889" s="323"/>
    </row>
    <row r="890" spans="1:10" ht="30.75" customHeight="1">
      <c r="A890" s="315" t="str">
        <f>IF(B890="","",IF(B889="",SUM(COUNT($A$5:A889)+1),""))</f>
        <v/>
      </c>
      <c r="C890" s="316" t="str">
        <f>IF(B890="","",VLOOKUP(B890,'TB for financial'!A:B,2,0))</f>
        <v/>
      </c>
      <c r="D890" s="317"/>
      <c r="E890" s="318"/>
      <c r="F890" s="319"/>
      <c r="G890" s="320"/>
      <c r="H890" s="321"/>
      <c r="I890" s="322"/>
      <c r="J890" s="323"/>
    </row>
    <row r="891" spans="1:10">
      <c r="A891" s="315" t="str">
        <f>IF(B891="","",IF(B890="",SUM(COUNT($A$5:A890)+1),""))</f>
        <v/>
      </c>
      <c r="C891" s="316" t="str">
        <f>IF(B891="","",VLOOKUP(B891,'TB for financial'!A:B,2,0))</f>
        <v/>
      </c>
      <c r="D891" s="317"/>
      <c r="E891" s="318"/>
      <c r="F891" s="319"/>
      <c r="G891" s="320"/>
      <c r="H891" s="321"/>
      <c r="I891" s="322"/>
      <c r="J891" s="323"/>
    </row>
    <row r="892" spans="1:10" ht="15" customHeight="1">
      <c r="A892" s="315" t="str">
        <f>IF(B892="","",IF(B891="",SUM(COUNT($A$5:A891)+1),""))</f>
        <v/>
      </c>
      <c r="C892" s="316" t="str">
        <f>IF(B892="","",VLOOKUP(B892,'TB for financial'!A:B,2,0))</f>
        <v/>
      </c>
      <c r="D892" s="317"/>
      <c r="E892" s="318"/>
      <c r="F892" s="319"/>
      <c r="G892" s="320"/>
      <c r="H892" s="321"/>
      <c r="I892" s="322"/>
      <c r="J892" s="323"/>
    </row>
    <row r="893" spans="1:10" ht="15" customHeight="1">
      <c r="A893" s="315" t="str">
        <f>IF(B893="","",IF(B892="",SUM(COUNT($A$5:A892)+1),""))</f>
        <v/>
      </c>
      <c r="C893" s="316" t="str">
        <f>IF(B893="","",VLOOKUP(B893,'TB for financial'!A:B,2,0))</f>
        <v/>
      </c>
      <c r="D893" s="317"/>
      <c r="E893" s="318"/>
      <c r="F893" s="319"/>
      <c r="G893" s="320"/>
      <c r="H893" s="321"/>
      <c r="I893" s="322"/>
      <c r="J893" s="323"/>
    </row>
    <row r="894" spans="1:10" ht="15" customHeight="1">
      <c r="A894" s="315" t="str">
        <f>IF(B894="","",IF(B893="",SUM(COUNT($A$5:A893)+1),""))</f>
        <v/>
      </c>
      <c r="C894" s="316" t="str">
        <f>IF(B894="","",VLOOKUP(B894,'TB for financial'!A:B,2,0))</f>
        <v/>
      </c>
      <c r="D894" s="317"/>
      <c r="E894" s="318"/>
      <c r="F894" s="319"/>
      <c r="G894" s="320"/>
      <c r="H894" s="321"/>
      <c r="I894" s="322"/>
      <c r="J894" s="323"/>
    </row>
    <row r="895" spans="1:10" ht="15" customHeight="1">
      <c r="A895" s="315" t="str">
        <f>IF(B895="","",IF(B894="",SUM(COUNT($A$5:A894)+1),""))</f>
        <v/>
      </c>
      <c r="C895" s="316" t="str">
        <f>IF(B895="","",VLOOKUP(B895,'TB for financial'!A:B,2,0))</f>
        <v/>
      </c>
      <c r="D895" s="317"/>
      <c r="E895" s="318"/>
      <c r="F895" s="319"/>
      <c r="G895" s="320"/>
      <c r="H895" s="321"/>
      <c r="I895" s="330"/>
      <c r="J895" s="323"/>
    </row>
    <row r="896" spans="1:10" ht="15" customHeight="1">
      <c r="A896" s="315" t="str">
        <f>IF(B896="","",IF(B895="",SUM(COUNT($A$5:A895)+1),""))</f>
        <v/>
      </c>
      <c r="C896" s="316" t="str">
        <f>IF(B896="","",VLOOKUP(B896,'TB for financial'!A:B,2,0))</f>
        <v/>
      </c>
      <c r="D896" s="317"/>
      <c r="E896" s="318"/>
      <c r="F896" s="319"/>
      <c r="G896" s="320"/>
      <c r="H896" s="321"/>
      <c r="I896" s="322"/>
      <c r="J896" s="323"/>
    </row>
    <row r="897" spans="1:10" ht="15" customHeight="1">
      <c r="A897" s="315" t="str">
        <f>IF(B897="","",IF(B896="",SUM(COUNT($A$5:A896)+1),""))</f>
        <v/>
      </c>
      <c r="C897" s="316" t="str">
        <f>IF(B897="","",VLOOKUP(B897,'TB for financial'!A:B,2,0))</f>
        <v/>
      </c>
      <c r="D897" s="317"/>
      <c r="E897" s="318"/>
      <c r="F897" s="319"/>
      <c r="G897" s="320"/>
      <c r="H897" s="321"/>
      <c r="I897" s="322"/>
      <c r="J897" s="323"/>
    </row>
    <row r="898" spans="1:10" ht="15" customHeight="1">
      <c r="A898" s="315" t="str">
        <f>IF(B898="","",IF(B897="",SUM(COUNT($A$5:A897)+1),""))</f>
        <v/>
      </c>
      <c r="C898" s="316" t="str">
        <f>IF(B898="","",VLOOKUP(B898,'TB for financial'!A:B,2,0))</f>
        <v/>
      </c>
      <c r="D898" s="317"/>
      <c r="E898" s="318"/>
      <c r="F898" s="319"/>
      <c r="G898" s="320"/>
      <c r="H898" s="321"/>
      <c r="I898" s="322"/>
      <c r="J898" s="323"/>
    </row>
    <row r="899" spans="1:10">
      <c r="A899" s="315" t="str">
        <f>IF(B899="","",IF(B898="",SUM(COUNT($A$5:A898)+1),""))</f>
        <v/>
      </c>
      <c r="C899" s="316" t="str">
        <f>IF(B899="","",VLOOKUP(B899,'TB for financial'!A:B,2,0))</f>
        <v/>
      </c>
      <c r="D899" s="317"/>
      <c r="E899" s="318"/>
      <c r="F899" s="319"/>
      <c r="G899" s="320"/>
      <c r="H899" s="321"/>
      <c r="I899" s="322"/>
      <c r="J899" s="323"/>
    </row>
    <row r="900" spans="1:10" ht="15" customHeight="1">
      <c r="A900" s="315" t="str">
        <f>IF(B900="","",IF(B899="",SUM(COUNT($A$5:A899)+1),""))</f>
        <v/>
      </c>
      <c r="C900" s="316" t="str">
        <f>IF(B900="","",VLOOKUP(B900,'TB for financial'!A:B,2,0))</f>
        <v/>
      </c>
      <c r="D900" s="317"/>
      <c r="E900" s="318"/>
      <c r="F900" s="319"/>
      <c r="G900" s="320"/>
      <c r="H900" s="321"/>
      <c r="I900" s="330"/>
      <c r="J900" s="323"/>
    </row>
    <row r="901" spans="1:10" ht="15" customHeight="1">
      <c r="A901" s="315"/>
      <c r="C901" s="316" t="str">
        <f>IF(B901="","",VLOOKUP(B901,'TB for financial'!A:B,2,0))</f>
        <v/>
      </c>
      <c r="D901" s="317"/>
      <c r="E901" s="318"/>
      <c r="F901" s="319"/>
      <c r="G901" s="320"/>
      <c r="H901" s="321"/>
      <c r="I901" s="322"/>
      <c r="J901" s="323"/>
    </row>
    <row r="902" spans="1:10" ht="28.5" customHeight="1">
      <c r="A902" s="315"/>
      <c r="C902" s="316" t="str">
        <f>IF(B902="","",VLOOKUP(B902,'TB for financial'!A:B,2,0))</f>
        <v/>
      </c>
      <c r="D902" s="317"/>
      <c r="E902" s="318"/>
      <c r="F902" s="319"/>
      <c r="G902" s="320"/>
      <c r="H902" s="321"/>
      <c r="I902" s="322"/>
      <c r="J902" s="323"/>
    </row>
    <row r="903" spans="1:10" ht="30.75" customHeight="1">
      <c r="A903" s="315"/>
      <c r="C903" s="316" t="str">
        <f>IF(B903="","",VLOOKUP(B903,'TB for financial'!A:B,2,0))</f>
        <v/>
      </c>
      <c r="D903" s="317"/>
      <c r="E903" s="318"/>
      <c r="F903" s="319"/>
      <c r="G903" s="320"/>
      <c r="H903" s="321"/>
      <c r="I903" s="322"/>
      <c r="J903" s="323"/>
    </row>
    <row r="904" spans="1:10" ht="15" customHeight="1">
      <c r="A904" s="315"/>
      <c r="C904" s="316" t="str">
        <f>IF(B904="","",VLOOKUP(B904,'TB for financial'!A:B,2,0))</f>
        <v/>
      </c>
      <c r="D904" s="317"/>
      <c r="E904" s="318"/>
      <c r="F904" s="319"/>
      <c r="G904" s="320"/>
      <c r="H904" s="321"/>
      <c r="I904" s="322"/>
      <c r="J904" s="323"/>
    </row>
    <row r="905" spans="1:10" ht="15" customHeight="1">
      <c r="A905" s="315" t="str">
        <f>IF(B905="","",IF(B900="",SUM(COUNT($A$5:A900)+1),""))</f>
        <v/>
      </c>
      <c r="C905" s="316" t="str">
        <f>IF(B905="","",VLOOKUP(B905,'TB for financial'!A:B,2,0))</f>
        <v/>
      </c>
      <c r="D905" s="317"/>
      <c r="E905" s="318"/>
      <c r="F905" s="331"/>
      <c r="G905" s="320"/>
      <c r="H905" s="321"/>
      <c r="I905" s="322"/>
      <c r="J905" s="323"/>
    </row>
    <row r="906" spans="1:10">
      <c r="A906" s="315" t="str">
        <f>IF(B906="","",IF(B905="",SUM(COUNT($A$5:A905)+1),""))</f>
        <v/>
      </c>
      <c r="B906" s="1215"/>
      <c r="C906" s="316" t="str">
        <f>IF(B906="","",VLOOKUP(B906,'TB for financial'!A:B,2,0))</f>
        <v/>
      </c>
      <c r="D906" s="317"/>
      <c r="E906" s="318"/>
      <c r="F906" s="319"/>
      <c r="G906" s="320"/>
      <c r="H906" s="321"/>
      <c r="I906" s="322"/>
      <c r="J906" s="323"/>
    </row>
    <row r="907" spans="1:10" ht="15" customHeight="1">
      <c r="A907" s="315" t="str">
        <f>IF(B907="","",IF(B906="",SUM(COUNT($A$5:A906)+1),""))</f>
        <v/>
      </c>
      <c r="C907" s="316" t="str">
        <f>IF(B907="","",VLOOKUP(B907,'TB for financial'!A:B,2,0))</f>
        <v/>
      </c>
      <c r="D907" s="317"/>
      <c r="E907" s="318"/>
      <c r="F907" s="319"/>
      <c r="G907" s="320"/>
      <c r="H907" s="321"/>
      <c r="I907" s="322"/>
      <c r="J907" s="323"/>
    </row>
    <row r="908" spans="1:10" ht="15" customHeight="1">
      <c r="A908" s="315" t="str">
        <f>IF(B908="","",IF(B907="",SUM(COUNT($A$5:A907)+1),""))</f>
        <v/>
      </c>
      <c r="C908" s="316" t="str">
        <f>IF(B908="","",VLOOKUP(B908,'TB for financial'!A:B,2,0))</f>
        <v/>
      </c>
      <c r="D908" s="317"/>
      <c r="E908" s="318"/>
      <c r="F908" s="319"/>
      <c r="G908" s="320"/>
      <c r="H908" s="321"/>
      <c r="I908" s="322"/>
      <c r="J908" s="323"/>
    </row>
    <row r="909" spans="1:10">
      <c r="A909" s="315" t="str">
        <f>IF(B909="","",IF(B908="",SUM(COUNT($A$5:A908)+1),""))</f>
        <v/>
      </c>
      <c r="C909" s="316" t="str">
        <f>IF(B909="","",VLOOKUP(B909,'TB for financial'!A:B,2,0))</f>
        <v/>
      </c>
      <c r="D909" s="317"/>
      <c r="E909" s="318"/>
      <c r="F909" s="319"/>
      <c r="G909" s="320"/>
      <c r="H909" s="321"/>
      <c r="I909" s="322"/>
      <c r="J909" s="323"/>
    </row>
    <row r="910" spans="1:10" ht="15" customHeight="1">
      <c r="A910" s="315" t="str">
        <f>IF(B910="","",IF(B909="",SUM(COUNT($A$5:A909)+1),""))</f>
        <v/>
      </c>
      <c r="C910" s="316" t="str">
        <f>IF(B910="","",VLOOKUP(B910,'TB for financial'!A:B,2,0))</f>
        <v/>
      </c>
      <c r="D910" s="317"/>
      <c r="E910" s="318"/>
      <c r="F910" s="319"/>
      <c r="G910" s="320"/>
      <c r="H910" s="321"/>
      <c r="I910" s="322"/>
      <c r="J910" s="323"/>
    </row>
    <row r="911" spans="1:10" ht="15" customHeight="1">
      <c r="A911" s="315" t="str">
        <f>IF(B911="","",IF(B910="",SUM(COUNT($A$5:A910)+1),""))</f>
        <v/>
      </c>
      <c r="C911" s="316" t="str">
        <f>IF(B911="","",VLOOKUP(B911,'TB for financial'!A:B,2,0))</f>
        <v/>
      </c>
      <c r="D911" s="317"/>
      <c r="E911" s="318"/>
      <c r="F911" s="319"/>
      <c r="G911" s="320"/>
      <c r="H911" s="321"/>
      <c r="I911" s="322"/>
      <c r="J911" s="323"/>
    </row>
    <row r="912" spans="1:10" ht="15" customHeight="1">
      <c r="A912" s="315" t="str">
        <f>IF(B912="","",IF(B911="",SUM(COUNT($A$5:A911)+1),""))</f>
        <v/>
      </c>
      <c r="C912" s="316" t="str">
        <f>IF(B912="","",VLOOKUP(B912,'TB for financial'!A:B,2,0))</f>
        <v/>
      </c>
      <c r="D912" s="317"/>
      <c r="E912" s="318"/>
      <c r="F912" s="319"/>
      <c r="G912" s="320"/>
      <c r="H912" s="321"/>
      <c r="I912" s="322"/>
      <c r="J912" s="323"/>
    </row>
    <row r="913" spans="1:10">
      <c r="A913" s="315" t="str">
        <f>IF(B913="","",IF(B912="",SUM(COUNT($A$5:A912)+1),""))</f>
        <v/>
      </c>
      <c r="C913" s="316" t="str">
        <f>IF(B913="","",VLOOKUP(B913,'TB for financial'!A:B,2,0))</f>
        <v/>
      </c>
      <c r="D913" s="317"/>
      <c r="E913" s="318"/>
      <c r="F913" s="319"/>
      <c r="G913" s="320"/>
      <c r="H913" s="321"/>
      <c r="I913" s="322"/>
      <c r="J913" s="323"/>
    </row>
    <row r="914" spans="1:10" ht="15" customHeight="1">
      <c r="A914" s="315" t="str">
        <f>IF(B914="","",IF(B913="",SUM(COUNT($A$5:A913)+1),""))</f>
        <v/>
      </c>
      <c r="C914" s="316" t="str">
        <f>IF(B914="","",VLOOKUP(B914,'TB for financial'!A:B,2,0))</f>
        <v/>
      </c>
      <c r="D914" s="317"/>
      <c r="E914" s="318"/>
      <c r="F914" s="319"/>
      <c r="G914" s="320"/>
      <c r="H914" s="321"/>
      <c r="I914" s="322"/>
      <c r="J914" s="323"/>
    </row>
    <row r="915" spans="1:10">
      <c r="A915" s="315" t="str">
        <f>IF(B915="","",IF(B914="",SUM(COUNT($A$5:A914)+1),""))</f>
        <v/>
      </c>
      <c r="C915" s="316" t="str">
        <f>IF(B915="","",VLOOKUP(B915,'TB for financial'!A:B,2,0))</f>
        <v/>
      </c>
      <c r="D915" s="317"/>
      <c r="E915" s="318"/>
      <c r="F915" s="331"/>
      <c r="G915" s="320"/>
      <c r="H915" s="321"/>
      <c r="I915" s="322"/>
      <c r="J915" s="323"/>
    </row>
    <row r="916" spans="1:10" ht="15" customHeight="1">
      <c r="A916" s="315" t="str">
        <f>IF(B916="","",IF(B915="",SUM(COUNT($A$5:A915)+1),""))</f>
        <v/>
      </c>
      <c r="C916" s="316" t="str">
        <f>IF(B916="","",VLOOKUP(B916,'TB for financial'!A:B,2,0))</f>
        <v/>
      </c>
      <c r="D916" s="317"/>
      <c r="E916" s="318"/>
      <c r="F916" s="319"/>
      <c r="G916" s="320"/>
      <c r="H916" s="321"/>
      <c r="I916" s="322"/>
      <c r="J916" s="323"/>
    </row>
    <row r="917" spans="1:10">
      <c r="A917" s="315" t="str">
        <f>IF(B917="","",IF(B916="",SUM(COUNT($A$5:A916)+1),""))</f>
        <v/>
      </c>
      <c r="C917" s="316" t="str">
        <f>IF(B917="","",VLOOKUP(B917,'TB for financial'!A:B,2,0))</f>
        <v/>
      </c>
      <c r="D917" s="317"/>
      <c r="E917" s="318"/>
      <c r="F917" s="319"/>
      <c r="G917" s="320"/>
      <c r="H917" s="321"/>
      <c r="I917" s="322"/>
      <c r="J917" s="323"/>
    </row>
    <row r="918" spans="1:10" ht="15" customHeight="1">
      <c r="A918" s="315" t="str">
        <f>IF(B918="","",IF(B917="",SUM(COUNT($A$5:A917)+1),""))</f>
        <v/>
      </c>
      <c r="C918" s="316" t="str">
        <f>IF(B918="","",VLOOKUP(B918,'TB for financial'!A:B,2,0))</f>
        <v/>
      </c>
      <c r="D918" s="317"/>
      <c r="E918" s="318"/>
      <c r="F918" s="319"/>
      <c r="G918" s="320"/>
      <c r="H918" s="321"/>
      <c r="I918" s="322"/>
      <c r="J918" s="323"/>
    </row>
    <row r="919" spans="1:10">
      <c r="A919" s="315" t="str">
        <f>IF(B919="","",IF(B918="",SUM(COUNT($A$5:A918)+1),""))</f>
        <v/>
      </c>
      <c r="C919" s="316" t="str">
        <f>IF(B919="","",VLOOKUP(B919,'TB for financial'!A:B,2,0))</f>
        <v/>
      </c>
      <c r="D919" s="317"/>
      <c r="E919" s="318"/>
      <c r="F919" s="319"/>
      <c r="G919" s="320"/>
      <c r="H919" s="321"/>
      <c r="I919" s="322"/>
      <c r="J919" s="323"/>
    </row>
    <row r="920" spans="1:10">
      <c r="A920" s="315" t="str">
        <f>IF(B920="","",IF(B919="",SUM(COUNT($A$5:A919)+1),""))</f>
        <v/>
      </c>
      <c r="C920" s="316" t="str">
        <f>IF(B920="","",VLOOKUP(B920,'TB for financial'!A:B,2,0))</f>
        <v/>
      </c>
      <c r="D920" s="317"/>
      <c r="E920" s="318"/>
      <c r="F920" s="319"/>
      <c r="G920" s="320"/>
      <c r="H920" s="321"/>
      <c r="I920" s="322"/>
      <c r="J920" s="323"/>
    </row>
    <row r="921" spans="1:10">
      <c r="A921" s="315" t="str">
        <f>IF(B921="","",IF(B920="",SUM(COUNT($A$5:A920)+1),""))</f>
        <v/>
      </c>
      <c r="C921" s="316" t="str">
        <f>IF(B921="","",VLOOKUP(B921,'TB for financial'!A:B,2,0))</f>
        <v/>
      </c>
      <c r="D921" s="317"/>
      <c r="E921" s="318"/>
      <c r="F921" s="319"/>
      <c r="G921" s="320"/>
      <c r="H921" s="321"/>
      <c r="I921" s="322"/>
      <c r="J921" s="323"/>
    </row>
    <row r="922" spans="1:10">
      <c r="A922" s="315" t="str">
        <f>IF(B922="","",IF(B921="",SUM(COUNT($A$5:A921)+1),""))</f>
        <v/>
      </c>
      <c r="C922" s="316" t="str">
        <f>IF(B922="","",VLOOKUP(B922,'TB for financial'!A:B,2,0))</f>
        <v/>
      </c>
      <c r="D922" s="317"/>
      <c r="E922" s="318"/>
      <c r="F922" s="319"/>
      <c r="G922" s="320"/>
      <c r="H922" s="321"/>
      <c r="I922" s="322"/>
      <c r="J922" s="323"/>
    </row>
    <row r="923" spans="1:10">
      <c r="A923" s="315" t="str">
        <f>IF(B923="","",IF(B922="",SUM(COUNT($A$5:A922)+1),""))</f>
        <v/>
      </c>
      <c r="C923" s="316" t="str">
        <f>IF(B923="","",VLOOKUP(B923,'TB for financial'!A:B,2,0))</f>
        <v/>
      </c>
      <c r="D923" s="317"/>
      <c r="E923" s="318"/>
      <c r="F923" s="319"/>
      <c r="G923" s="320"/>
      <c r="H923" s="321"/>
      <c r="I923" s="322"/>
      <c r="J923" s="323"/>
    </row>
    <row r="924" spans="1:10">
      <c r="A924" s="315" t="str">
        <f>IF(B924="","",IF(B923="",SUM(COUNT($A$5:A923)+1),""))</f>
        <v/>
      </c>
      <c r="C924" s="316" t="str">
        <f>IF(B924="","",VLOOKUP(B924,'TB for financial'!A:B,2,0))</f>
        <v/>
      </c>
      <c r="D924" s="317"/>
      <c r="E924" s="318"/>
      <c r="F924" s="319"/>
      <c r="G924" s="320"/>
      <c r="H924" s="321"/>
      <c r="I924" s="322"/>
      <c r="J924" s="323"/>
    </row>
    <row r="925" spans="1:10">
      <c r="A925" s="315" t="str">
        <f>IF(B925="","",IF(B924="",SUM(COUNT($A$5:A924)+1),""))</f>
        <v/>
      </c>
      <c r="C925" s="316" t="str">
        <f>IF(B925="","",VLOOKUP(B925,'TB for financial'!A:B,2,0))</f>
        <v/>
      </c>
      <c r="D925" s="317"/>
      <c r="E925" s="318"/>
      <c r="F925" s="319"/>
      <c r="G925" s="320"/>
      <c r="H925" s="321"/>
      <c r="I925" s="322"/>
      <c r="J925" s="323"/>
    </row>
    <row r="926" spans="1:10" ht="15" customHeight="1">
      <c r="A926" s="315" t="str">
        <f>IF(B926="","",IF(B925="",SUM(COUNT($A$5:A925)+1),""))</f>
        <v/>
      </c>
      <c r="C926" s="316" t="str">
        <f>IF(B926="","",VLOOKUP(B926,'TB for financial'!A:B,2,0))</f>
        <v/>
      </c>
      <c r="D926" s="317"/>
      <c r="E926" s="318"/>
      <c r="F926" s="331"/>
      <c r="G926" s="320"/>
      <c r="H926" s="321"/>
      <c r="I926" s="322"/>
      <c r="J926" s="323"/>
    </row>
    <row r="927" spans="1:10" ht="15" customHeight="1">
      <c r="A927" s="315" t="str">
        <f>IF(B927="","",IF(B926="",SUM(COUNT($A$5:A926)+1),""))</f>
        <v/>
      </c>
      <c r="C927" s="316" t="str">
        <f>IF(B927="","",VLOOKUP(B927,'TB for financial'!A:B,2,0))</f>
        <v/>
      </c>
      <c r="D927" s="317"/>
      <c r="E927" s="318"/>
      <c r="F927" s="331"/>
      <c r="G927" s="320"/>
      <c r="H927" s="321"/>
      <c r="I927" s="322"/>
      <c r="J927" s="323"/>
    </row>
    <row r="928" spans="1:10" ht="15" customHeight="1">
      <c r="A928" s="315" t="str">
        <f>IF(B928="","",IF(B927="",SUM(COUNT($A$5:A927)+1),""))</f>
        <v/>
      </c>
      <c r="C928" s="316" t="str">
        <f>IF(B928="","",VLOOKUP(B928,'TB for financial'!A:B,2,0))</f>
        <v/>
      </c>
      <c r="D928" s="317"/>
      <c r="E928" s="318"/>
      <c r="F928" s="331"/>
      <c r="G928" s="320"/>
      <c r="H928" s="321"/>
      <c r="I928" s="322"/>
      <c r="J928" s="323"/>
    </row>
    <row r="929" spans="1:10">
      <c r="A929" s="315" t="str">
        <f>IF(B929="","",IF(B928="",SUM(COUNT($A$5:A928)+1),""))</f>
        <v/>
      </c>
      <c r="C929" s="316" t="str">
        <f>IF(B929="","",VLOOKUP(B929,'TB for financial'!A:B,2,0))</f>
        <v/>
      </c>
      <c r="D929" s="317"/>
      <c r="E929" s="318"/>
      <c r="F929" s="331"/>
      <c r="G929" s="320"/>
      <c r="H929" s="321"/>
      <c r="I929" s="322"/>
      <c r="J929" s="323"/>
    </row>
    <row r="930" spans="1:10" ht="15" customHeight="1">
      <c r="A930" s="315" t="str">
        <f>IF(B930="","",IF(B929="",SUM(COUNT($A$5:A929)+1),""))</f>
        <v/>
      </c>
      <c r="C930" s="316" t="str">
        <f>IF(B930="","",VLOOKUP(B930,'TB for financial'!A:B,2,0))</f>
        <v/>
      </c>
      <c r="D930" s="317"/>
      <c r="E930" s="318"/>
      <c r="F930" s="331"/>
      <c r="G930" s="320"/>
      <c r="H930" s="321"/>
      <c r="I930" s="322"/>
      <c r="J930" s="323"/>
    </row>
    <row r="931" spans="1:10" ht="15" customHeight="1">
      <c r="A931" s="315" t="str">
        <f>IF(B931="","",IF(B930="",SUM(COUNT($A$5:A930)+1),""))</f>
        <v/>
      </c>
      <c r="C931" s="316" t="str">
        <f>IF(B931="","",VLOOKUP(B931,'TB for financial'!A:B,2,0))</f>
        <v/>
      </c>
      <c r="D931" s="317"/>
      <c r="E931" s="318"/>
      <c r="F931" s="331"/>
      <c r="G931" s="320"/>
      <c r="H931" s="321"/>
      <c r="I931" s="322"/>
      <c r="J931" s="323"/>
    </row>
    <row r="932" spans="1:10" ht="15" customHeight="1">
      <c r="A932" s="315" t="str">
        <f>IF(B932="","",IF(B931="",SUM(COUNT($A$5:A931)+1),""))</f>
        <v/>
      </c>
      <c r="C932" s="316" t="str">
        <f>IF(B932="","",VLOOKUP(B932,'TB for financial'!A:B,2,0))</f>
        <v/>
      </c>
      <c r="D932" s="317"/>
      <c r="E932" s="318"/>
      <c r="F932" s="331"/>
      <c r="G932" s="320"/>
      <c r="H932" s="321"/>
      <c r="I932" s="322"/>
      <c r="J932" s="323"/>
    </row>
    <row r="933" spans="1:10">
      <c r="A933" s="315" t="str">
        <f>IF(B933="","",IF(B932="",SUM(COUNT($A$5:A932)+1),""))</f>
        <v/>
      </c>
      <c r="C933" s="316" t="str">
        <f>IF(B933="","",VLOOKUP(B933,'TB for financial'!A:B,2,0))</f>
        <v/>
      </c>
      <c r="D933" s="317"/>
      <c r="E933" s="318"/>
      <c r="F933" s="331"/>
      <c r="G933" s="320"/>
      <c r="H933" s="321"/>
      <c r="I933" s="322"/>
      <c r="J933" s="323"/>
    </row>
    <row r="934" spans="1:10" ht="15" customHeight="1">
      <c r="A934" s="315" t="str">
        <f>IF(B934="","",IF(B933="",SUM(COUNT($A$5:A933)+1),""))</f>
        <v/>
      </c>
      <c r="C934" s="316" t="str">
        <f>IF(B934="","",VLOOKUP(B934,'TB for financial'!A:B,2,0))</f>
        <v/>
      </c>
      <c r="D934" s="317"/>
      <c r="E934" s="318"/>
      <c r="F934" s="331"/>
      <c r="G934" s="320"/>
      <c r="H934" s="321"/>
      <c r="I934" s="322"/>
      <c r="J934" s="323"/>
    </row>
    <row r="935" spans="1:10" ht="15" customHeight="1">
      <c r="A935" s="315" t="str">
        <f>IF(B935="","",IF(B934="",SUM(COUNT($A$5:A934)+1),""))</f>
        <v/>
      </c>
      <c r="C935" s="316" t="str">
        <f>IF(B935="","",VLOOKUP(B935,'TB for financial'!A:B,2,0))</f>
        <v/>
      </c>
      <c r="D935" s="317"/>
      <c r="E935" s="318"/>
      <c r="F935" s="319"/>
      <c r="G935" s="320"/>
      <c r="H935" s="321"/>
      <c r="I935" s="332"/>
      <c r="J935" s="323"/>
    </row>
    <row r="936" spans="1:10" ht="15" customHeight="1">
      <c r="A936" s="315" t="str">
        <f>IF(B936="","",IF(B935="",SUM(COUNT($A$5:A935)+1),""))</f>
        <v/>
      </c>
      <c r="C936" s="316" t="str">
        <f>IF(B936="","",VLOOKUP(B936,'TB for financial'!A:B,2,0))</f>
        <v/>
      </c>
      <c r="D936" s="317"/>
      <c r="E936" s="318"/>
      <c r="F936" s="319"/>
      <c r="G936" s="320"/>
      <c r="H936" s="321"/>
      <c r="I936" s="332"/>
      <c r="J936" s="323"/>
    </row>
    <row r="937" spans="1:10" ht="15" customHeight="1">
      <c r="A937" s="315" t="str">
        <f>IF(B937="","",IF(B936="",SUM(COUNT($A$5:A936)+1),""))</f>
        <v/>
      </c>
      <c r="C937" s="316" t="str">
        <f>IF(B937="","",VLOOKUP(B937,'TB for financial'!A:B,2,0))</f>
        <v/>
      </c>
      <c r="D937" s="317"/>
      <c r="E937" s="318"/>
      <c r="F937" s="319"/>
      <c r="G937" s="320"/>
      <c r="H937" s="321"/>
      <c r="I937" s="322"/>
      <c r="J937" s="323"/>
    </row>
    <row r="938" spans="1:10" ht="15" customHeight="1">
      <c r="A938" s="315" t="str">
        <f>IF(B938="","",IF(B937="",SUM(COUNT($A$5:A937)+1),""))</f>
        <v/>
      </c>
      <c r="C938" s="316" t="str">
        <f>IF(B938="","",VLOOKUP(B938,'TB for financial'!A:B,2,0))</f>
        <v/>
      </c>
      <c r="D938" s="317"/>
      <c r="E938" s="318"/>
      <c r="F938" s="331"/>
      <c r="G938" s="320"/>
      <c r="H938" s="321"/>
      <c r="I938" s="322"/>
      <c r="J938" s="323"/>
    </row>
    <row r="939" spans="1:10">
      <c r="A939" s="315"/>
      <c r="C939" s="316" t="str">
        <f>IF(B939="","",VLOOKUP(B939,'TB for financial'!A:B,2,0))</f>
        <v/>
      </c>
      <c r="D939" s="317"/>
      <c r="E939" s="318"/>
      <c r="F939" s="331"/>
      <c r="G939" s="320"/>
      <c r="H939" s="321"/>
      <c r="I939" s="322"/>
      <c r="J939" s="323"/>
    </row>
    <row r="940" spans="1:10" ht="15" customHeight="1">
      <c r="A940" s="315"/>
      <c r="C940" s="316" t="str">
        <f>IF(B940="","",VLOOKUP(B940,'TB for financial'!A:B,2,0))</f>
        <v/>
      </c>
      <c r="D940" s="317"/>
      <c r="E940" s="318"/>
      <c r="F940" s="331"/>
      <c r="G940" s="320"/>
      <c r="H940" s="321"/>
      <c r="I940" s="322"/>
      <c r="J940" s="323"/>
    </row>
    <row r="941" spans="1:10">
      <c r="A941" s="315" t="str">
        <f>IF(B941="","",IF(B938="",SUM(COUNT($A$5:A938)+1),""))</f>
        <v/>
      </c>
      <c r="C941" s="316" t="str">
        <f>IF(B941="","",VLOOKUP(B941,'TB for financial'!A:B,2,0))</f>
        <v/>
      </c>
      <c r="D941" s="317"/>
      <c r="E941" s="318"/>
      <c r="F941" s="319"/>
      <c r="G941" s="320"/>
      <c r="H941" s="321"/>
      <c r="I941" s="322"/>
      <c r="J941" s="323"/>
    </row>
    <row r="942" spans="1:10">
      <c r="A942" s="315" t="str">
        <f>IF(B942="","",IF(B941="",SUM(COUNT($A$5:A941)+1),""))</f>
        <v/>
      </c>
      <c r="C942" s="316" t="str">
        <f>IF(B942="","",VLOOKUP(B942,'TB for financial'!A:B,2,0))</f>
        <v/>
      </c>
      <c r="D942" s="317"/>
      <c r="E942" s="318"/>
      <c r="F942" s="319"/>
      <c r="G942" s="320"/>
      <c r="H942" s="321"/>
      <c r="I942" s="322"/>
      <c r="J942" s="323"/>
    </row>
    <row r="943" spans="1:10" ht="15" customHeight="1">
      <c r="A943" s="315" t="str">
        <f>IF(B943="","",IF(B942="",SUM(COUNT($A$5:A942)+1),""))</f>
        <v/>
      </c>
      <c r="C943" s="316" t="str">
        <f>IF(B943="","",VLOOKUP(B943,'TB for financial'!A:B,2,0))</f>
        <v/>
      </c>
      <c r="D943" s="317"/>
      <c r="E943" s="318"/>
      <c r="F943" s="319"/>
      <c r="G943" s="320"/>
      <c r="H943" s="321"/>
      <c r="I943" s="322"/>
      <c r="J943" s="323"/>
    </row>
    <row r="944" spans="1:10" ht="15" customHeight="1">
      <c r="A944" s="315" t="str">
        <f>IF(B944="","",IF(B943="",SUM(COUNT($A$5:A943)+1),""))</f>
        <v/>
      </c>
      <c r="C944" s="316" t="str">
        <f>IF(B944="","",VLOOKUP(B944,'TB for financial'!A:B,2,0))</f>
        <v/>
      </c>
      <c r="D944" s="317"/>
      <c r="E944" s="318"/>
      <c r="F944" s="331"/>
      <c r="G944" s="320"/>
      <c r="H944" s="321"/>
      <c r="I944" s="322"/>
      <c r="J944" s="323"/>
    </row>
    <row r="945" spans="1:10" ht="15" customHeight="1">
      <c r="A945" s="315" t="str">
        <f>IF(B945="","",IF(B944="",SUM(COUNT($A$5:A944)+1),""))</f>
        <v/>
      </c>
      <c r="C945" s="316" t="str">
        <f>IF(B945="","",VLOOKUP(B945,'TB for financial'!A:B,2,0))</f>
        <v/>
      </c>
      <c r="D945" s="317"/>
      <c r="E945" s="318"/>
      <c r="F945" s="319"/>
      <c r="G945" s="320"/>
      <c r="H945" s="321"/>
      <c r="I945" s="322"/>
      <c r="J945" s="323"/>
    </row>
    <row r="946" spans="1:10">
      <c r="A946" s="315" t="str">
        <f>IF(B946="","",IF(B945="",SUM(COUNT($A$5:A945)+1),""))</f>
        <v/>
      </c>
      <c r="C946" s="316" t="str">
        <f>IF(B946="","",VLOOKUP(B946,'TB for financial'!A:B,2,0))</f>
        <v/>
      </c>
      <c r="D946" s="317"/>
      <c r="E946" s="318"/>
      <c r="F946" s="319"/>
      <c r="G946" s="320"/>
      <c r="H946" s="321"/>
      <c r="I946" s="322"/>
      <c r="J946" s="323"/>
    </row>
    <row r="947" spans="1:10">
      <c r="A947" s="315" t="str">
        <f>IF(B947="","",IF(B946="",SUM(COUNT($A$5:A946)+1),""))</f>
        <v/>
      </c>
      <c r="C947" s="316" t="str">
        <f>IF(B947="","",VLOOKUP(B947,'TB for financial'!A:B,2,0))</f>
        <v/>
      </c>
      <c r="D947" s="317"/>
      <c r="E947" s="318"/>
      <c r="F947" s="319"/>
      <c r="G947" s="320"/>
      <c r="H947" s="321"/>
      <c r="I947" s="322"/>
      <c r="J947" s="323"/>
    </row>
    <row r="948" spans="1:10" ht="15" customHeight="1">
      <c r="A948" s="315" t="str">
        <f>IF(B948="","",IF(B947="",SUM(COUNT($A$5:A947)+1),""))</f>
        <v/>
      </c>
      <c r="C948" s="316" t="str">
        <f>IF(B948="","",VLOOKUP(B948,'TB for financial'!A:B,2,0))</f>
        <v/>
      </c>
      <c r="D948" s="317"/>
      <c r="E948" s="318"/>
      <c r="F948" s="331"/>
      <c r="G948" s="320"/>
      <c r="H948" s="321"/>
      <c r="I948" s="322"/>
      <c r="J948" s="323"/>
    </row>
    <row r="949" spans="1:10" ht="15" customHeight="1">
      <c r="A949" s="315" t="str">
        <f>IF(B949="","",IF(B948="",SUM(COUNT($A$5:A948)+1),""))</f>
        <v/>
      </c>
      <c r="C949" s="316" t="str">
        <f>IF(B949="","",VLOOKUP(B949,'TB for financial'!A:B,2,0))</f>
        <v/>
      </c>
      <c r="D949" s="317"/>
      <c r="E949" s="318"/>
      <c r="F949" s="319"/>
      <c r="G949" s="320"/>
      <c r="H949" s="321"/>
      <c r="I949" s="322"/>
      <c r="J949" s="323"/>
    </row>
    <row r="950" spans="1:10" ht="37.5" customHeight="1">
      <c r="A950" s="315" t="str">
        <f>IF(B950="","",IF(B949="",SUM(COUNT($A$5:A949)+1),""))</f>
        <v/>
      </c>
      <c r="C950" s="316" t="str">
        <f>IF(B950="","",VLOOKUP(B950,'TB for financial'!A:B,2,0))</f>
        <v/>
      </c>
      <c r="D950" s="317"/>
      <c r="E950" s="318"/>
      <c r="F950" s="319"/>
      <c r="G950" s="320"/>
      <c r="H950" s="321"/>
      <c r="I950" s="322"/>
      <c r="J950" s="323"/>
    </row>
    <row r="951" spans="1:10" ht="15" customHeight="1">
      <c r="A951" s="315" t="str">
        <f>IF(B951="","",IF(B950="",SUM(COUNT($A$5:A950)+1),""))</f>
        <v/>
      </c>
      <c r="C951" s="316" t="str">
        <f>IF(B951="","",VLOOKUP(B951,'TB for financial'!A:B,2,0))</f>
        <v/>
      </c>
      <c r="D951" s="317"/>
      <c r="E951" s="318"/>
      <c r="F951" s="319"/>
      <c r="G951" s="320"/>
      <c r="H951" s="321"/>
      <c r="I951" s="322"/>
      <c r="J951" s="323"/>
    </row>
    <row r="952" spans="1:10" ht="15" customHeight="1">
      <c r="A952" s="315" t="str">
        <f>IF(B952="","",IF(B951="",SUM(COUNT($A$5:A951)+1),""))</f>
        <v/>
      </c>
      <c r="C952" s="316" t="str">
        <f>IF(B952="","",VLOOKUP(B952,'TB for financial'!A:B,2,0))</f>
        <v/>
      </c>
      <c r="D952" s="317"/>
      <c r="E952" s="318"/>
      <c r="F952" s="319"/>
      <c r="G952" s="320"/>
      <c r="H952" s="321"/>
      <c r="I952" s="322"/>
      <c r="J952" s="323"/>
    </row>
    <row r="953" spans="1:10" ht="30.75" customHeight="1">
      <c r="A953" s="315" t="str">
        <f>IF(B953="","",IF(B952="",SUM(COUNT($A$5:A952)+1),""))</f>
        <v/>
      </c>
      <c r="C953" s="316" t="str">
        <f>IF(B953="","",VLOOKUP(B953,'TB for financial'!A:B,2,0))</f>
        <v/>
      </c>
      <c r="D953" s="317"/>
      <c r="E953" s="318"/>
      <c r="F953" s="331"/>
      <c r="G953" s="320"/>
      <c r="H953" s="321"/>
      <c r="I953" s="328"/>
      <c r="J953" s="323"/>
    </row>
    <row r="954" spans="1:10">
      <c r="A954" s="315"/>
      <c r="C954" s="316" t="str">
        <f>IF(B954="","",VLOOKUP(B954,'TB for financial'!A:B,2,0))</f>
        <v/>
      </c>
      <c r="D954" s="317"/>
      <c r="E954" s="318"/>
      <c r="F954" s="331"/>
      <c r="G954" s="320"/>
      <c r="H954" s="321"/>
      <c r="I954" s="328"/>
      <c r="J954" s="323"/>
    </row>
    <row r="955" spans="1:10" ht="15" customHeight="1">
      <c r="A955" s="315" t="str">
        <f>IF(B955="","",IF(B953="",SUM(COUNT($A$5:A953)+1),""))</f>
        <v/>
      </c>
      <c r="C955" s="316" t="str">
        <f>IF(B955="","",VLOOKUP(B955,'TB for financial'!A:B,2,0))</f>
        <v/>
      </c>
      <c r="D955" s="317"/>
      <c r="E955" s="318"/>
      <c r="F955" s="319"/>
      <c r="G955" s="320"/>
      <c r="H955" s="321"/>
      <c r="I955" s="322"/>
      <c r="J955" s="323"/>
    </row>
    <row r="956" spans="1:10" ht="15" customHeight="1">
      <c r="A956" s="315"/>
      <c r="C956" s="316" t="str">
        <f>IF(B956="","",VLOOKUP(B956,'TB for financial'!A:B,2,0))</f>
        <v/>
      </c>
      <c r="D956" s="317"/>
      <c r="E956" s="318"/>
      <c r="F956" s="319"/>
      <c r="G956" s="320"/>
      <c r="H956" s="321"/>
      <c r="I956" s="322"/>
      <c r="J956" s="323"/>
    </row>
    <row r="957" spans="1:10" ht="15" customHeight="1">
      <c r="A957" s="315" t="str">
        <f>IF(B957="","",IF(B955="",SUM(COUNT($A$5:A955)+1),""))</f>
        <v/>
      </c>
      <c r="C957" s="316" t="str">
        <f>IF(B957="","",VLOOKUP(B957,'TB for financial'!A:B,2,0))</f>
        <v/>
      </c>
      <c r="D957" s="317"/>
      <c r="E957" s="318"/>
      <c r="F957" s="319"/>
      <c r="G957" s="320"/>
      <c r="H957" s="321"/>
      <c r="I957" s="322"/>
      <c r="J957" s="323"/>
    </row>
    <row r="958" spans="1:10" ht="15" customHeight="1">
      <c r="A958" s="315" t="str">
        <f>IF(B958="","",IF(B957="",SUM(COUNT($A$5:A957)+1),""))</f>
        <v/>
      </c>
      <c r="C958" s="316" t="str">
        <f>IF(B958="","",VLOOKUP(B958,'TB for financial'!A:B,2,0))</f>
        <v/>
      </c>
      <c r="D958" s="317"/>
      <c r="E958" s="318"/>
      <c r="F958" s="319"/>
      <c r="G958" s="320"/>
      <c r="H958" s="321"/>
      <c r="I958" s="322"/>
      <c r="J958" s="323"/>
    </row>
    <row r="959" spans="1:10" ht="15" customHeight="1">
      <c r="A959" s="315" t="str">
        <f>IF(B959="","",IF(B958="",SUM(COUNT($A$5:A958)+1),""))</f>
        <v/>
      </c>
      <c r="C959" s="316" t="str">
        <f>IF(B959="","",VLOOKUP(B959,'TB for financial'!A:B,2,0))</f>
        <v/>
      </c>
      <c r="D959" s="317"/>
      <c r="E959" s="318"/>
      <c r="F959" s="331"/>
      <c r="G959" s="320"/>
      <c r="H959" s="321"/>
      <c r="I959" s="328"/>
      <c r="J959" s="323"/>
    </row>
    <row r="960" spans="1:10" ht="15" customHeight="1">
      <c r="A960" s="315" t="str">
        <f>IF(B960="","",IF(B959="",SUM(COUNT($A$5:A959)+1),""))</f>
        <v/>
      </c>
      <c r="C960" s="316" t="str">
        <f>IF(B960="","",VLOOKUP(B960,'TB for financial'!A:B,2,0))</f>
        <v/>
      </c>
      <c r="D960" s="317"/>
      <c r="E960" s="318"/>
      <c r="F960" s="319"/>
      <c r="G960" s="320"/>
      <c r="H960" s="321"/>
      <c r="I960" s="322"/>
      <c r="J960" s="323"/>
    </row>
    <row r="961" spans="1:10" ht="15" customHeight="1">
      <c r="A961" s="315" t="str">
        <f>IF(B961="","",IF(B960="",SUM(COUNT($A$5:A960)+1),""))</f>
        <v/>
      </c>
      <c r="C961" s="316" t="str">
        <f>IF(B961="","",VLOOKUP(B961,'TB for financial'!A:B,2,0))</f>
        <v/>
      </c>
      <c r="D961" s="317"/>
      <c r="E961" s="318"/>
      <c r="F961" s="319"/>
      <c r="G961" s="320"/>
      <c r="H961" s="321"/>
      <c r="I961" s="322"/>
      <c r="J961" s="323"/>
    </row>
    <row r="962" spans="1:10" ht="15" customHeight="1">
      <c r="A962" s="315" t="str">
        <f>IF(B962="","",IF(B961="",SUM(COUNT($A$5:A961)+1),""))</f>
        <v/>
      </c>
      <c r="C962" s="316" t="str">
        <f>IF(B962="","",VLOOKUP(B962,'TB for financial'!A:B,2,0))</f>
        <v/>
      </c>
      <c r="D962" s="317"/>
      <c r="E962" s="318"/>
      <c r="F962" s="319"/>
      <c r="G962" s="320"/>
      <c r="H962" s="321"/>
      <c r="I962" s="322"/>
      <c r="J962" s="323"/>
    </row>
    <row r="963" spans="1:10" ht="15" customHeight="1">
      <c r="A963" s="315" t="str">
        <f>IF(B963="","",IF(B962="",SUM(COUNT($A$5:A962)+1),""))</f>
        <v/>
      </c>
      <c r="C963" s="316" t="str">
        <f>IF(B963="","",VLOOKUP(B963,'TB for financial'!A:B,2,0))</f>
        <v/>
      </c>
      <c r="D963" s="317"/>
      <c r="E963" s="318"/>
      <c r="F963" s="331"/>
      <c r="G963" s="320"/>
      <c r="H963" s="321"/>
      <c r="I963" s="328"/>
      <c r="J963" s="323"/>
    </row>
    <row r="964" spans="1:10" ht="15" customHeight="1">
      <c r="A964" s="315" t="str">
        <f>IF(B964="","",IF(B963="",SUM(COUNT($A$5:A963)+1),""))</f>
        <v/>
      </c>
      <c r="C964" s="316" t="str">
        <f>IF(B964="","",VLOOKUP(B964,'TB for financial'!A:B,2,0))</f>
        <v/>
      </c>
      <c r="D964" s="317"/>
      <c r="E964" s="318"/>
      <c r="F964" s="319"/>
      <c r="G964" s="320"/>
      <c r="H964" s="321"/>
      <c r="I964" s="322"/>
      <c r="J964" s="323"/>
    </row>
    <row r="965" spans="1:10" ht="15" customHeight="1">
      <c r="A965" s="315" t="str">
        <f>IF(B965="","",IF(B964="",SUM(COUNT($A$5:A964)+1),""))</f>
        <v/>
      </c>
      <c r="C965" s="316" t="str">
        <f>IF(B965="","",VLOOKUP(B965,'TB for financial'!A:B,2,0))</f>
        <v/>
      </c>
      <c r="D965" s="317"/>
      <c r="E965" s="318"/>
      <c r="F965" s="319"/>
      <c r="G965" s="320"/>
      <c r="H965" s="321"/>
      <c r="I965" s="322"/>
      <c r="J965" s="323"/>
    </row>
    <row r="966" spans="1:10">
      <c r="A966" s="315" t="str">
        <f>IF(B966="","",IF(B965="",SUM(COUNT($A$5:A965)+1),""))</f>
        <v/>
      </c>
      <c r="C966" s="316" t="str">
        <f>IF(B966="","",VLOOKUP(B966,'TB for financial'!A:B,2,0))</f>
        <v/>
      </c>
      <c r="D966" s="317"/>
      <c r="E966" s="318"/>
      <c r="F966" s="319"/>
      <c r="G966" s="320"/>
      <c r="H966" s="321"/>
      <c r="I966" s="322"/>
      <c r="J966" s="323"/>
    </row>
    <row r="967" spans="1:10" ht="15" customHeight="1">
      <c r="A967" s="315" t="str">
        <f>IF(B967="","",IF(B966="",SUM(COUNT($A$5:A966)+1),""))</f>
        <v/>
      </c>
      <c r="C967" s="316" t="str">
        <f>IF(B967="","",VLOOKUP(B967,'TB for financial'!A:B,2,0))</f>
        <v/>
      </c>
      <c r="D967" s="317"/>
      <c r="E967" s="318"/>
      <c r="F967" s="331"/>
      <c r="G967" s="320"/>
      <c r="H967" s="321"/>
      <c r="I967" s="328"/>
      <c r="J967" s="323"/>
    </row>
    <row r="968" spans="1:10" ht="15" customHeight="1">
      <c r="A968" s="315" t="str">
        <f>IF(B968="","",IF(B967="",SUM(COUNT($A$5:A967)+1),""))</f>
        <v/>
      </c>
      <c r="C968" s="316" t="str">
        <f>IF(B968="","",VLOOKUP(B968,'TB for financial'!A:B,2,0))</f>
        <v/>
      </c>
      <c r="D968" s="317"/>
      <c r="E968" s="318"/>
      <c r="F968" s="319"/>
      <c r="G968" s="320"/>
      <c r="H968" s="321"/>
      <c r="I968" s="322"/>
      <c r="J968" s="323"/>
    </row>
    <row r="969" spans="1:10" ht="15" customHeight="1">
      <c r="A969" s="315" t="str">
        <f>IF(B969="","",IF(B968="",SUM(COUNT($A$5:A968)+1),""))</f>
        <v/>
      </c>
      <c r="C969" s="316" t="str">
        <f>IF(B969="","",VLOOKUP(B969,'TB for financial'!A:B,2,0))</f>
        <v/>
      </c>
      <c r="D969" s="317"/>
      <c r="E969" s="318"/>
      <c r="F969" s="319"/>
      <c r="G969" s="320"/>
      <c r="H969" s="321"/>
      <c r="I969" s="322"/>
      <c r="J969" s="323"/>
    </row>
    <row r="970" spans="1:10" ht="15" customHeight="1">
      <c r="A970" s="315" t="str">
        <f>IF(B970="","",IF(B969="",SUM(COUNT($A$5:A969)+1),""))</f>
        <v/>
      </c>
      <c r="C970" s="316" t="str">
        <f>IF(B970="","",VLOOKUP(B970,'TB for financial'!A:B,2,0))</f>
        <v/>
      </c>
      <c r="D970" s="317"/>
      <c r="E970" s="318"/>
      <c r="F970" s="331"/>
      <c r="G970" s="320"/>
      <c r="H970" s="321"/>
      <c r="I970" s="322"/>
      <c r="J970" s="323"/>
    </row>
    <row r="971" spans="1:10" ht="15" customHeight="1">
      <c r="A971" s="315" t="str">
        <f>IF(B971="","",IF(B970="",SUM(COUNT($A$5:A970)+1),""))</f>
        <v/>
      </c>
      <c r="C971" s="316" t="str">
        <f>IF(B971="","",VLOOKUP(B971,'TB for financial'!A:B,2,0))</f>
        <v/>
      </c>
      <c r="D971" s="317"/>
      <c r="E971" s="318"/>
      <c r="F971" s="319"/>
      <c r="G971" s="320"/>
      <c r="H971" s="321"/>
      <c r="I971" s="322"/>
      <c r="J971" s="323"/>
    </row>
    <row r="972" spans="1:10" ht="30.75" customHeight="1">
      <c r="A972" s="315" t="str">
        <f>IF(B972="","",IF(B971="",SUM(COUNT($A$5:A971)+1),""))</f>
        <v/>
      </c>
      <c r="C972" s="316" t="str">
        <f>IF(B972="","",VLOOKUP(B972,'TB for financial'!A:B,2,0))</f>
        <v/>
      </c>
      <c r="D972" s="317"/>
      <c r="E972" s="318"/>
      <c r="F972" s="319"/>
      <c r="G972" s="320"/>
      <c r="H972" s="321"/>
      <c r="I972" s="322"/>
      <c r="J972" s="323"/>
    </row>
    <row r="973" spans="1:10" ht="15" customHeight="1">
      <c r="A973" s="315" t="str">
        <f>IF(B973="","",IF(B972="",SUM(COUNT($A$5:A972)+1),""))</f>
        <v/>
      </c>
      <c r="C973" s="316" t="str">
        <f>IF(B973="","",VLOOKUP(B973,'TB for financial'!A:B,2,0))</f>
        <v/>
      </c>
      <c r="D973" s="317"/>
      <c r="E973" s="318"/>
      <c r="F973" s="319"/>
      <c r="G973" s="320"/>
      <c r="H973" s="321"/>
      <c r="I973" s="322"/>
      <c r="J973" s="323"/>
    </row>
    <row r="974" spans="1:10" ht="15" customHeight="1">
      <c r="A974" s="315" t="str">
        <f>IF(B974="","",IF(B973="",SUM(COUNT($A$5:A973)+1),""))</f>
        <v/>
      </c>
      <c r="C974" s="316" t="str">
        <f>IF(B974="","",VLOOKUP(B974,'TB for financial'!A:B,2,0))</f>
        <v/>
      </c>
      <c r="D974" s="317"/>
      <c r="E974" s="318"/>
      <c r="F974" s="331"/>
      <c r="G974" s="320"/>
      <c r="H974" s="321"/>
      <c r="I974" s="322"/>
      <c r="J974" s="323"/>
    </row>
    <row r="975" spans="1:10" ht="15" customHeight="1">
      <c r="A975" s="315" t="str">
        <f>IF(B975="","",IF(B974="",SUM(COUNT($A$5:A974)+1),""))</f>
        <v/>
      </c>
      <c r="C975" s="316" t="str">
        <f>IF(B975="","",VLOOKUP(B975,'TB for financial'!A:B,2,0))</f>
        <v/>
      </c>
      <c r="D975" s="317"/>
      <c r="E975" s="318"/>
      <c r="F975" s="319"/>
      <c r="G975" s="320"/>
      <c r="H975" s="321"/>
      <c r="I975" s="322"/>
      <c r="J975" s="323"/>
    </row>
    <row r="976" spans="1:10" ht="15" customHeight="1">
      <c r="A976" s="315" t="str">
        <f>IF(B976="","",IF(B975="",SUM(COUNT($A$5:A975)+1),""))</f>
        <v/>
      </c>
      <c r="C976" s="316" t="str">
        <f>IF(B976="","",VLOOKUP(B976,'TB for financial'!A:B,2,0))</f>
        <v/>
      </c>
      <c r="D976" s="317"/>
      <c r="E976" s="318"/>
      <c r="F976" s="319"/>
      <c r="G976" s="320"/>
      <c r="H976" s="321"/>
      <c r="I976" s="322"/>
      <c r="J976" s="323"/>
    </row>
    <row r="977" spans="1:10" ht="15" customHeight="1">
      <c r="A977" s="315" t="str">
        <f>IF(B977="","",IF(B976="",SUM(COUNT($A$5:A976)+1),""))</f>
        <v/>
      </c>
      <c r="C977" s="316" t="str">
        <f>IF(B977="","",VLOOKUP(B977,'TB for financial'!A:B,2,0))</f>
        <v/>
      </c>
      <c r="D977" s="317"/>
      <c r="E977" s="318"/>
      <c r="F977" s="319"/>
      <c r="G977" s="320"/>
      <c r="H977" s="321"/>
      <c r="I977" s="322"/>
      <c r="J977" s="323"/>
    </row>
    <row r="978" spans="1:10" ht="15" customHeight="1">
      <c r="A978" s="315" t="str">
        <f>IF(B978="","",IF(B977="",SUM(COUNT($A$5:A977)+1),""))</f>
        <v/>
      </c>
      <c r="C978" s="316" t="str">
        <f>IF(B978="","",VLOOKUP(B978,'TB for financial'!A:B,2,0))</f>
        <v/>
      </c>
      <c r="D978" s="317"/>
      <c r="E978" s="318"/>
      <c r="F978" s="319"/>
      <c r="G978" s="320"/>
      <c r="H978" s="321"/>
      <c r="I978" s="322"/>
      <c r="J978" s="323"/>
    </row>
    <row r="979" spans="1:10" ht="15" customHeight="1">
      <c r="A979" s="315" t="str">
        <f>IF(B979="","",IF(B978="",SUM(COUNT($A$5:A978)+1),""))</f>
        <v/>
      </c>
      <c r="C979" s="316" t="str">
        <f>IF(B979="","",VLOOKUP(B979,'TB for financial'!A:B,2,0))</f>
        <v/>
      </c>
      <c r="D979" s="317"/>
      <c r="E979" s="318"/>
      <c r="F979" s="331"/>
      <c r="G979" s="320"/>
      <c r="H979" s="321"/>
      <c r="I979" s="322"/>
      <c r="J979" s="323"/>
    </row>
    <row r="980" spans="1:10" ht="15" customHeight="1">
      <c r="A980" s="315" t="str">
        <f>IF(B980="","",IF(B979="",SUM(COUNT($A$5:A979)+1),""))</f>
        <v/>
      </c>
      <c r="C980" s="316" t="str">
        <f>IF(B980="","",VLOOKUP(B980,'TB for financial'!A:B,2,0))</f>
        <v/>
      </c>
      <c r="D980" s="317"/>
      <c r="E980" s="318"/>
      <c r="F980" s="319"/>
      <c r="G980" s="320"/>
      <c r="H980" s="321"/>
      <c r="I980" s="328"/>
      <c r="J980" s="323"/>
    </row>
    <row r="981" spans="1:10" ht="15" customHeight="1">
      <c r="A981" s="315" t="str">
        <f>IF(B981="","",IF(B980="",SUM(COUNT($A$5:A980)+1),""))</f>
        <v/>
      </c>
      <c r="C981" s="316" t="str">
        <f>IF(B981="","",VLOOKUP(B981,'TB for financial'!A:B,2,0))</f>
        <v/>
      </c>
      <c r="D981" s="317"/>
      <c r="E981" s="318"/>
      <c r="F981" s="319"/>
      <c r="G981" s="320"/>
      <c r="H981" s="321"/>
      <c r="I981" s="322"/>
      <c r="J981" s="323"/>
    </row>
    <row r="982" spans="1:10" ht="15" customHeight="1">
      <c r="A982" s="315" t="str">
        <f>IF(B982="","",IF(B981="",SUM(COUNT($A$5:A981)+1),""))</f>
        <v/>
      </c>
      <c r="C982" s="316" t="str">
        <f>IF(B982="","",VLOOKUP(B982,'TB for financial'!A:B,2,0))</f>
        <v/>
      </c>
      <c r="D982" s="317"/>
      <c r="E982" s="318"/>
      <c r="F982" s="319"/>
      <c r="G982" s="320"/>
      <c r="H982" s="321"/>
      <c r="I982" s="322"/>
      <c r="J982" s="323"/>
    </row>
    <row r="983" spans="1:10" ht="15" customHeight="1">
      <c r="A983" s="315" t="str">
        <f>IF(B983="","",IF(B982="",SUM(COUNT($A$5:A982)+1),""))</f>
        <v/>
      </c>
      <c r="C983" s="316" t="str">
        <f>IF(B983="","",VLOOKUP(B983,'TB for financial'!A:B,2,0))</f>
        <v/>
      </c>
      <c r="D983" s="317"/>
      <c r="E983" s="318"/>
      <c r="F983" s="331"/>
      <c r="G983" s="320"/>
      <c r="H983" s="321"/>
      <c r="I983" s="322"/>
      <c r="J983" s="323"/>
    </row>
    <row r="984" spans="1:10" ht="15" customHeight="1">
      <c r="A984" s="315" t="str">
        <f>IF(B984="","",IF(B983="",SUM(COUNT($A$5:A983)+1),""))</f>
        <v/>
      </c>
      <c r="C984" s="316" t="str">
        <f>IF(B984="","",VLOOKUP(B984,'TB for financial'!A:B,2,0))</f>
        <v/>
      </c>
      <c r="D984" s="317"/>
      <c r="E984" s="318"/>
      <c r="F984" s="319"/>
      <c r="G984" s="320"/>
      <c r="H984" s="321"/>
      <c r="I984" s="322"/>
      <c r="J984" s="323"/>
    </row>
    <row r="985" spans="1:10">
      <c r="A985" s="315" t="str">
        <f>IF(B985="","",IF(B984="",SUM(COUNT($A$5:A984)+1),""))</f>
        <v/>
      </c>
      <c r="C985" s="316" t="str">
        <f>IF(B985="","",VLOOKUP(B985,'TB for financial'!A:B,2,0))</f>
        <v/>
      </c>
      <c r="D985" s="317"/>
      <c r="E985" s="318"/>
      <c r="F985" s="319"/>
      <c r="G985" s="320"/>
      <c r="H985" s="321"/>
      <c r="I985" s="322"/>
      <c r="J985" s="323"/>
    </row>
    <row r="986" spans="1:10" ht="15" customHeight="1">
      <c r="A986" s="315" t="str">
        <f>IF(B986="","",IF(B985="",SUM(COUNT($A$5:A985)+1),""))</f>
        <v/>
      </c>
      <c r="C986" s="316" t="str">
        <f>IF(B986="","",VLOOKUP(B986,'TB for financial'!A:B,2,0))</f>
        <v/>
      </c>
      <c r="D986" s="317"/>
      <c r="E986" s="318"/>
      <c r="F986" s="319"/>
      <c r="G986" s="320"/>
      <c r="H986" s="321"/>
      <c r="I986" s="322"/>
      <c r="J986" s="323"/>
    </row>
    <row r="987" spans="1:10" ht="15" customHeight="1">
      <c r="A987" s="315" t="str">
        <f>IF(B987="","",IF(B986="",SUM(COUNT($A$5:A986)+1),""))</f>
        <v/>
      </c>
      <c r="C987" s="316" t="str">
        <f>IF(B987="","",VLOOKUP(B987,'TB for financial'!A:B,2,0))</f>
        <v/>
      </c>
      <c r="D987" s="317"/>
      <c r="E987" s="318"/>
      <c r="F987" s="331"/>
      <c r="G987" s="320"/>
      <c r="H987" s="321"/>
      <c r="I987" s="322"/>
      <c r="J987" s="323"/>
    </row>
    <row r="988" spans="1:10" ht="15" customHeight="1">
      <c r="A988" s="315" t="str">
        <f>IF(B988="","",IF(B987="",SUM(COUNT($A$5:A987)+1),""))</f>
        <v/>
      </c>
      <c r="C988" s="316" t="str">
        <f>IF(B988="","",VLOOKUP(B988,'TB for financial'!A:B,2,0))</f>
        <v/>
      </c>
      <c r="D988" s="317"/>
      <c r="E988" s="318"/>
      <c r="F988" s="319"/>
      <c r="G988" s="320"/>
      <c r="H988" s="321"/>
      <c r="I988" s="322"/>
      <c r="J988" s="323"/>
    </row>
    <row r="989" spans="1:10" ht="31.5" customHeight="1">
      <c r="A989" s="315" t="str">
        <f>IF(B989="","",IF(B988="",SUM(COUNT($A$5:A988)+1),""))</f>
        <v/>
      </c>
      <c r="C989" s="316" t="str">
        <f>IF(B989="","",VLOOKUP(B989,'TB for financial'!A:B,2,0))</f>
        <v/>
      </c>
      <c r="D989" s="317"/>
      <c r="E989" s="318"/>
      <c r="F989" s="319"/>
      <c r="G989" s="320"/>
      <c r="H989" s="321"/>
      <c r="I989" s="322"/>
      <c r="J989" s="323"/>
    </row>
    <row r="990" spans="1:10" ht="15" customHeight="1">
      <c r="A990" s="315" t="str">
        <f>IF(B990="","",IF(B989="",SUM(COUNT($A$5:A989)+1),""))</f>
        <v/>
      </c>
      <c r="C990" s="316" t="str">
        <f>IF(B990="","",VLOOKUP(B990,'TB for financial'!A:B,2,0))</f>
        <v/>
      </c>
      <c r="D990" s="317"/>
      <c r="E990" s="318"/>
      <c r="F990" s="319"/>
      <c r="G990" s="320"/>
      <c r="H990" s="321"/>
      <c r="I990" s="322"/>
      <c r="J990" s="323"/>
    </row>
    <row r="991" spans="1:10" ht="15" customHeight="1">
      <c r="A991" s="315" t="str">
        <f>IF(B991="","",IF(B990="",SUM(COUNT($A$5:A990)+1),""))</f>
        <v/>
      </c>
      <c r="C991" s="316" t="str">
        <f>IF(B991="","",VLOOKUP(B991,'TB for financial'!A:B,2,0))</f>
        <v/>
      </c>
      <c r="D991" s="317"/>
      <c r="E991" s="318"/>
      <c r="F991" s="319"/>
      <c r="G991" s="320"/>
      <c r="H991" s="321"/>
      <c r="I991" s="322"/>
      <c r="J991" s="323"/>
    </row>
    <row r="992" spans="1:10" ht="15" customHeight="1">
      <c r="A992" s="315" t="str">
        <f>IF(B992="","",IF(B991="",SUM(COUNT($A$5:A991)+1),""))</f>
        <v/>
      </c>
      <c r="C992" s="316" t="str">
        <f>IF(B992="","",VLOOKUP(B992,'TB for financial'!A:B,2,0))</f>
        <v/>
      </c>
      <c r="D992" s="317"/>
      <c r="E992" s="318"/>
      <c r="F992" s="319"/>
      <c r="G992" s="320"/>
      <c r="H992" s="321"/>
      <c r="I992" s="322"/>
      <c r="J992" s="323"/>
    </row>
    <row r="993" spans="1:10" ht="15" customHeight="1">
      <c r="A993" s="315" t="str">
        <f>IF(B993="","",IF(B992="",SUM(COUNT($A$5:A992)+1),""))</f>
        <v/>
      </c>
      <c r="C993" s="316" t="str">
        <f>IF(B993="","",VLOOKUP(B993,'TB for financial'!A:B,2,0))</f>
        <v/>
      </c>
      <c r="D993" s="317"/>
      <c r="E993" s="318"/>
      <c r="F993" s="319"/>
      <c r="G993" s="320"/>
      <c r="H993" s="321"/>
      <c r="I993" s="322"/>
      <c r="J993" s="323"/>
    </row>
    <row r="994" spans="1:10" ht="15" customHeight="1">
      <c r="A994" s="315" t="str">
        <f>IF(B994="","",IF(B993="",SUM(COUNT($A$5:A993)+1),""))</f>
        <v/>
      </c>
      <c r="C994" s="316" t="str">
        <f>IF(B994="","",VLOOKUP(B994,'TB for financial'!A:B,2,0))</f>
        <v/>
      </c>
      <c r="D994" s="317"/>
      <c r="E994" s="318"/>
      <c r="F994" s="319"/>
      <c r="G994" s="320"/>
      <c r="H994" s="321"/>
      <c r="I994" s="322"/>
      <c r="J994" s="323"/>
    </row>
    <row r="995" spans="1:10" ht="15" customHeight="1">
      <c r="A995" s="315" t="str">
        <f>IF(B995="","",IF(B994="",SUM(COUNT($A$5:A994)+1),""))</f>
        <v/>
      </c>
      <c r="C995" s="316" t="str">
        <f>IF(B995="","",VLOOKUP(B995,'TB for financial'!A:B,2,0))</f>
        <v/>
      </c>
      <c r="D995" s="317"/>
      <c r="E995" s="318"/>
      <c r="F995" s="319"/>
      <c r="G995" s="320"/>
      <c r="H995" s="321"/>
      <c r="I995" s="322"/>
      <c r="J995" s="323"/>
    </row>
    <row r="996" spans="1:10" ht="15" customHeight="1">
      <c r="A996" s="315" t="str">
        <f>IF(B996="","",IF(B995="",SUM(COUNT($A$5:A995)+1),""))</f>
        <v/>
      </c>
      <c r="C996" s="316" t="str">
        <f>IF(B996="","",VLOOKUP(B996,'TB for financial'!A:B,2,0))</f>
        <v/>
      </c>
      <c r="D996" s="317"/>
      <c r="E996" s="318"/>
      <c r="F996" s="319"/>
      <c r="G996" s="320"/>
      <c r="H996" s="321"/>
      <c r="I996" s="322"/>
      <c r="J996" s="323"/>
    </row>
    <row r="997" spans="1:10" ht="15" customHeight="1">
      <c r="A997" s="315" t="str">
        <f>IF(B997="","",IF(B996="",SUM(COUNT($A$5:A996)+1),""))</f>
        <v/>
      </c>
      <c r="C997" s="316" t="str">
        <f>IF(B997="","",VLOOKUP(B997,'TB for financial'!A:B,2,0))</f>
        <v/>
      </c>
      <c r="D997" s="317"/>
      <c r="E997" s="318"/>
      <c r="F997" s="319"/>
      <c r="G997" s="320"/>
      <c r="H997" s="321"/>
      <c r="I997" s="322"/>
      <c r="J997" s="323"/>
    </row>
    <row r="998" spans="1:10" ht="15" customHeight="1">
      <c r="A998" s="315" t="str">
        <f>IF(B998="","",IF(B997="",SUM(COUNT($A$5:A997)+1),""))</f>
        <v/>
      </c>
      <c r="C998" s="316" t="str">
        <f>IF(B998="","",VLOOKUP(B998,'TB for financial'!A:B,2,0))</f>
        <v/>
      </c>
      <c r="D998" s="317"/>
      <c r="E998" s="318"/>
      <c r="F998" s="319"/>
      <c r="G998" s="320"/>
      <c r="H998" s="321"/>
      <c r="I998" s="322"/>
      <c r="J998" s="323"/>
    </row>
    <row r="999" spans="1:10" ht="15" customHeight="1">
      <c r="A999" s="315" t="str">
        <f>IF(B999="","",IF(B998="",SUM(COUNT($A$5:A998)+1),""))</f>
        <v/>
      </c>
      <c r="C999" s="316" t="str">
        <f>IF(B999="","",VLOOKUP(B999,'TB for financial'!A:B,2,0))</f>
        <v/>
      </c>
      <c r="D999" s="317"/>
      <c r="E999" s="318"/>
      <c r="F999" s="331"/>
      <c r="G999" s="320"/>
      <c r="H999" s="321"/>
      <c r="I999" s="322"/>
      <c r="J999" s="323"/>
    </row>
    <row r="1000" spans="1:10" ht="15" customHeight="1">
      <c r="A1000" s="315" t="str">
        <f>IF(B1000="","",IF(B999="",SUM(COUNT($A$5:A999)+1),""))</f>
        <v/>
      </c>
      <c r="C1000" s="316" t="str">
        <f>IF(B1000="","",VLOOKUP(B1000,'TB for financial'!A:B,2,0))</f>
        <v/>
      </c>
      <c r="D1000" s="317"/>
      <c r="E1000" s="318"/>
      <c r="F1000" s="319"/>
      <c r="G1000" s="320"/>
      <c r="H1000" s="321"/>
      <c r="I1000" s="322"/>
      <c r="J1000" s="323"/>
    </row>
    <row r="1001" spans="1:10">
      <c r="A1001" s="315" t="str">
        <f>IF(B1001="","",IF(B1000="",SUM(COUNT($A$5:A1000)+1),""))</f>
        <v/>
      </c>
      <c r="C1001" s="316" t="str">
        <f>IF(B1001="","",VLOOKUP(B1001,'TB for financial'!A:B,2,0))</f>
        <v/>
      </c>
      <c r="D1001" s="317"/>
      <c r="E1001" s="318"/>
      <c r="F1001" s="319"/>
      <c r="G1001" s="320"/>
      <c r="H1001" s="321"/>
      <c r="I1001" s="322"/>
      <c r="J1001" s="323"/>
    </row>
    <row r="1002" spans="1:10" ht="15" customHeight="1">
      <c r="A1002" s="315" t="str">
        <f>IF(B1002="","",IF(B1001="",SUM(COUNT($A$5:A1001)+1),""))</f>
        <v/>
      </c>
      <c r="C1002" s="316" t="str">
        <f>IF(B1002="","",VLOOKUP(B1002,'TB for financial'!A:B,2,0))</f>
        <v/>
      </c>
      <c r="D1002" s="317"/>
      <c r="E1002" s="318"/>
      <c r="F1002" s="319"/>
      <c r="G1002" s="320"/>
      <c r="H1002" s="321"/>
      <c r="I1002" s="322"/>
      <c r="J1002" s="323"/>
    </row>
    <row r="1003" spans="1:10" ht="15" customHeight="1">
      <c r="A1003" s="315" t="str">
        <f>IF(B1003="","",IF(B1002="",SUM(COUNT($A$5:A1002)+1),""))</f>
        <v/>
      </c>
      <c r="C1003" s="316" t="str">
        <f>IF(B1003="","",VLOOKUP(B1003,'TB for financial'!A:B,2,0))</f>
        <v/>
      </c>
      <c r="D1003" s="317"/>
      <c r="E1003" s="318"/>
      <c r="F1003" s="331"/>
      <c r="G1003" s="320"/>
      <c r="H1003" s="321"/>
      <c r="I1003" s="322"/>
      <c r="J1003" s="323"/>
    </row>
    <row r="1004" spans="1:10" ht="15" customHeight="1">
      <c r="A1004" s="315" t="str">
        <f>IF(B1004="","",IF(B1003="",SUM(COUNT($A$5:A1003)+1),""))</f>
        <v/>
      </c>
      <c r="C1004" s="316" t="str">
        <f>IF(B1004="","",VLOOKUP(B1004,'TB for financial'!A:B,2,0))</f>
        <v/>
      </c>
      <c r="D1004" s="317"/>
      <c r="E1004" s="318"/>
      <c r="F1004" s="319"/>
      <c r="G1004" s="320"/>
      <c r="H1004" s="321"/>
      <c r="I1004" s="322"/>
      <c r="J1004" s="323"/>
    </row>
    <row r="1005" spans="1:10">
      <c r="A1005" s="315" t="str">
        <f>IF(B1005="","",IF(B1004="",SUM(COUNT($A$5:A1004)+1),""))</f>
        <v/>
      </c>
      <c r="C1005" s="316" t="str">
        <f>IF(B1005="","",VLOOKUP(B1005,'TB for financial'!A:B,2,0))</f>
        <v/>
      </c>
      <c r="D1005" s="317"/>
      <c r="E1005" s="318"/>
      <c r="F1005" s="319"/>
      <c r="G1005" s="320"/>
      <c r="H1005" s="321"/>
      <c r="I1005" s="322"/>
      <c r="J1005" s="323"/>
    </row>
    <row r="1006" spans="1:10" ht="15" customHeight="1">
      <c r="A1006" s="315" t="str">
        <f>IF(B1006="","",IF(B1005="",SUM(COUNT($A$5:A1005)+1),""))</f>
        <v/>
      </c>
      <c r="C1006" s="316" t="str">
        <f>IF(B1006="","",VLOOKUP(B1006,'TB for financial'!A:B,2,0))</f>
        <v/>
      </c>
      <c r="D1006" s="317"/>
      <c r="E1006" s="318"/>
      <c r="F1006" s="319"/>
      <c r="G1006" s="320"/>
      <c r="H1006" s="321"/>
      <c r="I1006" s="322"/>
      <c r="J1006" s="323"/>
    </row>
    <row r="1007" spans="1:10" ht="15" customHeight="1">
      <c r="A1007" s="315" t="str">
        <f>IF(B1007="","",IF(B1006="",SUM(COUNT($A$5:A1006)+1),""))</f>
        <v/>
      </c>
      <c r="C1007" s="316" t="str">
        <f>IF(B1007="","",VLOOKUP(B1007,'TB for financial'!A:B,2,0))</f>
        <v/>
      </c>
      <c r="D1007" s="317"/>
      <c r="E1007" s="318"/>
      <c r="F1007" s="331"/>
      <c r="G1007" s="320"/>
      <c r="H1007" s="321"/>
      <c r="I1007" s="322"/>
      <c r="J1007" s="323"/>
    </row>
    <row r="1008" spans="1:10" ht="15" customHeight="1">
      <c r="A1008" s="315" t="str">
        <f>IF(B1008="","",IF(B1007="",SUM(COUNT($A$5:A1007)+1),""))</f>
        <v/>
      </c>
      <c r="C1008" s="316" t="str">
        <f>IF(B1008="","",VLOOKUP(B1008,'TB for financial'!A:B,2,0))</f>
        <v/>
      </c>
      <c r="D1008" s="317"/>
      <c r="E1008" s="318"/>
      <c r="F1008" s="319"/>
      <c r="G1008" s="320"/>
      <c r="H1008" s="321"/>
      <c r="I1008" s="322"/>
      <c r="J1008" s="323"/>
    </row>
    <row r="1009" spans="1:10">
      <c r="A1009" s="315" t="str">
        <f>IF(B1009="","",IF(B1008="",SUM(COUNT($A$5:A1008)+1),""))</f>
        <v/>
      </c>
      <c r="C1009" s="316" t="str">
        <f>IF(B1009="","",VLOOKUP(B1009,'TB for financial'!A:B,2,0))</f>
        <v/>
      </c>
      <c r="D1009" s="317"/>
      <c r="E1009" s="318"/>
      <c r="F1009" s="319"/>
      <c r="G1009" s="320"/>
      <c r="H1009" s="321"/>
      <c r="I1009" s="322"/>
      <c r="J1009" s="323"/>
    </row>
    <row r="1010" spans="1:10" ht="15" customHeight="1">
      <c r="A1010" s="315" t="str">
        <f>IF(B1010="","",IF(B1009="",SUM(COUNT($A$5:A1009)+1),""))</f>
        <v/>
      </c>
      <c r="C1010" s="316" t="str">
        <f>IF(B1010="","",VLOOKUP(B1010,'TB for financial'!A:B,2,0))</f>
        <v/>
      </c>
      <c r="D1010" s="317"/>
      <c r="E1010" s="318"/>
      <c r="F1010" s="319"/>
      <c r="G1010" s="320"/>
      <c r="H1010" s="321"/>
      <c r="I1010" s="322"/>
      <c r="J1010" s="323"/>
    </row>
    <row r="1011" spans="1:10" ht="15" customHeight="1">
      <c r="A1011" s="315" t="str">
        <f>IF(B1011="","",IF(B1010="",SUM(COUNT($A$5:A1010)+1),""))</f>
        <v/>
      </c>
      <c r="C1011" s="316" t="str">
        <f>IF(B1011="","",VLOOKUP(B1011,'TB for financial'!A:B,2,0))</f>
        <v/>
      </c>
      <c r="D1011" s="317"/>
      <c r="E1011" s="318"/>
      <c r="F1011" s="331"/>
      <c r="G1011" s="320"/>
      <c r="H1011" s="321"/>
      <c r="I1011" s="322"/>
      <c r="J1011" s="323"/>
    </row>
    <row r="1012" spans="1:10" ht="15" customHeight="1">
      <c r="A1012" s="315" t="str">
        <f>IF(B1012="","",IF(B1011="",SUM(COUNT($A$5:A1011)+1),""))</f>
        <v/>
      </c>
      <c r="C1012" s="316" t="str">
        <f>IF(B1012="","",VLOOKUP(B1012,'TB for financial'!A:B,2,0))</f>
        <v/>
      </c>
      <c r="D1012" s="317"/>
      <c r="E1012" s="318"/>
      <c r="F1012" s="319"/>
      <c r="G1012" s="320"/>
      <c r="H1012" s="321"/>
      <c r="I1012" s="322"/>
      <c r="J1012" s="323"/>
    </row>
    <row r="1013" spans="1:10" ht="15" customHeight="1">
      <c r="A1013" s="315" t="str">
        <f>IF(B1013="","",IF(B1012="",SUM(COUNT($A$5:A1012)+1),""))</f>
        <v/>
      </c>
      <c r="C1013" s="316" t="str">
        <f>IF(B1013="","",VLOOKUP(B1013,'TB for financial'!A:B,2,0))</f>
        <v/>
      </c>
      <c r="D1013" s="317"/>
      <c r="E1013" s="318"/>
      <c r="F1013" s="319"/>
      <c r="G1013" s="320"/>
      <c r="H1013" s="321"/>
      <c r="I1013" s="322"/>
      <c r="J1013" s="323"/>
    </row>
    <row r="1014" spans="1:10" ht="15" customHeight="1">
      <c r="A1014" s="315" t="str">
        <f>IF(B1014="","",IF(B1013="",SUM(COUNT($A$5:A1013)+1),""))</f>
        <v/>
      </c>
      <c r="C1014" s="316" t="str">
        <f>IF(B1014="","",VLOOKUP(B1014,'TB for financial'!A:B,2,0))</f>
        <v/>
      </c>
      <c r="D1014" s="317"/>
      <c r="E1014" s="318"/>
      <c r="F1014" s="319"/>
      <c r="G1014" s="320"/>
      <c r="H1014" s="321"/>
      <c r="I1014" s="322"/>
      <c r="J1014" s="323"/>
    </row>
    <row r="1015" spans="1:10" ht="32.25" customHeight="1">
      <c r="A1015" s="315" t="str">
        <f>IF(B1015="","",IF(B1014="",SUM(COUNT($A$5:A1014)+1),""))</f>
        <v/>
      </c>
      <c r="C1015" s="316" t="str">
        <f>IF(B1015="","",VLOOKUP(B1015,'TB for financial'!A:B,2,0))</f>
        <v/>
      </c>
      <c r="D1015" s="317"/>
      <c r="E1015" s="318"/>
      <c r="F1015" s="319"/>
      <c r="G1015" s="320"/>
      <c r="H1015" s="321"/>
      <c r="I1015" s="322"/>
      <c r="J1015" s="323"/>
    </row>
    <row r="1016" spans="1:10" ht="15" customHeight="1">
      <c r="A1016" s="315" t="str">
        <f>IF(B1016="","",IF(B1015="",SUM(COUNT($A$5:A1015)+1),""))</f>
        <v/>
      </c>
      <c r="C1016" s="316" t="str">
        <f>IF(B1016="","",VLOOKUP(B1016,'TB for financial'!A:B,2,0))</f>
        <v/>
      </c>
      <c r="D1016" s="317"/>
      <c r="E1016" s="318"/>
      <c r="F1016" s="319"/>
      <c r="G1016" s="320"/>
      <c r="H1016" s="321"/>
      <c r="I1016" s="322"/>
      <c r="J1016" s="323"/>
    </row>
    <row r="1017" spans="1:10" ht="15" customHeight="1">
      <c r="A1017" s="315" t="str">
        <f>IF(B1017="","",IF(B1016="",SUM(COUNT($A$5:A1016)+1),""))</f>
        <v/>
      </c>
      <c r="C1017" s="316" t="str">
        <f>IF(B1017="","",VLOOKUP(B1017,'TB for financial'!A:B,2,0))</f>
        <v/>
      </c>
      <c r="D1017" s="317"/>
      <c r="E1017" s="318"/>
      <c r="F1017" s="319"/>
      <c r="G1017" s="320"/>
      <c r="H1017" s="321"/>
      <c r="I1017" s="322"/>
      <c r="J1017" s="323"/>
    </row>
    <row r="1018" spans="1:10" ht="15" customHeight="1">
      <c r="A1018" s="315" t="str">
        <f>IF(B1018="","",IF(B1017="",SUM(COUNT($A$5:A1017)+1),""))</f>
        <v/>
      </c>
      <c r="C1018" s="316" t="str">
        <f>IF(B1018="","",VLOOKUP(B1018,'TB for financial'!A:B,2,0))</f>
        <v/>
      </c>
      <c r="D1018" s="317"/>
      <c r="E1018" s="318"/>
      <c r="F1018" s="319"/>
      <c r="G1018" s="320"/>
      <c r="H1018" s="321"/>
      <c r="I1018" s="328"/>
      <c r="J1018" s="323"/>
    </row>
    <row r="1019" spans="1:10" ht="15" customHeight="1">
      <c r="A1019" s="315" t="str">
        <f>IF(B1019="","",IF(B1018="",SUM(COUNT($A$5:A1018)+1),""))</f>
        <v/>
      </c>
      <c r="C1019" s="316" t="str">
        <f>IF(B1019="","",VLOOKUP(B1019,'TB for financial'!A:B,2,0))</f>
        <v/>
      </c>
      <c r="D1019" s="317"/>
      <c r="E1019" s="318"/>
      <c r="F1019" s="319"/>
      <c r="G1019" s="320"/>
      <c r="H1019" s="321"/>
      <c r="I1019" s="322"/>
      <c r="J1019" s="323"/>
    </row>
    <row r="1020" spans="1:10" ht="15" customHeight="1">
      <c r="A1020" s="315" t="str">
        <f>IF(B1020="","",IF(B1019="",SUM(COUNT($A$5:A1019)+1),""))</f>
        <v/>
      </c>
      <c r="C1020" s="316" t="str">
        <f>IF(B1020="","",VLOOKUP(B1020,'TB for financial'!A:B,2,0))</f>
        <v/>
      </c>
      <c r="D1020" s="317"/>
      <c r="E1020" s="318"/>
      <c r="F1020" s="319"/>
      <c r="G1020" s="320"/>
      <c r="H1020" s="321"/>
      <c r="I1020" s="322"/>
      <c r="J1020" s="323"/>
    </row>
    <row r="1021" spans="1:10" ht="15" customHeight="1">
      <c r="A1021" s="315" t="str">
        <f>IF(B1021="","",IF(B1020="",SUM(COUNT($A$5:A1020)+1),""))</f>
        <v/>
      </c>
      <c r="C1021" s="316" t="str">
        <f>IF(B1021="","",VLOOKUP(B1021,'TB for financial'!A:B,2,0))</f>
        <v/>
      </c>
      <c r="D1021" s="317"/>
      <c r="E1021" s="318"/>
      <c r="F1021" s="319"/>
      <c r="G1021" s="320"/>
      <c r="H1021" s="321"/>
      <c r="I1021" s="322"/>
      <c r="J1021" s="323"/>
    </row>
    <row r="1022" spans="1:10" ht="15" customHeight="1">
      <c r="A1022" s="315" t="str">
        <f>IF(B1022="","",IF(B1021="",SUM(COUNT($A$5:A1021)+1),""))</f>
        <v/>
      </c>
      <c r="C1022" s="316" t="str">
        <f>IF(B1022="","",VLOOKUP(B1022,'TB for financial'!A:B,2,0))</f>
        <v/>
      </c>
      <c r="D1022" s="317"/>
      <c r="E1022" s="318"/>
      <c r="F1022" s="319"/>
      <c r="G1022" s="320"/>
      <c r="H1022" s="321"/>
      <c r="I1022" s="322"/>
      <c r="J1022" s="323"/>
    </row>
    <row r="1023" spans="1:10" ht="15" customHeight="1">
      <c r="A1023" s="315" t="str">
        <f>IF(B1023="","",IF(B1022="",SUM(COUNT($A$5:A1022)+1),""))</f>
        <v/>
      </c>
      <c r="C1023" s="316" t="str">
        <f>IF(B1023="","",VLOOKUP(B1023,'TB for financial'!A:B,2,0))</f>
        <v/>
      </c>
      <c r="D1023" s="317"/>
      <c r="E1023" s="318"/>
      <c r="F1023" s="319"/>
      <c r="G1023" s="320"/>
      <c r="H1023" s="321"/>
      <c r="I1023" s="328"/>
      <c r="J1023" s="323"/>
    </row>
    <row r="1024" spans="1:10" ht="15" customHeight="1">
      <c r="A1024" s="315" t="str">
        <f>IF(B1024="","",IF(B1023="",SUM(COUNT($A$5:A1023)+1),""))</f>
        <v/>
      </c>
      <c r="C1024" s="316" t="str">
        <f>IF(B1024="","",VLOOKUP(B1024,'TB for financial'!A:B,2,0))</f>
        <v/>
      </c>
      <c r="D1024" s="317"/>
      <c r="E1024" s="318"/>
      <c r="F1024" s="319"/>
      <c r="G1024" s="320"/>
      <c r="H1024" s="321"/>
      <c r="I1024" s="322"/>
      <c r="J1024" s="323"/>
    </row>
    <row r="1025" spans="1:10" ht="15" customHeight="1">
      <c r="A1025" s="315" t="str">
        <f>IF(B1025="","",IF(B1024="",SUM(COUNT($A$5:A1024)+1),""))</f>
        <v/>
      </c>
      <c r="C1025" s="316" t="str">
        <f>IF(B1025="","",VLOOKUP(B1025,'TB for financial'!A:B,2,0))</f>
        <v/>
      </c>
      <c r="D1025" s="317"/>
      <c r="E1025" s="318"/>
      <c r="F1025" s="319"/>
      <c r="G1025" s="320"/>
      <c r="H1025" s="321"/>
      <c r="I1025" s="322"/>
      <c r="J1025" s="323"/>
    </row>
    <row r="1026" spans="1:10" ht="15" customHeight="1">
      <c r="A1026" s="315" t="str">
        <f>IF(B1026="","",IF(B1025="",SUM(COUNT($A$5:A1025)+1),""))</f>
        <v/>
      </c>
      <c r="C1026" s="316" t="str">
        <f>IF(B1026="","",VLOOKUP(B1026,'TB for financial'!A:B,2,0))</f>
        <v/>
      </c>
      <c r="D1026" s="317"/>
      <c r="E1026" s="318"/>
      <c r="F1026" s="319"/>
      <c r="G1026" s="320"/>
      <c r="H1026" s="321"/>
      <c r="I1026" s="322"/>
      <c r="J1026" s="323"/>
    </row>
    <row r="1027" spans="1:10" ht="15" customHeight="1">
      <c r="A1027" s="315" t="str">
        <f>IF(B1027="","",IF(B1026="",SUM(COUNT($A$5:A1026)+1),""))</f>
        <v/>
      </c>
      <c r="C1027" s="316" t="str">
        <f>IF(B1027="","",VLOOKUP(B1027,'TB for financial'!A:B,2,0))</f>
        <v/>
      </c>
      <c r="D1027" s="317"/>
      <c r="E1027" s="318"/>
      <c r="F1027" s="319"/>
      <c r="G1027" s="320"/>
      <c r="H1027" s="321"/>
      <c r="I1027" s="328"/>
      <c r="J1027" s="323"/>
    </row>
    <row r="1028" spans="1:10" ht="15" customHeight="1">
      <c r="A1028" s="315" t="str">
        <f>IF(B1028="","",IF(B1027="",SUM(COUNT($A$5:A1027)+1),""))</f>
        <v/>
      </c>
      <c r="C1028" s="316" t="str">
        <f>IF(B1028="","",VLOOKUP(B1028,'TB for financial'!A:B,2,0))</f>
        <v/>
      </c>
      <c r="D1028" s="317"/>
      <c r="E1028" s="318"/>
      <c r="F1028" s="319"/>
      <c r="G1028" s="320"/>
      <c r="H1028" s="321"/>
      <c r="I1028" s="322"/>
      <c r="J1028" s="323"/>
    </row>
    <row r="1029" spans="1:10" ht="15" customHeight="1">
      <c r="A1029" s="315" t="str">
        <f>IF(B1029="","",IF(B1028="",SUM(COUNT($A$5:A1028)+1),""))</f>
        <v/>
      </c>
      <c r="C1029" s="316" t="str">
        <f>IF(B1029="","",VLOOKUP(B1029,'TB for financial'!A:B,2,0))</f>
        <v/>
      </c>
      <c r="D1029" s="317"/>
      <c r="E1029" s="318"/>
      <c r="F1029" s="319"/>
      <c r="G1029" s="320"/>
      <c r="H1029" s="321"/>
      <c r="I1029" s="322"/>
      <c r="J1029" s="323"/>
    </row>
    <row r="1030" spans="1:10" ht="15" customHeight="1">
      <c r="A1030" s="315" t="str">
        <f>IF(B1030="","",IF(B1029="",SUM(COUNT($A$5:A1029)+1),""))</f>
        <v/>
      </c>
      <c r="C1030" s="316" t="str">
        <f>IF(B1030="","",VLOOKUP(B1030,'TB for financial'!A:B,2,0))</f>
        <v/>
      </c>
      <c r="D1030" s="317"/>
      <c r="E1030" s="318"/>
      <c r="F1030" s="319"/>
      <c r="G1030" s="320"/>
      <c r="H1030" s="321"/>
      <c r="I1030" s="322"/>
      <c r="J1030" s="323"/>
    </row>
    <row r="1031" spans="1:10" ht="15" customHeight="1">
      <c r="A1031" s="315" t="str">
        <f>IF(B1031="","",IF(B1030="",SUM(COUNT($A$5:A1030)+1),""))</f>
        <v/>
      </c>
      <c r="C1031" s="316" t="str">
        <f>IF(B1031="","",VLOOKUP(B1031,'TB for financial'!A:B,2,0))</f>
        <v/>
      </c>
      <c r="D1031" s="317"/>
      <c r="E1031" s="318"/>
      <c r="F1031" s="319"/>
      <c r="G1031" s="320"/>
      <c r="H1031" s="321"/>
      <c r="I1031" s="328"/>
      <c r="J1031" s="323"/>
    </row>
    <row r="1032" spans="1:10" ht="15" customHeight="1">
      <c r="A1032" s="315" t="str">
        <f>IF(B1032="","",IF(B1031="",SUM(COUNT($A$5:A1031)+1),""))</f>
        <v/>
      </c>
      <c r="C1032" s="316" t="str">
        <f>IF(B1032="","",VLOOKUP(B1032,'TB for financial'!A:B,2,0))</f>
        <v/>
      </c>
      <c r="D1032" s="317"/>
      <c r="E1032" s="318"/>
      <c r="F1032" s="319"/>
      <c r="G1032" s="320"/>
      <c r="H1032" s="321"/>
      <c r="I1032" s="322"/>
      <c r="J1032" s="323"/>
    </row>
    <row r="1033" spans="1:10" ht="15" customHeight="1">
      <c r="A1033" s="315" t="str">
        <f>IF(B1033="","",IF(B1032="",SUM(COUNT($A$5:A1032)+1),""))</f>
        <v/>
      </c>
      <c r="C1033" s="316" t="str">
        <f>IF(B1033="","",VLOOKUP(B1033,'TB for financial'!A:B,2,0))</f>
        <v/>
      </c>
      <c r="D1033" s="317"/>
      <c r="E1033" s="318"/>
      <c r="F1033" s="319"/>
      <c r="G1033" s="320"/>
      <c r="H1033" s="321"/>
      <c r="I1033" s="322"/>
      <c r="J1033" s="323"/>
    </row>
    <row r="1034" spans="1:10" ht="15" customHeight="1">
      <c r="A1034" s="315" t="str">
        <f>IF(B1034="","",IF(B1033="",SUM(COUNT($A$5:A1033)+1),""))</f>
        <v/>
      </c>
      <c r="C1034" s="316" t="str">
        <f>IF(B1034="","",VLOOKUP(B1034,'TB for financial'!A:B,2,0))</f>
        <v/>
      </c>
      <c r="D1034" s="317"/>
      <c r="E1034" s="318"/>
      <c r="F1034" s="319"/>
      <c r="G1034" s="320"/>
      <c r="H1034" s="321"/>
      <c r="I1034" s="322"/>
      <c r="J1034" s="323"/>
    </row>
    <row r="1035" spans="1:10" ht="15" customHeight="1">
      <c r="A1035" s="315" t="str">
        <f>IF(B1035="","",IF(B1034="",SUM(COUNT($A$5:A1034)+1),""))</f>
        <v/>
      </c>
      <c r="C1035" s="316" t="str">
        <f>IF(B1035="","",VLOOKUP(B1035,'TB for financial'!A:B,2,0))</f>
        <v/>
      </c>
      <c r="D1035" s="317"/>
      <c r="E1035" s="318"/>
      <c r="F1035" s="319"/>
      <c r="G1035" s="320"/>
      <c r="H1035" s="321"/>
      <c r="I1035" s="322"/>
      <c r="J1035" s="323"/>
    </row>
    <row r="1036" spans="1:10">
      <c r="A1036" s="315" t="str">
        <f>IF(B1036="","",IF(B1035="",SUM(COUNT($A$5:A1035)+1),""))</f>
        <v/>
      </c>
      <c r="C1036" s="316" t="str">
        <f>IF(B1036="","",VLOOKUP(B1036,'TB for financial'!A:B,2,0))</f>
        <v/>
      </c>
      <c r="D1036" s="317"/>
      <c r="E1036" s="318"/>
      <c r="F1036" s="319"/>
      <c r="G1036" s="320"/>
      <c r="H1036" s="321"/>
      <c r="I1036" s="322"/>
      <c r="J1036" s="323"/>
    </row>
    <row r="1037" spans="1:10">
      <c r="A1037" s="315" t="str">
        <f>IF(B1037="","",IF(B1036="",SUM(COUNT($A$5:A1036)+1),""))</f>
        <v/>
      </c>
      <c r="C1037" s="316" t="str">
        <f>IF(B1037="","",VLOOKUP(B1037,'TB for financial'!A:B,2,0))</f>
        <v/>
      </c>
      <c r="D1037" s="317"/>
      <c r="E1037" s="318"/>
      <c r="F1037" s="319"/>
      <c r="G1037" s="320"/>
      <c r="H1037" s="321"/>
      <c r="I1037" s="322"/>
      <c r="J1037" s="323"/>
    </row>
    <row r="1038" spans="1:10" ht="15" customHeight="1">
      <c r="A1038" s="315" t="str">
        <f>IF(B1038="","",IF(B1037="",SUM(COUNT($A$5:A1037)+1),""))</f>
        <v/>
      </c>
      <c r="C1038" s="316" t="str">
        <f>IF(B1038="","",VLOOKUP(B1038,'TB for financial'!A:B,2,0))</f>
        <v/>
      </c>
      <c r="D1038" s="317"/>
      <c r="E1038" s="318"/>
      <c r="F1038" s="319"/>
      <c r="G1038" s="320"/>
      <c r="H1038" s="321"/>
      <c r="I1038" s="322"/>
      <c r="J1038" s="323"/>
    </row>
    <row r="1039" spans="1:10" ht="15" customHeight="1">
      <c r="A1039" s="315" t="str">
        <f>IF(B1039="","",IF(B1038="",SUM(COUNT($A$5:A1038)+1),""))</f>
        <v/>
      </c>
      <c r="C1039" s="316" t="str">
        <f>IF(B1039="","",VLOOKUP(B1039,'TB for financial'!A:B,2,0))</f>
        <v/>
      </c>
      <c r="D1039" s="317"/>
      <c r="E1039" s="318"/>
      <c r="F1039" s="319"/>
      <c r="G1039" s="320"/>
      <c r="H1039" s="321"/>
      <c r="I1039" s="322"/>
      <c r="J1039" s="323"/>
    </row>
    <row r="1040" spans="1:10">
      <c r="A1040" s="315" t="str">
        <f>IF(B1040="","",IF(B1039="",SUM(COUNT($A$5:A1039)+1),""))</f>
        <v/>
      </c>
      <c r="C1040" s="316" t="str">
        <f>IF(B1040="","",VLOOKUP(B1040,'TB for financial'!A:B,2,0))</f>
        <v/>
      </c>
      <c r="D1040" s="317"/>
      <c r="E1040" s="318"/>
      <c r="F1040" s="319"/>
      <c r="G1040" s="320"/>
      <c r="H1040" s="321"/>
      <c r="I1040" s="322"/>
      <c r="J1040" s="323"/>
    </row>
    <row r="1041" spans="1:10" ht="15" customHeight="1">
      <c r="A1041" s="315" t="str">
        <f>IF(B1041="","",IF(B1040="",SUM(COUNT($A$5:A1040)+1),""))</f>
        <v/>
      </c>
      <c r="C1041" s="316" t="str">
        <f>IF(B1041="","",VLOOKUP(B1041,'TB for financial'!A:B,2,0))</f>
        <v/>
      </c>
      <c r="D1041" s="317"/>
      <c r="E1041" s="318"/>
      <c r="F1041" s="319"/>
      <c r="G1041" s="320"/>
      <c r="H1041" s="321"/>
      <c r="I1041" s="322"/>
      <c r="J1041" s="323"/>
    </row>
    <row r="1042" spans="1:10" ht="15" customHeight="1">
      <c r="A1042" s="315" t="str">
        <f>IF(B1042="","",IF(B1041="",SUM(COUNT($A$5:A1041)+1),""))</f>
        <v/>
      </c>
      <c r="C1042" s="316" t="str">
        <f>IF(B1042="","",VLOOKUP(B1042,'TB for financial'!A:B,2,0))</f>
        <v/>
      </c>
      <c r="D1042" s="317"/>
      <c r="E1042" s="318"/>
      <c r="F1042" s="319"/>
      <c r="G1042" s="320"/>
      <c r="H1042" s="321"/>
      <c r="I1042" s="322"/>
      <c r="J1042" s="323"/>
    </row>
    <row r="1043" spans="1:10" ht="15" customHeight="1">
      <c r="A1043" s="315" t="str">
        <f>IF(B1043="","",IF(B1042="",SUM(COUNT($A$5:A1042)+1),""))</f>
        <v/>
      </c>
      <c r="C1043" s="316" t="str">
        <f>IF(B1043="","",VLOOKUP(B1043,'TB for financial'!A:B,2,0))</f>
        <v/>
      </c>
      <c r="D1043" s="317"/>
      <c r="E1043" s="318"/>
      <c r="F1043" s="319"/>
      <c r="G1043" s="320"/>
      <c r="H1043" s="321"/>
      <c r="I1043" s="322"/>
      <c r="J1043" s="323"/>
    </row>
    <row r="1044" spans="1:10">
      <c r="A1044" s="315" t="str">
        <f>IF(B1044="","",IF(B1043="",SUM(COUNT($A$5:A1043)+1),""))</f>
        <v/>
      </c>
      <c r="C1044" s="316" t="str">
        <f>IF(B1044="","",VLOOKUP(B1044,'TB for financial'!A:B,2,0))</f>
        <v/>
      </c>
      <c r="D1044" s="317"/>
      <c r="E1044" s="318"/>
      <c r="F1044" s="319"/>
      <c r="G1044" s="320"/>
      <c r="H1044" s="321"/>
      <c r="I1044" s="322"/>
      <c r="J1044" s="323"/>
    </row>
    <row r="1045" spans="1:10" ht="15" customHeight="1">
      <c r="A1045" s="315" t="str">
        <f>IF(B1045="","",IF(B1044="",SUM(COUNT($A$5:A1044)+1),""))</f>
        <v/>
      </c>
      <c r="C1045" s="316" t="str">
        <f>IF(B1045="","",VLOOKUP(B1045,'TB for financial'!A:B,2,0))</f>
        <v/>
      </c>
      <c r="D1045" s="317"/>
      <c r="E1045" s="318"/>
      <c r="F1045" s="319"/>
      <c r="G1045" s="320"/>
      <c r="H1045" s="321"/>
      <c r="I1045" s="322"/>
      <c r="J1045" s="323"/>
    </row>
    <row r="1046" spans="1:10" ht="15" customHeight="1">
      <c r="A1046" s="315" t="str">
        <f>IF(B1046="","",IF(B1045="",SUM(COUNT($A$5:A1045)+1),""))</f>
        <v/>
      </c>
      <c r="C1046" s="316" t="str">
        <f>IF(B1046="","",VLOOKUP(B1046,'TB for financial'!A:B,2,0))</f>
        <v/>
      </c>
      <c r="D1046" s="317"/>
      <c r="E1046" s="318"/>
      <c r="F1046" s="319"/>
      <c r="G1046" s="320"/>
      <c r="H1046" s="321"/>
      <c r="I1046" s="322"/>
      <c r="J1046" s="323"/>
    </row>
    <row r="1047" spans="1:10" ht="15" customHeight="1">
      <c r="A1047" s="315" t="str">
        <f>IF(B1047="","",IF(B1046="",SUM(COUNT($A$5:A1046)+1),""))</f>
        <v/>
      </c>
      <c r="C1047" s="316" t="str">
        <f>IF(B1047="","",VLOOKUP(B1047,'TB for financial'!A:B,2,0))</f>
        <v/>
      </c>
      <c r="D1047" s="317"/>
      <c r="E1047" s="318"/>
      <c r="F1047" s="319"/>
      <c r="G1047" s="320"/>
      <c r="H1047" s="321"/>
      <c r="I1047" s="322"/>
      <c r="J1047" s="323"/>
    </row>
    <row r="1048" spans="1:10">
      <c r="A1048" s="315" t="str">
        <f>IF(B1048="","",IF(B1047="",SUM(COUNT($A$5:A1047)+1),""))</f>
        <v/>
      </c>
      <c r="C1048" s="316" t="str">
        <f>IF(B1048="","",VLOOKUP(B1048,'TB for financial'!A:B,2,0))</f>
        <v/>
      </c>
      <c r="D1048" s="317"/>
      <c r="E1048" s="318"/>
      <c r="F1048" s="319"/>
      <c r="G1048" s="320"/>
      <c r="H1048" s="321"/>
      <c r="I1048" s="322"/>
      <c r="J1048" s="323"/>
    </row>
    <row r="1049" spans="1:10" ht="15" customHeight="1">
      <c r="A1049" s="315" t="str">
        <f>IF(B1049="","",IF(B1048="",SUM(COUNT($A$5:A1048)+1),""))</f>
        <v/>
      </c>
      <c r="C1049" s="316" t="str">
        <f>IF(B1049="","",VLOOKUP(B1049,'TB for financial'!A:B,2,0))</f>
        <v/>
      </c>
      <c r="D1049" s="317"/>
      <c r="E1049" s="318"/>
      <c r="F1049" s="319"/>
      <c r="G1049" s="320"/>
      <c r="H1049" s="321"/>
      <c r="I1049" s="322"/>
      <c r="J1049" s="323"/>
    </row>
    <row r="1050" spans="1:10" ht="15" customHeight="1">
      <c r="A1050" s="315" t="str">
        <f>IF(B1050="","",IF(B1049="",SUM(COUNT($A$5:A1049)+1),""))</f>
        <v/>
      </c>
      <c r="C1050" s="316" t="str">
        <f>IF(B1050="","",VLOOKUP(B1050,'TB for financial'!A:B,2,0))</f>
        <v/>
      </c>
      <c r="D1050" s="317"/>
      <c r="E1050" s="318"/>
      <c r="F1050" s="319"/>
      <c r="G1050" s="320"/>
      <c r="H1050" s="321"/>
      <c r="I1050" s="322"/>
      <c r="J1050" s="323"/>
    </row>
    <row r="1051" spans="1:10" ht="15" customHeight="1">
      <c r="A1051" s="315" t="str">
        <f>IF(B1051="","",IF(B1050="",SUM(COUNT($A$5:A1050)+1),""))</f>
        <v/>
      </c>
      <c r="C1051" s="316" t="str">
        <f>IF(B1051="","",VLOOKUP(B1051,'TB for financial'!A:B,2,0))</f>
        <v/>
      </c>
      <c r="D1051" s="317"/>
      <c r="E1051" s="318"/>
      <c r="F1051" s="319"/>
      <c r="G1051" s="320"/>
      <c r="H1051" s="321"/>
      <c r="I1051" s="322"/>
      <c r="J1051" s="323"/>
    </row>
    <row r="1052" spans="1:10" ht="15" customHeight="1">
      <c r="A1052" s="315" t="str">
        <f>IF(B1052="","",IF(B1051="",SUM(COUNT($A$5:A1051)+1),""))</f>
        <v/>
      </c>
      <c r="C1052" s="316" t="str">
        <f>IF(B1052="","",VLOOKUP(B1052,'TB for financial'!A:B,2,0))</f>
        <v/>
      </c>
      <c r="D1052" s="317"/>
      <c r="E1052" s="318"/>
      <c r="F1052" s="319"/>
      <c r="G1052" s="320"/>
      <c r="H1052" s="321"/>
      <c r="I1052" s="322"/>
      <c r="J1052" s="323"/>
    </row>
    <row r="1053" spans="1:10" ht="15" customHeight="1">
      <c r="A1053" s="315" t="str">
        <f>IF(B1053="","",IF(B1052="",SUM(COUNT($A$5:A1052)+1),""))</f>
        <v/>
      </c>
      <c r="C1053" s="316" t="str">
        <f>IF(B1053="","",VLOOKUP(B1053,'TB for financial'!A:B,2,0))</f>
        <v/>
      </c>
      <c r="D1053" s="317"/>
      <c r="E1053" s="318"/>
      <c r="F1053" s="319"/>
      <c r="G1053" s="320"/>
      <c r="H1053" s="321"/>
      <c r="I1053" s="322"/>
      <c r="J1053" s="323"/>
    </row>
    <row r="1054" spans="1:10" ht="15" customHeight="1">
      <c r="A1054" s="315" t="str">
        <f>IF(B1054="","",IF(B1053="",SUM(COUNT($A$5:A1053)+1),""))</f>
        <v/>
      </c>
      <c r="C1054" s="316" t="str">
        <f>IF(B1054="","",VLOOKUP(B1054,'TB for financial'!A:B,2,0))</f>
        <v/>
      </c>
      <c r="D1054" s="317"/>
      <c r="E1054" s="318"/>
      <c r="F1054" s="319"/>
      <c r="G1054" s="320"/>
      <c r="H1054" s="321"/>
      <c r="I1054" s="322"/>
      <c r="J1054" s="323"/>
    </row>
    <row r="1055" spans="1:10" ht="15" customHeight="1">
      <c r="A1055" s="315" t="str">
        <f>IF(B1055="","",IF(B1054="",SUM(COUNT($A$5:A1054)+1),""))</f>
        <v/>
      </c>
      <c r="C1055" s="316" t="str">
        <f>IF(B1055="","",VLOOKUP(B1055,'TB for financial'!A:B,2,0))</f>
        <v/>
      </c>
      <c r="D1055" s="317"/>
      <c r="E1055" s="318"/>
      <c r="F1055" s="319"/>
      <c r="G1055" s="320"/>
      <c r="H1055" s="321"/>
      <c r="I1055" s="322"/>
      <c r="J1055" s="323"/>
    </row>
    <row r="1056" spans="1:10" ht="15" customHeight="1">
      <c r="A1056" s="315" t="str">
        <f>IF(B1056="","",IF(B1055="",SUM(COUNT($A$5:A1055)+1),""))</f>
        <v/>
      </c>
      <c r="C1056" s="316" t="str">
        <f>IF(B1056="","",VLOOKUP(B1056,'TB for financial'!A:B,2,0))</f>
        <v/>
      </c>
      <c r="D1056" s="317"/>
      <c r="E1056" s="318"/>
      <c r="F1056" s="319"/>
      <c r="G1056" s="320"/>
      <c r="H1056" s="321"/>
      <c r="I1056" s="322"/>
      <c r="J1056" s="323"/>
    </row>
    <row r="1057" spans="1:10" ht="15" customHeight="1">
      <c r="A1057" s="315" t="str">
        <f>IF(B1057="","",IF(B1056="",SUM(COUNT($A$5:A1056)+1),""))</f>
        <v/>
      </c>
      <c r="C1057" s="316" t="str">
        <f>IF(B1057="","",VLOOKUP(B1057,'TB for financial'!A:B,2,0))</f>
        <v/>
      </c>
      <c r="D1057" s="317"/>
      <c r="E1057" s="318"/>
      <c r="F1057" s="319"/>
      <c r="G1057" s="320"/>
      <c r="H1057" s="321"/>
      <c r="I1057" s="322"/>
      <c r="J1057" s="323"/>
    </row>
    <row r="1058" spans="1:10" ht="15" customHeight="1">
      <c r="A1058" s="315" t="str">
        <f>IF(B1058="","",IF(B1057="",SUM(COUNT($A$5:A1057)+1),""))</f>
        <v/>
      </c>
      <c r="C1058" s="316" t="str">
        <f>IF(B1058="","",VLOOKUP(B1058,'TB for financial'!A:B,2,0))</f>
        <v/>
      </c>
      <c r="D1058" s="317"/>
      <c r="E1058" s="318"/>
      <c r="F1058" s="319"/>
      <c r="G1058" s="320"/>
      <c r="H1058" s="321"/>
      <c r="I1058" s="322"/>
      <c r="J1058" s="323"/>
    </row>
    <row r="1059" spans="1:10" ht="15" customHeight="1">
      <c r="A1059" s="315" t="str">
        <f>IF(B1059="","",IF(B1058="",SUM(COUNT($A$5:A1058)+1),""))</f>
        <v/>
      </c>
      <c r="C1059" s="316" t="str">
        <f>IF(B1059="","",VLOOKUP(B1059,'TB for financial'!A:B,2,0))</f>
        <v/>
      </c>
      <c r="D1059" s="317"/>
      <c r="E1059" s="318"/>
      <c r="F1059" s="319"/>
      <c r="G1059" s="320"/>
      <c r="H1059" s="321"/>
      <c r="I1059" s="322"/>
      <c r="J1059" s="323"/>
    </row>
    <row r="1060" spans="1:10" ht="15" customHeight="1">
      <c r="A1060" s="315" t="str">
        <f>IF(B1060="","",IF(B1059="",SUM(COUNT($A$5:A1059)+1),""))</f>
        <v/>
      </c>
      <c r="C1060" s="316" t="str">
        <f>IF(B1060="","",VLOOKUP(B1060,'TB for financial'!A:B,2,0))</f>
        <v/>
      </c>
      <c r="D1060" s="317"/>
      <c r="E1060" s="318"/>
      <c r="F1060" s="319"/>
      <c r="G1060" s="320"/>
      <c r="H1060" s="321"/>
      <c r="I1060" s="322"/>
      <c r="J1060" s="323"/>
    </row>
    <row r="1061" spans="1:10" ht="15" customHeight="1">
      <c r="A1061" s="315" t="str">
        <f>IF(B1061="","",IF(B1060="",SUM(COUNT($A$5:A1060)+1),""))</f>
        <v/>
      </c>
      <c r="C1061" s="316" t="str">
        <f>IF(B1061="","",VLOOKUP(B1061,'TB for financial'!A:B,2,0))</f>
        <v/>
      </c>
      <c r="D1061" s="317"/>
      <c r="E1061" s="318"/>
      <c r="F1061" s="319"/>
      <c r="G1061" s="320"/>
      <c r="H1061" s="321"/>
      <c r="I1061" s="322"/>
      <c r="J1061" s="323"/>
    </row>
    <row r="1062" spans="1:10" ht="15" customHeight="1">
      <c r="A1062" s="315" t="str">
        <f>IF(B1062="","",IF(B1061="",SUM(COUNT($A$5:A1061)+1),""))</f>
        <v/>
      </c>
      <c r="C1062" s="316" t="str">
        <f>IF(B1062="","",VLOOKUP(B1062,'TB for financial'!A:B,2,0))</f>
        <v/>
      </c>
      <c r="D1062" s="317"/>
      <c r="E1062" s="318"/>
      <c r="F1062" s="319"/>
      <c r="G1062" s="320"/>
      <c r="H1062" s="321"/>
      <c r="I1062" s="322"/>
      <c r="J1062" s="323"/>
    </row>
    <row r="1063" spans="1:10" ht="15" customHeight="1">
      <c r="A1063" s="315" t="str">
        <f>IF(B1063="","",IF(B1062="",SUM(COUNT($A$5:A1062)+1),""))</f>
        <v/>
      </c>
      <c r="C1063" s="316" t="str">
        <f>IF(B1063="","",VLOOKUP(B1063,'TB for financial'!A:B,2,0))</f>
        <v/>
      </c>
      <c r="D1063" s="317"/>
      <c r="E1063" s="318"/>
      <c r="F1063" s="319"/>
      <c r="G1063" s="320"/>
      <c r="H1063" s="321"/>
      <c r="I1063" s="322"/>
      <c r="J1063" s="323"/>
    </row>
    <row r="1064" spans="1:10" ht="15" customHeight="1">
      <c r="A1064" s="315" t="str">
        <f>IF(B1064="","",IF(B1063="",SUM(COUNT($A$5:A1063)+1),""))</f>
        <v/>
      </c>
      <c r="C1064" s="316" t="str">
        <f>IF(B1064="","",VLOOKUP(B1064,'TB for financial'!A:B,2,0))</f>
        <v/>
      </c>
      <c r="D1064" s="317"/>
      <c r="E1064" s="318"/>
      <c r="F1064" s="319"/>
      <c r="G1064" s="320"/>
      <c r="H1064" s="321"/>
      <c r="I1064" s="322"/>
      <c r="J1064" s="323"/>
    </row>
    <row r="1065" spans="1:10">
      <c r="A1065" s="315" t="str">
        <f>IF(B1065="","",IF(B1064="",SUM(COUNT($A$5:A1064)+1),""))</f>
        <v/>
      </c>
      <c r="C1065" s="316" t="str">
        <f>IF(B1065="","",VLOOKUP(B1065,'TB for financial'!A:B,2,0))</f>
        <v/>
      </c>
      <c r="D1065" s="317"/>
      <c r="E1065" s="318"/>
      <c r="F1065" s="319"/>
      <c r="G1065" s="320"/>
      <c r="H1065" s="321"/>
      <c r="I1065" s="322"/>
      <c r="J1065" s="323"/>
    </row>
    <row r="1066" spans="1:10" ht="15" customHeight="1">
      <c r="A1066" s="315" t="str">
        <f>IF(B1066="","",IF(B1065="",SUM(COUNT($A$5:A1065)+1),""))</f>
        <v/>
      </c>
      <c r="C1066" s="316" t="str">
        <f>IF(B1066="","",VLOOKUP(B1066,'TB for financial'!A:B,2,0))</f>
        <v/>
      </c>
      <c r="D1066" s="317"/>
      <c r="E1066" s="318"/>
      <c r="F1066" s="319"/>
      <c r="G1066" s="320"/>
      <c r="H1066" s="321"/>
      <c r="I1066" s="322"/>
      <c r="J1066" s="323"/>
    </row>
    <row r="1067" spans="1:10" ht="15" customHeight="1">
      <c r="A1067" s="315" t="str">
        <f>IF(B1067="","",IF(B1066="",SUM(COUNT($A$5:A1066)+1),""))</f>
        <v/>
      </c>
      <c r="C1067" s="316" t="str">
        <f>IF(B1067="","",VLOOKUP(B1067,'TB for financial'!A:B,2,0))</f>
        <v/>
      </c>
      <c r="D1067" s="317"/>
      <c r="E1067" s="318"/>
      <c r="F1067" s="319"/>
      <c r="G1067" s="320"/>
      <c r="H1067" s="321"/>
      <c r="I1067" s="322"/>
      <c r="J1067" s="323"/>
    </row>
    <row r="1068" spans="1:10" ht="15" customHeight="1">
      <c r="A1068" s="315" t="str">
        <f>IF(B1068="","",IF(B1067="",SUM(COUNT($A$5:A1067)+1),""))</f>
        <v/>
      </c>
      <c r="C1068" s="316" t="str">
        <f>IF(B1068="","",VLOOKUP(B1068,'TB for financial'!A:B,2,0))</f>
        <v/>
      </c>
      <c r="D1068" s="317"/>
      <c r="E1068" s="318"/>
      <c r="F1068" s="319"/>
      <c r="G1068" s="320"/>
      <c r="H1068" s="321"/>
      <c r="I1068" s="322"/>
      <c r="J1068" s="323"/>
    </row>
    <row r="1069" spans="1:10">
      <c r="A1069" s="315" t="str">
        <f>IF(B1069="","",IF(B1068="",SUM(COUNT($A$5:A1068)+1),""))</f>
        <v/>
      </c>
      <c r="C1069" s="316" t="str">
        <f>IF(B1069="","",VLOOKUP(B1069,'TB for financial'!A:B,2,0))</f>
        <v/>
      </c>
      <c r="D1069" s="317"/>
      <c r="E1069" s="318"/>
      <c r="F1069" s="319"/>
      <c r="G1069" s="320"/>
      <c r="H1069" s="321"/>
      <c r="I1069" s="322"/>
      <c r="J1069" s="323"/>
    </row>
    <row r="1070" spans="1:10" ht="15" customHeight="1">
      <c r="A1070" s="315" t="str">
        <f>IF(B1070="","",IF(B1069="",SUM(COUNT($A$5:A1069)+1),""))</f>
        <v/>
      </c>
      <c r="C1070" s="316" t="str">
        <f>IF(B1070="","",VLOOKUP(B1070,'TB for financial'!A:B,2,0))</f>
        <v/>
      </c>
      <c r="D1070" s="317"/>
      <c r="E1070" s="318"/>
      <c r="F1070" s="319"/>
      <c r="G1070" s="320"/>
      <c r="H1070" s="321"/>
      <c r="I1070" s="322"/>
      <c r="J1070" s="323"/>
    </row>
    <row r="1071" spans="1:10" ht="15" customHeight="1">
      <c r="A1071" s="315" t="str">
        <f>IF(B1071="","",IF(B1070="",SUM(COUNT($A$5:A1070)+1),""))</f>
        <v/>
      </c>
      <c r="C1071" s="316" t="str">
        <f>IF(B1071="","",VLOOKUP(B1071,'TB for financial'!A:B,2,0))</f>
        <v/>
      </c>
      <c r="D1071" s="317"/>
      <c r="E1071" s="318"/>
      <c r="F1071" s="319"/>
      <c r="G1071" s="320"/>
      <c r="H1071" s="321"/>
      <c r="I1071" s="322"/>
      <c r="J1071" s="323"/>
    </row>
    <row r="1072" spans="1:10" ht="15" customHeight="1">
      <c r="A1072" s="315" t="str">
        <f>IF(B1072="","",IF(B1071="",SUM(COUNT($A$5:A1071)+1),""))</f>
        <v/>
      </c>
      <c r="C1072" s="316" t="str">
        <f>IF(B1072="","",VLOOKUP(B1072,'TB for financial'!A:B,2,0))</f>
        <v/>
      </c>
      <c r="D1072" s="317"/>
      <c r="E1072" s="318"/>
      <c r="F1072" s="319"/>
      <c r="G1072" s="320"/>
      <c r="H1072" s="321"/>
      <c r="I1072" s="322"/>
      <c r="J1072" s="323"/>
    </row>
    <row r="1073" spans="1:10" ht="15" customHeight="1">
      <c r="A1073" s="315" t="str">
        <f>IF(B1073="","",IF(B1072="",SUM(COUNT($A$5:A1072)+1),""))</f>
        <v/>
      </c>
      <c r="C1073" s="316" t="str">
        <f>IF(B1073="","",VLOOKUP(B1073,'TB for financial'!A:B,2,0))</f>
        <v/>
      </c>
      <c r="D1073" s="317"/>
      <c r="E1073" s="318"/>
      <c r="F1073" s="319"/>
      <c r="G1073" s="320"/>
      <c r="H1073" s="321"/>
      <c r="I1073" s="322"/>
      <c r="J1073" s="323"/>
    </row>
    <row r="1074" spans="1:10" ht="15" customHeight="1">
      <c r="A1074" s="315" t="str">
        <f>IF(B1074="","",IF(B1073="",SUM(COUNT($A$5:A1073)+1),""))</f>
        <v/>
      </c>
      <c r="C1074" s="316" t="str">
        <f>IF(B1074="","",VLOOKUP(B1074,'TB for financial'!A:B,2,0))</f>
        <v/>
      </c>
      <c r="D1074" s="317"/>
      <c r="E1074" s="318"/>
      <c r="F1074" s="319"/>
      <c r="G1074" s="320"/>
      <c r="H1074" s="321"/>
      <c r="I1074" s="322"/>
      <c r="J1074" s="323"/>
    </row>
    <row r="1075" spans="1:10" ht="15" customHeight="1">
      <c r="A1075" s="315" t="str">
        <f>IF(B1075="","",IF(B1074="",SUM(COUNT($A$5:A1074)+1),""))</f>
        <v/>
      </c>
      <c r="C1075" s="316" t="str">
        <f>IF(B1075="","",VLOOKUP(B1075,'TB for financial'!A:B,2,0))</f>
        <v/>
      </c>
      <c r="D1075" s="317"/>
      <c r="E1075" s="318"/>
      <c r="F1075" s="319"/>
      <c r="G1075" s="320"/>
      <c r="H1075" s="321"/>
      <c r="I1075" s="322"/>
      <c r="J1075" s="323"/>
    </row>
    <row r="1076" spans="1:10" ht="15" customHeight="1">
      <c r="A1076" s="315" t="str">
        <f>IF(B1076="","",IF(B1075="",SUM(COUNT($A$5:A1075)+1),""))</f>
        <v/>
      </c>
      <c r="C1076" s="316" t="str">
        <f>IF(B1076="","",VLOOKUP(B1076,'TB for financial'!A:B,2,0))</f>
        <v/>
      </c>
      <c r="D1076" s="317"/>
      <c r="E1076" s="318"/>
      <c r="F1076" s="319"/>
      <c r="G1076" s="320"/>
      <c r="H1076" s="321"/>
      <c r="I1076" s="322"/>
      <c r="J1076" s="323"/>
    </row>
    <row r="1077" spans="1:10">
      <c r="A1077" s="315" t="str">
        <f>IF(B1077="","",IF(B1076="",SUM(COUNT($A$5:A1076)+1),""))</f>
        <v/>
      </c>
      <c r="C1077" s="316" t="str">
        <f>IF(B1077="","",VLOOKUP(B1077,'TB for financial'!A:B,2,0))</f>
        <v/>
      </c>
      <c r="D1077" s="317"/>
      <c r="E1077" s="318"/>
      <c r="F1077" s="319"/>
      <c r="G1077" s="320"/>
      <c r="H1077" s="321"/>
      <c r="I1077" s="322"/>
      <c r="J1077" s="323"/>
    </row>
    <row r="1078" spans="1:10" ht="15" customHeight="1">
      <c r="A1078" s="315" t="str">
        <f>IF(B1078="","",IF(B1077="",SUM(COUNT($A$5:A1077)+1),""))</f>
        <v/>
      </c>
      <c r="C1078" s="316" t="str">
        <f>IF(B1078="","",VLOOKUP(B1078,'TB for financial'!A:B,2,0))</f>
        <v/>
      </c>
      <c r="D1078" s="317"/>
      <c r="E1078" s="318"/>
      <c r="F1078" s="319"/>
      <c r="G1078" s="320"/>
      <c r="H1078" s="321"/>
      <c r="I1078" s="322"/>
      <c r="J1078" s="323"/>
    </row>
    <row r="1079" spans="1:10" ht="15" customHeight="1">
      <c r="A1079" s="315" t="str">
        <f>IF(B1079="","",IF(B1078="",SUM(COUNT($A$5:A1078)+1),""))</f>
        <v/>
      </c>
      <c r="C1079" s="316" t="str">
        <f>IF(B1079="","",VLOOKUP(B1079,'TB for financial'!A:B,2,0))</f>
        <v/>
      </c>
      <c r="D1079" s="317"/>
      <c r="E1079" s="318"/>
      <c r="F1079" s="319"/>
      <c r="G1079" s="320"/>
      <c r="H1079" s="321"/>
      <c r="I1079" s="322"/>
      <c r="J1079" s="323"/>
    </row>
    <row r="1080" spans="1:10" ht="15" customHeight="1">
      <c r="A1080" s="315" t="str">
        <f>IF(B1080="","",IF(B1079="",SUM(COUNT($A$5:A1079)+1),""))</f>
        <v/>
      </c>
      <c r="C1080" s="316" t="str">
        <f>IF(B1080="","",VLOOKUP(B1080,'TB for financial'!A:B,2,0))</f>
        <v/>
      </c>
      <c r="D1080" s="317"/>
      <c r="E1080" s="318"/>
      <c r="F1080" s="319"/>
      <c r="G1080" s="320"/>
      <c r="H1080" s="321"/>
      <c r="I1080" s="322"/>
      <c r="J1080" s="323"/>
    </row>
    <row r="1081" spans="1:10" ht="15" customHeight="1">
      <c r="A1081" s="315" t="str">
        <f>IF(B1081="","",IF(B1080="",SUM(COUNT($A$5:A1080)+1),""))</f>
        <v/>
      </c>
      <c r="C1081" s="316" t="str">
        <f>IF(B1081="","",VLOOKUP(B1081,'TB for financial'!A:B,2,0))</f>
        <v/>
      </c>
      <c r="D1081" s="317"/>
      <c r="E1081" s="318"/>
      <c r="F1081" s="319"/>
      <c r="G1081" s="320"/>
      <c r="H1081" s="321"/>
      <c r="I1081" s="322"/>
      <c r="J1081" s="323"/>
    </row>
    <row r="1082" spans="1:10" ht="15" customHeight="1">
      <c r="A1082" s="315" t="str">
        <f>IF(B1082="","",IF(B1081="",SUM(COUNT($A$5:A1081)+1),""))</f>
        <v/>
      </c>
      <c r="C1082" s="316" t="str">
        <f>IF(B1082="","",VLOOKUP(B1082,'TB for financial'!A:B,2,0))</f>
        <v/>
      </c>
      <c r="D1082" s="317"/>
      <c r="E1082" s="318"/>
      <c r="F1082" s="319"/>
      <c r="G1082" s="320"/>
      <c r="H1082" s="321"/>
      <c r="I1082" s="322"/>
      <c r="J1082" s="323"/>
    </row>
    <row r="1083" spans="1:10" ht="15" customHeight="1">
      <c r="A1083" s="315" t="str">
        <f>IF(B1083="","",IF(B1082="",SUM(COUNT($A$5:A1082)+1),""))</f>
        <v/>
      </c>
      <c r="C1083" s="316" t="str">
        <f>IF(B1083="","",VLOOKUP(B1083,'TB for financial'!A:B,2,0))</f>
        <v/>
      </c>
      <c r="D1083" s="317"/>
      <c r="E1083" s="318"/>
      <c r="F1083" s="319"/>
      <c r="G1083" s="320"/>
      <c r="H1083" s="321"/>
      <c r="I1083" s="322"/>
      <c r="J1083" s="323"/>
    </row>
    <row r="1084" spans="1:10" ht="15" customHeight="1">
      <c r="A1084" s="315" t="str">
        <f>IF(B1084="","",IF(B1083="",SUM(COUNT($A$5:A1083)+1),""))</f>
        <v/>
      </c>
      <c r="C1084" s="316" t="str">
        <f>IF(B1084="","",VLOOKUP(B1084,'TB for financial'!A:B,2,0))</f>
        <v/>
      </c>
      <c r="D1084" s="317"/>
      <c r="E1084" s="318"/>
      <c r="F1084" s="319"/>
      <c r="G1084" s="320"/>
      <c r="H1084" s="321"/>
      <c r="I1084" s="322"/>
      <c r="J1084" s="323"/>
    </row>
    <row r="1085" spans="1:10" ht="15" customHeight="1">
      <c r="A1085" s="315" t="str">
        <f>IF(B1085="","",IF(B1084="",SUM(COUNT($A$5:A1084)+1),""))</f>
        <v/>
      </c>
      <c r="C1085" s="316" t="str">
        <f>IF(B1085="","",VLOOKUP(B1085,'TB for financial'!A:B,2,0))</f>
        <v/>
      </c>
      <c r="D1085" s="317"/>
      <c r="E1085" s="318"/>
      <c r="F1085" s="319"/>
      <c r="G1085" s="320"/>
      <c r="H1085" s="321"/>
      <c r="I1085" s="322"/>
      <c r="J1085" s="323"/>
    </row>
    <row r="1086" spans="1:10" ht="15" customHeight="1">
      <c r="A1086" s="315" t="str">
        <f>IF(B1086="","",IF(B1085="",SUM(COUNT($A$5:A1085)+1),""))</f>
        <v/>
      </c>
      <c r="C1086" s="316" t="str">
        <f>IF(B1086="","",VLOOKUP(B1086,'TB for financial'!A:B,2,0))</f>
        <v/>
      </c>
      <c r="D1086" s="317"/>
      <c r="E1086" s="318"/>
      <c r="F1086" s="319"/>
      <c r="G1086" s="320"/>
      <c r="H1086" s="321"/>
      <c r="I1086" s="322"/>
      <c r="J1086" s="323"/>
    </row>
    <row r="1087" spans="1:10" ht="15" customHeight="1">
      <c r="A1087" s="315" t="str">
        <f>IF(B1087="","",IF(B1086="",SUM(COUNT($A$5:A1086)+1),""))</f>
        <v/>
      </c>
      <c r="C1087" s="316" t="str">
        <f>IF(B1087="","",VLOOKUP(B1087,'TB for financial'!A:B,2,0))</f>
        <v/>
      </c>
      <c r="D1087" s="317"/>
      <c r="E1087" s="318"/>
      <c r="F1087" s="319"/>
      <c r="G1087" s="320"/>
      <c r="H1087" s="321"/>
      <c r="I1087" s="322"/>
      <c r="J1087" s="323"/>
    </row>
    <row r="1088" spans="1:10" ht="15" customHeight="1">
      <c r="A1088" s="315" t="str">
        <f>IF(B1088="","",IF(B1087="",SUM(COUNT($A$5:A1087)+1),""))</f>
        <v/>
      </c>
      <c r="C1088" s="316" t="str">
        <f>IF(B1088="","",VLOOKUP(B1088,'TB for financial'!A:B,2,0))</f>
        <v/>
      </c>
      <c r="D1088" s="317"/>
      <c r="E1088" s="318"/>
      <c r="F1088" s="319"/>
      <c r="G1088" s="320"/>
      <c r="H1088" s="321"/>
      <c r="I1088" s="322"/>
      <c r="J1088" s="323"/>
    </row>
    <row r="1089" spans="1:10" ht="15" customHeight="1">
      <c r="A1089" s="315" t="str">
        <f>IF(B1089="","",IF(B1088="",SUM(COUNT($A$5:A1088)+1),""))</f>
        <v/>
      </c>
      <c r="C1089" s="316" t="str">
        <f>IF(B1089="","",VLOOKUP(B1089,'TB for financial'!A:B,2,0))</f>
        <v/>
      </c>
      <c r="D1089" s="317"/>
      <c r="E1089" s="318"/>
      <c r="F1089" s="319"/>
      <c r="G1089" s="320"/>
      <c r="H1089" s="321"/>
      <c r="I1089" s="322"/>
      <c r="J1089" s="323"/>
    </row>
    <row r="1090" spans="1:10" ht="15" customHeight="1">
      <c r="A1090" s="315" t="str">
        <f>IF(B1090="","",IF(B1089="",SUM(COUNT($A$5:A1089)+1),""))</f>
        <v/>
      </c>
      <c r="C1090" s="316" t="str">
        <f>IF(B1090="","",VLOOKUP(B1090,'TB for financial'!A:B,2,0))</f>
        <v/>
      </c>
      <c r="D1090" s="317"/>
      <c r="E1090" s="318"/>
      <c r="F1090" s="319"/>
      <c r="G1090" s="320"/>
      <c r="H1090" s="321"/>
      <c r="I1090" s="322"/>
      <c r="J1090" s="323"/>
    </row>
    <row r="1091" spans="1:10">
      <c r="A1091" s="315" t="str">
        <f>IF(B1091="","",IF(B1090="",SUM(COUNT($A$5:A1090)+1),""))</f>
        <v/>
      </c>
      <c r="C1091" s="316" t="str">
        <f>IF(B1091="","",VLOOKUP(B1091,'TB for financial'!A:B,2,0))</f>
        <v/>
      </c>
      <c r="D1091" s="317"/>
      <c r="E1091" s="318"/>
      <c r="F1091" s="319"/>
      <c r="G1091" s="320"/>
      <c r="H1091" s="321"/>
      <c r="I1091" s="322"/>
      <c r="J1091" s="323"/>
    </row>
    <row r="1092" spans="1:10" ht="15" customHeight="1">
      <c r="A1092" s="315" t="str">
        <f>IF(B1092="","",IF(B1091="",SUM(COUNT($A$5:A1091)+1),""))</f>
        <v/>
      </c>
      <c r="C1092" s="316" t="str">
        <f>IF(B1092="","",VLOOKUP(B1092,'TB for financial'!A:B,2,0))</f>
        <v/>
      </c>
      <c r="D1092" s="317"/>
      <c r="E1092" s="318"/>
      <c r="F1092" s="319"/>
      <c r="G1092" s="320"/>
      <c r="H1092" s="321"/>
      <c r="I1092" s="322"/>
      <c r="J1092" s="323"/>
    </row>
    <row r="1093" spans="1:10" ht="15" customHeight="1">
      <c r="A1093" s="315" t="str">
        <f>IF(B1093="","",IF(B1092="",SUM(COUNT($A$5:A1092)+1),""))</f>
        <v/>
      </c>
      <c r="C1093" s="316" t="str">
        <f>IF(B1093="","",VLOOKUP(B1093,'TB for financial'!A:B,2,0))</f>
        <v/>
      </c>
      <c r="D1093" s="317"/>
      <c r="E1093" s="318"/>
      <c r="F1093" s="319"/>
      <c r="G1093" s="320"/>
      <c r="H1093" s="321"/>
      <c r="I1093" s="322"/>
      <c r="J1093" s="323"/>
    </row>
    <row r="1094" spans="1:10" ht="15" customHeight="1">
      <c r="A1094" s="315" t="str">
        <f>IF(B1094="","",IF(B1093="",SUM(COUNT($A$5:A1093)+1),""))</f>
        <v/>
      </c>
      <c r="C1094" s="316" t="str">
        <f>IF(B1094="","",VLOOKUP(B1094,'TB for financial'!A:B,2,0))</f>
        <v/>
      </c>
      <c r="D1094" s="317"/>
      <c r="E1094" s="318"/>
      <c r="F1094" s="319"/>
      <c r="G1094" s="320"/>
      <c r="H1094" s="321"/>
      <c r="I1094" s="322"/>
      <c r="J1094" s="323"/>
    </row>
    <row r="1095" spans="1:10">
      <c r="A1095" s="315" t="str">
        <f>IF(B1095="","",IF(B1094="",SUM(COUNT($A$5:A1094)+1),""))</f>
        <v/>
      </c>
      <c r="C1095" s="316" t="str">
        <f>IF(B1095="","",VLOOKUP(B1095,'TB for financial'!A:B,2,0))</f>
        <v/>
      </c>
      <c r="D1095" s="317"/>
      <c r="E1095" s="318"/>
      <c r="F1095" s="319"/>
      <c r="G1095" s="320"/>
      <c r="H1095" s="321"/>
      <c r="I1095" s="322"/>
      <c r="J1095" s="323"/>
    </row>
    <row r="1096" spans="1:10" ht="15" customHeight="1">
      <c r="A1096" s="315" t="str">
        <f>IF(B1096="","",IF(B1095="",SUM(COUNT($A$5:A1095)+1),""))</f>
        <v/>
      </c>
      <c r="C1096" s="316" t="str">
        <f>IF(B1096="","",VLOOKUP(B1096,'TB for financial'!A:B,2,0))</f>
        <v/>
      </c>
      <c r="D1096" s="317"/>
      <c r="E1096" s="318"/>
      <c r="F1096" s="319"/>
      <c r="G1096" s="320"/>
      <c r="H1096" s="321"/>
      <c r="I1096" s="322"/>
      <c r="J1096" s="323"/>
    </row>
    <row r="1097" spans="1:10" ht="15" customHeight="1">
      <c r="A1097" s="315" t="str">
        <f>IF(B1097="","",IF(B1096="",SUM(COUNT($A$5:A1096)+1),""))</f>
        <v/>
      </c>
      <c r="C1097" s="316" t="str">
        <f>IF(B1097="","",VLOOKUP(B1097,'TB for financial'!A:B,2,0))</f>
        <v/>
      </c>
      <c r="D1097" s="317"/>
      <c r="E1097" s="318"/>
      <c r="F1097" s="319"/>
      <c r="G1097" s="320"/>
      <c r="H1097" s="321"/>
      <c r="I1097" s="322"/>
      <c r="J1097" s="323"/>
    </row>
    <row r="1098" spans="1:10" ht="15" customHeight="1">
      <c r="A1098" s="315" t="str">
        <f>IF(B1098="","",IF(B1097="",SUM(COUNT($A$5:A1097)+1),""))</f>
        <v/>
      </c>
      <c r="C1098" s="316" t="str">
        <f>IF(B1098="","",VLOOKUP(B1098,'TB for financial'!A:B,2,0))</f>
        <v/>
      </c>
      <c r="D1098" s="317"/>
      <c r="E1098" s="318"/>
      <c r="F1098" s="319"/>
      <c r="G1098" s="320"/>
      <c r="H1098" s="321"/>
      <c r="I1098" s="322"/>
      <c r="J1098" s="323"/>
    </row>
    <row r="1099" spans="1:10" ht="15" customHeight="1">
      <c r="A1099" s="315" t="str">
        <f>IF(B1099="","",IF(B1098="",SUM(COUNT($A$5:A1098)+1),""))</f>
        <v/>
      </c>
      <c r="C1099" s="316" t="str">
        <f>IF(B1099="","",VLOOKUP(B1099,'TB for financial'!A:B,2,0))</f>
        <v/>
      </c>
      <c r="D1099" s="317"/>
      <c r="E1099" s="318"/>
      <c r="F1099" s="319"/>
      <c r="G1099" s="320"/>
      <c r="H1099" s="321"/>
      <c r="I1099" s="322"/>
      <c r="J1099" s="323"/>
    </row>
    <row r="1100" spans="1:10" ht="15" customHeight="1">
      <c r="A1100" s="315" t="str">
        <f>IF(B1100="","",IF(B1099="",SUM(COUNT($A$5:A1099)+1),""))</f>
        <v/>
      </c>
      <c r="C1100" s="316" t="str">
        <f>IF(B1100="","",VLOOKUP(B1100,'TB for financial'!A:B,2,0))</f>
        <v/>
      </c>
      <c r="D1100" s="317"/>
      <c r="E1100" s="318"/>
      <c r="F1100" s="319"/>
      <c r="G1100" s="320"/>
      <c r="H1100" s="321"/>
      <c r="I1100" s="322"/>
      <c r="J1100" s="323"/>
    </row>
    <row r="1101" spans="1:10" ht="15" customHeight="1">
      <c r="A1101" s="315" t="str">
        <f>IF(B1101="","",IF(B1100="",SUM(COUNT($A$5:A1100)+1),""))</f>
        <v/>
      </c>
      <c r="C1101" s="316" t="str">
        <f>IF(B1101="","",VLOOKUP(B1101,'TB for financial'!A:B,2,0))</f>
        <v/>
      </c>
      <c r="D1101" s="317"/>
      <c r="E1101" s="318"/>
      <c r="F1101" s="319"/>
      <c r="G1101" s="320"/>
      <c r="H1101" s="321"/>
      <c r="I1101" s="322"/>
      <c r="J1101" s="323"/>
    </row>
    <row r="1102" spans="1:10" ht="15" customHeight="1">
      <c r="A1102" s="315" t="str">
        <f>IF(B1102="","",IF(B1101="",SUM(COUNT($A$5:A1101)+1),""))</f>
        <v/>
      </c>
      <c r="C1102" s="316" t="str">
        <f>IF(B1102="","",VLOOKUP(B1102,'TB for financial'!A:B,2,0))</f>
        <v/>
      </c>
      <c r="D1102" s="317"/>
      <c r="E1102" s="318"/>
      <c r="F1102" s="319"/>
      <c r="G1102" s="320"/>
      <c r="H1102" s="321"/>
      <c r="I1102" s="322"/>
      <c r="J1102" s="323"/>
    </row>
    <row r="1103" spans="1:10" ht="15" customHeight="1">
      <c r="A1103" s="315" t="str">
        <f>IF(B1103="","",IF(B1102="",SUM(COUNT($A$5:A1102)+1),""))</f>
        <v/>
      </c>
      <c r="C1103" s="316" t="str">
        <f>IF(B1103="","",VLOOKUP(B1103,'TB for financial'!A:B,2,0))</f>
        <v/>
      </c>
      <c r="D1103" s="317"/>
      <c r="E1103" s="318"/>
      <c r="F1103" s="319"/>
      <c r="G1103" s="320"/>
      <c r="H1103" s="321"/>
      <c r="I1103" s="322"/>
      <c r="J1103" s="323"/>
    </row>
    <row r="1104" spans="1:10" ht="15" customHeight="1">
      <c r="A1104" s="315" t="str">
        <f>IF(B1104="","",IF(B1103="",SUM(COUNT($A$5:A1103)+1),""))</f>
        <v/>
      </c>
      <c r="C1104" s="316" t="str">
        <f>IF(B1104="","",VLOOKUP(B1104,'TB for financial'!A:B,2,0))</f>
        <v/>
      </c>
      <c r="D1104" s="317"/>
      <c r="E1104" s="318"/>
      <c r="F1104" s="319"/>
      <c r="G1104" s="320"/>
      <c r="H1104" s="321"/>
      <c r="I1104" s="322"/>
      <c r="J1104" s="323"/>
    </row>
    <row r="1105" spans="1:10" ht="15" customHeight="1">
      <c r="A1105" s="315" t="str">
        <f>IF(B1105="","",IF(B1104="",SUM(COUNT($A$5:A1104)+1),""))</f>
        <v/>
      </c>
      <c r="C1105" s="316" t="str">
        <f>IF(B1105="","",VLOOKUP(B1105,'TB for financial'!A:B,2,0))</f>
        <v/>
      </c>
      <c r="D1105" s="317"/>
      <c r="E1105" s="318"/>
      <c r="F1105" s="319"/>
      <c r="G1105" s="320"/>
      <c r="H1105" s="321"/>
      <c r="I1105" s="322"/>
      <c r="J1105" s="323"/>
    </row>
    <row r="1106" spans="1:10" ht="15" customHeight="1">
      <c r="A1106" s="315" t="str">
        <f>IF(B1106="","",IF(B1105="",SUM(COUNT($A$5:A1105)+1),""))</f>
        <v/>
      </c>
      <c r="C1106" s="316" t="str">
        <f>IF(B1106="","",VLOOKUP(B1106,'TB for financial'!A:B,2,0))</f>
        <v/>
      </c>
      <c r="D1106" s="317"/>
      <c r="E1106" s="318"/>
      <c r="F1106" s="319"/>
      <c r="G1106" s="320"/>
      <c r="H1106" s="321"/>
      <c r="I1106" s="322"/>
      <c r="J1106" s="323"/>
    </row>
    <row r="1107" spans="1:10">
      <c r="A1107" s="315" t="str">
        <f>IF(B1107="","",IF(B1106="",SUM(COUNT($A$5:A1106)+1),""))</f>
        <v/>
      </c>
      <c r="C1107" s="316" t="str">
        <f>IF(B1107="","",VLOOKUP(B1107,'TB for financial'!A:B,2,0))</f>
        <v/>
      </c>
      <c r="D1107" s="317"/>
      <c r="E1107" s="318"/>
      <c r="F1107" s="319"/>
      <c r="G1107" s="320"/>
      <c r="H1107" s="321"/>
      <c r="I1107" s="322"/>
      <c r="J1107" s="323"/>
    </row>
    <row r="1108" spans="1:10" ht="15" customHeight="1">
      <c r="A1108" s="315" t="str">
        <f>IF(B1108="","",IF(B1107="",SUM(COUNT($A$5:A1107)+1),""))</f>
        <v/>
      </c>
      <c r="C1108" s="316" t="str">
        <f>IF(B1108="","",VLOOKUP(B1108,'TB for financial'!A:B,2,0))</f>
        <v/>
      </c>
      <c r="D1108" s="317"/>
      <c r="E1108" s="318"/>
      <c r="F1108" s="319"/>
      <c r="G1108" s="320"/>
      <c r="H1108" s="321"/>
      <c r="I1108" s="322"/>
      <c r="J1108" s="323"/>
    </row>
    <row r="1109" spans="1:10" ht="15" customHeight="1">
      <c r="A1109" s="315" t="str">
        <f>IF(B1109="","",IF(B1108="",SUM(COUNT($A$5:A1108)+1),""))</f>
        <v/>
      </c>
      <c r="C1109" s="316" t="str">
        <f>IF(B1109="","",VLOOKUP(B1109,'TB for financial'!A:B,2,0))</f>
        <v/>
      </c>
      <c r="D1109" s="317"/>
      <c r="E1109" s="318"/>
      <c r="F1109" s="319"/>
      <c r="G1109" s="320"/>
      <c r="H1109" s="321"/>
      <c r="I1109" s="322"/>
      <c r="J1109" s="323"/>
    </row>
    <row r="1110" spans="1:10" ht="15" customHeight="1">
      <c r="A1110" s="315" t="str">
        <f>IF(B1110="","",IF(B1109="",SUM(COUNT($A$5:A1109)+1),""))</f>
        <v/>
      </c>
      <c r="C1110" s="316" t="str">
        <f>IF(B1110="","",VLOOKUP(B1110,'TB for financial'!A:B,2,0))</f>
        <v/>
      </c>
      <c r="D1110" s="317"/>
      <c r="E1110" s="318"/>
      <c r="F1110" s="319"/>
      <c r="G1110" s="320"/>
      <c r="H1110" s="321"/>
      <c r="I1110" s="322"/>
      <c r="J1110" s="323"/>
    </row>
    <row r="1111" spans="1:10">
      <c r="A1111" s="315" t="str">
        <f>IF(B1111="","",IF(B1110="",SUM(COUNT($A$5:A1110)+1),""))</f>
        <v/>
      </c>
      <c r="C1111" s="316" t="str">
        <f>IF(B1111="","",VLOOKUP(B1111,'TB for financial'!A:B,2,0))</f>
        <v/>
      </c>
      <c r="D1111" s="317"/>
      <c r="E1111" s="318"/>
      <c r="F1111" s="319"/>
      <c r="G1111" s="320"/>
      <c r="H1111" s="321"/>
      <c r="I1111" s="322"/>
      <c r="J1111" s="323"/>
    </row>
    <row r="1112" spans="1:10" ht="15" customHeight="1">
      <c r="A1112" s="315" t="str">
        <f>IF(B1112="","",IF(B1111="",SUM(COUNT($A$5:A1111)+1),""))</f>
        <v/>
      </c>
      <c r="C1112" s="316" t="str">
        <f>IF(B1112="","",VLOOKUP(B1112,'TB for financial'!A:B,2,0))</f>
        <v/>
      </c>
      <c r="D1112" s="317"/>
      <c r="E1112" s="318"/>
      <c r="F1112" s="319"/>
      <c r="G1112" s="320"/>
      <c r="H1112" s="321"/>
      <c r="I1112" s="322"/>
      <c r="J1112" s="323"/>
    </row>
    <row r="1113" spans="1:10" ht="15" customHeight="1">
      <c r="A1113" s="315" t="str">
        <f>IF(B1113="","",IF(B1112="",SUM(COUNT($A$5:A1112)+1),""))</f>
        <v/>
      </c>
      <c r="C1113" s="316" t="str">
        <f>IF(B1113="","",VLOOKUP(B1113,'TB for financial'!A:B,2,0))</f>
        <v/>
      </c>
      <c r="D1113" s="317"/>
      <c r="E1113" s="318"/>
      <c r="F1113" s="319"/>
      <c r="G1113" s="320"/>
      <c r="H1113" s="321"/>
      <c r="I1113" s="322"/>
      <c r="J1113" s="323"/>
    </row>
    <row r="1114" spans="1:10" ht="15" customHeight="1">
      <c r="A1114" s="315" t="str">
        <f>IF(B1114="","",IF(B1113="",SUM(COUNT($A$5:A1113)+1),""))</f>
        <v/>
      </c>
      <c r="C1114" s="316" t="str">
        <f>IF(B1114="","",VLOOKUP(B1114,'TB for financial'!A:B,2,0))</f>
        <v/>
      </c>
      <c r="D1114" s="317"/>
      <c r="E1114" s="318"/>
      <c r="F1114" s="319"/>
      <c r="G1114" s="320"/>
      <c r="H1114" s="321"/>
      <c r="I1114" s="322"/>
      <c r="J1114" s="323"/>
    </row>
    <row r="1115" spans="1:10" ht="15" customHeight="1">
      <c r="A1115" s="315" t="str">
        <f>IF(B1115="","",IF(B1114="",SUM(COUNT($A$5:A1114)+1),""))</f>
        <v/>
      </c>
      <c r="C1115" s="316" t="str">
        <f>IF(B1115="","",VLOOKUP(B1115,'TB for financial'!A:B,2,0))</f>
        <v/>
      </c>
      <c r="D1115" s="317"/>
      <c r="E1115" s="318"/>
      <c r="F1115" s="319"/>
      <c r="G1115" s="320"/>
      <c r="H1115" s="321"/>
      <c r="I1115" s="322"/>
      <c r="J1115" s="323"/>
    </row>
    <row r="1116" spans="1:10" ht="15" customHeight="1">
      <c r="A1116" s="315" t="str">
        <f>IF(B1116="","",IF(B1115="",SUM(COUNT($A$5:A1115)+1),""))</f>
        <v/>
      </c>
      <c r="C1116" s="316" t="str">
        <f>IF(B1116="","",VLOOKUP(B1116,'TB for financial'!A:B,2,0))</f>
        <v/>
      </c>
      <c r="D1116" s="317"/>
      <c r="E1116" s="318"/>
      <c r="F1116" s="319"/>
      <c r="G1116" s="320"/>
      <c r="H1116" s="321"/>
      <c r="I1116" s="322"/>
      <c r="J1116" s="323"/>
    </row>
    <row r="1117" spans="1:10" ht="15" customHeight="1">
      <c r="A1117" s="315" t="str">
        <f>IF(B1117="","",IF(B1116="",SUM(COUNT($A$5:A1116)+1),""))</f>
        <v/>
      </c>
      <c r="C1117" s="316" t="str">
        <f>IF(B1117="","",VLOOKUP(B1117,'TB for financial'!A:B,2,0))</f>
        <v/>
      </c>
      <c r="D1117" s="317"/>
      <c r="E1117" s="318"/>
      <c r="F1117" s="319"/>
      <c r="G1117" s="320"/>
      <c r="H1117" s="321"/>
      <c r="I1117" s="322"/>
      <c r="J1117" s="323"/>
    </row>
    <row r="1118" spans="1:10" ht="15" customHeight="1">
      <c r="A1118" s="315" t="str">
        <f>IF(B1118="","",IF(B1117="",SUM(COUNT($A$5:A1117)+1),""))</f>
        <v/>
      </c>
      <c r="C1118" s="316" t="str">
        <f>IF(B1118="","",VLOOKUP(B1118,'TB for financial'!A:B,2,0))</f>
        <v/>
      </c>
      <c r="D1118" s="317"/>
      <c r="E1118" s="318"/>
      <c r="F1118" s="319"/>
      <c r="G1118" s="320"/>
      <c r="H1118" s="321"/>
      <c r="I1118" s="322"/>
      <c r="J1118" s="323"/>
    </row>
    <row r="1119" spans="1:10" ht="15" customHeight="1">
      <c r="A1119" s="315" t="str">
        <f>IF(B1119="","",IF(B1118="",SUM(COUNT($A$5:A1118)+1),""))</f>
        <v/>
      </c>
      <c r="C1119" s="316" t="str">
        <f>IF(B1119="","",VLOOKUP(B1119,'TB for financial'!A:B,2,0))</f>
        <v/>
      </c>
      <c r="D1119" s="317"/>
      <c r="E1119" s="318"/>
      <c r="F1119" s="319"/>
      <c r="G1119" s="320"/>
      <c r="H1119" s="321"/>
      <c r="I1119" s="322"/>
      <c r="J1119" s="323"/>
    </row>
    <row r="1120" spans="1:10" ht="15" customHeight="1">
      <c r="A1120" s="315" t="str">
        <f>IF(B1120="","",IF(B1119="",SUM(COUNT($A$5:A1119)+1),""))</f>
        <v/>
      </c>
      <c r="C1120" s="316" t="str">
        <f>IF(B1120="","",VLOOKUP(B1120,'TB for financial'!A:B,2,0))</f>
        <v/>
      </c>
      <c r="D1120" s="317"/>
      <c r="E1120" s="318"/>
      <c r="F1120" s="319"/>
      <c r="G1120" s="320"/>
      <c r="H1120" s="321"/>
      <c r="I1120" s="322"/>
      <c r="J1120" s="323"/>
    </row>
    <row r="1121" spans="1:10" ht="15" customHeight="1">
      <c r="A1121" s="315" t="str">
        <f>IF(B1121="","",IF(B1120="",SUM(COUNT($A$5:A1120)+1),""))</f>
        <v/>
      </c>
      <c r="C1121" s="316" t="str">
        <f>IF(B1121="","",VLOOKUP(B1121,'TB for financial'!A:B,2,0))</f>
        <v/>
      </c>
      <c r="D1121" s="317"/>
      <c r="E1121" s="318"/>
      <c r="F1121" s="319"/>
      <c r="G1121" s="320"/>
      <c r="H1121" s="321"/>
      <c r="I1121" s="322"/>
      <c r="J1121" s="323"/>
    </row>
    <row r="1122" spans="1:10" ht="15" customHeight="1">
      <c r="A1122" s="315" t="str">
        <f>IF(B1122="","",IF(B1121="",SUM(COUNT($A$5:A1121)+1),""))</f>
        <v/>
      </c>
      <c r="C1122" s="316" t="str">
        <f>IF(B1122="","",VLOOKUP(B1122,'TB for financial'!A:B,2,0))</f>
        <v/>
      </c>
      <c r="D1122" s="317"/>
      <c r="E1122" s="318"/>
      <c r="F1122" s="319"/>
      <c r="G1122" s="320"/>
      <c r="H1122" s="321"/>
      <c r="I1122" s="322"/>
      <c r="J1122" s="323"/>
    </row>
    <row r="1123" spans="1:10" ht="15" customHeight="1">
      <c r="A1123" s="315" t="str">
        <f>IF(B1123="","",IF(B1122="",SUM(COUNT($A$5:A1122)+1),""))</f>
        <v/>
      </c>
      <c r="C1123" s="316" t="str">
        <f>IF(B1123="","",VLOOKUP(B1123,'TB for financial'!A:B,2,0))</f>
        <v/>
      </c>
      <c r="D1123" s="317"/>
      <c r="E1123" s="318"/>
      <c r="F1123" s="319"/>
      <c r="G1123" s="320"/>
      <c r="H1123" s="321"/>
      <c r="I1123" s="322"/>
      <c r="J1123" s="323"/>
    </row>
    <row r="1124" spans="1:10">
      <c r="A1124" s="315" t="str">
        <f>IF(B1124="","",IF(B1123="",SUM(COUNT($A$5:A1123)+1),""))</f>
        <v/>
      </c>
      <c r="C1124" s="316" t="str">
        <f>IF(B1124="","",VLOOKUP(B1124,'TB for financial'!A:B,2,0))</f>
        <v/>
      </c>
      <c r="D1124" s="317"/>
      <c r="E1124" s="318"/>
      <c r="F1124" s="319"/>
      <c r="G1124" s="320"/>
      <c r="H1124" s="321"/>
      <c r="I1124" s="322"/>
      <c r="J1124" s="323"/>
    </row>
    <row r="1125" spans="1:10">
      <c r="A1125" s="315" t="str">
        <f>IF(B1125="","",IF(B1124="",SUM(COUNT($A$5:A1124)+1),""))</f>
        <v/>
      </c>
      <c r="C1125" s="316" t="str">
        <f>IF(B1125="","",VLOOKUP(B1125,'TB for financial'!A:B,2,0))</f>
        <v/>
      </c>
      <c r="D1125" s="317"/>
      <c r="E1125" s="318"/>
      <c r="F1125" s="319"/>
      <c r="G1125" s="320"/>
      <c r="H1125" s="321"/>
      <c r="I1125" s="322"/>
      <c r="J1125" s="323"/>
    </row>
    <row r="1126" spans="1:10">
      <c r="A1126" s="315" t="str">
        <f>IF(B1126="","",IF(B1125="",SUM(COUNT($A$5:A1125)+1),""))</f>
        <v/>
      </c>
      <c r="C1126" s="316" t="str">
        <f>IF(B1126="","",VLOOKUP(B1126,'TB for financial'!A:B,2,0))</f>
        <v/>
      </c>
      <c r="D1126" s="317"/>
      <c r="E1126" s="318"/>
      <c r="F1126" s="319"/>
      <c r="G1126" s="320"/>
      <c r="H1126" s="321"/>
      <c r="I1126" s="322"/>
      <c r="J1126" s="323"/>
    </row>
    <row r="1127" spans="1:10">
      <c r="A1127" s="315" t="str">
        <f>IF(B1127="","",IF(B1126="",SUM(COUNT($A$5:A1126)+1),""))</f>
        <v/>
      </c>
      <c r="C1127" s="316" t="str">
        <f>IF(B1127="","",VLOOKUP(B1127,'TB for financial'!A:B,2,0))</f>
        <v/>
      </c>
      <c r="D1127" s="317"/>
      <c r="E1127" s="318"/>
      <c r="F1127" s="319"/>
      <c r="G1127" s="320"/>
      <c r="H1127" s="321"/>
      <c r="I1127" s="322"/>
      <c r="J1127" s="323"/>
    </row>
    <row r="1128" spans="1:10">
      <c r="A1128" s="315" t="str">
        <f>IF(B1128="","",IF(B1127="",SUM(COUNT($A$5:A1127)+1),""))</f>
        <v/>
      </c>
      <c r="C1128" s="316" t="str">
        <f>IF(B1128="","",VLOOKUP(B1128,'TB for financial'!A:B,2,0))</f>
        <v/>
      </c>
      <c r="D1128" s="317"/>
      <c r="E1128" s="318"/>
      <c r="F1128" s="319"/>
      <c r="G1128" s="320"/>
      <c r="H1128" s="321"/>
      <c r="I1128" s="322"/>
      <c r="J1128" s="323"/>
    </row>
    <row r="1129" spans="1:10">
      <c r="A1129" s="315" t="str">
        <f>IF(B1129="","",IF(B1128="",SUM(COUNT($A$5:A1128)+1),""))</f>
        <v/>
      </c>
      <c r="C1129" s="316" t="str">
        <f>IF(B1129="","",VLOOKUP(B1129,'TB for financial'!A:B,2,0))</f>
        <v/>
      </c>
      <c r="D1129" s="317"/>
      <c r="E1129" s="318"/>
      <c r="F1129" s="319"/>
      <c r="G1129" s="320"/>
      <c r="H1129" s="321"/>
      <c r="I1129" s="322"/>
      <c r="J1129" s="323"/>
    </row>
    <row r="1130" spans="1:10">
      <c r="A1130" s="315" t="str">
        <f>IF(B1130="","",IF(B1129="",SUM(COUNT($A$5:A1129)+1),""))</f>
        <v/>
      </c>
      <c r="C1130" s="316" t="str">
        <f>IF(B1130="","",VLOOKUP(B1130,'TB for financial'!A:B,2,0))</f>
        <v/>
      </c>
      <c r="D1130" s="317"/>
      <c r="E1130" s="318"/>
      <c r="F1130" s="319"/>
      <c r="G1130" s="320"/>
      <c r="H1130" s="321"/>
      <c r="I1130" s="322"/>
      <c r="J1130" s="323"/>
    </row>
    <row r="1131" spans="1:10">
      <c r="A1131" s="315" t="str">
        <f>IF(B1131="","",IF(B1130="",SUM(COUNT($A$5:A1130)+1),""))</f>
        <v/>
      </c>
      <c r="C1131" s="316" t="str">
        <f>IF(B1131="","",VLOOKUP(B1131,'TB for financial'!A:B,2,0))</f>
        <v/>
      </c>
      <c r="D1131" s="317"/>
      <c r="E1131" s="318"/>
      <c r="F1131" s="319"/>
      <c r="G1131" s="320"/>
      <c r="H1131" s="321"/>
      <c r="I1131" s="322"/>
      <c r="J1131" s="323"/>
    </row>
    <row r="1132" spans="1:10">
      <c r="A1132" s="315" t="str">
        <f>IF(B1132="","",IF(B1131="",SUM(COUNT($A$5:A1131)+1),""))</f>
        <v/>
      </c>
      <c r="C1132" s="316" t="str">
        <f>IF(B1132="","",VLOOKUP(B1132,'TB for financial'!A:B,2,0))</f>
        <v/>
      </c>
      <c r="D1132" s="317"/>
      <c r="E1132" s="318"/>
      <c r="F1132" s="319"/>
      <c r="G1132" s="320"/>
      <c r="H1132" s="321"/>
      <c r="I1132" s="322"/>
      <c r="J1132" s="323"/>
    </row>
    <row r="1133" spans="1:10">
      <c r="A1133" s="315" t="str">
        <f>IF(B1133="","",IF(B1132="",SUM(COUNT($A$5:A1132)+1),""))</f>
        <v/>
      </c>
      <c r="C1133" s="316" t="str">
        <f>IF(B1133="","",VLOOKUP(B1133,'TB for financial'!A:B,2,0))</f>
        <v/>
      </c>
      <c r="D1133" s="317"/>
      <c r="E1133" s="318"/>
      <c r="F1133" s="319"/>
      <c r="G1133" s="320"/>
      <c r="H1133" s="321"/>
      <c r="I1133" s="322"/>
      <c r="J1133" s="323"/>
    </row>
    <row r="1134" spans="1:10">
      <c r="A1134" s="315" t="str">
        <f>IF(B1134="","",IF(B1133="",SUM(COUNT($A$5:A1133)+1),""))</f>
        <v/>
      </c>
      <c r="C1134" s="316" t="str">
        <f>IF(B1134="","",VLOOKUP(B1134,'TB for financial'!A:B,2,0))</f>
        <v/>
      </c>
      <c r="D1134" s="317"/>
      <c r="E1134" s="318"/>
      <c r="F1134" s="319"/>
      <c r="G1134" s="320"/>
      <c r="H1134" s="321"/>
      <c r="I1134" s="322"/>
      <c r="J1134" s="323"/>
    </row>
    <row r="1135" spans="1:10">
      <c r="A1135" s="315" t="str">
        <f>IF(B1135="","",IF(B1134="",SUM(COUNT($A$5:A1134)+1),""))</f>
        <v/>
      </c>
      <c r="C1135" s="316" t="str">
        <f>IF(B1135="","",VLOOKUP(B1135,'TB for financial'!A:B,2,0))</f>
        <v/>
      </c>
      <c r="D1135" s="317"/>
      <c r="E1135" s="318"/>
      <c r="F1135" s="319"/>
      <c r="G1135" s="320"/>
      <c r="H1135" s="321"/>
      <c r="I1135" s="322"/>
      <c r="J1135" s="323"/>
    </row>
    <row r="1136" spans="1:10">
      <c r="A1136" s="315" t="str">
        <f>IF(B1136="","",IF(B1135="",SUM(COUNT($A$5:A1135)+1),""))</f>
        <v/>
      </c>
      <c r="C1136" s="316" t="str">
        <f>IF(B1136="","",VLOOKUP(B1136,'TB for financial'!A:B,2,0))</f>
        <v/>
      </c>
      <c r="D1136" s="317"/>
      <c r="E1136" s="318"/>
      <c r="F1136" s="319"/>
      <c r="G1136" s="320"/>
      <c r="H1136" s="321"/>
      <c r="I1136" s="322"/>
      <c r="J1136" s="323"/>
    </row>
    <row r="1137" spans="1:10" ht="15" customHeight="1">
      <c r="A1137" s="315" t="str">
        <f>IF(B1137="","",IF(B1136="",SUM(COUNT($A$5:A1136)+1),""))</f>
        <v/>
      </c>
      <c r="C1137" s="316" t="str">
        <f>IF(B1137="","",VLOOKUP(B1137,'TB for financial'!A:B,2,0))</f>
        <v/>
      </c>
      <c r="D1137" s="317"/>
      <c r="E1137" s="318"/>
      <c r="F1137" s="319"/>
      <c r="G1137" s="320"/>
      <c r="H1137" s="321"/>
      <c r="I1137" s="322"/>
      <c r="J1137" s="323"/>
    </row>
    <row r="1138" spans="1:10" ht="15" customHeight="1">
      <c r="A1138" s="315" t="str">
        <f>IF(B1138="","",IF(B1137="",SUM(COUNT($A$5:A1137)+1),""))</f>
        <v/>
      </c>
      <c r="C1138" s="316" t="str">
        <f>IF(B1138="","",VLOOKUP(B1138,'TB for financial'!A:B,2,0))</f>
        <v/>
      </c>
      <c r="D1138" s="317"/>
      <c r="E1138" s="318"/>
      <c r="F1138" s="319"/>
      <c r="G1138" s="320"/>
      <c r="H1138" s="321"/>
      <c r="I1138" s="322"/>
      <c r="J1138" s="323"/>
    </row>
    <row r="1139" spans="1:10" ht="15" customHeight="1">
      <c r="A1139" s="315" t="str">
        <f>IF(B1139="","",IF(B1138="",SUM(COUNT($A$5:A1138)+1),""))</f>
        <v/>
      </c>
      <c r="C1139" s="316" t="str">
        <f>IF(B1139="","",VLOOKUP(B1139,'TB for financial'!A:B,2,0))</f>
        <v/>
      </c>
      <c r="D1139" s="317"/>
      <c r="E1139" s="318"/>
      <c r="F1139" s="319"/>
      <c r="G1139" s="320"/>
      <c r="H1139" s="321"/>
      <c r="I1139" s="322"/>
      <c r="J1139" s="323"/>
    </row>
    <row r="1140" spans="1:10">
      <c r="A1140" s="315" t="str">
        <f>IF(B1140="","",IF(B1139="",SUM(COUNT($A$5:A1139)+1),""))</f>
        <v/>
      </c>
      <c r="C1140" s="316" t="str">
        <f>IF(B1140="","",VLOOKUP(B1140,'TB for financial'!A:B,2,0))</f>
        <v/>
      </c>
      <c r="D1140" s="317"/>
      <c r="E1140" s="318"/>
      <c r="F1140" s="319"/>
      <c r="G1140" s="320"/>
      <c r="H1140" s="321"/>
      <c r="I1140" s="322"/>
      <c r="J1140" s="323"/>
    </row>
    <row r="1141" spans="1:10" ht="15" customHeight="1">
      <c r="A1141" s="315" t="str">
        <f>IF(B1141="","",IF(B1140="",SUM(COUNT($A$5:A1140)+1),""))</f>
        <v/>
      </c>
      <c r="C1141" s="316" t="str">
        <f>IF(B1141="","",VLOOKUP(B1141,'TB for financial'!A:B,2,0))</f>
        <v/>
      </c>
      <c r="D1141" s="317"/>
      <c r="E1141" s="318"/>
      <c r="F1141" s="319"/>
      <c r="G1141" s="320"/>
      <c r="H1141" s="321"/>
      <c r="I1141" s="322"/>
      <c r="J1141" s="323"/>
    </row>
    <row r="1142" spans="1:10" ht="15" customHeight="1">
      <c r="A1142" s="315" t="str">
        <f>IF(B1142="","",IF(B1141="",SUM(COUNT($A$5:A1141)+1),""))</f>
        <v/>
      </c>
      <c r="C1142" s="316" t="str">
        <f>IF(B1142="","",VLOOKUP(B1142,'TB for financial'!A:B,2,0))</f>
        <v/>
      </c>
      <c r="D1142" s="317"/>
      <c r="E1142" s="318"/>
      <c r="F1142" s="319"/>
      <c r="G1142" s="320"/>
      <c r="H1142" s="321"/>
      <c r="I1142" s="322"/>
      <c r="J1142" s="323"/>
    </row>
    <row r="1143" spans="1:10" ht="15" customHeight="1">
      <c r="A1143" s="315" t="str">
        <f>IF(B1143="","",IF(B1142="",SUM(COUNT($A$5:A1142)+1),""))</f>
        <v/>
      </c>
      <c r="C1143" s="316" t="str">
        <f>IF(B1143="","",VLOOKUP(B1143,'TB for financial'!A:B,2,0))</f>
        <v/>
      </c>
      <c r="D1143" s="317"/>
      <c r="E1143" s="318"/>
      <c r="F1143" s="319"/>
      <c r="G1143" s="320"/>
      <c r="H1143" s="321"/>
      <c r="I1143" s="322"/>
      <c r="J1143" s="323"/>
    </row>
    <row r="1144" spans="1:10" ht="15" customHeight="1">
      <c r="A1144" s="315" t="str">
        <f>IF(B1144="","",IF(B1143="",SUM(COUNT($A$5:A1143)+1),""))</f>
        <v/>
      </c>
      <c r="C1144" s="316" t="str">
        <f>IF(B1144="","",VLOOKUP(B1144,'TB for financial'!A:B,2,0))</f>
        <v/>
      </c>
      <c r="D1144" s="317"/>
      <c r="E1144" s="318"/>
      <c r="F1144" s="319"/>
      <c r="G1144" s="320"/>
      <c r="H1144" s="321"/>
      <c r="I1144" s="322"/>
      <c r="J1144" s="323"/>
    </row>
    <row r="1145" spans="1:10" ht="15" customHeight="1">
      <c r="A1145" s="315" t="str">
        <f>IF(B1145="","",IF(B1144="",SUM(COUNT($A$5:A1144)+1),""))</f>
        <v/>
      </c>
      <c r="C1145" s="316" t="str">
        <f>IF(B1145="","",VLOOKUP(B1145,'TB for financial'!A:B,2,0))</f>
        <v/>
      </c>
      <c r="D1145" s="317"/>
      <c r="E1145" s="318"/>
      <c r="F1145" s="319"/>
      <c r="G1145" s="320"/>
      <c r="H1145" s="321"/>
      <c r="I1145" s="322"/>
      <c r="J1145" s="323"/>
    </row>
    <row r="1146" spans="1:10" ht="15" customHeight="1">
      <c r="A1146" s="315" t="str">
        <f>IF(B1146="","",IF(B1145="",SUM(COUNT($A$5:A1145)+1),""))</f>
        <v/>
      </c>
      <c r="C1146" s="316" t="str">
        <f>IF(B1146="","",VLOOKUP(B1146,'TB for financial'!A:B,2,0))</f>
        <v/>
      </c>
      <c r="D1146" s="317"/>
      <c r="E1146" s="318"/>
      <c r="F1146" s="319"/>
      <c r="G1146" s="320"/>
      <c r="H1146" s="321"/>
      <c r="I1146" s="322"/>
      <c r="J1146" s="323"/>
    </row>
    <row r="1147" spans="1:10" ht="15" thickBot="1">
      <c r="A1147" s="333"/>
      <c r="B1147" s="334"/>
      <c r="C1147" s="335"/>
      <c r="D1147" s="336">
        <f>SUM(D5:D1146)</f>
        <v>371337683.8205561</v>
      </c>
      <c r="E1147" s="337">
        <f>SUM(E5:E1146)</f>
        <v>371337683.81404907</v>
      </c>
      <c r="F1147" s="338"/>
      <c r="G1147" s="339"/>
      <c r="H1147" s="339"/>
      <c r="I1147" s="340"/>
      <c r="J1147" s="341"/>
    </row>
    <row r="1150" spans="1:10">
      <c r="C1150" s="316" t="str">
        <f>IF(B1150="","",VLOOKUP(B1150,'TB for financial'!A:B,2,0))</f>
        <v/>
      </c>
    </row>
    <row r="1151" spans="1:10">
      <c r="C1151" s="316" t="str">
        <f>IF(B1151="","",VLOOKUP(B1151,'TB for financial'!A:B,2,0))</f>
        <v/>
      </c>
    </row>
    <row r="1152" spans="1:10">
      <c r="C1152" s="316" t="str">
        <f>IF(B1152="","",VLOOKUP(B1152,'TB for financial'!A:B,2,0))</f>
        <v/>
      </c>
    </row>
    <row r="1153" spans="3:6">
      <c r="C1153" s="316" t="str">
        <f>IF(B1153="","",VLOOKUP(B1153,'TB for financial'!A:B,2,0))</f>
        <v/>
      </c>
      <c r="F1153" s="342"/>
    </row>
    <row r="1154" spans="3:6">
      <c r="C1154" s="316" t="str">
        <f>IF(B1154="","",VLOOKUP(B1154,'TB for financial'!A:B,2,0))</f>
        <v/>
      </c>
    </row>
    <row r="1155" spans="3:6">
      <c r="C1155" s="316" t="str">
        <f>IF(B1155="","",VLOOKUP(B1155,'TB for financial'!A:B,2,0))</f>
        <v/>
      </c>
    </row>
    <row r="1156" spans="3:6">
      <c r="C1156" s="316" t="str">
        <f>IF(B1156="","",VLOOKUP(B1156,'TB for financial'!A:B,2,0))</f>
        <v/>
      </c>
    </row>
    <row r="1157" spans="3:6">
      <c r="C1157" s="316" t="str">
        <f>IF(B1157="","",VLOOKUP(B1157,'TB for financial'!A:B,2,0))</f>
        <v/>
      </c>
    </row>
    <row r="1158" spans="3:6">
      <c r="C1158" s="316" t="str">
        <f>IF(B1158="","",VLOOKUP(B1158,'TB for financial'!A:B,2,0))</f>
        <v/>
      </c>
    </row>
    <row r="1159" spans="3:6">
      <c r="C1159" s="316" t="str">
        <f>IF(B1159="","",VLOOKUP(B1159,'TB for financial'!A:B,2,0))</f>
        <v/>
      </c>
    </row>
    <row r="1160" spans="3:6">
      <c r="C1160" s="316" t="str">
        <f>IF(B1160="","",VLOOKUP(B1160,'TB for financial'!A:B,2,0))</f>
        <v/>
      </c>
    </row>
    <row r="1161" spans="3:6">
      <c r="C1161" s="316" t="str">
        <f>IF(B1161="","",VLOOKUP(B1161,'TB for financial'!A:B,2,0))</f>
        <v/>
      </c>
    </row>
    <row r="1162" spans="3:6">
      <c r="C1162" s="316" t="str">
        <f>IF(B1162="","",VLOOKUP(B1162,'TB for financial'!A:B,2,0))</f>
        <v/>
      </c>
    </row>
    <row r="1163" spans="3:6">
      <c r="C1163" s="316" t="str">
        <f>IF(B1163="","",VLOOKUP(B1163,'TB for financial'!A:B,2,0))</f>
        <v/>
      </c>
    </row>
    <row r="1164" spans="3:6">
      <c r="C1164" s="316" t="str">
        <f>IF(B1164="","",VLOOKUP(B1164,'TB for financial'!A:B,2,0))</f>
        <v/>
      </c>
    </row>
    <row r="1165" spans="3:6">
      <c r="C1165" s="316" t="str">
        <f>IF(B1165="","",VLOOKUP(B1165,'TB for financial'!A:B,2,0))</f>
        <v/>
      </c>
    </row>
    <row r="1166" spans="3:6">
      <c r="C1166" s="316" t="str">
        <f>IF(B1166="","",VLOOKUP(B1166,'TB for financial'!A:B,2,0))</f>
        <v/>
      </c>
    </row>
    <row r="1167" spans="3:6">
      <c r="C1167" s="316" t="str">
        <f>IF(B1167="","",VLOOKUP(B1167,'TB for financial'!A:B,2,0))</f>
        <v/>
      </c>
    </row>
    <row r="1168" spans="3:6">
      <c r="C1168" s="316" t="str">
        <f>IF(B1168="","",VLOOKUP(B1168,'TB for financial'!A:B,2,0))</f>
        <v/>
      </c>
    </row>
    <row r="1169" spans="3:3">
      <c r="C1169" s="316" t="str">
        <f>IF(B1169="","",VLOOKUP(B1169,'TB for financial'!A:B,2,0))</f>
        <v/>
      </c>
    </row>
    <row r="1170" spans="3:3">
      <c r="C1170" s="316" t="str">
        <f>IF(B1170="","",VLOOKUP(B1170,'TB for financial'!A:B,2,0))</f>
        <v/>
      </c>
    </row>
    <row r="1171" spans="3:3">
      <c r="C1171" s="316" t="str">
        <f>IF(B1171="","",VLOOKUP(B1171,'TB for financial'!A:B,2,0))</f>
        <v/>
      </c>
    </row>
    <row r="1172" spans="3:3">
      <c r="C1172" s="316" t="str">
        <f>IF(B1172="","",VLOOKUP(B1172,'TB for financial'!A:B,2,0))</f>
        <v/>
      </c>
    </row>
    <row r="1173" spans="3:3">
      <c r="C1173" s="316" t="str">
        <f>IF(B1173="","",VLOOKUP(B1173,'TB for financial'!A:B,2,0))</f>
        <v/>
      </c>
    </row>
    <row r="1174" spans="3:3">
      <c r="C1174" s="316" t="str">
        <f>IF(B1174="","",VLOOKUP(B1174,'TB for financial'!A:B,2,0))</f>
        <v/>
      </c>
    </row>
    <row r="1175" spans="3:3">
      <c r="C1175" s="316" t="str">
        <f>IF(B1175="","",VLOOKUP(B1175,'TB for financial'!A:B,2,0))</f>
        <v/>
      </c>
    </row>
    <row r="1176" spans="3:3">
      <c r="C1176" s="316" t="str">
        <f>IF(B1176="","",VLOOKUP(B1176,'TB for financial'!A:B,2,0))</f>
        <v/>
      </c>
    </row>
    <row r="1177" spans="3:3">
      <c r="C1177" s="316" t="str">
        <f>IF(B1177="","",VLOOKUP(B1177,'TB for financial'!A:B,2,0))</f>
        <v/>
      </c>
    </row>
    <row r="1178" spans="3:3">
      <c r="C1178" s="316" t="str">
        <f>IF(B1178="","",VLOOKUP(B1178,'TB for financial'!A:B,2,0))</f>
        <v/>
      </c>
    </row>
    <row r="1179" spans="3:3">
      <c r="C1179" s="316" t="str">
        <f>IF(B1179="","",VLOOKUP(B1179,'TB for financial'!A:B,2,0))</f>
        <v/>
      </c>
    </row>
    <row r="1180" spans="3:3">
      <c r="C1180" s="316" t="str">
        <f>IF(B1180="","",VLOOKUP(B1180,'TB for financial'!A:B,2,0))</f>
        <v/>
      </c>
    </row>
    <row r="1181" spans="3:3">
      <c r="C1181" s="316" t="str">
        <f>IF(B1181="","",VLOOKUP(B1181,'TB for financial'!A:B,2,0))</f>
        <v/>
      </c>
    </row>
    <row r="1182" spans="3:3">
      <c r="C1182" s="316" t="str">
        <f>IF(B1182="","",VLOOKUP(B1182,'TB for financial'!A:B,2,0))</f>
        <v/>
      </c>
    </row>
    <row r="1183" spans="3:3">
      <c r="C1183" s="316" t="str">
        <f>IF(B1183="","",VLOOKUP(B1183,'TB for financial'!A:B,2,0))</f>
        <v/>
      </c>
    </row>
    <row r="1184" spans="3:3">
      <c r="C1184" s="316" t="str">
        <f>IF(B1184="","",VLOOKUP(B1184,'TB for financial'!A:B,2,0))</f>
        <v/>
      </c>
    </row>
    <row r="1185" spans="3:3">
      <c r="C1185" s="316" t="str">
        <f>IF(B1185="","",VLOOKUP(B1185,'TB for financial'!A:B,2,0))</f>
        <v/>
      </c>
    </row>
    <row r="1186" spans="3:3">
      <c r="C1186" s="316" t="str">
        <f>IF(B1186="","",VLOOKUP(B1186,'TB for financial'!A:B,2,0))</f>
        <v/>
      </c>
    </row>
    <row r="1187" spans="3:3">
      <c r="C1187" s="316" t="str">
        <f>IF(B1187="","",VLOOKUP(B1187,'TB for financial'!A:B,2,0))</f>
        <v/>
      </c>
    </row>
    <row r="1188" spans="3:3">
      <c r="C1188" s="316" t="str">
        <f>IF(B1188="","",VLOOKUP(B1188,'TB for financial'!A:B,2,0))</f>
        <v/>
      </c>
    </row>
    <row r="1189" spans="3:3">
      <c r="C1189" s="316" t="str">
        <f>IF(B1189="","",VLOOKUP(B1189,'TB for financial'!A:B,2,0))</f>
        <v/>
      </c>
    </row>
    <row r="1190" spans="3:3">
      <c r="C1190" s="316" t="str">
        <f>IF(B1190="","",VLOOKUP(B1190,'TB for financial'!A:B,2,0))</f>
        <v/>
      </c>
    </row>
    <row r="1191" spans="3:3">
      <c r="C1191" s="316" t="str">
        <f>IF(B1191="","",VLOOKUP(B1191,'TB for financial'!A:B,2,0))</f>
        <v/>
      </c>
    </row>
    <row r="1192" spans="3:3">
      <c r="C1192" s="316" t="str">
        <f>IF(B1192="","",VLOOKUP(B1192,'TB for financial'!A:B,2,0))</f>
        <v/>
      </c>
    </row>
    <row r="1193" spans="3:3">
      <c r="C1193" s="316" t="str">
        <f>IF(B1193="","",VLOOKUP(B1193,'TB for financial'!A:B,2,0))</f>
        <v/>
      </c>
    </row>
    <row r="1194" spans="3:3">
      <c r="C1194" s="316" t="str">
        <f>IF(B1194="","",VLOOKUP(B1194,'TB for financial'!A:B,2,0))</f>
        <v/>
      </c>
    </row>
    <row r="1195" spans="3:3">
      <c r="C1195" s="316" t="str">
        <f>IF(B1195="","",VLOOKUP(B1195,'TB for financial'!A:B,2,0))</f>
        <v/>
      </c>
    </row>
    <row r="1196" spans="3:3">
      <c r="C1196" s="316" t="str">
        <f>IF(B1196="","",VLOOKUP(B1196,'TB for financial'!A:B,2,0))</f>
        <v/>
      </c>
    </row>
    <row r="1197" spans="3:3">
      <c r="C1197" s="316" t="str">
        <f>IF(B1197="","",VLOOKUP(B1197,'TB for financial'!A:B,2,0))</f>
        <v/>
      </c>
    </row>
    <row r="1198" spans="3:3">
      <c r="C1198" s="316" t="str">
        <f>IF(B1198="","",VLOOKUP(B1198,'TB for financial'!A:B,2,0))</f>
        <v/>
      </c>
    </row>
    <row r="1199" spans="3:3">
      <c r="C1199" s="316" t="str">
        <f>IF(B1199="","",VLOOKUP(B1199,'TB for financial'!A:B,2,0))</f>
        <v/>
      </c>
    </row>
    <row r="1200" spans="3:3">
      <c r="C1200" s="316" t="str">
        <f>IF(B1200="","",VLOOKUP(B1200,'TB for financial'!A:B,2,0))</f>
        <v/>
      </c>
    </row>
    <row r="1201" spans="3:3">
      <c r="C1201" s="316" t="str">
        <f>IF(B1201="","",VLOOKUP(B1201,'TB for financial'!A:B,2,0))</f>
        <v/>
      </c>
    </row>
    <row r="1202" spans="3:3">
      <c r="C1202" s="316" t="str">
        <f>IF(B1202="","",VLOOKUP(B1202,'TB for financial'!A:B,2,0))</f>
        <v/>
      </c>
    </row>
    <row r="1203" spans="3:3">
      <c r="C1203" s="316" t="str">
        <f>IF(B1203="","",VLOOKUP(B1203,'TB for financial'!A:B,2,0))</f>
        <v/>
      </c>
    </row>
    <row r="1204" spans="3:3">
      <c r="C1204" s="316" t="str">
        <f>IF(B1204="","",VLOOKUP(B1204,'TB for financial'!A:B,2,0))</f>
        <v/>
      </c>
    </row>
    <row r="1205" spans="3:3">
      <c r="C1205" s="316" t="str">
        <f>IF(B1205="","",VLOOKUP(B1205,'TB for financial'!A:B,2,0))</f>
        <v/>
      </c>
    </row>
    <row r="1206" spans="3:3">
      <c r="C1206" s="316" t="str">
        <f>IF(B1206="","",VLOOKUP(B1206,'TB for financial'!A:B,2,0))</f>
        <v/>
      </c>
    </row>
    <row r="1207" spans="3:3">
      <c r="C1207" s="316" t="str">
        <f>IF(B1207="","",VLOOKUP(B1207,'TB for financial'!A:B,2,0))</f>
        <v/>
      </c>
    </row>
    <row r="1208" spans="3:3">
      <c r="C1208" s="316" t="str">
        <f>IF(B1208="","",VLOOKUP(B1208,'TB for financial'!A:B,2,0))</f>
        <v/>
      </c>
    </row>
    <row r="1209" spans="3:3">
      <c r="C1209" s="316" t="str">
        <f>IF(B1209="","",VLOOKUP(B1209,'TB for financial'!A:B,2,0))</f>
        <v/>
      </c>
    </row>
    <row r="1210" spans="3:3">
      <c r="C1210" s="316" t="str">
        <f>IF(B1210="","",VLOOKUP(B1210,'TB for financial'!A:B,2,0))</f>
        <v/>
      </c>
    </row>
    <row r="1211" spans="3:3">
      <c r="C1211" s="316" t="str">
        <f>IF(B1211="","",VLOOKUP(B1211,'TB for financial'!A:B,2,0))</f>
        <v/>
      </c>
    </row>
    <row r="1212" spans="3:3">
      <c r="C1212" s="316" t="str">
        <f>IF(B1212="","",VLOOKUP(B1212,'TB for financial'!A:B,2,0))</f>
        <v/>
      </c>
    </row>
    <row r="1213" spans="3:3">
      <c r="C1213" s="316" t="str">
        <f>IF(B1213="","",VLOOKUP(B1213,'TB for financial'!A:B,2,0))</f>
        <v/>
      </c>
    </row>
    <row r="1214" spans="3:3">
      <c r="C1214" s="316" t="str">
        <f>IF(B1214="","",VLOOKUP(B1214,'TB for financial'!A:B,2,0))</f>
        <v/>
      </c>
    </row>
    <row r="1215" spans="3:3">
      <c r="C1215" s="316" t="str">
        <f>IF(B1215="","",VLOOKUP(B1215,'TB for financial'!A:B,2,0))</f>
        <v/>
      </c>
    </row>
    <row r="1216" spans="3:3">
      <c r="C1216" s="316" t="str">
        <f>IF(B1216="","",VLOOKUP(B1216,'TB for financial'!A:B,2,0))</f>
        <v/>
      </c>
    </row>
    <row r="1217" spans="3:3">
      <c r="C1217" s="316" t="str">
        <f>IF(B1217="","",VLOOKUP(B1217,'TB for financial'!A:B,2,0))</f>
        <v/>
      </c>
    </row>
    <row r="1218" spans="3:3">
      <c r="C1218" s="316" t="str">
        <f>IF(B1218="","",VLOOKUP(B1218,'TB for financial'!A:B,2,0))</f>
        <v/>
      </c>
    </row>
    <row r="1219" spans="3:3">
      <c r="C1219" s="316" t="str">
        <f>IF(B1219="","",VLOOKUP(B1219,'TB for financial'!A:B,2,0))</f>
        <v/>
      </c>
    </row>
    <row r="1220" spans="3:3">
      <c r="C1220" s="316" t="str">
        <f>IF(B1220="","",VLOOKUP(B1220,'TB for financial'!A:B,2,0))</f>
        <v/>
      </c>
    </row>
    <row r="1221" spans="3:3">
      <c r="C1221" s="316" t="str">
        <f>IF(B1221="","",VLOOKUP(B1221,'TB for financial'!A:B,2,0))</f>
        <v/>
      </c>
    </row>
    <row r="1222" spans="3:3">
      <c r="C1222" s="316" t="str">
        <f>IF(B1222="","",VLOOKUP(B1222,'TB for financial'!A:B,2,0))</f>
        <v/>
      </c>
    </row>
    <row r="1223" spans="3:3">
      <c r="C1223" s="316" t="str">
        <f>IF(B1223="","",VLOOKUP(B1223,'TB for financial'!A:B,2,0))</f>
        <v/>
      </c>
    </row>
    <row r="1224" spans="3:3">
      <c r="C1224" s="316" t="str">
        <f>IF(B1224="","",VLOOKUP(B1224,'TB for financial'!A:B,2,0))</f>
        <v/>
      </c>
    </row>
    <row r="1225" spans="3:3">
      <c r="C1225" s="316" t="str">
        <f>IF(B1225="","",VLOOKUP(B1225,'TB for financial'!A:B,2,0))</f>
        <v/>
      </c>
    </row>
    <row r="1226" spans="3:3">
      <c r="C1226" s="316" t="str">
        <f>IF(B1226="","",VLOOKUP(B1226,'TB for financial'!A:B,2,0))</f>
        <v/>
      </c>
    </row>
    <row r="1227" spans="3:3">
      <c r="C1227" s="316" t="str">
        <f>IF(B1227="","",VLOOKUP(B1227,'TB for financial'!A:B,2,0))</f>
        <v/>
      </c>
    </row>
    <row r="1228" spans="3:3">
      <c r="C1228" s="316" t="str">
        <f>IF(B1228="","",VLOOKUP(B1228,'TB for financial'!A:B,2,0))</f>
        <v/>
      </c>
    </row>
    <row r="1229" spans="3:3">
      <c r="C1229" s="316" t="str">
        <f>IF(B1229="","",VLOOKUP(B1229,'TB for financial'!A:B,2,0))</f>
        <v/>
      </c>
    </row>
    <row r="1230" spans="3:3">
      <c r="C1230" s="316" t="str">
        <f>IF(B1230="","",VLOOKUP(B1230,'TB for financial'!A:B,2,0))</f>
        <v/>
      </c>
    </row>
    <row r="1231" spans="3:3">
      <c r="C1231" s="316" t="str">
        <f>IF(B1231="","",VLOOKUP(B1231,'TB for financial'!A:B,2,0))</f>
        <v/>
      </c>
    </row>
    <row r="1232" spans="3:3">
      <c r="C1232" s="316" t="str">
        <f>IF(B1232="","",VLOOKUP(B1232,'TB for financial'!A:B,2,0))</f>
        <v/>
      </c>
    </row>
    <row r="1233" spans="3:3">
      <c r="C1233" s="316" t="str">
        <f>IF(B1233="","",VLOOKUP(B1233,'TB for financial'!A:B,2,0))</f>
        <v/>
      </c>
    </row>
    <row r="1234" spans="3:3">
      <c r="C1234" s="316" t="str">
        <f>IF(B1234="","",VLOOKUP(B1234,'TB for financial'!A:B,2,0))</f>
        <v/>
      </c>
    </row>
    <row r="1235" spans="3:3">
      <c r="C1235" s="316" t="str">
        <f>IF(B1235="","",VLOOKUP(B1235,'TB for financial'!A:B,2,0))</f>
        <v/>
      </c>
    </row>
    <row r="1236" spans="3:3">
      <c r="C1236" s="316" t="str">
        <f>IF(B1236="","",VLOOKUP(B1236,'TB for financial'!A:B,2,0))</f>
        <v/>
      </c>
    </row>
    <row r="1237" spans="3:3">
      <c r="C1237" s="316" t="str">
        <f>IF(B1237="","",VLOOKUP(B1237,'TB for financial'!A:B,2,0))</f>
        <v/>
      </c>
    </row>
    <row r="1238" spans="3:3">
      <c r="C1238" s="316" t="str">
        <f>IF(B1238="","",VLOOKUP(B1238,'TB for financial'!A:B,2,0))</f>
        <v/>
      </c>
    </row>
    <row r="1239" spans="3:3">
      <c r="C1239" s="316" t="str">
        <f>IF(B1239="","",VLOOKUP(B1239,'TB for financial'!A:B,2,0))</f>
        <v/>
      </c>
    </row>
    <row r="1240" spans="3:3">
      <c r="C1240" s="316" t="str">
        <f>IF(B1240="","",VLOOKUP(B1240,'TB for financial'!A:B,2,0))</f>
        <v/>
      </c>
    </row>
    <row r="1241" spans="3:3">
      <c r="C1241" s="316" t="str">
        <f>IF(B1241="","",VLOOKUP(B1241,'TB for financial'!A:B,2,0))</f>
        <v/>
      </c>
    </row>
    <row r="1242" spans="3:3">
      <c r="C1242" s="316" t="str">
        <f>IF(B1242="","",VLOOKUP(B1242,'TB for financial'!A:B,2,0))</f>
        <v/>
      </c>
    </row>
    <row r="1243" spans="3:3">
      <c r="C1243" s="316" t="str">
        <f>IF(B1243="","",VLOOKUP(B1243,'TB for financial'!A:B,2,0))</f>
        <v/>
      </c>
    </row>
    <row r="1244" spans="3:3">
      <c r="C1244" s="316" t="str">
        <f>IF(B1244="","",VLOOKUP(B1244,'TB for financial'!A:B,2,0))</f>
        <v/>
      </c>
    </row>
    <row r="1245" spans="3:3">
      <c r="C1245" s="316" t="str">
        <f>IF(B1245="","",VLOOKUP(B1245,'TB for financial'!A:B,2,0))</f>
        <v/>
      </c>
    </row>
    <row r="1246" spans="3:3">
      <c r="C1246" s="316" t="str">
        <f>IF(B1246="","",VLOOKUP(B1246,'TB for financial'!A:B,2,0))</f>
        <v/>
      </c>
    </row>
    <row r="1247" spans="3:3">
      <c r="C1247" s="316" t="str">
        <f>IF(B1247="","",VLOOKUP(B1247,'TB for financial'!A:B,2,0))</f>
        <v/>
      </c>
    </row>
    <row r="1248" spans="3:3">
      <c r="C1248" s="316" t="str">
        <f>IF(B1248="","",VLOOKUP(B1248,'TB for financial'!A:B,2,0))</f>
        <v/>
      </c>
    </row>
    <row r="1249" spans="3:3">
      <c r="C1249" s="316" t="str">
        <f>IF(B1249="","",VLOOKUP(B1249,'TB for financial'!A:B,2,0))</f>
        <v/>
      </c>
    </row>
    <row r="1250" spans="3:3">
      <c r="C1250" s="316" t="str">
        <f>IF(B1250="","",VLOOKUP(B1250,'TB for financial'!A:B,2,0))</f>
        <v/>
      </c>
    </row>
    <row r="1251" spans="3:3">
      <c r="C1251" s="316" t="str">
        <f>IF(B1251="","",VLOOKUP(B1251,'TB for financial'!A:B,2,0))</f>
        <v/>
      </c>
    </row>
    <row r="1252" spans="3:3">
      <c r="C1252" s="316" t="str">
        <f>IF(B1252="","",VLOOKUP(B1252,'TB for financial'!A:B,2,0))</f>
        <v/>
      </c>
    </row>
    <row r="1253" spans="3:3">
      <c r="C1253" s="316" t="str">
        <f>IF(B1253="","",VLOOKUP(B1253,'TB for financial'!A:B,2,0))</f>
        <v/>
      </c>
    </row>
    <row r="1254" spans="3:3">
      <c r="C1254" s="316" t="str">
        <f>IF(B1254="","",VLOOKUP(B1254,'TB for financial'!A:B,2,0))</f>
        <v/>
      </c>
    </row>
    <row r="1255" spans="3:3">
      <c r="C1255" s="316" t="str">
        <f>IF(B1255="","",VLOOKUP(B1255,'TB for financial'!A:B,2,0))</f>
        <v/>
      </c>
    </row>
    <row r="1256" spans="3:3">
      <c r="C1256" s="316" t="str">
        <f>IF(B1256="","",VLOOKUP(B1256,'TB for financial'!A:B,2,0))</f>
        <v/>
      </c>
    </row>
    <row r="1257" spans="3:3">
      <c r="C1257" s="316" t="str">
        <f>IF(B1257="","",VLOOKUP(B1257,'TB for financial'!A:B,2,0))</f>
        <v/>
      </c>
    </row>
    <row r="1258" spans="3:3">
      <c r="C1258" s="316" t="str">
        <f>IF(B1258="","",VLOOKUP(B1258,'TB for financial'!A:B,2,0))</f>
        <v/>
      </c>
    </row>
    <row r="1259" spans="3:3">
      <c r="C1259" s="316" t="str">
        <f>IF(B1259="","",VLOOKUP(B1259,'TB for financial'!A:B,2,0))</f>
        <v/>
      </c>
    </row>
    <row r="1260" spans="3:3">
      <c r="C1260" s="316" t="str">
        <f>IF(B1260="","",VLOOKUP(B1260,'TB for financial'!A:B,2,0))</f>
        <v/>
      </c>
    </row>
    <row r="1261" spans="3:3">
      <c r="C1261" s="316" t="str">
        <f>IF(B1261="","",VLOOKUP(B1261,'TB for financial'!A:B,2,0))</f>
        <v/>
      </c>
    </row>
    <row r="1262" spans="3:3">
      <c r="C1262" s="316" t="str">
        <f>IF(B1262="","",VLOOKUP(B1262,'TB for financial'!A:B,2,0))</f>
        <v/>
      </c>
    </row>
    <row r="1263" spans="3:3">
      <c r="C1263" s="316" t="str">
        <f>IF(B1263="","",VLOOKUP(B1263,'TB for financial'!A:B,2,0))</f>
        <v/>
      </c>
    </row>
    <row r="1264" spans="3:3">
      <c r="C1264" s="316" t="str">
        <f>IF(B1264="","",VLOOKUP(B1264,'TB for financial'!A:B,2,0))</f>
        <v/>
      </c>
    </row>
    <row r="1265" spans="3:3">
      <c r="C1265" s="316" t="str">
        <f>IF(B1265="","",VLOOKUP(B1265,'TB for financial'!A:B,2,0))</f>
        <v/>
      </c>
    </row>
    <row r="1266" spans="3:3">
      <c r="C1266" s="316" t="str">
        <f>IF(B1266="","",VLOOKUP(B1266,'TB for financial'!A:B,2,0))</f>
        <v/>
      </c>
    </row>
    <row r="1267" spans="3:3">
      <c r="C1267" s="316" t="str">
        <f>IF(B1267="","",VLOOKUP(B1267,'TB for financial'!A:B,2,0))</f>
        <v/>
      </c>
    </row>
    <row r="1268" spans="3:3">
      <c r="C1268" s="316" t="str">
        <f>IF(B1268="","",VLOOKUP(B1268,'TB for financial'!A:B,2,0))</f>
        <v/>
      </c>
    </row>
    <row r="1269" spans="3:3">
      <c r="C1269" s="316"/>
    </row>
    <row r="1270" spans="3:3">
      <c r="C1270" s="316"/>
    </row>
    <row r="1271" spans="3:3">
      <c r="C1271" s="316"/>
    </row>
    <row r="1272" spans="3:3">
      <c r="C1272" s="316"/>
    </row>
    <row r="1273" spans="3:3">
      <c r="C1273" s="316"/>
    </row>
    <row r="1274" spans="3:3">
      <c r="C1274" s="316"/>
    </row>
    <row r="1275" spans="3:3">
      <c r="C1275" s="316"/>
    </row>
    <row r="1276" spans="3:3">
      <c r="C1276" s="316"/>
    </row>
    <row r="1277" spans="3:3">
      <c r="C1277" s="316"/>
    </row>
    <row r="1278" spans="3:3">
      <c r="C1278" s="316"/>
    </row>
    <row r="1279" spans="3:3">
      <c r="C1279" s="316"/>
    </row>
    <row r="1280" spans="3:3">
      <c r="C1280" s="316"/>
    </row>
    <row r="1281" spans="3:3">
      <c r="C1281" s="316"/>
    </row>
    <row r="1282" spans="3:3">
      <c r="C1282" s="316"/>
    </row>
    <row r="1283" spans="3:3">
      <c r="C1283" s="316"/>
    </row>
    <row r="1284" spans="3:3">
      <c r="C1284" s="316"/>
    </row>
    <row r="1285" spans="3:3">
      <c r="C1285" s="316"/>
    </row>
    <row r="1286" spans="3:3">
      <c r="C1286" s="316"/>
    </row>
    <row r="1287" spans="3:3">
      <c r="C1287" s="316"/>
    </row>
    <row r="1288" spans="3:3">
      <c r="C1288" s="316"/>
    </row>
    <row r="1289" spans="3:3">
      <c r="C1289" s="316"/>
    </row>
    <row r="1290" spans="3:3">
      <c r="C1290" s="316"/>
    </row>
    <row r="1291" spans="3:3">
      <c r="C1291" s="316"/>
    </row>
    <row r="1292" spans="3:3">
      <c r="C1292" s="316"/>
    </row>
    <row r="1293" spans="3:3">
      <c r="C1293" s="316"/>
    </row>
    <row r="1294" spans="3:3">
      <c r="C1294" s="316"/>
    </row>
    <row r="1295" spans="3:3">
      <c r="C1295" s="316"/>
    </row>
    <row r="1296" spans="3:3">
      <c r="C1296" s="316"/>
    </row>
    <row r="1297" spans="3:3">
      <c r="C1297" s="316"/>
    </row>
    <row r="1298" spans="3:3">
      <c r="C1298" s="316"/>
    </row>
    <row r="1299" spans="3:3">
      <c r="C1299" s="316"/>
    </row>
    <row r="1300" spans="3:3">
      <c r="C1300" s="316"/>
    </row>
    <row r="1301" spans="3:3">
      <c r="C1301" s="1468"/>
    </row>
    <row r="1303" spans="3:3">
      <c r="C1303" s="316"/>
    </row>
    <row r="1304" spans="3:3">
      <c r="C1304" s="316"/>
    </row>
    <row r="1305" spans="3:3">
      <c r="C1305" s="316"/>
    </row>
    <row r="1306" spans="3:3">
      <c r="C1306" s="316"/>
    </row>
    <row r="1307" spans="3:3">
      <c r="C1307" s="316"/>
    </row>
    <row r="1308" spans="3:3">
      <c r="C1308" s="316"/>
    </row>
    <row r="1309" spans="3:3">
      <c r="C1309" s="316"/>
    </row>
    <row r="1310" spans="3:3">
      <c r="C1310" s="316"/>
    </row>
    <row r="1311" spans="3:3">
      <c r="C1311" s="316"/>
    </row>
    <row r="1312" spans="3:3">
      <c r="C1312" s="316"/>
    </row>
    <row r="1313" spans="3:3">
      <c r="C1313" s="316"/>
    </row>
    <row r="1314" spans="3:3">
      <c r="C1314" s="316"/>
    </row>
    <row r="1315" spans="3:3">
      <c r="C1315" s="316"/>
    </row>
    <row r="1316" spans="3:3">
      <c r="C1316" s="316"/>
    </row>
    <row r="1317" spans="3:3">
      <c r="C1317" s="316"/>
    </row>
    <row r="1318" spans="3:3">
      <c r="C1318" s="316"/>
    </row>
    <row r="1319" spans="3:3">
      <c r="C1319" s="316"/>
    </row>
    <row r="1320" spans="3:3">
      <c r="C1320" s="316"/>
    </row>
    <row r="1321" spans="3:3">
      <c r="C1321" s="316"/>
    </row>
    <row r="1322" spans="3:3">
      <c r="C1322" s="316"/>
    </row>
    <row r="1323" spans="3:3">
      <c r="C1323" s="316"/>
    </row>
    <row r="1324" spans="3:3">
      <c r="C1324" s="316"/>
    </row>
    <row r="1325" spans="3:3">
      <c r="C1325" s="316"/>
    </row>
    <row r="1326" spans="3:3">
      <c r="C1326" s="316"/>
    </row>
    <row r="1327" spans="3:3">
      <c r="C1327" s="316"/>
    </row>
    <row r="1328" spans="3:3">
      <c r="C1328" s="316"/>
    </row>
    <row r="1329" spans="3:3">
      <c r="C1329" s="316"/>
    </row>
    <row r="1330" spans="3:3">
      <c r="C1330" s="316"/>
    </row>
    <row r="1331" spans="3:3">
      <c r="C1331" s="316"/>
    </row>
    <row r="1332" spans="3:3">
      <c r="C1332" s="316"/>
    </row>
    <row r="1333" spans="3:3">
      <c r="C1333" s="316"/>
    </row>
    <row r="1334" spans="3:3">
      <c r="C1334" s="316"/>
    </row>
    <row r="1335" spans="3:3">
      <c r="C1335" s="316"/>
    </row>
    <row r="1336" spans="3:3">
      <c r="C1336" s="316"/>
    </row>
    <row r="1337" spans="3:3">
      <c r="C1337" s="316"/>
    </row>
    <row r="1338" spans="3:3">
      <c r="C1338" s="316"/>
    </row>
    <row r="1339" spans="3:3">
      <c r="C1339" s="316"/>
    </row>
    <row r="1340" spans="3:3">
      <c r="C1340" s="316"/>
    </row>
    <row r="1341" spans="3:3">
      <c r="C1341" s="316"/>
    </row>
    <row r="1342" spans="3:3">
      <c r="C1342" s="316"/>
    </row>
    <row r="1343" spans="3:3">
      <c r="C1343" s="316"/>
    </row>
    <row r="1344" spans="3:3">
      <c r="C1344" s="316"/>
    </row>
    <row r="1345" spans="3:3">
      <c r="C1345" s="316"/>
    </row>
    <row r="1346" spans="3:3">
      <c r="C1346" s="316"/>
    </row>
    <row r="1347" spans="3:3">
      <c r="C1347" s="316"/>
    </row>
    <row r="1348" spans="3:3">
      <c r="C1348" s="316"/>
    </row>
    <row r="1349" spans="3:3">
      <c r="C1349" s="316"/>
    </row>
    <row r="1350" spans="3:3">
      <c r="C1350" s="316"/>
    </row>
    <row r="1351" spans="3:3">
      <c r="C1351" s="316"/>
    </row>
    <row r="1352" spans="3:3">
      <c r="C1352" s="316"/>
    </row>
    <row r="1353" spans="3:3">
      <c r="C1353" s="316"/>
    </row>
    <row r="1354" spans="3:3">
      <c r="C1354" s="316"/>
    </row>
    <row r="1355" spans="3:3">
      <c r="C1355" s="316"/>
    </row>
    <row r="1356" spans="3:3">
      <c r="C1356" s="316"/>
    </row>
    <row r="1357" spans="3:3">
      <c r="C1357" s="316"/>
    </row>
    <row r="1358" spans="3:3">
      <c r="C1358" s="316"/>
    </row>
    <row r="1359" spans="3:3">
      <c r="C1359" s="316"/>
    </row>
    <row r="1360" spans="3:3">
      <c r="C1360" s="316"/>
    </row>
    <row r="1361" spans="3:3">
      <c r="C1361" s="316"/>
    </row>
    <row r="1362" spans="3:3">
      <c r="C1362" s="316"/>
    </row>
    <row r="1363" spans="3:3">
      <c r="C1363" s="316"/>
    </row>
    <row r="1364" spans="3:3">
      <c r="C1364" s="316"/>
    </row>
    <row r="1365" spans="3:3">
      <c r="C1365" s="316"/>
    </row>
    <row r="1366" spans="3:3">
      <c r="C1366" s="316"/>
    </row>
    <row r="1367" spans="3:3">
      <c r="C1367" s="316"/>
    </row>
    <row r="1368" spans="3:3">
      <c r="C1368" s="316"/>
    </row>
    <row r="1369" spans="3:3">
      <c r="C1369" s="316"/>
    </row>
    <row r="1370" spans="3:3">
      <c r="C1370" s="316"/>
    </row>
    <row r="1371" spans="3:3">
      <c r="C1371" s="316"/>
    </row>
    <row r="1372" spans="3:3">
      <c r="C1372" s="316"/>
    </row>
    <row r="1373" spans="3:3">
      <c r="C1373" s="316"/>
    </row>
    <row r="1374" spans="3:3">
      <c r="C1374" s="316"/>
    </row>
    <row r="1375" spans="3:3">
      <c r="C1375" s="316"/>
    </row>
    <row r="1376" spans="3:3">
      <c r="C1376" s="316"/>
    </row>
    <row r="1377" spans="3:3">
      <c r="C1377" s="316"/>
    </row>
    <row r="1378" spans="3:3">
      <c r="C1378" s="316"/>
    </row>
    <row r="1379" spans="3:3">
      <c r="C1379" s="316"/>
    </row>
    <row r="1380" spans="3:3">
      <c r="C1380" s="316"/>
    </row>
    <row r="1381" spans="3:3">
      <c r="C1381" s="316"/>
    </row>
    <row r="1382" spans="3:3">
      <c r="C1382" s="316"/>
    </row>
    <row r="1383" spans="3:3">
      <c r="C1383" s="316"/>
    </row>
    <row r="1384" spans="3:3">
      <c r="C1384" s="316"/>
    </row>
    <row r="1385" spans="3:3">
      <c r="C1385" s="316"/>
    </row>
    <row r="1386" spans="3:3">
      <c r="C1386" s="316"/>
    </row>
    <row r="1387" spans="3:3">
      <c r="C1387" s="316"/>
    </row>
    <row r="1388" spans="3:3">
      <c r="C1388" s="316"/>
    </row>
    <row r="1389" spans="3:3">
      <c r="C1389" s="316"/>
    </row>
    <row r="1390" spans="3:3">
      <c r="C1390" s="316"/>
    </row>
    <row r="1391" spans="3:3">
      <c r="C1391" s="316"/>
    </row>
    <row r="1392" spans="3:3">
      <c r="C1392" s="316"/>
    </row>
    <row r="1393" spans="3:3">
      <c r="C1393" s="316"/>
    </row>
    <row r="1394" spans="3:3">
      <c r="C1394" s="316"/>
    </row>
    <row r="1395" spans="3:3">
      <c r="C1395" s="316"/>
    </row>
    <row r="1396" spans="3:3">
      <c r="C1396" s="316"/>
    </row>
    <row r="1397" spans="3:3">
      <c r="C1397" s="316"/>
    </row>
    <row r="1398" spans="3:3">
      <c r="C1398" s="316"/>
    </row>
    <row r="1399" spans="3:3">
      <c r="C1399" s="316"/>
    </row>
    <row r="1400" spans="3:3">
      <c r="C1400" s="316"/>
    </row>
    <row r="1401" spans="3:3">
      <c r="C1401" s="316"/>
    </row>
    <row r="1402" spans="3:3">
      <c r="C1402" s="316"/>
    </row>
    <row r="1403" spans="3:3">
      <c r="C1403" s="316"/>
    </row>
    <row r="1404" spans="3:3">
      <c r="C1404" s="316"/>
    </row>
    <row r="1405" spans="3:3">
      <c r="C1405" s="316"/>
    </row>
    <row r="1406" spans="3:3">
      <c r="C1406" s="316"/>
    </row>
    <row r="1407" spans="3:3">
      <c r="C1407" s="316"/>
    </row>
    <row r="1408" spans="3:3">
      <c r="C1408" s="316"/>
    </row>
    <row r="1409" spans="3:3">
      <c r="C1409" s="316"/>
    </row>
    <row r="1410" spans="3:3">
      <c r="C1410" s="316"/>
    </row>
    <row r="1411" spans="3:3">
      <c r="C1411" s="316"/>
    </row>
    <row r="1412" spans="3:3">
      <c r="C1412" s="316"/>
    </row>
    <row r="1413" spans="3:3">
      <c r="C1413" s="316"/>
    </row>
    <row r="1414" spans="3:3">
      <c r="C1414" s="316"/>
    </row>
    <row r="1415" spans="3:3">
      <c r="C1415" s="316"/>
    </row>
    <row r="1416" spans="3:3">
      <c r="C1416" s="316"/>
    </row>
    <row r="1417" spans="3:3">
      <c r="C1417" s="316"/>
    </row>
    <row r="1418" spans="3:3">
      <c r="C1418" s="316"/>
    </row>
    <row r="1419" spans="3:3">
      <c r="C1419" s="316"/>
    </row>
    <row r="1420" spans="3:3">
      <c r="C1420" s="316"/>
    </row>
    <row r="1421" spans="3:3">
      <c r="C1421" s="316"/>
    </row>
  </sheetData>
  <autoFilter ref="A4:J1421" xr:uid="{3C47676D-52DC-40CD-98BF-9EE3164F500B}"/>
  <conditionalFormatting sqref="F2:G2">
    <cfRule type="cellIs" dxfId="3" priority="1" operator="equal">
      <formula>FALSE</formula>
    </cfRule>
  </conditionalFormatting>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9D777-B41E-409C-9E79-2C34BF964B9A}">
  <sheetPr>
    <tabColor rgb="FFFFFF00"/>
  </sheetPr>
  <dimension ref="A1:J134"/>
  <sheetViews>
    <sheetView topLeftCell="B16" zoomScale="136" zoomScaleNormal="136" workbookViewId="0">
      <selection activeCell="D23" sqref="D23"/>
    </sheetView>
  </sheetViews>
  <sheetFormatPr defaultColWidth="9.21875" defaultRowHeight="12"/>
  <cols>
    <col min="1" max="1" width="5.21875" style="640" customWidth="1"/>
    <col min="2" max="2" width="7" style="640" bestFit="1" customWidth="1"/>
    <col min="3" max="3" width="46.44140625" style="640" customWidth="1"/>
    <col min="4" max="4" width="14.21875" style="640" bestFit="1" customWidth="1"/>
    <col min="5" max="5" width="14.5546875" style="640" bestFit="1" customWidth="1"/>
    <col min="6" max="6" width="12.77734375" style="640" bestFit="1" customWidth="1"/>
    <col min="7" max="7" width="15.21875" style="640" bestFit="1" customWidth="1"/>
    <col min="8" max="9" width="14.21875" style="640" bestFit="1" customWidth="1"/>
    <col min="10" max="10" width="11.44140625" style="640" bestFit="1" customWidth="1"/>
    <col min="11" max="16384" width="9.21875" style="640"/>
  </cols>
  <sheetData>
    <row r="1" spans="1:10">
      <c r="A1" s="639" t="str">
        <f>+Master!B2</f>
        <v>Syntel Solutions (India) Private Limited</v>
      </c>
    </row>
    <row r="2" spans="1:10">
      <c r="A2" s="639" t="s">
        <v>3017</v>
      </c>
    </row>
    <row r="4" spans="1:10">
      <c r="A4" s="641" t="s">
        <v>722</v>
      </c>
      <c r="B4" s="642" t="s">
        <v>723</v>
      </c>
      <c r="C4" s="641" t="s">
        <v>724</v>
      </c>
      <c r="D4" s="643" t="s">
        <v>725</v>
      </c>
      <c r="E4" s="644" t="s">
        <v>726</v>
      </c>
    </row>
    <row r="5" spans="1:10">
      <c r="A5" s="645" t="str">
        <f>IF(B5="","",IF(B4="",SUM(COUNT($A4:A$5)+1),""))</f>
        <v/>
      </c>
      <c r="B5" s="640">
        <v>481100</v>
      </c>
      <c r="C5" s="640" t="str">
        <f>IF(B5="","",VLOOKUP(B5,'TB for financial'!A:B,2,0))</f>
        <v>DEFERRED CHARGES</v>
      </c>
      <c r="D5" s="1676">
        <f>27451.8287025841</f>
        <v>27451.828702584098</v>
      </c>
      <c r="F5" s="647">
        <f>+D5-E5</f>
        <v>27451.828702584098</v>
      </c>
      <c r="G5" s="640">
        <v>101873</v>
      </c>
      <c r="H5" s="640" t="s">
        <v>1532</v>
      </c>
    </row>
    <row r="6" spans="1:10">
      <c r="A6" s="645" t="str">
        <f>IF(B6="","",IF(B5="",SUM(COUNT($A$5:A5)+1),""))</f>
        <v/>
      </c>
      <c r="B6" s="640">
        <v>411700</v>
      </c>
      <c r="C6" s="640" t="str">
        <f>IF(B6="","",VLOOKUP(B6,'TB for financial'!A:B,2,0))</f>
        <v>TRADE DEBTORS - GUARANTEE RETENTIONS</v>
      </c>
      <c r="D6" s="1676"/>
      <c r="E6" s="1676">
        <f>D5</f>
        <v>27451.828702584098</v>
      </c>
      <c r="F6" s="647">
        <f>+D6-E6</f>
        <v>-27451.828702584098</v>
      </c>
      <c r="G6" s="640">
        <v>101872</v>
      </c>
      <c r="H6" s="640" t="s">
        <v>1242</v>
      </c>
      <c r="J6" s="647">
        <f>F6+D11</f>
        <v>190175.14573459607</v>
      </c>
    </row>
    <row r="7" spans="1:10">
      <c r="A7" s="645" t="str">
        <f>IF(B7="","",IF(B6="",SUM(COUNT($A$5:A6)+1),""))</f>
        <v/>
      </c>
      <c r="C7" s="640" t="str">
        <f>IF(B7="","",VLOOKUP(B7,'TB for financial'!A:B,2,0))</f>
        <v/>
      </c>
      <c r="D7" s="646"/>
      <c r="E7" s="646"/>
      <c r="H7" s="640" t="s">
        <v>629</v>
      </c>
    </row>
    <row r="8" spans="1:10">
      <c r="A8" s="645">
        <f>IF(B8="","",IF(B7="",SUM(COUNT($A$5:A7)+1),""))</f>
        <v>1</v>
      </c>
      <c r="B8" s="640">
        <v>502112</v>
      </c>
      <c r="C8" s="640" t="str">
        <f>IF(B8="","",VLOOKUP(B8,'TB for financial'!A:B,2,0))</f>
        <v>Lease expense IC (IndAS)</v>
      </c>
      <c r="D8" s="647"/>
      <c r="E8" s="647"/>
      <c r="G8" s="640">
        <v>502112</v>
      </c>
      <c r="H8" s="640" t="s">
        <v>1695</v>
      </c>
    </row>
    <row r="9" spans="1:10">
      <c r="A9" s="645" t="str">
        <f>IF(B9="","",IF(B8="",SUM(COUNT($A$5:A8)+1),""))</f>
        <v/>
      </c>
      <c r="B9" s="640">
        <v>481100</v>
      </c>
      <c r="C9" s="640" t="str">
        <f>IF(B9="","",VLOOKUP(B9,'TB for financial'!A:B,2,0))</f>
        <v>DEFERRED CHARGES</v>
      </c>
      <c r="D9" s="647"/>
      <c r="E9" s="647"/>
      <c r="F9" s="647">
        <f>+D9-E9</f>
        <v>0</v>
      </c>
      <c r="G9" s="640">
        <v>101873</v>
      </c>
      <c r="H9" s="640" t="s">
        <v>1532</v>
      </c>
    </row>
    <row r="10" spans="1:10">
      <c r="A10" s="645" t="str">
        <f>IF(B10="","",IF(B9="",SUM(COUNT($A$5:A9)+1),""))</f>
        <v/>
      </c>
      <c r="C10" s="640" t="str">
        <f>IF(B10="","",VLOOKUP(B10,'TB for financial'!A:B,2,0))</f>
        <v/>
      </c>
      <c r="D10" s="648"/>
      <c r="H10" s="640" t="s">
        <v>629</v>
      </c>
    </row>
    <row r="11" spans="1:10">
      <c r="A11" s="645">
        <f>IF(B11="","",IF(B10="",SUM(COUNT($A$5:A10)+1),""))</f>
        <v>2</v>
      </c>
      <c r="B11" s="640">
        <v>411700</v>
      </c>
      <c r="C11" s="640" t="str">
        <f>IF(B11="","",VLOOKUP(B11,'TB for financial'!A:B,2,0))</f>
        <v>TRADE DEBTORS - GUARANTEE RETENTIONS</v>
      </c>
      <c r="D11" s="647">
        <v>217626.97443718018</v>
      </c>
      <c r="E11" s="647"/>
      <c r="F11" s="647">
        <f>+D11-E11</f>
        <v>217626.97443718018</v>
      </c>
      <c r="G11" s="640">
        <v>101872</v>
      </c>
      <c r="H11" s="640" t="s">
        <v>1242</v>
      </c>
    </row>
    <row r="12" spans="1:10">
      <c r="A12" s="645" t="str">
        <f>IF(B12="","",IF(B11="",SUM(COUNT($A$5:A11)+1),""))</f>
        <v/>
      </c>
      <c r="B12" s="640">
        <v>762511</v>
      </c>
      <c r="C12" s="640" t="str">
        <f>IF(B12="","",VLOOKUP(B12,'TB for financial'!A:B,2,0))</f>
        <v>Interest Income-Deposits</v>
      </c>
      <c r="D12" s="647"/>
      <c r="E12" s="647">
        <f>+D11</f>
        <v>217626.97443718018</v>
      </c>
      <c r="G12" s="640">
        <v>601032</v>
      </c>
      <c r="H12" s="640" t="s">
        <v>1783</v>
      </c>
    </row>
    <row r="13" spans="1:10">
      <c r="A13" s="645" t="str">
        <f>IF(B13="","",IF(B12="",SUM(COUNT($A$5:A12)+1),""))</f>
        <v/>
      </c>
      <c r="C13" s="640" t="str">
        <f>IF(B13="","",VLOOKUP(B13,'TB for financial'!A:B,2,0))</f>
        <v/>
      </c>
      <c r="D13" s="648"/>
      <c r="F13" s="647"/>
      <c r="G13" s="647">
        <f>E12-E6</f>
        <v>190175.14573459607</v>
      </c>
    </row>
    <row r="14" spans="1:10">
      <c r="A14" s="645">
        <f>IF(B14="","",IF(B13="",SUM(COUNT($A$5:A13)+1),""))</f>
        <v>3</v>
      </c>
      <c r="B14" s="640">
        <v>167211</v>
      </c>
      <c r="C14" s="640" t="str">
        <f>IF(B14="","",VLOOKUP(B14,'TB for financial'!A:B,2,0))</f>
        <v>Lease liability Real estate</v>
      </c>
      <c r="D14" s="1674">
        <v>3816704.9056500006</v>
      </c>
      <c r="E14" s="647"/>
    </row>
    <row r="15" spans="1:10">
      <c r="A15" s="645" t="str">
        <f>IF(B15="","",IF(B14="",SUM(COUNT($A$5:A14)+1),""))</f>
        <v/>
      </c>
      <c r="B15" s="640">
        <v>613207</v>
      </c>
      <c r="C15" s="640" t="str">
        <f>IF(B15="","",VLOOKUP(B15,'TB for financial'!A:B,2,0))</f>
        <v>Reversal rent real estate IFRS 16</v>
      </c>
      <c r="D15" s="647"/>
      <c r="E15" s="647">
        <f>+D14</f>
        <v>3816704.9056500006</v>
      </c>
    </row>
    <row r="16" spans="1:10">
      <c r="A16" s="645" t="str">
        <f>IF(B16="","",IF(B15="",SUM(COUNT($A$5:A15)+1),""))</f>
        <v/>
      </c>
      <c r="C16" s="640" t="str">
        <f>IF(B16="","",VLOOKUP(B16,'TB for financial'!A:B,2,0))</f>
        <v/>
      </c>
      <c r="D16" s="647"/>
      <c r="E16" s="647"/>
    </row>
    <row r="17" spans="1:10">
      <c r="A17" s="645">
        <f>IF(B17="","",IF(B16="",SUM(COUNT($A$5:A16)+1),""))</f>
        <v>4</v>
      </c>
      <c r="B17" s="640">
        <v>664011</v>
      </c>
      <c r="C17" s="640" t="str">
        <f>IF(B17="","",VLOOKUP(B17,'TB for financial'!A:B,2,0))</f>
        <v>Financial interests on lease liability Real estate</v>
      </c>
      <c r="D17" s="647">
        <v>401655.69133099925</v>
      </c>
      <c r="E17" s="647"/>
      <c r="H17" s="649"/>
      <c r="I17" s="649"/>
      <c r="J17" s="649"/>
    </row>
    <row r="18" spans="1:10" ht="14.4">
      <c r="A18" s="645" t="str">
        <f>IF(B18="","",IF(B17="",SUM(COUNT($A$5:A17)+1),""))</f>
        <v/>
      </c>
      <c r="B18" s="640">
        <v>167211</v>
      </c>
      <c r="C18" s="640" t="str">
        <f>IF(B18="","",VLOOKUP(B18,'TB for financial'!A:B,2,0))</f>
        <v>Lease liability Real estate</v>
      </c>
      <c r="D18"/>
      <c r="E18" s="647">
        <f>+D17</f>
        <v>401655.69133099925</v>
      </c>
      <c r="H18" s="649"/>
      <c r="I18" s="649"/>
      <c r="J18" s="649"/>
    </row>
    <row r="19" spans="1:10">
      <c r="A19" s="645" t="str">
        <f>IF(B19="","",IF(B18="",SUM(COUNT($A$5:A18)+1),""))</f>
        <v/>
      </c>
      <c r="C19" s="640" t="str">
        <f>IF(B19="","",VLOOKUP(B19,'TB for financial'!A:B,2,0))</f>
        <v/>
      </c>
      <c r="D19" s="647"/>
      <c r="E19" s="647"/>
    </row>
    <row r="20" spans="1:10">
      <c r="A20" s="645">
        <f>IF(B20="","",IF(B19="",SUM(COUNT($A$5:A19)+1),""))</f>
        <v>5</v>
      </c>
      <c r="B20" s="640">
        <v>217000</v>
      </c>
      <c r="C20" s="640" t="str">
        <f>IF(B20="","",VLOOKUP(B20,'TB for financial'!A:B,2,0))</f>
        <v>Right of use real estate</v>
      </c>
      <c r="D20" s="1676">
        <f>27451.8287025841</f>
        <v>27451.828702584098</v>
      </c>
    </row>
    <row r="21" spans="1:10">
      <c r="A21" s="645" t="str">
        <f>IF(B21="","",IF(B20="",SUM(COUNT($A$5:A20)+1),""))</f>
        <v/>
      </c>
      <c r="B21" s="640">
        <v>481100</v>
      </c>
      <c r="C21" s="640" t="str">
        <f>IF(B21="","",VLOOKUP(B21,'TB for financial'!A:B,2,0))</f>
        <v>DEFERRED CHARGES</v>
      </c>
      <c r="D21" s="1676"/>
      <c r="E21" s="1676">
        <f>D20</f>
        <v>27451.828702584098</v>
      </c>
    </row>
    <row r="22" spans="1:10">
      <c r="A22" s="645" t="str">
        <f>IF(B22="","",IF(B21="",SUM(COUNT($A$5:A21)+1),""))</f>
        <v/>
      </c>
      <c r="C22" s="640" t="str">
        <f>IF(B22="","",VLOOKUP(B22,'TB for financial'!A:B,2,0))</f>
        <v/>
      </c>
      <c r="D22" s="647"/>
      <c r="E22" s="647"/>
    </row>
    <row r="23" spans="1:10">
      <c r="A23" s="645">
        <f>IF(B23="","",IF(B22="",SUM(COUNT($A$5:A22)+1),""))</f>
        <v>6</v>
      </c>
      <c r="B23" s="640">
        <v>681210</v>
      </c>
      <c r="C23" s="640" t="str">
        <f>IF(B23="","",VLOOKUP(B23,'TB for financial'!A:B,2,0))</f>
        <v>Depreciations and impairment right of use</v>
      </c>
      <c r="D23" s="647">
        <v>3206673.7313862974</v>
      </c>
      <c r="E23" s="647"/>
    </row>
    <row r="24" spans="1:10">
      <c r="A24" s="645" t="str">
        <f>IF(B24="","",IF(B23="",SUM(COUNT($A$5:A23)+1),""))</f>
        <v/>
      </c>
      <c r="B24" s="640">
        <v>281700</v>
      </c>
      <c r="C24" s="640" t="str">
        <f>IF(B24="","",VLOOKUP(B24,'TB for financial'!A:B,2,0))</f>
        <v>Depreciation right of use real estate</v>
      </c>
      <c r="D24" s="647"/>
      <c r="E24" s="647">
        <f>+D23</f>
        <v>3206673.7313862974</v>
      </c>
    </row>
    <row r="25" spans="1:10">
      <c r="A25" s="645" t="str">
        <f>IF(B25="","",IF(B24="",SUM(COUNT($A$5:A24)+1),""))</f>
        <v/>
      </c>
      <c r="C25" s="640" t="str">
        <f>IF(B25="","",VLOOKUP(B25,'TB for financial'!A:B,2,0))</f>
        <v/>
      </c>
      <c r="D25" s="647"/>
      <c r="E25" s="647"/>
    </row>
    <row r="26" spans="1:10">
      <c r="A26" s="645">
        <f>IF(B26="","",IF(B25="",SUM(COUNT($A$5:A25)+1),""))</f>
        <v>7</v>
      </c>
      <c r="B26" s="640">
        <v>240237</v>
      </c>
      <c r="C26" s="640" t="str">
        <f>IF(B26="","",VLOOKUP(B26,'TB for financial'!A:B,2,0))</f>
        <v>Regrp of Lease Liabil</v>
      </c>
      <c r="D26" s="647"/>
      <c r="E26" s="647"/>
    </row>
    <row r="27" spans="1:10">
      <c r="A27" s="645" t="str">
        <f>IF(B27="","",IF(B26="",SUM(COUNT($A$5:A26)+1),""))</f>
        <v/>
      </c>
      <c r="B27" s="640">
        <v>205094</v>
      </c>
      <c r="C27" s="640" t="str">
        <f>IF(B27="","",VLOOKUP(B27,'TB for financial'!A:B,2,0))</f>
        <v>Regrp of Lease Liabil</v>
      </c>
      <c r="E27" s="647"/>
    </row>
    <row r="28" spans="1:10">
      <c r="A28" s="645" t="str">
        <f>IF(B28="","",IF(B27="",SUM(COUNT($A$5:A27)+1),""))</f>
        <v/>
      </c>
      <c r="C28" s="640" t="str">
        <f>IF(B28="","",VLOOKUP(B28,'TB for financial'!A:B,2,0))</f>
        <v/>
      </c>
      <c r="D28" s="647"/>
      <c r="E28" s="647"/>
    </row>
    <row r="29" spans="1:10">
      <c r="A29" s="645">
        <f>IF(B29="","",IF(B28="",SUM(COUNT($A$5:A28)+1),""))</f>
        <v>8</v>
      </c>
      <c r="B29" s="640">
        <v>101873</v>
      </c>
      <c r="C29" s="640" t="str">
        <f>IF(B29="","",VLOOKUP(B29,'TB for financial'!A:B,2,0))</f>
        <v>Deferred lease expense (IndAS)</v>
      </c>
      <c r="D29" s="647"/>
      <c r="E29" s="647"/>
      <c r="F29" s="647">
        <f>+D29-E29</f>
        <v>0</v>
      </c>
    </row>
    <row r="30" spans="1:10">
      <c r="A30" s="645" t="str">
        <f>IF(B30="","",IF(B29="",SUM(COUNT($A$5:A29)+1),""))</f>
        <v/>
      </c>
      <c r="B30" s="640">
        <v>101872</v>
      </c>
      <c r="C30" s="640" t="str">
        <f>IF(B30="","",VLOOKUP(B30,'TB for financial'!A:B,2,0))</f>
        <v>Prepaid rent - intrnl deposits</v>
      </c>
      <c r="E30" s="647"/>
      <c r="F30" s="647">
        <f>+D30-E30</f>
        <v>0</v>
      </c>
    </row>
    <row r="31" spans="1:10">
      <c r="A31" s="645" t="str">
        <f>IF(B31="","",IF(B30="",SUM(COUNT($A$5:A30)+1),""))</f>
        <v/>
      </c>
      <c r="C31" s="640" t="str">
        <f>IF(B31="","",VLOOKUP(B31,'TB for financial'!A:B,2,0))</f>
        <v/>
      </c>
      <c r="E31" s="647"/>
    </row>
    <row r="32" spans="1:10">
      <c r="A32" s="645">
        <f>IF(B32="","",IF(B31="",SUM(COUNT($A$5:A31)+1),""))</f>
        <v>9</v>
      </c>
      <c r="B32" s="640">
        <v>110049</v>
      </c>
      <c r="C32" s="640" t="str">
        <f>IF(B32="","",VLOOKUP(B32,'TB for financial'!A:B,2,0))</f>
        <v>ROU of Lease Assets</v>
      </c>
      <c r="D32" s="647"/>
      <c r="E32" s="647"/>
    </row>
    <row r="33" spans="1:6">
      <c r="A33" s="645" t="str">
        <f>IF(B33="","",IF(B32="",SUM(COUNT($A$5:A32)+1),""))</f>
        <v/>
      </c>
      <c r="B33" s="640">
        <v>101873</v>
      </c>
      <c r="C33" s="640" t="str">
        <f>IF(B33="","",VLOOKUP(B33,'TB for financial'!A:B,2,0))</f>
        <v>Deferred lease expense (IndAS)</v>
      </c>
      <c r="E33" s="647"/>
      <c r="F33" s="647">
        <f>+D33-E33</f>
        <v>0</v>
      </c>
    </row>
    <row r="34" spans="1:6">
      <c r="A34" s="645" t="str">
        <f>IF(B34="","",IF(B33="",SUM(COUNT($A$5:A33)+1),""))</f>
        <v/>
      </c>
      <c r="C34" s="640" t="str">
        <f>IF(B34="","",VLOOKUP(B34,'TB for financial'!A:B,2,0))</f>
        <v/>
      </c>
      <c r="E34" s="647"/>
    </row>
    <row r="35" spans="1:6">
      <c r="A35" s="645">
        <f>IF(B35="","",IF(B34="",SUM(COUNT($A$5:A34)+1),""))</f>
        <v>10</v>
      </c>
      <c r="B35" s="640">
        <v>101872</v>
      </c>
      <c r="C35" s="640" t="str">
        <f>IF(B35="","",VLOOKUP(B35,'TB for financial'!A:B,2,0))</f>
        <v>Prepaid rent - intrnl deposits</v>
      </c>
      <c r="D35" s="647"/>
      <c r="E35" s="647"/>
      <c r="F35" s="647">
        <f>+D35-E35</f>
        <v>0</v>
      </c>
    </row>
    <row r="36" spans="1:6">
      <c r="A36" s="645" t="str">
        <f>IF(B36="","",IF(B35="",SUM(COUNT($A$5:A35)+1),""))</f>
        <v/>
      </c>
      <c r="B36" s="640">
        <v>601032</v>
      </c>
      <c r="C36" s="640" t="str">
        <f>IF(B36="","",VLOOKUP(B36,'TB for financial'!A:B,2,0))</f>
        <v>Interest income IC Dep (IndAS)</v>
      </c>
      <c r="E36" s="647"/>
    </row>
    <row r="37" spans="1:6">
      <c r="A37" s="645" t="str">
        <f>IF(B37="","",IF(B36="",SUM(COUNT($A$5:A36)+1),""))</f>
        <v/>
      </c>
      <c r="C37" s="640" t="str">
        <f>IF(B37="","",VLOOKUP(B37,'TB for financial'!A:B,2,0))</f>
        <v/>
      </c>
      <c r="E37" s="647"/>
    </row>
    <row r="38" spans="1:6">
      <c r="A38" s="645" t="str">
        <f>IF(B38="","",IF(B37="",SUM(COUNT($A$5:A37)+1),""))</f>
        <v/>
      </c>
      <c r="C38" s="640" t="str">
        <f>IF(B38="","",VLOOKUP(B38,'TB for financial'!A:B,2,0))</f>
        <v/>
      </c>
      <c r="E38" s="647"/>
    </row>
    <row r="39" spans="1:6">
      <c r="A39" s="645" t="str">
        <f>IF(B39="","",IF(B38="",SUM(COUNT($A$5:A38)+1),""))</f>
        <v/>
      </c>
      <c r="C39" s="640" t="str">
        <f>IF(B39="","",VLOOKUP(B39,'TB for financial'!A:B,2,0))</f>
        <v/>
      </c>
      <c r="E39" s="647"/>
    </row>
    <row r="40" spans="1:6">
      <c r="A40" s="645" t="str">
        <f>IF(B40="","",IF(B39="",SUM(COUNT($A$5:A39)+1),""))</f>
        <v/>
      </c>
      <c r="C40" s="640" t="str">
        <f>IF(B40="","",VLOOKUP(B40,'TB for financial'!A:B,2,0))</f>
        <v/>
      </c>
      <c r="E40" s="647"/>
    </row>
    <row r="41" spans="1:6">
      <c r="A41" s="645" t="str">
        <f>IF(B41="","",IF(B40="",SUM(COUNT($A$5:A40)+1),""))</f>
        <v/>
      </c>
      <c r="C41" s="640" t="str">
        <f>IF(B41="","",VLOOKUP(B41,'TB for financial'!A:B,2,0))</f>
        <v/>
      </c>
      <c r="E41" s="647"/>
    </row>
    <row r="42" spans="1:6">
      <c r="A42" s="645" t="str">
        <f>IF(B42="","",IF(B41="",SUM(COUNT($A$5:A41)+1),""))</f>
        <v/>
      </c>
      <c r="C42" s="640" t="str">
        <f>IF(B42="","",VLOOKUP(B42,'TB for financial'!A:B,2,0))</f>
        <v/>
      </c>
      <c r="E42" s="647"/>
    </row>
    <row r="43" spans="1:6">
      <c r="A43" s="645" t="str">
        <f>IF(B43="","",IF(B42="",SUM(COUNT($A$5:A42)+1),""))</f>
        <v/>
      </c>
      <c r="C43" s="640" t="str">
        <f>IF(B43="","",VLOOKUP(B43,'TB for financial'!A:B,2,0))</f>
        <v/>
      </c>
      <c r="E43" s="647"/>
    </row>
    <row r="44" spans="1:6">
      <c r="A44" s="645" t="str">
        <f>IF(B44="","",IF(B43="",SUM(COUNT($A$5:A43)+1),""))</f>
        <v/>
      </c>
      <c r="C44" s="640" t="str">
        <f>IF(B44="","",VLOOKUP(B44,'TB for financial'!A:B,2,0))</f>
        <v/>
      </c>
      <c r="E44" s="647"/>
    </row>
    <row r="45" spans="1:6">
      <c r="A45" s="645" t="str">
        <f>IF(B45="","",IF(B44="",SUM(COUNT($A$5:A44)+1),""))</f>
        <v/>
      </c>
      <c r="C45" s="640" t="str">
        <f>IF(B45="","",VLOOKUP(B45,'TB for financial'!A:B,2,0))</f>
        <v/>
      </c>
      <c r="E45" s="647"/>
    </row>
    <row r="46" spans="1:6">
      <c r="A46" s="645" t="str">
        <f>IF(B46="","",IF(B45="",SUM(COUNT($A$5:A45)+1),""))</f>
        <v/>
      </c>
      <c r="C46" s="640" t="str">
        <f>IF(B46="","",VLOOKUP(B46,'TB for financial'!A:B,2,0))</f>
        <v/>
      </c>
      <c r="D46" s="650"/>
    </row>
    <row r="47" spans="1:6">
      <c r="A47" s="645" t="str">
        <f>IF(B47="","",IF(B46="",SUM(COUNT($A$5:A46)+1),""))</f>
        <v/>
      </c>
      <c r="C47" s="640" t="str">
        <f>IF(B47="","",VLOOKUP(B47,'TB for financial'!A:B,2,0))</f>
        <v/>
      </c>
      <c r="E47" s="651"/>
    </row>
    <row r="48" spans="1:6">
      <c r="A48" s="645" t="str">
        <f>IF(B48="","",IF(B47="",SUM(COUNT($A$5:A47)+1),""))</f>
        <v/>
      </c>
      <c r="C48" s="640" t="str">
        <f>IF(B48="","",VLOOKUP(B48,'TB for financial'!A:B,2,0))</f>
        <v/>
      </c>
      <c r="D48" s="651"/>
      <c r="E48" s="651"/>
    </row>
    <row r="49" spans="1:5">
      <c r="A49" s="645" t="str">
        <f>IF(B49="","",IF(B48="",SUM(COUNT($A$5:A48)+1),""))</f>
        <v/>
      </c>
      <c r="C49" s="640" t="str">
        <f>IF(B49="","",VLOOKUP(B49,'TB for financial'!A:B,2,0))</f>
        <v/>
      </c>
      <c r="D49" s="651"/>
      <c r="E49" s="651"/>
    </row>
    <row r="50" spans="1:5">
      <c r="A50" s="645" t="str">
        <f>IF(B50="","",IF(B49="",SUM(COUNT($A$5:A49)+1),""))</f>
        <v/>
      </c>
      <c r="C50" s="1469" t="s">
        <v>2679</v>
      </c>
      <c r="D50" s="647"/>
    </row>
    <row r="51" spans="1:5">
      <c r="A51" s="645" t="str">
        <f>IF(B51="","",IF(B50="",SUM(COUNT($A$5:A50)+1),""))</f>
        <v/>
      </c>
      <c r="C51" s="640" t="str">
        <f>IF(B51="","",VLOOKUP(B51,'TB for financial'!A:B,2,0))</f>
        <v/>
      </c>
      <c r="D51" s="647"/>
    </row>
    <row r="52" spans="1:5">
      <c r="A52" s="645" t="str">
        <f>IF(B52="","",IF(B51="",SUM(COUNT($A$5:A51)+1),""))</f>
        <v/>
      </c>
      <c r="C52" s="640" t="str">
        <f>IF(B52="","",VLOOKUP(B52,'TB for financial'!A:B,2,0))</f>
        <v/>
      </c>
      <c r="D52" s="647"/>
    </row>
    <row r="53" spans="1:5">
      <c r="A53" s="645" t="str">
        <f>IF(B53="","",IF(B52="",SUM(COUNT($A$5:A52)+1),""))</f>
        <v/>
      </c>
      <c r="C53" s="640" t="str">
        <f>IF(B53="","",VLOOKUP(B53,'TB for financial'!A:B,2,0))</f>
        <v/>
      </c>
      <c r="D53" s="647"/>
    </row>
    <row r="54" spans="1:5">
      <c r="A54" s="645" t="str">
        <f>IF(B54="","",IF(B53="",SUM(COUNT($A$5:A53)+1),""))</f>
        <v/>
      </c>
      <c r="C54" s="640" t="str">
        <f>IF(B54="","",VLOOKUP(B54,'TB for financial'!A:B,2,0))</f>
        <v/>
      </c>
      <c r="D54" s="647"/>
    </row>
    <row r="55" spans="1:5">
      <c r="A55" s="645" t="str">
        <f>IF(B55="","",IF(B54="",SUM(COUNT($A$5:A54)+1),""))</f>
        <v/>
      </c>
      <c r="C55" s="640" t="str">
        <f>IF(B55="","",VLOOKUP(B55,'TB for financial'!A:B,2,0))</f>
        <v/>
      </c>
      <c r="D55" s="647"/>
    </row>
    <row r="56" spans="1:5">
      <c r="A56" s="645" t="str">
        <f>IF(B56="","",IF(B55="",SUM(COUNT($A$5:A55)+1),""))</f>
        <v/>
      </c>
      <c r="C56" s="640" t="str">
        <f>IF(B56="","",VLOOKUP(B56,'TB for financial'!A:B,2,0))</f>
        <v/>
      </c>
      <c r="D56" s="647"/>
    </row>
    <row r="57" spans="1:5">
      <c r="A57" s="645" t="str">
        <f>IF(B57="","",IF(B56="",SUM(COUNT($A$5:A56)+1),""))</f>
        <v/>
      </c>
      <c r="C57" s="640" t="str">
        <f>IF(B57="","",VLOOKUP(B57,'TB for financial'!A:B,2,0))</f>
        <v/>
      </c>
      <c r="D57" s="647"/>
    </row>
    <row r="58" spans="1:5">
      <c r="A58" s="645" t="str">
        <f>IF(B58="","",IF(B57="",SUM(COUNT($A$5:A57)+1),""))</f>
        <v/>
      </c>
      <c r="C58" s="640" t="str">
        <f>IF(B58="","",VLOOKUP(B58,'TB for financial'!A:B,2,0))</f>
        <v/>
      </c>
      <c r="D58" s="647"/>
    </row>
    <row r="59" spans="1:5">
      <c r="A59" s="645" t="str">
        <f>IF(B59="","",IF(B58="",SUM(COUNT($A$5:A58)+1),""))</f>
        <v/>
      </c>
      <c r="C59" s="640" t="str">
        <f>IF(B59="","",VLOOKUP(B59,'TB for financial'!A:B,2,0))</f>
        <v/>
      </c>
      <c r="D59" s="647"/>
    </row>
    <row r="60" spans="1:5">
      <c r="A60" s="645" t="str">
        <f>IF(B60="","",IF(B59="",SUM(COUNT($A$5:A59)+1),""))</f>
        <v/>
      </c>
      <c r="C60" s="640" t="str">
        <f>IF(B60="","",VLOOKUP(B60,'TB for financial'!A:B,2,0))</f>
        <v/>
      </c>
      <c r="D60" s="647"/>
    </row>
    <row r="61" spans="1:5">
      <c r="A61" s="645" t="str">
        <f>IF(B61="","",IF(B60="",SUM(COUNT($A$5:A60)+1),""))</f>
        <v/>
      </c>
      <c r="C61" s="640" t="str">
        <f>IF(B61="","",VLOOKUP(B61,'TB for financial'!A:B,2,0))</f>
        <v/>
      </c>
      <c r="D61" s="647"/>
    </row>
    <row r="62" spans="1:5">
      <c r="A62" s="645" t="str">
        <f>IF(B62="","",IF(B61="",SUM(COUNT($A$5:A61)+1),""))</f>
        <v/>
      </c>
      <c r="C62" s="640" t="str">
        <f>IF(B62="","",VLOOKUP(B62,'TB for financial'!A:B,2,0))</f>
        <v/>
      </c>
      <c r="D62" s="647"/>
    </row>
    <row r="63" spans="1:5">
      <c r="A63" s="645" t="str">
        <f>IF(B63="","",IF(B62="",SUM(COUNT($A$5:A62)+1),""))</f>
        <v/>
      </c>
      <c r="C63" s="640" t="str">
        <f>IF(B63="","",VLOOKUP(B63,'TB for financial'!A:B,2,0))</f>
        <v/>
      </c>
      <c r="D63" s="647"/>
    </row>
    <row r="64" spans="1:5">
      <c r="A64" s="645" t="str">
        <f>IF(B64="","",IF(B63="",SUM(COUNT($A$5:A63)+1),""))</f>
        <v/>
      </c>
      <c r="C64" s="640" t="str">
        <f>IF(B64="","",VLOOKUP(B64,'TB for financial'!A:B,2,0))</f>
        <v/>
      </c>
      <c r="D64" s="647"/>
    </row>
    <row r="65" spans="1:6">
      <c r="A65" s="645" t="str">
        <f>IF(B65="","",IF(B64="",SUM(COUNT($A$5:A64)+1),""))</f>
        <v/>
      </c>
      <c r="C65" s="640" t="str">
        <f>IF(B65="","",VLOOKUP(B65,'TB for financial'!A:B,2,0))</f>
        <v/>
      </c>
      <c r="D65" s="647"/>
    </row>
    <row r="66" spans="1:6">
      <c r="A66" s="645" t="str">
        <f>IF(B66="","",IF(B65="",SUM(COUNT($A$5:A65)+1),""))</f>
        <v/>
      </c>
      <c r="C66" s="640" t="str">
        <f>IF(B66="","",VLOOKUP(B66,'TB for financial'!A:B,2,0))</f>
        <v/>
      </c>
      <c r="E66" s="647"/>
      <c r="F66" s="652"/>
    </row>
    <row r="67" spans="1:6">
      <c r="A67" s="645" t="str">
        <f>IF(B67="","",IF(B66="",SUM(COUNT($A$5:A66)+1),""))</f>
        <v/>
      </c>
      <c r="C67" s="640" t="str">
        <f>IF(B67="","",VLOOKUP(B67,'TB for financial'!A:B,2,0))</f>
        <v/>
      </c>
    </row>
    <row r="68" spans="1:6">
      <c r="A68" s="645" t="str">
        <f>IF(B68="","",IF(B67="",SUM(COUNT($A$5:A67)+1),""))</f>
        <v/>
      </c>
      <c r="C68" s="640" t="str">
        <f>IF(B68="","",VLOOKUP(B68,'TB for financial'!A:B,2,0))</f>
        <v/>
      </c>
    </row>
    <row r="69" spans="1:6">
      <c r="A69" s="645" t="str">
        <f>IF(B69="","",IF(B68="",SUM(COUNT($A$5:A68)+1),""))</f>
        <v/>
      </c>
      <c r="C69" s="640" t="str">
        <f>IF(B69="","",VLOOKUP(B69,'TB for financial'!A:B,2,0))</f>
        <v/>
      </c>
      <c r="E69" s="647"/>
    </row>
    <row r="70" spans="1:6">
      <c r="A70" s="645" t="str">
        <f>IF(B70="","",IF(B69="",SUM(COUNT($A$5:A69)+1),""))</f>
        <v/>
      </c>
      <c r="C70" s="640" t="str">
        <f>IF(B70="","",VLOOKUP(B70,'TB for financial'!A:B,2,0))</f>
        <v/>
      </c>
      <c r="D70" s="647"/>
    </row>
    <row r="71" spans="1:6">
      <c r="A71" s="645" t="str">
        <f>IF(B71="","",IF(B70="",SUM(COUNT($A$5:A70)+1),""))</f>
        <v/>
      </c>
      <c r="C71" s="640" t="str">
        <f>IF(B71="","",VLOOKUP(B71,'TB for financial'!A:B,2,0))</f>
        <v/>
      </c>
    </row>
    <row r="72" spans="1:6">
      <c r="A72" s="645" t="str">
        <f>IF(B72="","",IF(B71="",SUM(COUNT($A$5:A71)+1),""))</f>
        <v/>
      </c>
      <c r="C72" s="640" t="str">
        <f>IF(B72="","",VLOOKUP(B72,'TB for financial'!A:B,2,0))</f>
        <v/>
      </c>
    </row>
    <row r="73" spans="1:6">
      <c r="A73" s="645" t="str">
        <f>IF(B73="","",IF(B72="",SUM(COUNT($A$5:A72)+1),""))</f>
        <v/>
      </c>
      <c r="C73" s="640" t="str">
        <f>IF(B73="","",VLOOKUP(B73,'TB for financial'!A:B,2,0))</f>
        <v/>
      </c>
    </row>
    <row r="74" spans="1:6">
      <c r="A74" s="645" t="str">
        <f>IF(B74="","",IF(#REF!="",SUM(COUNT($A$5:A73)+1),""))</f>
        <v/>
      </c>
      <c r="C74" s="640" t="str">
        <f>IF(B74="","",VLOOKUP(B74,'TB for financial'!A:B,2,0))</f>
        <v/>
      </c>
    </row>
    <row r="75" spans="1:6">
      <c r="A75" s="645" t="str">
        <f>IF(B75="","",IF(B74="",SUM(COUNT($A$5:A74)+1),""))</f>
        <v/>
      </c>
      <c r="C75" s="640" t="str">
        <f>IF(B75="","",VLOOKUP(B75,'TB for financial'!A:B,2,0))</f>
        <v/>
      </c>
    </row>
    <row r="76" spans="1:6">
      <c r="A76" s="645" t="str">
        <f>IF(B76="","",IF(B75="",SUM(COUNT($A$5:A75)+1),""))</f>
        <v/>
      </c>
      <c r="C76" s="640" t="str">
        <f>IF(B76="","",VLOOKUP(B76,'TB for financial'!A:B,2,0))</f>
        <v/>
      </c>
    </row>
    <row r="77" spans="1:6">
      <c r="A77" s="645" t="str">
        <f>IF(B77="","",IF(B76="",SUM(COUNT($A$5:A76)+1),""))</f>
        <v/>
      </c>
      <c r="C77" s="640" t="str">
        <f>IF(B77="","",VLOOKUP(B77,'TB for financial'!A:B,2,0))</f>
        <v/>
      </c>
    </row>
    <row r="78" spans="1:6">
      <c r="A78" s="645" t="str">
        <f>IF(B78="","",IF(B77="",SUM(COUNT($A$5:A77)+1),""))</f>
        <v/>
      </c>
      <c r="C78" s="640" t="str">
        <f>IF(B78="","",VLOOKUP(B78,'TB for financial'!A:B,2,0))</f>
        <v/>
      </c>
    </row>
    <row r="79" spans="1:6">
      <c r="A79" s="645" t="str">
        <f>IF(B79="","",IF(B78="",SUM(COUNT($A$5:A78)+1),""))</f>
        <v/>
      </c>
      <c r="C79" s="640" t="str">
        <f>IF(B79="","",VLOOKUP(B79,'TB for financial'!A:B,2,0))</f>
        <v/>
      </c>
    </row>
    <row r="80" spans="1:6">
      <c r="A80" s="645" t="str">
        <f>IF(B80="","",IF(B79="",SUM(COUNT($A$5:A79)+1),""))</f>
        <v/>
      </c>
      <c r="C80" s="640" t="str">
        <f>IF(B80="","",VLOOKUP(B80,'TB for financial'!A:B,2,0))</f>
        <v/>
      </c>
    </row>
    <row r="81" spans="1:3">
      <c r="A81" s="645" t="str">
        <f>IF(B81="","",IF(B80="",SUM(COUNT($A$5:A80)+1),""))</f>
        <v/>
      </c>
      <c r="C81" s="640" t="str">
        <f>IF(B81="","",VLOOKUP(B81,'TB for financial'!A:B,2,0))</f>
        <v/>
      </c>
    </row>
    <row r="82" spans="1:3">
      <c r="A82" s="645" t="str">
        <f>IF(B82="","",IF(B81="",SUM(COUNT($A$5:A81)+1),""))</f>
        <v/>
      </c>
      <c r="C82" s="640" t="str">
        <f>IF(B82="","",VLOOKUP(B82,'TB for financial'!A:B,2,0))</f>
        <v/>
      </c>
    </row>
    <row r="83" spans="1:3">
      <c r="A83" s="645" t="str">
        <f>IF(B83="","",IF(B82="",SUM(COUNT($A$5:A82)+1),""))</f>
        <v/>
      </c>
      <c r="C83" s="640" t="str">
        <f>IF(B83="","",VLOOKUP(B83,'TB for financial'!A:B,2,0))</f>
        <v/>
      </c>
    </row>
    <row r="84" spans="1:3">
      <c r="A84" s="645" t="str">
        <f>IF(B84="","",IF(B83="",SUM(COUNT($A$5:A83)+1),""))</f>
        <v/>
      </c>
      <c r="C84" s="640" t="str">
        <f>IF(B84="","",VLOOKUP(B84,'TB for financial'!A:B,2,0))</f>
        <v/>
      </c>
    </row>
    <row r="85" spans="1:3">
      <c r="A85" s="645" t="str">
        <f>IF(B85="","",IF(B84="",SUM(COUNT($A$5:A84)+1),""))</f>
        <v/>
      </c>
      <c r="C85" s="640" t="str">
        <f>IF(B85="","",VLOOKUP(B85,'TB for financial'!A:B,2,0))</f>
        <v/>
      </c>
    </row>
    <row r="86" spans="1:3">
      <c r="A86" s="645" t="str">
        <f>IF(B86="","",IF(B85="",SUM(COUNT($A$5:A85)+1),""))</f>
        <v/>
      </c>
      <c r="C86" s="640" t="str">
        <f>IF(B86="","",VLOOKUP(B86,'TB for financial'!A:B,2,0))</f>
        <v/>
      </c>
    </row>
    <row r="87" spans="1:3">
      <c r="A87" s="645" t="str">
        <f>IF(B87="","",IF(B86="",SUM(COUNT($A$5:A86)+1),""))</f>
        <v/>
      </c>
      <c r="C87" s="640" t="str">
        <f>IF(B87="","",VLOOKUP(B87,'TB for financial'!A:B,2,0))</f>
        <v/>
      </c>
    </row>
    <row r="88" spans="1:3">
      <c r="A88" s="645" t="str">
        <f>IF(B88="","",IF(B87="",SUM(COUNT($A$5:A87)+1),""))</f>
        <v/>
      </c>
      <c r="C88" s="640" t="str">
        <f>IF(B88="","",VLOOKUP(B88,'TB for financial'!A:B,2,0))</f>
        <v/>
      </c>
    </row>
    <row r="89" spans="1:3">
      <c r="A89" s="645" t="str">
        <f>IF(B89="","",IF(B88="",SUM(COUNT($A$5:A88)+1),""))</f>
        <v/>
      </c>
      <c r="C89" s="640" t="str">
        <f>IF(B89="","",VLOOKUP(B89,'TB for financial'!A:B,2,0))</f>
        <v/>
      </c>
    </row>
    <row r="90" spans="1:3">
      <c r="A90" s="645" t="str">
        <f>IF(B90="","",IF(B89="",SUM(COUNT($A$5:A89)+1),""))</f>
        <v/>
      </c>
      <c r="C90" s="640" t="str">
        <f>IF(B90="","",VLOOKUP(B90,'TB for financial'!A:B,2,0))</f>
        <v/>
      </c>
    </row>
    <row r="91" spans="1:3">
      <c r="A91" s="645" t="str">
        <f>IF(B91="","",IF(B90="",SUM(COUNT($A$5:A90)+1),""))</f>
        <v/>
      </c>
      <c r="C91" s="640" t="str">
        <f>IF(B91="","",VLOOKUP(B91,'TB for financial'!A:B,2,0))</f>
        <v/>
      </c>
    </row>
    <row r="92" spans="1:3">
      <c r="A92" s="645" t="str">
        <f>IF(B92="","",IF(B91="",SUM(COUNT($A$5:A91)+1),""))</f>
        <v/>
      </c>
      <c r="C92" s="640" t="str">
        <f>IF(B92="","",VLOOKUP(B92,'TB for financial'!A:B,2,0))</f>
        <v/>
      </c>
    </row>
    <row r="93" spans="1:3">
      <c r="A93" s="645" t="str">
        <f>IF(B93="","",IF(B92="",SUM(COUNT($A$5:A92)+1),""))</f>
        <v/>
      </c>
      <c r="C93" s="640" t="str">
        <f>IF(B93="","",VLOOKUP(B93,'TB for financial'!A:B,2,0))</f>
        <v/>
      </c>
    </row>
    <row r="94" spans="1:3">
      <c r="A94" s="645" t="str">
        <f>IF(B94="","",IF(B93="",SUM(COUNT($A$5:A93)+1),""))</f>
        <v/>
      </c>
      <c r="C94" s="640" t="str">
        <f>IF(B94="","",VLOOKUP(B94,'TB for financial'!A:B,2,0))</f>
        <v/>
      </c>
    </row>
    <row r="95" spans="1:3">
      <c r="A95" s="645" t="str">
        <f>IF(B95="","",IF(B94="",SUM(COUNT($A$5:A94)+1),""))</f>
        <v/>
      </c>
      <c r="C95" s="640" t="str">
        <f>IF(B95="","",VLOOKUP(B95,'TB for financial'!A:B,2,0))</f>
        <v/>
      </c>
    </row>
    <row r="96" spans="1:3">
      <c r="A96" s="645" t="str">
        <f>IF(B96="","",IF(B95="",SUM(COUNT($A$5:A95)+1),""))</f>
        <v/>
      </c>
      <c r="C96" s="640" t="str">
        <f>IF(B96="","",VLOOKUP(B96,'TB for financial'!A:B,2,0))</f>
        <v/>
      </c>
    </row>
    <row r="97" spans="1:3">
      <c r="A97" s="645" t="str">
        <f>IF(B97="","",IF(B96="",SUM(COUNT($A$5:A96)+1),""))</f>
        <v/>
      </c>
      <c r="C97" s="640" t="str">
        <f>IF(B97="","",VLOOKUP(B97,'TB for financial'!A:B,2,0))</f>
        <v/>
      </c>
    </row>
    <row r="98" spans="1:3">
      <c r="A98" s="645" t="str">
        <f>IF(B98="","",IF(B97="",SUM(COUNT($A$5:A97)+1),""))</f>
        <v/>
      </c>
      <c r="C98" s="640" t="str">
        <f>IF(B98="","",VLOOKUP(B98,'TB for financial'!A:B,2,0))</f>
        <v/>
      </c>
    </row>
    <row r="99" spans="1:3">
      <c r="A99" s="645" t="str">
        <f>IF(B99="","",IF(B98="",SUM(COUNT($A$5:A98)+1),""))</f>
        <v/>
      </c>
      <c r="C99" s="640" t="str">
        <f>IF(B99="","",VLOOKUP(B99,'TB for financial'!A:B,2,0))</f>
        <v/>
      </c>
    </row>
    <row r="100" spans="1:3">
      <c r="A100" s="645" t="str">
        <f>IF(B100="","",IF(B99="",SUM(COUNT($A$5:A99)+1),""))</f>
        <v/>
      </c>
      <c r="C100" s="640" t="str">
        <f>IF(B100="","",VLOOKUP(B100,'TB for financial'!A:B,2,0))</f>
        <v/>
      </c>
    </row>
    <row r="101" spans="1:3">
      <c r="A101" s="645" t="str">
        <f>IF(B101="","",IF(B100="",SUM(COUNT($A$5:A100)+1),""))</f>
        <v/>
      </c>
      <c r="C101" s="640" t="str">
        <f>IF(B101="","",VLOOKUP(B101,'TB for financial'!A:B,2,0))</f>
        <v/>
      </c>
    </row>
    <row r="102" spans="1:3">
      <c r="A102" s="645" t="str">
        <f>IF(B102="","",IF(B101="",SUM(COUNT($A$5:A101)+1),""))</f>
        <v/>
      </c>
      <c r="C102" s="640" t="str">
        <f>IF(B102="","",VLOOKUP(B102,'TB for financial'!A:B,2,0))</f>
        <v/>
      </c>
    </row>
    <row r="103" spans="1:3">
      <c r="A103" s="645" t="str">
        <f>IF(B103="","",IF(B102="",SUM(COUNT($A$5:A102)+1),""))</f>
        <v/>
      </c>
      <c r="C103" s="640" t="str">
        <f>IF(B103="","",VLOOKUP(B103,'TB for financial'!A:B,2,0))</f>
        <v/>
      </c>
    </row>
    <row r="104" spans="1:3">
      <c r="A104" s="645" t="str">
        <f>IF(B104="","",IF(B103="",SUM(COUNT($A$5:A103)+1),""))</f>
        <v/>
      </c>
      <c r="C104" s="640" t="str">
        <f>IF(B104="","",VLOOKUP(B104,'TB for financial'!A:B,2,0))</f>
        <v/>
      </c>
    </row>
    <row r="105" spans="1:3">
      <c r="A105" s="645" t="str">
        <f>IF(B105="","",IF(B104="",SUM(COUNT($A$5:A104)+1),""))</f>
        <v/>
      </c>
      <c r="C105" s="640" t="str">
        <f>IF(B105="","",VLOOKUP(B105,'TB for financial'!A:B,2,0))</f>
        <v/>
      </c>
    </row>
    <row r="106" spans="1:3">
      <c r="A106" s="645" t="str">
        <f>IF(B106="","",IF(B105="",SUM(COUNT($A$5:A105)+1),""))</f>
        <v/>
      </c>
      <c r="C106" s="640" t="str">
        <f>IF(B106="","",VLOOKUP(B106,'TB for financial'!A:B,2,0))</f>
        <v/>
      </c>
    </row>
    <row r="107" spans="1:3">
      <c r="A107" s="645" t="str">
        <f>IF(B107="","",IF(B106="",SUM(COUNT($A$5:A106)+1),""))</f>
        <v/>
      </c>
      <c r="C107" s="640" t="str">
        <f>IF(B107="","",VLOOKUP(B107,'TB for financial'!A:B,2,0))</f>
        <v/>
      </c>
    </row>
    <row r="108" spans="1:3">
      <c r="A108" s="645" t="str">
        <f>IF(B108="","",IF(B107="",SUM(COUNT($A$5:A107)+1),""))</f>
        <v/>
      </c>
      <c r="C108" s="640" t="str">
        <f>IF(B108="","",VLOOKUP(B108,'TB for financial'!A:B,2,0))</f>
        <v/>
      </c>
    </row>
    <row r="109" spans="1:3">
      <c r="A109" s="645" t="str">
        <f>IF(B109="","",IF(B108="",SUM(COUNT($A$5:A108)+1),""))</f>
        <v/>
      </c>
      <c r="C109" s="640" t="str">
        <f>IF(B109="","",VLOOKUP(B109,'TB for financial'!A:B,2,0))</f>
        <v/>
      </c>
    </row>
    <row r="110" spans="1:3">
      <c r="A110" s="645" t="str">
        <f>IF(B110="","",IF(B109="",SUM(COUNT($A$5:A109)+1),""))</f>
        <v/>
      </c>
      <c r="C110" s="640" t="str">
        <f>IF(B110="","",VLOOKUP(B110,'TB for financial'!A:B,2,0))</f>
        <v/>
      </c>
    </row>
    <row r="111" spans="1:3">
      <c r="A111" s="645" t="str">
        <f>IF(B111="","",IF(B110="",SUM(COUNT($A$5:A110)+1),""))</f>
        <v/>
      </c>
      <c r="C111" s="640" t="str">
        <f>IF(B111="","",VLOOKUP(B111,'TB for financial'!A:B,2,0))</f>
        <v/>
      </c>
    </row>
    <row r="112" spans="1:3">
      <c r="A112" s="645" t="str">
        <f>IF(B112="","",IF(B111="",SUM(COUNT($A$5:A111)+1),""))</f>
        <v/>
      </c>
      <c r="C112" s="640" t="str">
        <f>IF(B112="","",VLOOKUP(B112,'TB for financial'!A:B,2,0))</f>
        <v/>
      </c>
    </row>
    <row r="113" spans="1:3">
      <c r="A113" s="645" t="str">
        <f>IF(B113="","",IF(B112="",SUM(COUNT($A$5:A112)+1),""))</f>
        <v/>
      </c>
      <c r="C113" s="640" t="str">
        <f>IF(B113="","",VLOOKUP(B113,'TB for financial'!A:B,2,0))</f>
        <v/>
      </c>
    </row>
    <row r="114" spans="1:3">
      <c r="A114" s="645" t="str">
        <f>IF(B114="","",IF(B113="",SUM(COUNT($A$5:A113)+1),""))</f>
        <v/>
      </c>
      <c r="C114" s="640" t="str">
        <f>IF(B114="","",VLOOKUP(B114,'TB for financial'!A:B,2,0))</f>
        <v/>
      </c>
    </row>
    <row r="115" spans="1:3">
      <c r="A115" s="645" t="str">
        <f>IF(B115="","",IF(B114="",SUM(COUNT($A$5:A114)+1),""))</f>
        <v/>
      </c>
      <c r="C115" s="640" t="str">
        <f>IF(B115="","",VLOOKUP(B115,'TB for financial'!A:B,2,0))</f>
        <v/>
      </c>
    </row>
    <row r="116" spans="1:3">
      <c r="A116" s="645" t="str">
        <f>IF(B116="","",IF(B115="",SUM(COUNT($A$5:A115)+1),""))</f>
        <v/>
      </c>
      <c r="C116" s="640" t="str">
        <f>IF(B116="","",VLOOKUP(B116,'TB for financial'!A:B,2,0))</f>
        <v/>
      </c>
    </row>
    <row r="117" spans="1:3">
      <c r="A117" s="645" t="str">
        <f>IF(B117="","",IF(B116="",SUM(COUNT($A$5:A116)+1),""))</f>
        <v/>
      </c>
      <c r="C117" s="640" t="str">
        <f>IF(B117="","",VLOOKUP(B117,'TB for financial'!A:B,2,0))</f>
        <v/>
      </c>
    </row>
    <row r="118" spans="1:3">
      <c r="A118" s="645" t="str">
        <f>IF(B118="","",IF(B117="",SUM(COUNT($A$5:A117)+1),""))</f>
        <v/>
      </c>
      <c r="C118" s="640" t="str">
        <f>IF(B118="","",VLOOKUP(B118,'TB for financial'!A:B,2,0))</f>
        <v/>
      </c>
    </row>
    <row r="119" spans="1:3">
      <c r="A119" s="645" t="str">
        <f>IF(B119="","",IF(B118="",SUM(COUNT($A$5:A118)+1),""))</f>
        <v/>
      </c>
      <c r="C119" s="640" t="str">
        <f>IF(B119="","",VLOOKUP(B119,'TB for financial'!A:B,2,0))</f>
        <v/>
      </c>
    </row>
    <row r="120" spans="1:3">
      <c r="A120" s="645" t="str">
        <f>IF(B120="","",IF(B119="",SUM(COUNT($A$5:A119)+1),""))</f>
        <v/>
      </c>
      <c r="C120" s="640" t="str">
        <f>IF(B120="","",VLOOKUP(B120,'TB for financial'!A:B,2,0))</f>
        <v/>
      </c>
    </row>
    <row r="121" spans="1:3">
      <c r="A121" s="645" t="str">
        <f>IF(B121="","",IF(B120="",SUM(COUNT($A$5:A120)+1),""))</f>
        <v/>
      </c>
      <c r="C121" s="640" t="str">
        <f>IF(B121="","",VLOOKUP(B121,'TB for financial'!A:B,2,0))</f>
        <v/>
      </c>
    </row>
    <row r="122" spans="1:3">
      <c r="A122" s="645" t="str">
        <f>IF(B122="","",IF(B121="",SUM(COUNT($A$5:A121)+1),""))</f>
        <v/>
      </c>
      <c r="C122" s="640" t="str">
        <f>IF(B122="","",VLOOKUP(B122,'TB for financial'!A:B,2,0))</f>
        <v/>
      </c>
    </row>
    <row r="123" spans="1:3">
      <c r="A123" s="645" t="str">
        <f>IF(B123="","",IF(B122="",SUM(COUNT($A$5:A122)+1),""))</f>
        <v/>
      </c>
      <c r="C123" s="640" t="str">
        <f>IF(B123="","",VLOOKUP(B123,'TB for financial'!A:B,2,0))</f>
        <v/>
      </c>
    </row>
    <row r="124" spans="1:3">
      <c r="A124" s="645" t="str">
        <f>IF(B124="","",IF(B123="",SUM(COUNT($A$5:A123)+1),""))</f>
        <v/>
      </c>
      <c r="C124" s="640" t="str">
        <f>IF(B124="","",VLOOKUP(B124,'TB for financial'!A:B,2,0))</f>
        <v/>
      </c>
    </row>
    <row r="125" spans="1:3">
      <c r="A125" s="645" t="str">
        <f>IF(B125="","",IF(B124="",SUM(COUNT($A$5:A124)+1),""))</f>
        <v/>
      </c>
      <c r="C125" s="640" t="str">
        <f>IF(B125="","",VLOOKUP(B125,'TB for financial'!A:B,2,0))</f>
        <v/>
      </c>
    </row>
    <row r="126" spans="1:3">
      <c r="A126" s="645" t="str">
        <f>IF(B126="","",IF(B125="",SUM(COUNT($A$5:A125)+1),""))</f>
        <v/>
      </c>
      <c r="C126" s="640" t="str">
        <f>IF(B126="","",VLOOKUP(B126,'TB for financial'!A:B,2,0))</f>
        <v/>
      </c>
    </row>
    <row r="127" spans="1:3">
      <c r="A127" s="645" t="str">
        <f>IF(B127="","",IF(B126="",SUM(COUNT($A$5:A126)+1),""))</f>
        <v/>
      </c>
      <c r="C127" s="640" t="str">
        <f>IF(B127="","",VLOOKUP(B127,'TB for financial'!A:B,2,0))</f>
        <v/>
      </c>
    </row>
    <row r="128" spans="1:3">
      <c r="A128" s="645" t="str">
        <f>IF(B128="","",IF(B127="",SUM(COUNT($A$5:A127)+1),""))</f>
        <v/>
      </c>
      <c r="C128" s="640" t="str">
        <f>IF(B128="","",VLOOKUP(B128,'TB for financial'!A:B,2,0))</f>
        <v/>
      </c>
    </row>
    <row r="129" spans="1:3">
      <c r="A129" s="645" t="str">
        <f>IF(B129="","",IF(B128="",SUM(COUNT($A$5:A128)+1),""))</f>
        <v/>
      </c>
      <c r="C129" s="640" t="str">
        <f>IF(B129="","",VLOOKUP(B129,'TB for financial'!A:B,2,0))</f>
        <v/>
      </c>
    </row>
    <row r="130" spans="1:3">
      <c r="A130" s="645" t="str">
        <f>IF(B130="","",IF(B129="",SUM(COUNT($A$5:A129)+1),""))</f>
        <v/>
      </c>
      <c r="C130" s="640" t="str">
        <f>IF(B130="","",VLOOKUP(B130,'TB for financial'!A:B,2,0))</f>
        <v/>
      </c>
    </row>
    <row r="131" spans="1:3">
      <c r="A131" s="645" t="str">
        <f>IF(B131="","",IF(B130="",SUM(COUNT($A$5:A130)+1),""))</f>
        <v/>
      </c>
      <c r="C131" s="640" t="str">
        <f>IF(B131="","",VLOOKUP(B131,'TB for financial'!A:B,2,0))</f>
        <v/>
      </c>
    </row>
    <row r="132" spans="1:3">
      <c r="A132" s="645" t="str">
        <f>IF(B132="","",IF(B131="",SUM(COUNT($A$5:A131)+1),""))</f>
        <v/>
      </c>
      <c r="C132" s="640" t="str">
        <f>IF(B132="","",VLOOKUP(B132,'TB for financial'!A:B,2,0))</f>
        <v/>
      </c>
    </row>
    <row r="133" spans="1:3">
      <c r="A133" s="645" t="str">
        <f>IF(B133="","",IF(B132="",SUM(COUNT($A$5:A132)+1),""))</f>
        <v/>
      </c>
      <c r="C133" s="640" t="str">
        <f>IF(B133="","",VLOOKUP(B133,'TB for financial'!A:B,2,0))</f>
        <v/>
      </c>
    </row>
    <row r="134" spans="1:3">
      <c r="A134" s="645" t="str">
        <f>IF(B134="","",IF(B133="",SUM(COUNT($A$5:A133)+1),""))</f>
        <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53745-128A-4405-B889-D15EF3C12427}">
  <sheetPr>
    <tabColor theme="4" tint="-0.249977111117893"/>
  </sheetPr>
  <dimension ref="A1:J134"/>
  <sheetViews>
    <sheetView topLeftCell="A4" zoomScale="128" zoomScaleNormal="128" workbookViewId="0">
      <selection activeCell="D23" sqref="D23"/>
    </sheetView>
  </sheetViews>
  <sheetFormatPr defaultColWidth="9.21875" defaultRowHeight="12"/>
  <cols>
    <col min="1" max="1" width="5.21875" style="640" customWidth="1"/>
    <col min="2" max="2" width="7" style="640" bestFit="1" customWidth="1"/>
    <col min="3" max="3" width="46.44140625" style="640" customWidth="1"/>
    <col min="4" max="4" width="14.21875" style="640" bestFit="1" customWidth="1"/>
    <col min="5" max="5" width="14.5546875" style="640" bestFit="1" customWidth="1"/>
    <col min="6" max="6" width="12.77734375" style="640" bestFit="1" customWidth="1"/>
    <col min="7" max="7" width="15.21875" style="640" bestFit="1" customWidth="1"/>
    <col min="8" max="9" width="14.21875" style="640" bestFit="1" customWidth="1"/>
    <col min="10" max="10" width="11.44140625" style="640" bestFit="1" customWidth="1"/>
    <col min="11" max="16384" width="9.21875" style="640"/>
  </cols>
  <sheetData>
    <row r="1" spans="1:8">
      <c r="A1" s="639" t="str">
        <f>+Master!B2</f>
        <v>Syntel Solutions (India) Private Limited</v>
      </c>
    </row>
    <row r="2" spans="1:8">
      <c r="A2" s="639" t="s">
        <v>2843</v>
      </c>
    </row>
    <row r="4" spans="1:8">
      <c r="A4" s="641" t="s">
        <v>722</v>
      </c>
      <c r="B4" s="642" t="s">
        <v>723</v>
      </c>
      <c r="C4" s="641" t="s">
        <v>724</v>
      </c>
      <c r="D4" s="643" t="s">
        <v>725</v>
      </c>
      <c r="E4" s="644" t="s">
        <v>726</v>
      </c>
    </row>
    <row r="5" spans="1:8">
      <c r="A5" s="645" t="str">
        <f>IF(B5="","",IF(B4="",SUM(COUNT($A4:A$5)+1),""))</f>
        <v/>
      </c>
      <c r="B5" s="640">
        <v>481100</v>
      </c>
      <c r="C5" s="640" t="str">
        <f>IF(B5="","",VLOOKUP(B5,'TB for financial'!A:B,2,0))</f>
        <v>DEFERRED CHARGES</v>
      </c>
      <c r="D5" s="646">
        <v>35917.53401903715</v>
      </c>
      <c r="F5" s="647">
        <f>+D5-E5</f>
        <v>35917.53401903715</v>
      </c>
      <c r="G5" s="640">
        <v>101873</v>
      </c>
      <c r="H5" s="640" t="s">
        <v>1532</v>
      </c>
    </row>
    <row r="6" spans="1:8">
      <c r="A6" s="645" t="str">
        <f>IF(B6="","",IF(B5="",SUM(COUNT($A$5:A5)+1),""))</f>
        <v/>
      </c>
      <c r="B6" s="640">
        <v>411700</v>
      </c>
      <c r="C6" s="640" t="str">
        <f>IF(B6="","",VLOOKUP(B6,'TB for financial'!A:B,2,0))</f>
        <v>TRADE DEBTORS - GUARANTEE RETENTIONS</v>
      </c>
      <c r="D6" s="646"/>
      <c r="E6" s="646">
        <f>+D5</f>
        <v>35917.53401903715</v>
      </c>
      <c r="F6" s="647">
        <f>+D6-E6</f>
        <v>-35917.53401903715</v>
      </c>
      <c r="G6" s="640">
        <v>101872</v>
      </c>
      <c r="H6" s="640" t="s">
        <v>1242</v>
      </c>
    </row>
    <row r="7" spans="1:8">
      <c r="A7" s="645" t="str">
        <f>IF(B7="","",IF(B6="",SUM(COUNT($A$5:A6)+1),""))</f>
        <v/>
      </c>
      <c r="C7" s="640" t="str">
        <f>IF(B7="","",VLOOKUP(B7,'TB for financial'!A:B,2,0))</f>
        <v/>
      </c>
      <c r="D7" s="646"/>
      <c r="E7" s="646"/>
      <c r="H7" s="640" t="s">
        <v>629</v>
      </c>
    </row>
    <row r="8" spans="1:8">
      <c r="A8" s="645">
        <f>IF(B8="","",IF(B7="",SUM(COUNT($A$5:A7)+1),""))</f>
        <v>1</v>
      </c>
      <c r="B8" s="640">
        <v>502112</v>
      </c>
      <c r="C8" s="640" t="str">
        <f>IF(B8="","",VLOOKUP(B8,'TB for financial'!A:B,2,0))</f>
        <v>Lease expense IC (IndAS)</v>
      </c>
      <c r="D8" s="647"/>
      <c r="E8" s="647"/>
      <c r="G8" s="640">
        <v>502112</v>
      </c>
      <c r="H8" s="640" t="s">
        <v>1695</v>
      </c>
    </row>
    <row r="9" spans="1:8">
      <c r="A9" s="645" t="str">
        <f>IF(B9="","",IF(B8="",SUM(COUNT($A$5:A8)+1),""))</f>
        <v/>
      </c>
      <c r="B9" s="640">
        <v>481100</v>
      </c>
      <c r="C9" s="640" t="str">
        <f>IF(B9="","",VLOOKUP(B9,'TB for financial'!A:B,2,0))</f>
        <v>DEFERRED CHARGES</v>
      </c>
      <c r="D9" s="647"/>
      <c r="E9" s="647"/>
      <c r="F9" s="647">
        <f>+D9-E9</f>
        <v>0</v>
      </c>
      <c r="G9" s="640">
        <v>101873</v>
      </c>
      <c r="H9" s="640" t="s">
        <v>1532</v>
      </c>
    </row>
    <row r="10" spans="1:8">
      <c r="A10" s="645" t="str">
        <f>IF(B10="","",IF(B9="",SUM(COUNT($A$5:A9)+1),""))</f>
        <v/>
      </c>
      <c r="C10" s="640" t="str">
        <f>IF(B10="","",VLOOKUP(B10,'TB for financial'!A:B,2,0))</f>
        <v/>
      </c>
      <c r="D10" s="648"/>
      <c r="H10" s="640" t="s">
        <v>629</v>
      </c>
    </row>
    <row r="11" spans="1:8">
      <c r="A11" s="645">
        <f>IF(B11="","",IF(B10="",SUM(COUNT($A$5:A10)+1),""))</f>
        <v>2</v>
      </c>
      <c r="B11" s="640">
        <v>411700</v>
      </c>
      <c r="C11" s="640" t="str">
        <f>IF(B11="","",VLOOKUP(B11,'TB for financial'!A:B,2,0))</f>
        <v>TRADE DEBTORS - GUARANTEE RETENTIONS</v>
      </c>
      <c r="D11" s="647">
        <v>188322.99486725422</v>
      </c>
      <c r="E11" s="647"/>
      <c r="F11" s="647">
        <f>+D11-E11</f>
        <v>188322.99486725422</v>
      </c>
      <c r="G11" s="640">
        <v>101872</v>
      </c>
      <c r="H11" s="640" t="s">
        <v>1242</v>
      </c>
    </row>
    <row r="12" spans="1:8">
      <c r="A12" s="645" t="str">
        <f>IF(B12="","",IF(B11="",SUM(COUNT($A$5:A11)+1),""))</f>
        <v/>
      </c>
      <c r="B12" s="640">
        <v>762511</v>
      </c>
      <c r="C12" s="640" t="str">
        <f>IF(B12="","",VLOOKUP(B12,'TB for financial'!A:B,2,0))</f>
        <v>Interest Income-Deposits</v>
      </c>
      <c r="D12" s="647"/>
      <c r="E12" s="647">
        <f>+D11</f>
        <v>188322.99486725422</v>
      </c>
      <c r="G12" s="640">
        <v>601032</v>
      </c>
      <c r="H12" s="640" t="s">
        <v>1783</v>
      </c>
    </row>
    <row r="13" spans="1:8">
      <c r="A13" s="645" t="str">
        <f>IF(B13="","",IF(B12="",SUM(COUNT($A$5:A12)+1),""))</f>
        <v/>
      </c>
      <c r="C13" s="640" t="str">
        <f>IF(B13="","",VLOOKUP(B13,'TB for financial'!A:B,2,0))</f>
        <v/>
      </c>
      <c r="D13" s="648"/>
      <c r="F13" s="647"/>
    </row>
    <row r="14" spans="1:8">
      <c r="A14" s="645">
        <f>IF(B14="","",IF(B13="",SUM(COUNT($A$5:A13)+1),""))</f>
        <v>3</v>
      </c>
      <c r="B14" s="640">
        <v>167211</v>
      </c>
      <c r="C14" s="640" t="str">
        <f>IF(B14="","",VLOOKUP(B14,'TB for financial'!A:B,2,0))</f>
        <v>Lease liability Real estate</v>
      </c>
      <c r="D14" s="647">
        <v>3634957.0529999998</v>
      </c>
      <c r="E14" s="647"/>
      <c r="G14" s="647"/>
    </row>
    <row r="15" spans="1:8">
      <c r="A15" s="645" t="str">
        <f>IF(B15="","",IF(B14="",SUM(COUNT($A$5:A14)+1),""))</f>
        <v/>
      </c>
      <c r="B15" s="640">
        <v>613207</v>
      </c>
      <c r="C15" s="640" t="str">
        <f>IF(B15="","",VLOOKUP(B15,'TB for financial'!A:B,2,0))</f>
        <v>Reversal rent real estate IFRS 16</v>
      </c>
      <c r="D15" s="647"/>
      <c r="E15" s="647">
        <f>+D14</f>
        <v>3634957.0529999998</v>
      </c>
    </row>
    <row r="16" spans="1:8">
      <c r="A16" s="645" t="str">
        <f>IF(B16="","",IF(B15="",SUM(COUNT($A$5:A15)+1),""))</f>
        <v/>
      </c>
      <c r="C16" s="640" t="str">
        <f>IF(B16="","",VLOOKUP(B16,'TB for financial'!A:B,2,0))</f>
        <v/>
      </c>
      <c r="D16" s="647"/>
      <c r="E16" s="647"/>
    </row>
    <row r="17" spans="1:10">
      <c r="A17" s="645">
        <f>IF(B17="","",IF(B16="",SUM(COUNT($A$5:A16)+1),""))</f>
        <v>4</v>
      </c>
      <c r="B17" s="640">
        <v>664011</v>
      </c>
      <c r="C17" s="640" t="str">
        <f>IF(B17="","",VLOOKUP(B17,'TB for financial'!A:B,2,0))</f>
        <v>Financial interests on lease liability Real estate</v>
      </c>
      <c r="D17" s="647">
        <v>638521.57658624952</v>
      </c>
      <c r="E17" s="647"/>
      <c r="H17" s="649"/>
      <c r="I17" s="649"/>
      <c r="J17" s="649"/>
    </row>
    <row r="18" spans="1:10" ht="14.4">
      <c r="A18" s="645" t="str">
        <f>IF(B18="","",IF(B17="",SUM(COUNT($A$5:A17)+1),""))</f>
        <v/>
      </c>
      <c r="B18" s="640">
        <v>167211</v>
      </c>
      <c r="C18" s="640" t="str">
        <f>IF(B18="","",VLOOKUP(B18,'TB for financial'!A:B,2,0))</f>
        <v>Lease liability Real estate</v>
      </c>
      <c r="D18"/>
      <c r="E18" s="647">
        <f>+D17</f>
        <v>638521.57658624952</v>
      </c>
      <c r="H18" s="649"/>
      <c r="I18" s="649"/>
      <c r="J18" s="649"/>
    </row>
    <row r="19" spans="1:10">
      <c r="A19" s="645" t="str">
        <f>IF(B19="","",IF(B18="",SUM(COUNT($A$5:A18)+1),""))</f>
        <v/>
      </c>
      <c r="C19" s="640" t="str">
        <f>IF(B19="","",VLOOKUP(B19,'TB for financial'!A:B,2,0))</f>
        <v/>
      </c>
      <c r="D19" s="647"/>
      <c r="E19" s="647"/>
    </row>
    <row r="20" spans="1:10">
      <c r="A20" s="645">
        <f>IF(B20="","",IF(B19="",SUM(COUNT($A$5:A19)+1),""))</f>
        <v>5</v>
      </c>
      <c r="B20" s="640">
        <v>217000</v>
      </c>
      <c r="C20" s="640" t="str">
        <f>IF(B20="","",VLOOKUP(B20,'TB for financial'!A:B,2,0))</f>
        <v>Right of use real estate</v>
      </c>
      <c r="D20" s="646">
        <f>35917.5340190371</f>
        <v>35917.534019037099</v>
      </c>
    </row>
    <row r="21" spans="1:10">
      <c r="A21" s="645" t="str">
        <f>IF(B21="","",IF(B20="",SUM(COUNT($A$5:A20)+1),""))</f>
        <v/>
      </c>
      <c r="B21" s="640">
        <v>481100</v>
      </c>
      <c r="C21" s="640" t="str">
        <f>IF(B21="","",VLOOKUP(B21,'TB for financial'!A:B,2,0))</f>
        <v>DEFERRED CHARGES</v>
      </c>
      <c r="D21" s="646"/>
      <c r="E21" s="646">
        <f>+D20</f>
        <v>35917.534019037099</v>
      </c>
    </row>
    <row r="22" spans="1:10">
      <c r="A22" s="645" t="str">
        <f>IF(B22="","",IF(B21="",SUM(COUNT($A$5:A21)+1),""))</f>
        <v/>
      </c>
      <c r="C22" s="640" t="str">
        <f>IF(B22="","",VLOOKUP(B22,'TB for financial'!A:B,2,0))</f>
        <v/>
      </c>
      <c r="D22" s="647"/>
      <c r="E22" s="647"/>
    </row>
    <row r="23" spans="1:10">
      <c r="A23" s="645">
        <f>IF(B23="","",IF(B22="",SUM(COUNT($A$5:A22)+1),""))</f>
        <v>6</v>
      </c>
      <c r="B23" s="640">
        <v>681210</v>
      </c>
      <c r="C23" s="640" t="str">
        <f>IF(B23="","",VLOOKUP(B23,'TB for financial'!A:B,2,0))</f>
        <v>Depreciations and impairment right of use</v>
      </c>
      <c r="D23" s="647">
        <v>3180953.0113862976</v>
      </c>
      <c r="E23" s="647"/>
    </row>
    <row r="24" spans="1:10">
      <c r="A24" s="645" t="str">
        <f>IF(B24="","",IF(B23="",SUM(COUNT($A$5:A23)+1),""))</f>
        <v/>
      </c>
      <c r="B24" s="640">
        <v>281700</v>
      </c>
      <c r="C24" s="640" t="str">
        <f>IF(B24="","",VLOOKUP(B24,'TB for financial'!A:B,2,0))</f>
        <v>Depreciation right of use real estate</v>
      </c>
      <c r="D24" s="647"/>
      <c r="E24" s="647">
        <f>+D23</f>
        <v>3180953.0113862976</v>
      </c>
    </row>
    <row r="25" spans="1:10">
      <c r="A25" s="645" t="str">
        <f>IF(B25="","",IF(B24="",SUM(COUNT($A$5:A24)+1),""))</f>
        <v/>
      </c>
      <c r="C25" s="640" t="str">
        <f>IF(B25="","",VLOOKUP(B25,'TB for financial'!A:B,2,0))</f>
        <v/>
      </c>
      <c r="D25" s="647"/>
      <c r="E25" s="647"/>
    </row>
    <row r="26" spans="1:10">
      <c r="A26" s="645">
        <f>IF(B26="","",IF(B25="",SUM(COUNT($A$5:A25)+1),""))</f>
        <v>7</v>
      </c>
      <c r="B26" s="640">
        <v>240237</v>
      </c>
      <c r="C26" s="640" t="str">
        <f>IF(B26="","",VLOOKUP(B26,'TB for financial'!A:B,2,0))</f>
        <v>Regrp of Lease Liabil</v>
      </c>
      <c r="D26" s="647"/>
      <c r="E26" s="647"/>
    </row>
    <row r="27" spans="1:10">
      <c r="A27" s="645" t="str">
        <f>IF(B27="","",IF(B26="",SUM(COUNT($A$5:A26)+1),""))</f>
        <v/>
      </c>
      <c r="B27" s="640">
        <v>205094</v>
      </c>
      <c r="C27" s="640" t="str">
        <f>IF(B27="","",VLOOKUP(B27,'TB for financial'!A:B,2,0))</f>
        <v>Regrp of Lease Liabil</v>
      </c>
      <c r="E27" s="647"/>
    </row>
    <row r="28" spans="1:10">
      <c r="A28" s="645" t="str">
        <f>IF(B28="","",IF(B27="",SUM(COUNT($A$5:A27)+1),""))</f>
        <v/>
      </c>
      <c r="C28" s="640" t="str">
        <f>IF(B28="","",VLOOKUP(B28,'TB for financial'!A:B,2,0))</f>
        <v/>
      </c>
      <c r="D28" s="647"/>
      <c r="E28" s="647"/>
    </row>
    <row r="29" spans="1:10">
      <c r="A29" s="645">
        <f>IF(B29="","",IF(B28="",SUM(COUNT($A$5:A28)+1),""))</f>
        <v>8</v>
      </c>
      <c r="B29" s="640">
        <v>101873</v>
      </c>
      <c r="C29" s="640" t="str">
        <f>IF(B29="","",VLOOKUP(B29,'TB for financial'!A:B,2,0))</f>
        <v>Deferred lease expense (IndAS)</v>
      </c>
      <c r="D29" s="647"/>
      <c r="E29" s="647"/>
      <c r="F29" s="647">
        <f>+D29-E29</f>
        <v>0</v>
      </c>
    </row>
    <row r="30" spans="1:10">
      <c r="A30" s="645" t="str">
        <f>IF(B30="","",IF(B29="",SUM(COUNT($A$5:A29)+1),""))</f>
        <v/>
      </c>
      <c r="B30" s="640">
        <v>101872</v>
      </c>
      <c r="C30" s="640" t="str">
        <f>IF(B30="","",VLOOKUP(B30,'TB for financial'!A:B,2,0))</f>
        <v>Prepaid rent - intrnl deposits</v>
      </c>
      <c r="E30" s="647"/>
      <c r="F30" s="647">
        <f>+D30-E30</f>
        <v>0</v>
      </c>
    </row>
    <row r="31" spans="1:10">
      <c r="A31" s="645" t="str">
        <f>IF(B31="","",IF(B30="",SUM(COUNT($A$5:A30)+1),""))</f>
        <v/>
      </c>
      <c r="C31" s="640" t="str">
        <f>IF(B31="","",VLOOKUP(B31,'TB for financial'!A:B,2,0))</f>
        <v/>
      </c>
      <c r="E31" s="647"/>
    </row>
    <row r="32" spans="1:10">
      <c r="A32" s="645">
        <f>IF(B32="","",IF(B31="",SUM(COUNT($A$5:A31)+1),""))</f>
        <v>9</v>
      </c>
      <c r="B32" s="640">
        <v>110049</v>
      </c>
      <c r="C32" s="640" t="str">
        <f>IF(B32="","",VLOOKUP(B32,'TB for financial'!A:B,2,0))</f>
        <v>ROU of Lease Assets</v>
      </c>
      <c r="D32" s="647"/>
      <c r="E32" s="647"/>
    </row>
    <row r="33" spans="1:6">
      <c r="A33" s="645" t="str">
        <f>IF(B33="","",IF(B32="",SUM(COUNT($A$5:A32)+1),""))</f>
        <v/>
      </c>
      <c r="B33" s="640">
        <v>101873</v>
      </c>
      <c r="C33" s="640" t="str">
        <f>IF(B33="","",VLOOKUP(B33,'TB for financial'!A:B,2,0))</f>
        <v>Deferred lease expense (IndAS)</v>
      </c>
      <c r="E33" s="647"/>
      <c r="F33" s="647">
        <f>+D33-E33</f>
        <v>0</v>
      </c>
    </row>
    <row r="34" spans="1:6">
      <c r="A34" s="645" t="str">
        <f>IF(B34="","",IF(B33="",SUM(COUNT($A$5:A33)+1),""))</f>
        <v/>
      </c>
      <c r="C34" s="640" t="str">
        <f>IF(B34="","",VLOOKUP(B34,'TB for financial'!A:B,2,0))</f>
        <v/>
      </c>
      <c r="E34" s="647"/>
    </row>
    <row r="35" spans="1:6">
      <c r="A35" s="645">
        <f>IF(B35="","",IF(B34="",SUM(COUNT($A$5:A34)+1),""))</f>
        <v>10</v>
      </c>
      <c r="B35" s="640">
        <v>101872</v>
      </c>
      <c r="C35" s="640" t="str">
        <f>IF(B35="","",VLOOKUP(B35,'TB for financial'!A:B,2,0))</f>
        <v>Prepaid rent - intrnl deposits</v>
      </c>
      <c r="D35" s="647"/>
      <c r="E35" s="647"/>
      <c r="F35" s="647">
        <f>+D35-E35</f>
        <v>0</v>
      </c>
    </row>
    <row r="36" spans="1:6">
      <c r="A36" s="645" t="str">
        <f>IF(B36="","",IF(B35="",SUM(COUNT($A$5:A35)+1),""))</f>
        <v/>
      </c>
      <c r="B36" s="640">
        <v>601032</v>
      </c>
      <c r="C36" s="640" t="str">
        <f>IF(B36="","",VLOOKUP(B36,'TB for financial'!A:B,2,0))</f>
        <v>Interest income IC Dep (IndAS)</v>
      </c>
      <c r="E36" s="647"/>
    </row>
    <row r="37" spans="1:6">
      <c r="A37" s="645" t="str">
        <f>IF(B37="","",IF(B36="",SUM(COUNT($A$5:A36)+1),""))</f>
        <v/>
      </c>
      <c r="C37" s="640" t="str">
        <f>IF(B37="","",VLOOKUP(B37,'TB for financial'!A:B,2,0))</f>
        <v/>
      </c>
      <c r="E37" s="647"/>
    </row>
    <row r="38" spans="1:6">
      <c r="A38" s="645" t="str">
        <f>IF(B38="","",IF(B37="",SUM(COUNT($A$5:A37)+1),""))</f>
        <v/>
      </c>
      <c r="C38" s="640" t="str">
        <f>IF(B38="","",VLOOKUP(B38,'TB for financial'!A:B,2,0))</f>
        <v/>
      </c>
      <c r="E38" s="647"/>
    </row>
    <row r="39" spans="1:6">
      <c r="A39" s="645" t="str">
        <f>IF(B39="","",IF(B38="",SUM(COUNT($A$5:A38)+1),""))</f>
        <v/>
      </c>
      <c r="C39" s="640" t="str">
        <f>IF(B39="","",VLOOKUP(B39,'TB for financial'!A:B,2,0))</f>
        <v/>
      </c>
      <c r="E39" s="647"/>
    </row>
    <row r="40" spans="1:6">
      <c r="A40" s="645" t="str">
        <f>IF(B40="","",IF(B39="",SUM(COUNT($A$5:A39)+1),""))</f>
        <v/>
      </c>
      <c r="C40" s="640" t="str">
        <f>IF(B40="","",VLOOKUP(B40,'TB for financial'!A:B,2,0))</f>
        <v/>
      </c>
      <c r="E40" s="647"/>
    </row>
    <row r="41" spans="1:6">
      <c r="A41" s="645" t="str">
        <f>IF(B41="","",IF(B40="",SUM(COUNT($A$5:A40)+1),""))</f>
        <v/>
      </c>
      <c r="C41" s="640" t="str">
        <f>IF(B41="","",VLOOKUP(B41,'TB for financial'!A:B,2,0))</f>
        <v/>
      </c>
      <c r="E41" s="647"/>
    </row>
    <row r="42" spans="1:6">
      <c r="A42" s="645" t="str">
        <f>IF(B42="","",IF(B41="",SUM(COUNT($A$5:A41)+1),""))</f>
        <v/>
      </c>
      <c r="C42" s="640" t="str">
        <f>IF(B42="","",VLOOKUP(B42,'TB for financial'!A:B,2,0))</f>
        <v/>
      </c>
      <c r="E42" s="647"/>
    </row>
    <row r="43" spans="1:6">
      <c r="A43" s="645" t="str">
        <f>IF(B43="","",IF(B42="",SUM(COUNT($A$5:A42)+1),""))</f>
        <v/>
      </c>
      <c r="C43" s="640" t="str">
        <f>IF(B43="","",VLOOKUP(B43,'TB for financial'!A:B,2,0))</f>
        <v/>
      </c>
      <c r="E43" s="647"/>
    </row>
    <row r="44" spans="1:6">
      <c r="A44" s="645" t="str">
        <f>IF(B44="","",IF(B43="",SUM(COUNT($A$5:A43)+1),""))</f>
        <v/>
      </c>
      <c r="C44" s="640" t="str">
        <f>IF(B44="","",VLOOKUP(B44,'TB for financial'!A:B,2,0))</f>
        <v/>
      </c>
      <c r="E44" s="647"/>
    </row>
    <row r="45" spans="1:6">
      <c r="A45" s="645" t="str">
        <f>IF(B45="","",IF(B44="",SUM(COUNT($A$5:A44)+1),""))</f>
        <v/>
      </c>
      <c r="C45" s="640" t="str">
        <f>IF(B45="","",VLOOKUP(B45,'TB for financial'!A:B,2,0))</f>
        <v/>
      </c>
      <c r="E45" s="647"/>
    </row>
    <row r="46" spans="1:6">
      <c r="A46" s="645" t="str">
        <f>IF(B46="","",IF(B45="",SUM(COUNT($A$5:A45)+1),""))</f>
        <v/>
      </c>
      <c r="C46" s="640" t="str">
        <f>IF(B46="","",VLOOKUP(B46,'TB for financial'!A:B,2,0))</f>
        <v/>
      </c>
      <c r="D46" s="650"/>
    </row>
    <row r="47" spans="1:6">
      <c r="A47" s="645" t="str">
        <f>IF(B47="","",IF(B46="",SUM(COUNT($A$5:A46)+1),""))</f>
        <v/>
      </c>
      <c r="C47" s="640" t="str">
        <f>IF(B47="","",VLOOKUP(B47,'TB for financial'!A:B,2,0))</f>
        <v/>
      </c>
      <c r="E47" s="651"/>
    </row>
    <row r="48" spans="1:6">
      <c r="A48" s="645" t="str">
        <f>IF(B48="","",IF(B47="",SUM(COUNT($A$5:A47)+1),""))</f>
        <v/>
      </c>
      <c r="C48" s="640" t="str">
        <f>IF(B48="","",VLOOKUP(B48,'TB for financial'!A:B,2,0))</f>
        <v/>
      </c>
      <c r="D48" s="651"/>
      <c r="E48" s="651"/>
    </row>
    <row r="49" spans="1:5">
      <c r="A49" s="645" t="str">
        <f>IF(B49="","",IF(B48="",SUM(COUNT($A$5:A48)+1),""))</f>
        <v/>
      </c>
      <c r="C49" s="640" t="str">
        <f>IF(B49="","",VLOOKUP(B49,'TB for financial'!A:B,2,0))</f>
        <v/>
      </c>
      <c r="D49" s="651"/>
      <c r="E49" s="651"/>
    </row>
    <row r="50" spans="1:5">
      <c r="A50" s="645" t="str">
        <f>IF(B50="","",IF(B49="",SUM(COUNT($A$5:A49)+1),""))</f>
        <v/>
      </c>
      <c r="C50" s="1469" t="s">
        <v>2679</v>
      </c>
      <c r="D50" s="647"/>
    </row>
    <row r="51" spans="1:5">
      <c r="A51" s="645" t="str">
        <f>IF(B51="","",IF(B50="",SUM(COUNT($A$5:A50)+1),""))</f>
        <v/>
      </c>
      <c r="C51" s="640" t="str">
        <f>IF(B51="","",VLOOKUP(B51,'TB for financial'!A:B,2,0))</f>
        <v/>
      </c>
      <c r="D51" s="647"/>
    </row>
    <row r="52" spans="1:5">
      <c r="A52" s="645" t="str">
        <f>IF(B52="","",IF(B51="",SUM(COUNT($A$5:A51)+1),""))</f>
        <v/>
      </c>
      <c r="C52" s="640" t="str">
        <f>IF(B52="","",VLOOKUP(B52,'TB for financial'!A:B,2,0))</f>
        <v/>
      </c>
      <c r="D52" s="647"/>
    </row>
    <row r="53" spans="1:5">
      <c r="A53" s="645" t="str">
        <f>IF(B53="","",IF(B52="",SUM(COUNT($A$5:A52)+1),""))</f>
        <v/>
      </c>
      <c r="C53" s="640" t="str">
        <f>IF(B53="","",VLOOKUP(B53,'TB for financial'!A:B,2,0))</f>
        <v/>
      </c>
      <c r="D53" s="647"/>
    </row>
    <row r="54" spans="1:5">
      <c r="A54" s="645" t="str">
        <f>IF(B54="","",IF(B53="",SUM(COUNT($A$5:A53)+1),""))</f>
        <v/>
      </c>
      <c r="C54" s="640" t="str">
        <f>IF(B54="","",VLOOKUP(B54,'TB for financial'!A:B,2,0))</f>
        <v/>
      </c>
      <c r="D54" s="647"/>
    </row>
    <row r="55" spans="1:5">
      <c r="A55" s="645" t="str">
        <f>IF(B55="","",IF(B54="",SUM(COUNT($A$5:A54)+1),""))</f>
        <v/>
      </c>
      <c r="C55" s="640" t="str">
        <f>IF(B55="","",VLOOKUP(B55,'TB for financial'!A:B,2,0))</f>
        <v/>
      </c>
      <c r="D55" s="647"/>
    </row>
    <row r="56" spans="1:5">
      <c r="A56" s="645" t="str">
        <f>IF(B56="","",IF(B55="",SUM(COUNT($A$5:A55)+1),""))</f>
        <v/>
      </c>
      <c r="C56" s="640" t="str">
        <f>IF(B56="","",VLOOKUP(B56,'TB for financial'!A:B,2,0))</f>
        <v/>
      </c>
      <c r="D56" s="647"/>
    </row>
    <row r="57" spans="1:5">
      <c r="A57" s="645" t="str">
        <f>IF(B57="","",IF(B56="",SUM(COUNT($A$5:A56)+1),""))</f>
        <v/>
      </c>
      <c r="C57" s="640" t="str">
        <f>IF(B57="","",VLOOKUP(B57,'TB for financial'!A:B,2,0))</f>
        <v/>
      </c>
      <c r="D57" s="647"/>
    </row>
    <row r="58" spans="1:5">
      <c r="A58" s="645" t="str">
        <f>IF(B58="","",IF(B57="",SUM(COUNT($A$5:A57)+1),""))</f>
        <v/>
      </c>
      <c r="C58" s="640" t="str">
        <f>IF(B58="","",VLOOKUP(B58,'TB for financial'!A:B,2,0))</f>
        <v/>
      </c>
      <c r="D58" s="647"/>
    </row>
    <row r="59" spans="1:5">
      <c r="A59" s="645" t="str">
        <f>IF(B59="","",IF(B58="",SUM(COUNT($A$5:A58)+1),""))</f>
        <v/>
      </c>
      <c r="C59" s="640" t="str">
        <f>IF(B59="","",VLOOKUP(B59,'TB for financial'!A:B,2,0))</f>
        <v/>
      </c>
      <c r="D59" s="647"/>
    </row>
    <row r="60" spans="1:5">
      <c r="A60" s="645" t="str">
        <f>IF(B60="","",IF(B59="",SUM(COUNT($A$5:A59)+1),""))</f>
        <v/>
      </c>
      <c r="C60" s="640" t="str">
        <f>IF(B60="","",VLOOKUP(B60,'TB for financial'!A:B,2,0))</f>
        <v/>
      </c>
      <c r="D60" s="647"/>
    </row>
    <row r="61" spans="1:5">
      <c r="A61" s="645" t="str">
        <f>IF(B61="","",IF(B60="",SUM(COUNT($A$5:A60)+1),""))</f>
        <v/>
      </c>
      <c r="C61" s="640" t="str">
        <f>IF(B61="","",VLOOKUP(B61,'TB for financial'!A:B,2,0))</f>
        <v/>
      </c>
      <c r="D61" s="647"/>
    </row>
    <row r="62" spans="1:5">
      <c r="A62" s="645" t="str">
        <f>IF(B62="","",IF(B61="",SUM(COUNT($A$5:A61)+1),""))</f>
        <v/>
      </c>
      <c r="C62" s="640" t="str">
        <f>IF(B62="","",VLOOKUP(B62,'TB for financial'!A:B,2,0))</f>
        <v/>
      </c>
      <c r="D62" s="647"/>
    </row>
    <row r="63" spans="1:5">
      <c r="A63" s="645" t="str">
        <f>IF(B63="","",IF(B62="",SUM(COUNT($A$5:A62)+1),""))</f>
        <v/>
      </c>
      <c r="C63" s="640" t="str">
        <f>IF(B63="","",VLOOKUP(B63,'TB for financial'!A:B,2,0))</f>
        <v/>
      </c>
      <c r="D63" s="647"/>
    </row>
    <row r="64" spans="1:5">
      <c r="A64" s="645" t="str">
        <f>IF(B64="","",IF(B63="",SUM(COUNT($A$5:A63)+1),""))</f>
        <v/>
      </c>
      <c r="C64" s="640" t="str">
        <f>IF(B64="","",VLOOKUP(B64,'TB for financial'!A:B,2,0))</f>
        <v/>
      </c>
      <c r="D64" s="647"/>
    </row>
    <row r="65" spans="1:6">
      <c r="A65" s="645" t="str">
        <f>IF(B65="","",IF(B64="",SUM(COUNT($A$5:A64)+1),""))</f>
        <v/>
      </c>
      <c r="C65" s="640" t="str">
        <f>IF(B65="","",VLOOKUP(B65,'TB for financial'!A:B,2,0))</f>
        <v/>
      </c>
      <c r="D65" s="647"/>
    </row>
    <row r="66" spans="1:6">
      <c r="A66" s="645" t="str">
        <f>IF(B66="","",IF(B65="",SUM(COUNT($A$5:A65)+1),""))</f>
        <v/>
      </c>
      <c r="C66" s="640" t="str">
        <f>IF(B66="","",VLOOKUP(B66,'TB for financial'!A:B,2,0))</f>
        <v/>
      </c>
      <c r="E66" s="647"/>
      <c r="F66" s="652"/>
    </row>
    <row r="67" spans="1:6">
      <c r="A67" s="645" t="str">
        <f>IF(B67="","",IF(B66="",SUM(COUNT($A$5:A66)+1),""))</f>
        <v/>
      </c>
      <c r="C67" s="640" t="str">
        <f>IF(B67="","",VLOOKUP(B67,'TB for financial'!A:B,2,0))</f>
        <v/>
      </c>
    </row>
    <row r="68" spans="1:6">
      <c r="A68" s="645" t="str">
        <f>IF(B68="","",IF(B67="",SUM(COUNT($A$5:A67)+1),""))</f>
        <v/>
      </c>
      <c r="C68" s="640" t="str">
        <f>IF(B68="","",VLOOKUP(B68,'TB for financial'!A:B,2,0))</f>
        <v/>
      </c>
    </row>
    <row r="69" spans="1:6">
      <c r="A69" s="645" t="str">
        <f>IF(B69="","",IF(B68="",SUM(COUNT($A$5:A68)+1),""))</f>
        <v/>
      </c>
      <c r="C69" s="640" t="str">
        <f>IF(B69="","",VLOOKUP(B69,'TB for financial'!A:B,2,0))</f>
        <v/>
      </c>
      <c r="E69" s="647"/>
    </row>
    <row r="70" spans="1:6">
      <c r="A70" s="645" t="str">
        <f>IF(B70="","",IF(B69="",SUM(COUNT($A$5:A69)+1),""))</f>
        <v/>
      </c>
      <c r="C70" s="640" t="str">
        <f>IF(B70="","",VLOOKUP(B70,'TB for financial'!A:B,2,0))</f>
        <v/>
      </c>
      <c r="D70" s="647"/>
    </row>
    <row r="71" spans="1:6">
      <c r="A71" s="645" t="str">
        <f>IF(B71="","",IF(B70="",SUM(COUNT($A$5:A70)+1),""))</f>
        <v/>
      </c>
      <c r="C71" s="640" t="str">
        <f>IF(B71="","",VLOOKUP(B71,'TB for financial'!A:B,2,0))</f>
        <v/>
      </c>
    </row>
    <row r="72" spans="1:6">
      <c r="A72" s="645" t="str">
        <f>IF(B72="","",IF(B71="",SUM(COUNT($A$5:A71)+1),""))</f>
        <v/>
      </c>
      <c r="C72" s="640" t="str">
        <f>IF(B72="","",VLOOKUP(B72,'TB for financial'!A:B,2,0))</f>
        <v/>
      </c>
    </row>
    <row r="73" spans="1:6">
      <c r="A73" s="645" t="str">
        <f>IF(B73="","",IF(B72="",SUM(COUNT($A$5:A72)+1),""))</f>
        <v/>
      </c>
      <c r="C73" s="640" t="str">
        <f>IF(B73="","",VLOOKUP(B73,'TB for financial'!A:B,2,0))</f>
        <v/>
      </c>
    </row>
    <row r="74" spans="1:6">
      <c r="A74" s="645" t="str">
        <f>IF(B74="","",IF(#REF!="",SUM(COUNT($A$5:A73)+1),""))</f>
        <v/>
      </c>
      <c r="C74" s="640" t="str">
        <f>IF(B74="","",VLOOKUP(B74,'TB for financial'!A:B,2,0))</f>
        <v/>
      </c>
    </row>
    <row r="75" spans="1:6">
      <c r="A75" s="645" t="str">
        <f>IF(B75="","",IF(B74="",SUM(COUNT($A$5:A74)+1),""))</f>
        <v/>
      </c>
      <c r="C75" s="640" t="str">
        <f>IF(B75="","",VLOOKUP(B75,'TB for financial'!A:B,2,0))</f>
        <v/>
      </c>
    </row>
    <row r="76" spans="1:6">
      <c r="A76" s="645" t="str">
        <f>IF(B76="","",IF(B75="",SUM(COUNT($A$5:A75)+1),""))</f>
        <v/>
      </c>
      <c r="C76" s="640" t="str">
        <f>IF(B76="","",VLOOKUP(B76,'TB for financial'!A:B,2,0))</f>
        <v/>
      </c>
    </row>
    <row r="77" spans="1:6">
      <c r="A77" s="645" t="str">
        <f>IF(B77="","",IF(B76="",SUM(COUNT($A$5:A76)+1),""))</f>
        <v/>
      </c>
      <c r="C77" s="640" t="str">
        <f>IF(B77="","",VLOOKUP(B77,'TB for financial'!A:B,2,0))</f>
        <v/>
      </c>
    </row>
    <row r="78" spans="1:6">
      <c r="A78" s="645" t="str">
        <f>IF(B78="","",IF(B77="",SUM(COUNT($A$5:A77)+1),""))</f>
        <v/>
      </c>
      <c r="C78" s="640" t="str">
        <f>IF(B78="","",VLOOKUP(B78,'TB for financial'!A:B,2,0))</f>
        <v/>
      </c>
    </row>
    <row r="79" spans="1:6">
      <c r="A79" s="645" t="str">
        <f>IF(B79="","",IF(B78="",SUM(COUNT($A$5:A78)+1),""))</f>
        <v/>
      </c>
      <c r="C79" s="640" t="str">
        <f>IF(B79="","",VLOOKUP(B79,'TB for financial'!A:B,2,0))</f>
        <v/>
      </c>
    </row>
    <row r="80" spans="1:6">
      <c r="A80" s="645" t="str">
        <f>IF(B80="","",IF(B79="",SUM(COUNT($A$5:A79)+1),""))</f>
        <v/>
      </c>
      <c r="C80" s="640" t="str">
        <f>IF(B80="","",VLOOKUP(B80,'TB for financial'!A:B,2,0))</f>
        <v/>
      </c>
    </row>
    <row r="81" spans="1:3">
      <c r="A81" s="645" t="str">
        <f>IF(B81="","",IF(B80="",SUM(COUNT($A$5:A80)+1),""))</f>
        <v/>
      </c>
      <c r="C81" s="640" t="str">
        <f>IF(B81="","",VLOOKUP(B81,'TB for financial'!A:B,2,0))</f>
        <v/>
      </c>
    </row>
    <row r="82" spans="1:3">
      <c r="A82" s="645" t="str">
        <f>IF(B82="","",IF(B81="",SUM(COUNT($A$5:A81)+1),""))</f>
        <v/>
      </c>
      <c r="C82" s="640" t="str">
        <f>IF(B82="","",VLOOKUP(B82,'TB for financial'!A:B,2,0))</f>
        <v/>
      </c>
    </row>
    <row r="83" spans="1:3">
      <c r="A83" s="645" t="str">
        <f>IF(B83="","",IF(B82="",SUM(COUNT($A$5:A82)+1),""))</f>
        <v/>
      </c>
      <c r="C83" s="640" t="str">
        <f>IF(B83="","",VLOOKUP(B83,'TB for financial'!A:B,2,0))</f>
        <v/>
      </c>
    </row>
    <row r="84" spans="1:3">
      <c r="A84" s="645" t="str">
        <f>IF(B84="","",IF(B83="",SUM(COUNT($A$5:A83)+1),""))</f>
        <v/>
      </c>
      <c r="C84" s="640" t="str">
        <f>IF(B84="","",VLOOKUP(B84,'TB for financial'!A:B,2,0))</f>
        <v/>
      </c>
    </row>
    <row r="85" spans="1:3">
      <c r="A85" s="645" t="str">
        <f>IF(B85="","",IF(B84="",SUM(COUNT($A$5:A84)+1),""))</f>
        <v/>
      </c>
      <c r="C85" s="640" t="str">
        <f>IF(B85="","",VLOOKUP(B85,'TB for financial'!A:B,2,0))</f>
        <v/>
      </c>
    </row>
    <row r="86" spans="1:3">
      <c r="A86" s="645" t="str">
        <f>IF(B86="","",IF(B85="",SUM(COUNT($A$5:A85)+1),""))</f>
        <v/>
      </c>
      <c r="C86" s="640" t="str">
        <f>IF(B86="","",VLOOKUP(B86,'TB for financial'!A:B,2,0))</f>
        <v/>
      </c>
    </row>
    <row r="87" spans="1:3">
      <c r="A87" s="645" t="str">
        <f>IF(B87="","",IF(B86="",SUM(COUNT($A$5:A86)+1),""))</f>
        <v/>
      </c>
      <c r="C87" s="640" t="str">
        <f>IF(B87="","",VLOOKUP(B87,'TB for financial'!A:B,2,0))</f>
        <v/>
      </c>
    </row>
    <row r="88" spans="1:3">
      <c r="A88" s="645" t="str">
        <f>IF(B88="","",IF(B87="",SUM(COUNT($A$5:A87)+1),""))</f>
        <v/>
      </c>
      <c r="C88" s="640" t="str">
        <f>IF(B88="","",VLOOKUP(B88,'TB for financial'!A:B,2,0))</f>
        <v/>
      </c>
    </row>
    <row r="89" spans="1:3">
      <c r="A89" s="645" t="str">
        <f>IF(B89="","",IF(B88="",SUM(COUNT($A$5:A88)+1),""))</f>
        <v/>
      </c>
      <c r="C89" s="640" t="str">
        <f>IF(B89="","",VLOOKUP(B89,'TB for financial'!A:B,2,0))</f>
        <v/>
      </c>
    </row>
    <row r="90" spans="1:3">
      <c r="A90" s="645" t="str">
        <f>IF(B90="","",IF(B89="",SUM(COUNT($A$5:A89)+1),""))</f>
        <v/>
      </c>
      <c r="C90" s="640" t="str">
        <f>IF(B90="","",VLOOKUP(B90,'TB for financial'!A:B,2,0))</f>
        <v/>
      </c>
    </row>
    <row r="91" spans="1:3">
      <c r="A91" s="645" t="str">
        <f>IF(B91="","",IF(B90="",SUM(COUNT($A$5:A90)+1),""))</f>
        <v/>
      </c>
      <c r="C91" s="640" t="str">
        <f>IF(B91="","",VLOOKUP(B91,'TB for financial'!A:B,2,0))</f>
        <v/>
      </c>
    </row>
    <row r="92" spans="1:3">
      <c r="A92" s="645" t="str">
        <f>IF(B92="","",IF(B91="",SUM(COUNT($A$5:A91)+1),""))</f>
        <v/>
      </c>
      <c r="C92" s="640" t="str">
        <f>IF(B92="","",VLOOKUP(B92,'TB for financial'!A:B,2,0))</f>
        <v/>
      </c>
    </row>
    <row r="93" spans="1:3">
      <c r="A93" s="645" t="str">
        <f>IF(B93="","",IF(B92="",SUM(COUNT($A$5:A92)+1),""))</f>
        <v/>
      </c>
      <c r="C93" s="640" t="str">
        <f>IF(B93="","",VLOOKUP(B93,'TB for financial'!A:B,2,0))</f>
        <v/>
      </c>
    </row>
    <row r="94" spans="1:3">
      <c r="A94" s="645" t="str">
        <f>IF(B94="","",IF(B93="",SUM(COUNT($A$5:A93)+1),""))</f>
        <v/>
      </c>
      <c r="C94" s="640" t="str">
        <f>IF(B94="","",VLOOKUP(B94,'TB for financial'!A:B,2,0))</f>
        <v/>
      </c>
    </row>
    <row r="95" spans="1:3">
      <c r="A95" s="645" t="str">
        <f>IF(B95="","",IF(B94="",SUM(COUNT($A$5:A94)+1),""))</f>
        <v/>
      </c>
      <c r="C95" s="640" t="str">
        <f>IF(B95="","",VLOOKUP(B95,'TB for financial'!A:B,2,0))</f>
        <v/>
      </c>
    </row>
    <row r="96" spans="1:3">
      <c r="A96" s="645" t="str">
        <f>IF(B96="","",IF(B95="",SUM(COUNT($A$5:A95)+1),""))</f>
        <v/>
      </c>
      <c r="C96" s="640" t="str">
        <f>IF(B96="","",VLOOKUP(B96,'TB for financial'!A:B,2,0))</f>
        <v/>
      </c>
    </row>
    <row r="97" spans="1:3">
      <c r="A97" s="645" t="str">
        <f>IF(B97="","",IF(B96="",SUM(COUNT($A$5:A96)+1),""))</f>
        <v/>
      </c>
      <c r="C97" s="640" t="str">
        <f>IF(B97="","",VLOOKUP(B97,'TB for financial'!A:B,2,0))</f>
        <v/>
      </c>
    </row>
    <row r="98" spans="1:3">
      <c r="A98" s="645" t="str">
        <f>IF(B98="","",IF(B97="",SUM(COUNT($A$5:A97)+1),""))</f>
        <v/>
      </c>
      <c r="C98" s="640" t="str">
        <f>IF(B98="","",VLOOKUP(B98,'TB for financial'!A:B,2,0))</f>
        <v/>
      </c>
    </row>
    <row r="99" spans="1:3">
      <c r="A99" s="645" t="str">
        <f>IF(B99="","",IF(B98="",SUM(COUNT($A$5:A98)+1),""))</f>
        <v/>
      </c>
      <c r="C99" s="640" t="str">
        <f>IF(B99="","",VLOOKUP(B99,'TB for financial'!A:B,2,0))</f>
        <v/>
      </c>
    </row>
    <row r="100" spans="1:3">
      <c r="A100" s="645" t="str">
        <f>IF(B100="","",IF(B99="",SUM(COUNT($A$5:A99)+1),""))</f>
        <v/>
      </c>
      <c r="C100" s="640" t="str">
        <f>IF(B100="","",VLOOKUP(B100,'TB for financial'!A:B,2,0))</f>
        <v/>
      </c>
    </row>
    <row r="101" spans="1:3">
      <c r="A101" s="645" t="str">
        <f>IF(B101="","",IF(B100="",SUM(COUNT($A$5:A100)+1),""))</f>
        <v/>
      </c>
      <c r="C101" s="640" t="str">
        <f>IF(B101="","",VLOOKUP(B101,'TB for financial'!A:B,2,0))</f>
        <v/>
      </c>
    </row>
    <row r="102" spans="1:3">
      <c r="A102" s="645" t="str">
        <f>IF(B102="","",IF(B101="",SUM(COUNT($A$5:A101)+1),""))</f>
        <v/>
      </c>
      <c r="C102" s="640" t="str">
        <f>IF(B102="","",VLOOKUP(B102,'TB for financial'!A:B,2,0))</f>
        <v/>
      </c>
    </row>
    <row r="103" spans="1:3">
      <c r="A103" s="645" t="str">
        <f>IF(B103="","",IF(B102="",SUM(COUNT($A$5:A102)+1),""))</f>
        <v/>
      </c>
      <c r="C103" s="640" t="str">
        <f>IF(B103="","",VLOOKUP(B103,'TB for financial'!A:B,2,0))</f>
        <v/>
      </c>
    </row>
    <row r="104" spans="1:3">
      <c r="A104" s="645" t="str">
        <f>IF(B104="","",IF(B103="",SUM(COUNT($A$5:A103)+1),""))</f>
        <v/>
      </c>
      <c r="C104" s="640" t="str">
        <f>IF(B104="","",VLOOKUP(B104,'TB for financial'!A:B,2,0))</f>
        <v/>
      </c>
    </row>
    <row r="105" spans="1:3">
      <c r="A105" s="645" t="str">
        <f>IF(B105="","",IF(B104="",SUM(COUNT($A$5:A104)+1),""))</f>
        <v/>
      </c>
      <c r="C105" s="640" t="str">
        <f>IF(B105="","",VLOOKUP(B105,'TB for financial'!A:B,2,0))</f>
        <v/>
      </c>
    </row>
    <row r="106" spans="1:3">
      <c r="A106" s="645" t="str">
        <f>IF(B106="","",IF(B105="",SUM(COUNT($A$5:A105)+1),""))</f>
        <v/>
      </c>
      <c r="C106" s="640" t="str">
        <f>IF(B106="","",VLOOKUP(B106,'TB for financial'!A:B,2,0))</f>
        <v/>
      </c>
    </row>
    <row r="107" spans="1:3">
      <c r="A107" s="645" t="str">
        <f>IF(B107="","",IF(B106="",SUM(COUNT($A$5:A106)+1),""))</f>
        <v/>
      </c>
      <c r="C107" s="640" t="str">
        <f>IF(B107="","",VLOOKUP(B107,'TB for financial'!A:B,2,0))</f>
        <v/>
      </c>
    </row>
    <row r="108" spans="1:3">
      <c r="A108" s="645" t="str">
        <f>IF(B108="","",IF(B107="",SUM(COUNT($A$5:A107)+1),""))</f>
        <v/>
      </c>
      <c r="C108" s="640" t="str">
        <f>IF(B108="","",VLOOKUP(B108,'TB for financial'!A:B,2,0))</f>
        <v/>
      </c>
    </row>
    <row r="109" spans="1:3">
      <c r="A109" s="645" t="str">
        <f>IF(B109="","",IF(B108="",SUM(COUNT($A$5:A108)+1),""))</f>
        <v/>
      </c>
      <c r="C109" s="640" t="str">
        <f>IF(B109="","",VLOOKUP(B109,'TB for financial'!A:B,2,0))</f>
        <v/>
      </c>
    </row>
    <row r="110" spans="1:3">
      <c r="A110" s="645" t="str">
        <f>IF(B110="","",IF(B109="",SUM(COUNT($A$5:A109)+1),""))</f>
        <v/>
      </c>
      <c r="C110" s="640" t="str">
        <f>IF(B110="","",VLOOKUP(B110,'TB for financial'!A:B,2,0))</f>
        <v/>
      </c>
    </row>
    <row r="111" spans="1:3">
      <c r="A111" s="645" t="str">
        <f>IF(B111="","",IF(B110="",SUM(COUNT($A$5:A110)+1),""))</f>
        <v/>
      </c>
      <c r="C111" s="640" t="str">
        <f>IF(B111="","",VLOOKUP(B111,'TB for financial'!A:B,2,0))</f>
        <v/>
      </c>
    </row>
    <row r="112" spans="1:3">
      <c r="A112" s="645" t="str">
        <f>IF(B112="","",IF(B111="",SUM(COUNT($A$5:A111)+1),""))</f>
        <v/>
      </c>
      <c r="C112" s="640" t="str">
        <f>IF(B112="","",VLOOKUP(B112,'TB for financial'!A:B,2,0))</f>
        <v/>
      </c>
    </row>
    <row r="113" spans="1:3">
      <c r="A113" s="645" t="str">
        <f>IF(B113="","",IF(B112="",SUM(COUNT($A$5:A112)+1),""))</f>
        <v/>
      </c>
      <c r="C113" s="640" t="str">
        <f>IF(B113="","",VLOOKUP(B113,'TB for financial'!A:B,2,0))</f>
        <v/>
      </c>
    </row>
    <row r="114" spans="1:3">
      <c r="A114" s="645" t="str">
        <f>IF(B114="","",IF(B113="",SUM(COUNT($A$5:A113)+1),""))</f>
        <v/>
      </c>
      <c r="C114" s="640" t="str">
        <f>IF(B114="","",VLOOKUP(B114,'TB for financial'!A:B,2,0))</f>
        <v/>
      </c>
    </row>
    <row r="115" spans="1:3">
      <c r="A115" s="645" t="str">
        <f>IF(B115="","",IF(B114="",SUM(COUNT($A$5:A114)+1),""))</f>
        <v/>
      </c>
      <c r="C115" s="640" t="str">
        <f>IF(B115="","",VLOOKUP(B115,'TB for financial'!A:B,2,0))</f>
        <v/>
      </c>
    </row>
    <row r="116" spans="1:3">
      <c r="A116" s="645" t="str">
        <f>IF(B116="","",IF(B115="",SUM(COUNT($A$5:A115)+1),""))</f>
        <v/>
      </c>
      <c r="C116" s="640" t="str">
        <f>IF(B116="","",VLOOKUP(B116,'TB for financial'!A:B,2,0))</f>
        <v/>
      </c>
    </row>
    <row r="117" spans="1:3">
      <c r="A117" s="645" t="str">
        <f>IF(B117="","",IF(B116="",SUM(COUNT($A$5:A116)+1),""))</f>
        <v/>
      </c>
      <c r="C117" s="640" t="str">
        <f>IF(B117="","",VLOOKUP(B117,'TB for financial'!A:B,2,0))</f>
        <v/>
      </c>
    </row>
    <row r="118" spans="1:3">
      <c r="A118" s="645" t="str">
        <f>IF(B118="","",IF(B117="",SUM(COUNT($A$5:A117)+1),""))</f>
        <v/>
      </c>
      <c r="C118" s="640" t="str">
        <f>IF(B118="","",VLOOKUP(B118,'TB for financial'!A:B,2,0))</f>
        <v/>
      </c>
    </row>
    <row r="119" spans="1:3">
      <c r="A119" s="645" t="str">
        <f>IF(B119="","",IF(B118="",SUM(COUNT($A$5:A118)+1),""))</f>
        <v/>
      </c>
      <c r="C119" s="640" t="str">
        <f>IF(B119="","",VLOOKUP(B119,'TB for financial'!A:B,2,0))</f>
        <v/>
      </c>
    </row>
    <row r="120" spans="1:3">
      <c r="A120" s="645" t="str">
        <f>IF(B120="","",IF(B119="",SUM(COUNT($A$5:A119)+1),""))</f>
        <v/>
      </c>
      <c r="C120" s="640" t="str">
        <f>IF(B120="","",VLOOKUP(B120,'TB for financial'!A:B,2,0))</f>
        <v/>
      </c>
    </row>
    <row r="121" spans="1:3">
      <c r="A121" s="645" t="str">
        <f>IF(B121="","",IF(B120="",SUM(COUNT($A$5:A120)+1),""))</f>
        <v/>
      </c>
      <c r="C121" s="640" t="str">
        <f>IF(B121="","",VLOOKUP(B121,'TB for financial'!A:B,2,0))</f>
        <v/>
      </c>
    </row>
    <row r="122" spans="1:3">
      <c r="A122" s="645" t="str">
        <f>IF(B122="","",IF(B121="",SUM(COUNT($A$5:A121)+1),""))</f>
        <v/>
      </c>
      <c r="C122" s="640" t="str">
        <f>IF(B122="","",VLOOKUP(B122,'TB for financial'!A:B,2,0))</f>
        <v/>
      </c>
    </row>
    <row r="123" spans="1:3">
      <c r="A123" s="645" t="str">
        <f>IF(B123="","",IF(B122="",SUM(COUNT($A$5:A122)+1),""))</f>
        <v/>
      </c>
      <c r="C123" s="640" t="str">
        <f>IF(B123="","",VLOOKUP(B123,'TB for financial'!A:B,2,0))</f>
        <v/>
      </c>
    </row>
    <row r="124" spans="1:3">
      <c r="A124" s="645" t="str">
        <f>IF(B124="","",IF(B123="",SUM(COUNT($A$5:A123)+1),""))</f>
        <v/>
      </c>
      <c r="C124" s="640" t="str">
        <f>IF(B124="","",VLOOKUP(B124,'TB for financial'!A:B,2,0))</f>
        <v/>
      </c>
    </row>
    <row r="125" spans="1:3">
      <c r="A125" s="645" t="str">
        <f>IF(B125="","",IF(B124="",SUM(COUNT($A$5:A124)+1),""))</f>
        <v/>
      </c>
      <c r="C125" s="640" t="str">
        <f>IF(B125="","",VLOOKUP(B125,'TB for financial'!A:B,2,0))</f>
        <v/>
      </c>
    </row>
    <row r="126" spans="1:3">
      <c r="A126" s="645" t="str">
        <f>IF(B126="","",IF(B125="",SUM(COUNT($A$5:A125)+1),""))</f>
        <v/>
      </c>
      <c r="C126" s="640" t="str">
        <f>IF(B126="","",VLOOKUP(B126,'TB for financial'!A:B,2,0))</f>
        <v/>
      </c>
    </row>
    <row r="127" spans="1:3">
      <c r="A127" s="645" t="str">
        <f>IF(B127="","",IF(B126="",SUM(COUNT($A$5:A126)+1),""))</f>
        <v/>
      </c>
      <c r="C127" s="640" t="str">
        <f>IF(B127="","",VLOOKUP(B127,'TB for financial'!A:B,2,0))</f>
        <v/>
      </c>
    </row>
    <row r="128" spans="1:3">
      <c r="A128" s="645" t="str">
        <f>IF(B128="","",IF(B127="",SUM(COUNT($A$5:A127)+1),""))</f>
        <v/>
      </c>
      <c r="C128" s="640" t="str">
        <f>IF(B128="","",VLOOKUP(B128,'TB for financial'!A:B,2,0))</f>
        <v/>
      </c>
    </row>
    <row r="129" spans="1:3">
      <c r="A129" s="645" t="str">
        <f>IF(B129="","",IF(B128="",SUM(COUNT($A$5:A128)+1),""))</f>
        <v/>
      </c>
      <c r="C129" s="640" t="str">
        <f>IF(B129="","",VLOOKUP(B129,'TB for financial'!A:B,2,0))</f>
        <v/>
      </c>
    </row>
    <row r="130" spans="1:3">
      <c r="A130" s="645" t="str">
        <f>IF(B130="","",IF(B129="",SUM(COUNT($A$5:A129)+1),""))</f>
        <v/>
      </c>
      <c r="C130" s="640" t="str">
        <f>IF(B130="","",VLOOKUP(B130,'TB for financial'!A:B,2,0))</f>
        <v/>
      </c>
    </row>
    <row r="131" spans="1:3">
      <c r="A131" s="645" t="str">
        <f>IF(B131="","",IF(B130="",SUM(COUNT($A$5:A130)+1),""))</f>
        <v/>
      </c>
      <c r="C131" s="640" t="str">
        <f>IF(B131="","",VLOOKUP(B131,'TB for financial'!A:B,2,0))</f>
        <v/>
      </c>
    </row>
    <row r="132" spans="1:3">
      <c r="A132" s="645" t="str">
        <f>IF(B132="","",IF(B131="",SUM(COUNT($A$5:A131)+1),""))</f>
        <v/>
      </c>
      <c r="C132" s="640" t="str">
        <f>IF(B132="","",VLOOKUP(B132,'TB for financial'!A:B,2,0))</f>
        <v/>
      </c>
    </row>
    <row r="133" spans="1:3">
      <c r="A133" s="645" t="str">
        <f>IF(B133="","",IF(B132="",SUM(COUNT($A$5:A132)+1),""))</f>
        <v/>
      </c>
      <c r="C133" s="640" t="str">
        <f>IF(B133="","",VLOOKUP(B133,'TB for financial'!A:B,2,0))</f>
        <v/>
      </c>
    </row>
    <row r="134" spans="1:3">
      <c r="A134" s="645" t="str">
        <f>IF(B134="","",IF(B133="",SUM(COUNT($A$5:A133)+1),""))</f>
        <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A222-3FDC-4C28-BCB7-C48FD19066E4}">
  <dimension ref="A1:P223"/>
  <sheetViews>
    <sheetView topLeftCell="A149" workbookViewId="0">
      <selection activeCell="D16" sqref="D16"/>
    </sheetView>
  </sheetViews>
  <sheetFormatPr defaultRowHeight="14.4"/>
  <cols>
    <col min="1" max="1" width="5.6640625" bestFit="1" customWidth="1"/>
    <col min="2" max="2" width="8.77734375" bestFit="1" customWidth="1"/>
    <col min="3" max="3" width="33.77734375" customWidth="1"/>
    <col min="4" max="4" width="15.5546875" bestFit="1" customWidth="1"/>
    <col min="5" max="5" width="16" bestFit="1" customWidth="1"/>
    <col min="6" max="6" width="5.77734375" bestFit="1" customWidth="1"/>
    <col min="7" max="7" width="12.21875" bestFit="1" customWidth="1"/>
    <col min="8" max="8" width="6.21875" bestFit="1" customWidth="1"/>
    <col min="9" max="9" width="7.6640625" bestFit="1" customWidth="1"/>
    <col min="10" max="10" width="8.109375" bestFit="1" customWidth="1"/>
  </cols>
  <sheetData>
    <row r="1" spans="1:16">
      <c r="M1">
        <v>441188</v>
      </c>
    </row>
    <row r="2" spans="1:16" ht="58.2" thickBot="1">
      <c r="A2" s="294" t="s">
        <v>722</v>
      </c>
      <c r="B2" s="295" t="s">
        <v>723</v>
      </c>
      <c r="C2" s="294" t="s">
        <v>724</v>
      </c>
      <c r="D2" s="296" t="s">
        <v>725</v>
      </c>
      <c r="E2" s="297" t="s">
        <v>726</v>
      </c>
      <c r="F2" s="298" t="s">
        <v>727</v>
      </c>
      <c r="G2" s="299" t="s">
        <v>728</v>
      </c>
      <c r="H2" s="298" t="s">
        <v>729</v>
      </c>
      <c r="I2" s="300" t="s">
        <v>525</v>
      </c>
      <c r="J2" s="301" t="s">
        <v>730</v>
      </c>
      <c r="M2">
        <v>-151230</v>
      </c>
      <c r="N2">
        <f>M1+M2</f>
        <v>289958</v>
      </c>
      <c r="O2">
        <v>-211521</v>
      </c>
      <c r="P2">
        <f>N2+O2</f>
        <v>78437</v>
      </c>
    </row>
    <row r="3" spans="1:16">
      <c r="A3" s="306"/>
      <c r="B3" s="307"/>
      <c r="C3" s="308"/>
      <c r="D3" s="309"/>
      <c r="E3" s="310"/>
      <c r="F3" s="311"/>
      <c r="G3" s="312"/>
      <c r="H3" s="312"/>
      <c r="I3" s="313"/>
      <c r="J3" s="314"/>
    </row>
    <row r="4" spans="1:16">
      <c r="A4" s="306"/>
      <c r="B4" s="307"/>
      <c r="C4" s="308"/>
      <c r="D4" s="309"/>
      <c r="E4" s="310"/>
      <c r="F4" s="311"/>
      <c r="G4" s="312"/>
      <c r="H4" s="312"/>
      <c r="I4" s="313"/>
      <c r="J4" s="314"/>
    </row>
    <row r="5" spans="1:16" s="1390" customFormat="1">
      <c r="A5" s="1534">
        <v>1</v>
      </c>
      <c r="B5" s="1535">
        <v>408151</v>
      </c>
      <c r="C5" s="1536" t="s">
        <v>2410</v>
      </c>
      <c r="D5" s="1537">
        <v>21200</v>
      </c>
      <c r="E5" s="1537">
        <v>0</v>
      </c>
      <c r="F5" s="1538"/>
      <c r="G5" s="1277">
        <f t="shared" ref="G5:G56" si="0">IF(H5="PL - PL",0,IF(D5="",-E5,D5))</f>
        <v>21200</v>
      </c>
      <c r="H5" s="1539"/>
      <c r="I5" s="1540"/>
      <c r="J5" s="1541"/>
    </row>
    <row r="6" spans="1:16" s="1390" customFormat="1">
      <c r="A6" s="1534" t="str">
        <f>IF(B6="","",IF(B5="",SUM(COUNT($A$5:A5)+1),""))</f>
        <v/>
      </c>
      <c r="B6" s="1535">
        <v>4081510</v>
      </c>
      <c r="C6" s="1536" t="s">
        <v>2410</v>
      </c>
      <c r="D6" s="1537">
        <v>0</v>
      </c>
      <c r="E6" s="1537">
        <v>21200</v>
      </c>
      <c r="F6" s="1538"/>
      <c r="G6" s="1277">
        <f t="shared" si="0"/>
        <v>0</v>
      </c>
      <c r="H6" s="1539"/>
      <c r="I6" s="1540"/>
      <c r="J6" s="1541"/>
    </row>
    <row r="7" spans="1:16" ht="28.8">
      <c r="A7" s="315" t="str">
        <f>IF(B7="","",IF(B6="",SUM(COUNT($A$5:A6)+1),""))</f>
        <v/>
      </c>
      <c r="B7" s="282">
        <v>4085000</v>
      </c>
      <c r="C7" s="316" t="s">
        <v>2657</v>
      </c>
      <c r="D7" s="318">
        <v>91226</v>
      </c>
      <c r="E7" s="318">
        <v>0</v>
      </c>
      <c r="F7" s="319"/>
      <c r="G7" s="320">
        <f t="shared" si="0"/>
        <v>91226</v>
      </c>
      <c r="H7" s="321"/>
      <c r="I7" s="322"/>
      <c r="J7" s="323"/>
    </row>
    <row r="8" spans="1:16" ht="28.8">
      <c r="A8" s="315" t="str">
        <f>IF(B8="","",IF(B7="",SUM(COUNT($A$5:A7)+1),""))</f>
        <v/>
      </c>
      <c r="B8" s="282">
        <v>4085000</v>
      </c>
      <c r="C8" s="316" t="s">
        <v>2657</v>
      </c>
      <c r="D8" s="318">
        <v>0</v>
      </c>
      <c r="E8" s="318">
        <v>91226</v>
      </c>
      <c r="F8" s="319"/>
      <c r="G8" s="320">
        <f t="shared" si="0"/>
        <v>0</v>
      </c>
      <c r="H8" s="321"/>
      <c r="I8" s="322"/>
      <c r="J8" s="323"/>
    </row>
    <row r="9" spans="1:16">
      <c r="A9" s="315" t="str">
        <f>IF(B9="","",IF(B8="",SUM(COUNT($A$5:A8)+1),""))</f>
        <v/>
      </c>
      <c r="B9" s="282">
        <v>437408</v>
      </c>
      <c r="C9" s="316" t="s">
        <v>2427</v>
      </c>
      <c r="D9" s="317">
        <v>0</v>
      </c>
      <c r="E9" s="318">
        <v>112426</v>
      </c>
      <c r="F9" s="319"/>
      <c r="G9" s="320">
        <f t="shared" si="0"/>
        <v>0</v>
      </c>
      <c r="H9" s="321"/>
      <c r="I9" s="322"/>
      <c r="J9" s="323"/>
    </row>
    <row r="10" spans="1:16">
      <c r="A10" s="315" t="str">
        <f>IF(B10="","",IF(B9="",SUM(COUNT($A$5:A9)+1),""))</f>
        <v/>
      </c>
      <c r="B10" s="282">
        <v>4374080</v>
      </c>
      <c r="C10" s="316" t="s">
        <v>2427</v>
      </c>
      <c r="D10" s="318">
        <v>112426</v>
      </c>
      <c r="E10" s="317">
        <v>0</v>
      </c>
      <c r="F10" s="319"/>
      <c r="G10" s="320">
        <f t="shared" si="0"/>
        <v>112426</v>
      </c>
      <c r="H10" s="321"/>
      <c r="I10" s="322"/>
      <c r="J10" s="323"/>
    </row>
    <row r="11" spans="1:16">
      <c r="A11" s="315" t="str">
        <f>IF(B11="","",IF(B10="",SUM(COUNT($A$5:A10)+1),""))</f>
        <v/>
      </c>
      <c r="B11" s="315">
        <v>438666</v>
      </c>
      <c r="C11" s="316" t="s">
        <v>2431</v>
      </c>
      <c r="D11" s="317">
        <v>0</v>
      </c>
      <c r="E11" s="318">
        <v>9011</v>
      </c>
      <c r="F11" s="319"/>
      <c r="G11" s="320">
        <f t="shared" si="0"/>
        <v>0</v>
      </c>
      <c r="H11" s="321"/>
      <c r="I11" s="322"/>
      <c r="J11" s="315" t="str">
        <f>IF(K11="","",IF(K10="",SUM(COUNT($A$5:J10)+1),""))</f>
        <v/>
      </c>
    </row>
    <row r="12" spans="1:16">
      <c r="A12" s="315" t="str">
        <f>IF(B12="","",IF(B11="",SUM(COUNT($A$5:A11)+1),""))</f>
        <v/>
      </c>
      <c r="B12" s="324">
        <v>4386660</v>
      </c>
      <c r="C12" s="316" t="s">
        <v>2431</v>
      </c>
      <c r="D12" s="318">
        <v>9011</v>
      </c>
      <c r="E12" s="317">
        <v>0</v>
      </c>
      <c r="F12" s="319"/>
      <c r="G12" s="320">
        <f t="shared" si="0"/>
        <v>9011</v>
      </c>
      <c r="H12" s="321"/>
      <c r="I12" s="322"/>
      <c r="J12" s="323"/>
    </row>
    <row r="13" spans="1:16" s="1390" customFormat="1">
      <c r="A13" s="1534" t="str">
        <f>IF(B13="","",IF(B12="",SUM(COUNT($A$5:A12)+1),""))</f>
        <v/>
      </c>
      <c r="B13" s="1542">
        <v>408151</v>
      </c>
      <c r="C13" s="1536" t="s">
        <v>2410</v>
      </c>
      <c r="D13" s="1543">
        <v>0</v>
      </c>
      <c r="E13" s="1537">
        <v>46800</v>
      </c>
      <c r="F13" s="1538"/>
      <c r="G13" s="1277">
        <f t="shared" si="0"/>
        <v>0</v>
      </c>
      <c r="H13" s="1539"/>
      <c r="I13" s="1540"/>
      <c r="J13" s="1541"/>
    </row>
    <row r="14" spans="1:16" s="1390" customFormat="1">
      <c r="A14" s="1534" t="str">
        <f>IF(B14="","",IF(B13="",SUM(COUNT($A$5:A13)+1),""))</f>
        <v/>
      </c>
      <c r="B14" s="1534">
        <v>4081510</v>
      </c>
      <c r="C14" s="1536" t="s">
        <v>2410</v>
      </c>
      <c r="D14" s="1543">
        <v>46800</v>
      </c>
      <c r="E14" s="1537">
        <v>0</v>
      </c>
      <c r="F14" s="1538"/>
      <c r="G14" s="1277">
        <f t="shared" si="0"/>
        <v>46800</v>
      </c>
      <c r="H14" s="1539"/>
      <c r="I14" s="1540"/>
      <c r="J14" s="1541"/>
    </row>
    <row r="15" spans="1:16" ht="28.8">
      <c r="A15" s="315" t="str">
        <f>IF(B15="","",IF(B14="",SUM(COUNT($A$5:A14)+1),""))</f>
        <v/>
      </c>
      <c r="B15" s="324">
        <v>4085000</v>
      </c>
      <c r="C15" s="316" t="s">
        <v>2657</v>
      </c>
      <c r="D15" s="318">
        <v>27690</v>
      </c>
      <c r="E15" s="318">
        <v>0</v>
      </c>
      <c r="F15" s="319"/>
      <c r="G15" s="320">
        <f t="shared" si="0"/>
        <v>27690</v>
      </c>
      <c r="H15" s="321"/>
      <c r="I15" s="322"/>
      <c r="J15" s="323"/>
    </row>
    <row r="16" spans="1:16" ht="28.8">
      <c r="A16" s="315" t="str">
        <f>IF(B16="","",IF(B15="",SUM(COUNT($A$5:A15)+1),""))</f>
        <v/>
      </c>
      <c r="B16" s="324">
        <v>4085000</v>
      </c>
      <c r="C16" s="316" t="s">
        <v>2657</v>
      </c>
      <c r="D16" s="317">
        <v>0</v>
      </c>
      <c r="E16" s="318">
        <v>27690</v>
      </c>
      <c r="F16" s="319"/>
      <c r="G16" s="320">
        <f t="shared" si="0"/>
        <v>0</v>
      </c>
      <c r="H16" s="321"/>
      <c r="I16" s="322"/>
      <c r="J16" s="323"/>
    </row>
    <row r="17" spans="1:10" ht="28.8">
      <c r="A17" s="315" t="str">
        <f>IF(B17="","",IF(B16="",SUM(COUNT($A$5:A16)+1),""))</f>
        <v/>
      </c>
      <c r="B17" s="324">
        <v>4085000</v>
      </c>
      <c r="C17" s="316" t="s">
        <v>2657</v>
      </c>
      <c r="D17" s="284">
        <v>8389</v>
      </c>
      <c r="E17" s="1222">
        <v>0</v>
      </c>
      <c r="F17" s="319"/>
      <c r="G17" s="320">
        <f t="shared" si="0"/>
        <v>8389</v>
      </c>
      <c r="H17" s="321"/>
      <c r="I17" s="322"/>
      <c r="J17" s="323"/>
    </row>
    <row r="18" spans="1:10" ht="28.8">
      <c r="A18" s="315" t="str">
        <f>IF(B18="","",IF(B17="",SUM(COUNT($A$5:A17)+1),""))</f>
        <v/>
      </c>
      <c r="B18" s="324">
        <v>4085000</v>
      </c>
      <c r="C18" s="316" t="s">
        <v>2657</v>
      </c>
      <c r="D18" s="284">
        <v>0</v>
      </c>
      <c r="E18" s="1222">
        <v>8389</v>
      </c>
      <c r="F18" s="319"/>
      <c r="G18" s="320">
        <f t="shared" si="0"/>
        <v>0</v>
      </c>
      <c r="H18" s="321"/>
      <c r="I18" s="322"/>
      <c r="J18" s="323"/>
    </row>
    <row r="19" spans="1:10" s="1390" customFormat="1">
      <c r="A19" s="1534" t="str">
        <f>IF(B19="","",IF(B18="",SUM(COUNT($A$5:A18)+1),""))</f>
        <v/>
      </c>
      <c r="B19" s="1542">
        <v>408151</v>
      </c>
      <c r="C19" s="1536" t="s">
        <v>2410</v>
      </c>
      <c r="D19" s="1543">
        <v>0</v>
      </c>
      <c r="E19" s="1537">
        <v>36079</v>
      </c>
      <c r="F19" s="1538"/>
      <c r="G19" s="1277">
        <f t="shared" si="0"/>
        <v>0</v>
      </c>
      <c r="H19" s="1539"/>
      <c r="I19" s="1540"/>
      <c r="J19" s="1541"/>
    </row>
    <row r="20" spans="1:10" s="1390" customFormat="1">
      <c r="A20" s="1534" t="str">
        <f>IF(B20="","",IF(B19="",SUM(COUNT($A$5:A19)+1),""))</f>
        <v/>
      </c>
      <c r="B20" s="1535">
        <v>4081510</v>
      </c>
      <c r="C20" s="1536" t="s">
        <v>2410</v>
      </c>
      <c r="D20" s="1537">
        <v>36079</v>
      </c>
      <c r="E20" s="1537">
        <v>0</v>
      </c>
      <c r="F20" s="1538"/>
      <c r="G20" s="1277">
        <f t="shared" si="0"/>
        <v>36079</v>
      </c>
      <c r="H20" s="1539"/>
      <c r="I20" s="1540"/>
      <c r="J20" s="1541"/>
    </row>
    <row r="21" spans="1:10">
      <c r="A21" s="315" t="str">
        <f>IF(B21="","",IF(B20="",SUM(COUNT($A$5:A20)+1),""))</f>
        <v/>
      </c>
      <c r="B21" s="282">
        <v>437407</v>
      </c>
      <c r="C21" s="316" t="s">
        <v>1427</v>
      </c>
      <c r="D21" s="284">
        <v>7770.1</v>
      </c>
      <c r="E21" s="1222">
        <v>0</v>
      </c>
      <c r="F21" s="319"/>
      <c r="G21" s="320">
        <f t="shared" si="0"/>
        <v>7770.1</v>
      </c>
      <c r="H21" s="321"/>
      <c r="I21" s="322"/>
      <c r="J21" s="323"/>
    </row>
    <row r="22" spans="1:10">
      <c r="A22" s="315" t="str">
        <f>IF(B22="","",IF(B21="",SUM(COUNT($A$5:A21)+1),""))</f>
        <v/>
      </c>
      <c r="B22" s="282">
        <v>4374070</v>
      </c>
      <c r="C22" s="316" t="s">
        <v>1427</v>
      </c>
      <c r="D22" s="317">
        <v>0</v>
      </c>
      <c r="E22" s="318">
        <v>7770.1</v>
      </c>
      <c r="F22" s="319"/>
      <c r="G22" s="320">
        <f t="shared" si="0"/>
        <v>0</v>
      </c>
      <c r="H22" s="321"/>
      <c r="I22" s="322"/>
      <c r="J22" s="323"/>
    </row>
    <row r="23" spans="1:10" ht="28.8">
      <c r="A23" s="315" t="str">
        <f>IF(B23="","",IF(B22="",SUM(COUNT($A$5:A22)+1),""))</f>
        <v/>
      </c>
      <c r="B23" s="282">
        <v>4015000</v>
      </c>
      <c r="C23" s="316" t="s">
        <v>2407</v>
      </c>
      <c r="D23" s="318">
        <v>0</v>
      </c>
      <c r="E23" s="284">
        <v>7770.1</v>
      </c>
      <c r="F23" s="319"/>
      <c r="G23" s="320">
        <f t="shared" si="0"/>
        <v>0</v>
      </c>
      <c r="H23" s="321"/>
      <c r="I23" s="322"/>
      <c r="J23" s="323"/>
    </row>
    <row r="24" spans="1:10" ht="28.8">
      <c r="A24" s="315" t="str">
        <f>IF(B24="","",IF(B23="",SUM(COUNT($A$5:A23)+1),""))</f>
        <v/>
      </c>
      <c r="B24" s="282">
        <v>4015000</v>
      </c>
      <c r="C24" s="316" t="s">
        <v>2407</v>
      </c>
      <c r="D24" s="284">
        <v>7770.1</v>
      </c>
      <c r="E24" s="1222">
        <v>0</v>
      </c>
      <c r="F24" s="319"/>
      <c r="G24" s="320">
        <f t="shared" si="0"/>
        <v>7770.1</v>
      </c>
      <c r="H24" s="321"/>
      <c r="I24" s="322"/>
      <c r="J24" s="323"/>
    </row>
    <row r="25" spans="1:10">
      <c r="A25" s="315" t="str">
        <f>IF(B25="","",IF(B24="",SUM(COUNT($A$5:A24)+1),""))</f>
        <v/>
      </c>
      <c r="B25" s="282">
        <v>488000</v>
      </c>
      <c r="C25" s="316" t="s">
        <v>2443</v>
      </c>
      <c r="D25" s="284">
        <v>0</v>
      </c>
      <c r="E25" s="1222">
        <v>5799</v>
      </c>
      <c r="F25" s="319"/>
      <c r="G25" s="320">
        <f t="shared" si="0"/>
        <v>0</v>
      </c>
      <c r="H25" s="321"/>
      <c r="I25" s="322"/>
      <c r="J25" s="323"/>
    </row>
    <row r="26" spans="1:10">
      <c r="A26" s="315" t="str">
        <f>IF(B26="","",IF(B25="",SUM(COUNT($A$5:A25)+1),""))</f>
        <v/>
      </c>
      <c r="B26" s="282">
        <v>4880000</v>
      </c>
      <c r="C26" s="316" t="s">
        <v>2443</v>
      </c>
      <c r="D26" s="318">
        <v>5799</v>
      </c>
      <c r="E26" s="317">
        <v>0</v>
      </c>
      <c r="F26" s="319"/>
      <c r="G26" s="320">
        <f t="shared" si="0"/>
        <v>5799</v>
      </c>
      <c r="H26" s="321"/>
      <c r="I26" s="322"/>
      <c r="J26" s="323"/>
    </row>
    <row r="27" spans="1:10">
      <c r="A27" s="315" t="str">
        <f>IF(B27="","",IF(B26="",SUM(COUNT($A$5:A26)+1),""))</f>
        <v/>
      </c>
      <c r="B27" s="282">
        <v>488000</v>
      </c>
      <c r="C27" s="316" t="s">
        <v>2443</v>
      </c>
      <c r="D27" s="1222">
        <v>0</v>
      </c>
      <c r="E27" s="1222">
        <v>258738</v>
      </c>
      <c r="F27" s="319"/>
      <c r="G27" s="320">
        <f t="shared" si="0"/>
        <v>0</v>
      </c>
      <c r="H27" s="321"/>
      <c r="I27" s="322"/>
      <c r="J27" s="323"/>
    </row>
    <row r="28" spans="1:10">
      <c r="A28" s="315" t="str">
        <f>IF(B28="","",IF(B27="",SUM(COUNT($A$5:A27)+1),""))</f>
        <v/>
      </c>
      <c r="B28" s="282">
        <v>4880000</v>
      </c>
      <c r="C28" s="316" t="s">
        <v>2443</v>
      </c>
      <c r="D28" s="317">
        <v>258738</v>
      </c>
      <c r="E28" s="318">
        <v>0</v>
      </c>
      <c r="F28" s="325"/>
      <c r="G28" s="320">
        <f t="shared" si="0"/>
        <v>258738</v>
      </c>
      <c r="H28" s="321"/>
      <c r="I28" s="322"/>
      <c r="J28" s="323"/>
    </row>
    <row r="29" spans="1:10">
      <c r="A29" s="315" t="str">
        <f>IF(B29="","",IF(B28="",SUM(COUNT($A$5:A28)+1),""))</f>
        <v/>
      </c>
      <c r="B29" s="282">
        <v>488000</v>
      </c>
      <c r="C29" s="316" t="s">
        <v>2443</v>
      </c>
      <c r="D29" s="1222">
        <v>0</v>
      </c>
      <c r="E29" s="318">
        <v>590333.9</v>
      </c>
      <c r="F29" s="319"/>
      <c r="G29" s="320">
        <f t="shared" si="0"/>
        <v>0</v>
      </c>
      <c r="H29" s="321"/>
      <c r="I29" s="322"/>
      <c r="J29" s="323"/>
    </row>
    <row r="30" spans="1:10">
      <c r="A30" s="315" t="str">
        <f>IF(B30="","",IF(B29="",SUM(COUNT($A$5:A29)+1),""))</f>
        <v/>
      </c>
      <c r="B30" s="282">
        <v>4880000</v>
      </c>
      <c r="C30" s="316" t="s">
        <v>2443</v>
      </c>
      <c r="D30" s="1222">
        <v>590333.9</v>
      </c>
      <c r="E30" s="318">
        <v>0</v>
      </c>
      <c r="F30" s="319"/>
      <c r="G30" s="320">
        <f t="shared" si="0"/>
        <v>590333.9</v>
      </c>
      <c r="H30" s="321"/>
      <c r="I30" s="322"/>
      <c r="J30" s="323"/>
    </row>
    <row r="31" spans="1:10">
      <c r="A31" s="315" t="str">
        <f>IF(B31="","",IF(B30="",SUM(COUNT($A$5:A30)+1),""))</f>
        <v/>
      </c>
      <c r="B31" s="282">
        <v>488000</v>
      </c>
      <c r="C31" s="316" t="s">
        <v>2443</v>
      </c>
      <c r="D31" s="1222">
        <v>813699</v>
      </c>
      <c r="E31" s="318">
        <v>0</v>
      </c>
      <c r="F31" s="319"/>
      <c r="G31" s="320">
        <f t="shared" si="0"/>
        <v>813699</v>
      </c>
      <c r="H31" s="321"/>
      <c r="I31" s="322"/>
      <c r="J31" s="323"/>
    </row>
    <row r="32" spans="1:10">
      <c r="A32" s="315" t="str">
        <f>IF(B32="","",IF(B31="",SUM(COUNT($A$5:A31)+1),""))</f>
        <v/>
      </c>
      <c r="B32" s="282">
        <v>4880000</v>
      </c>
      <c r="C32" s="316" t="s">
        <v>2443</v>
      </c>
      <c r="D32" s="317">
        <v>0</v>
      </c>
      <c r="E32" s="318">
        <v>813699</v>
      </c>
      <c r="F32" s="325"/>
      <c r="G32" s="320">
        <f t="shared" si="0"/>
        <v>0</v>
      </c>
      <c r="H32" s="321"/>
      <c r="I32" s="322"/>
      <c r="J32" s="323"/>
    </row>
    <row r="33" spans="1:10">
      <c r="A33" s="315" t="str">
        <f>IF(B33="","",IF(B32="",SUM(COUNT($A$5:A32)+1),""))</f>
        <v/>
      </c>
      <c r="B33" s="282">
        <v>488000</v>
      </c>
      <c r="C33" s="316" t="s">
        <v>2443</v>
      </c>
      <c r="D33" s="317">
        <v>223891</v>
      </c>
      <c r="E33" s="318">
        <v>0</v>
      </c>
      <c r="F33" s="319"/>
      <c r="G33" s="320">
        <f t="shared" si="0"/>
        <v>223891</v>
      </c>
      <c r="H33" s="321"/>
      <c r="I33" s="322"/>
      <c r="J33" s="323"/>
    </row>
    <row r="34" spans="1:10">
      <c r="A34" s="315" t="str">
        <f>IF(B34="","",IF(B33="",SUM(COUNT($A$5:A33)+1),""))</f>
        <v/>
      </c>
      <c r="B34" s="282">
        <v>4880000</v>
      </c>
      <c r="C34" s="316" t="s">
        <v>2443</v>
      </c>
      <c r="D34" s="284">
        <v>0</v>
      </c>
      <c r="E34" s="1222">
        <v>223891</v>
      </c>
      <c r="F34" s="326"/>
      <c r="G34" s="320">
        <f t="shared" si="0"/>
        <v>0</v>
      </c>
      <c r="H34" s="321"/>
      <c r="I34" s="322"/>
      <c r="J34" s="323"/>
    </row>
    <row r="35" spans="1:10">
      <c r="A35" s="315" t="str">
        <f>IF(B35="","",IF(B34="",SUM(COUNT($A$5:A34)+1),""))</f>
        <v/>
      </c>
      <c r="B35" s="1272">
        <v>4014500</v>
      </c>
      <c r="C35" s="316" t="s">
        <v>2406</v>
      </c>
      <c r="D35" s="1273">
        <v>0</v>
      </c>
      <c r="E35" s="1274">
        <v>535704.43000000005</v>
      </c>
      <c r="F35" s="326"/>
      <c r="G35" s="320">
        <f t="shared" si="0"/>
        <v>0</v>
      </c>
      <c r="H35" s="321"/>
      <c r="I35" s="322"/>
      <c r="J35" s="323"/>
    </row>
    <row r="36" spans="1:10">
      <c r="A36" s="315" t="str">
        <f>IF(B36="","",IF(B35="",SUM(COUNT($A$5:A35)+1),""))</f>
        <v/>
      </c>
      <c r="B36" s="1272">
        <v>4014500</v>
      </c>
      <c r="C36" s="316" t="s">
        <v>2406</v>
      </c>
      <c r="D36" s="1273">
        <v>535704.43000000005</v>
      </c>
      <c r="E36" s="1274">
        <v>0</v>
      </c>
      <c r="F36" s="326"/>
      <c r="G36" s="320">
        <f t="shared" si="0"/>
        <v>535704.43000000005</v>
      </c>
      <c r="H36" s="321"/>
      <c r="I36" s="322"/>
      <c r="J36" s="323"/>
    </row>
    <row r="37" spans="1:10">
      <c r="A37" s="315" t="str">
        <f>IF(B37="","",IF(B36="",SUM(COUNT($A$5:A36)+1),""))</f>
        <v/>
      </c>
      <c r="B37" s="1272">
        <v>451099</v>
      </c>
      <c r="C37" s="316" t="s">
        <v>2437</v>
      </c>
      <c r="D37" s="1273">
        <v>535704.43000000005</v>
      </c>
      <c r="E37" s="1274">
        <v>0</v>
      </c>
      <c r="F37" s="326"/>
      <c r="G37" s="1277">
        <f t="shared" si="0"/>
        <v>535704.43000000005</v>
      </c>
      <c r="H37" s="321"/>
      <c r="I37" s="322"/>
      <c r="J37" s="323"/>
    </row>
    <row r="38" spans="1:10" ht="28.8">
      <c r="A38" s="315" t="str">
        <f>IF(B38="","",IF(B37="",SUM(COUNT($A$5:A37)+1),""))</f>
        <v/>
      </c>
      <c r="B38" s="1272">
        <v>4550000</v>
      </c>
      <c r="C38" s="316" t="s">
        <v>2684</v>
      </c>
      <c r="D38" s="1274">
        <v>0</v>
      </c>
      <c r="E38" s="1274">
        <v>535704.43000000005</v>
      </c>
      <c r="F38" s="326"/>
      <c r="G38" s="1277">
        <f t="shared" si="0"/>
        <v>0</v>
      </c>
      <c r="H38" s="321"/>
      <c r="I38" s="322"/>
      <c r="J38" s="323"/>
    </row>
    <row r="39" spans="1:10">
      <c r="A39" s="315" t="str">
        <f>IF(B39="","",IF(B38="",SUM(COUNT($A$5:A38)+1),""))</f>
        <v/>
      </c>
      <c r="B39" s="1272">
        <v>451099</v>
      </c>
      <c r="C39" s="316" t="s">
        <v>2437</v>
      </c>
      <c r="D39" s="1273">
        <v>87579.68</v>
      </c>
      <c r="E39" s="1274">
        <v>0</v>
      </c>
      <c r="F39" s="326"/>
      <c r="G39" s="320">
        <f t="shared" si="0"/>
        <v>87579.68</v>
      </c>
      <c r="H39" s="321"/>
      <c r="I39" s="322"/>
      <c r="J39" s="323"/>
    </row>
    <row r="40" spans="1:10" ht="28.8">
      <c r="A40" s="315" t="str">
        <f>IF(B40="","",IF(B39="",SUM(COUNT($A$5:A39)+1),""))</f>
        <v/>
      </c>
      <c r="B40" s="1272">
        <v>4550000</v>
      </c>
      <c r="C40" s="316" t="s">
        <v>2684</v>
      </c>
      <c r="D40" s="1273">
        <v>0</v>
      </c>
      <c r="E40" s="1274">
        <v>87579.69</v>
      </c>
      <c r="F40" s="319"/>
      <c r="G40" s="320">
        <f t="shared" si="0"/>
        <v>0</v>
      </c>
      <c r="H40" s="321"/>
      <c r="I40" s="322"/>
      <c r="J40" s="323"/>
    </row>
    <row r="41" spans="1:10">
      <c r="A41" s="315" t="str">
        <f>IF(B41="","",IF(B40="",SUM(COUNT($A$5:A40)+1),""))</f>
        <v/>
      </c>
      <c r="B41" s="1272">
        <v>427100</v>
      </c>
      <c r="C41" s="316" t="s">
        <v>2418</v>
      </c>
      <c r="D41" s="1273">
        <v>292</v>
      </c>
      <c r="E41" s="1274">
        <v>0</v>
      </c>
      <c r="F41" s="319"/>
      <c r="G41" s="1277">
        <f t="shared" si="0"/>
        <v>292</v>
      </c>
      <c r="H41" s="321"/>
      <c r="I41" s="322"/>
      <c r="J41" s="323"/>
    </row>
    <row r="42" spans="1:10">
      <c r="A42" s="315" t="str">
        <f>IF(B42="","",IF(B41="",SUM(COUNT($A$5:A41)+1),""))</f>
        <v/>
      </c>
      <c r="B42" s="1272">
        <v>4210100</v>
      </c>
      <c r="C42" s="316" t="s">
        <v>2681</v>
      </c>
      <c r="D42" s="1273">
        <v>0</v>
      </c>
      <c r="E42" s="1274">
        <v>292</v>
      </c>
      <c r="F42" s="319"/>
      <c r="G42" s="1277">
        <f t="shared" si="0"/>
        <v>0</v>
      </c>
      <c r="H42" s="321"/>
      <c r="I42" s="322"/>
      <c r="J42" s="323"/>
    </row>
    <row r="43" spans="1:10" ht="28.8">
      <c r="A43" s="315" t="str">
        <f>IF(B43="","",IF(B42="",SUM(COUNT($A$5:A42)+1),""))</f>
        <v/>
      </c>
      <c r="B43" s="1272">
        <v>428610</v>
      </c>
      <c r="C43" s="316" t="s">
        <v>2423</v>
      </c>
      <c r="D43" s="1273">
        <v>8793</v>
      </c>
      <c r="E43" s="1274">
        <v>0</v>
      </c>
      <c r="F43" s="319"/>
      <c r="G43" s="320">
        <f t="shared" si="0"/>
        <v>8793</v>
      </c>
      <c r="H43" s="321"/>
      <c r="I43" s="322"/>
      <c r="J43" s="323"/>
    </row>
    <row r="44" spans="1:10" ht="28.8">
      <c r="A44" s="315" t="str">
        <f>IF(B44="","",IF(B43="",SUM(COUNT($A$5:A43)+1),""))</f>
        <v/>
      </c>
      <c r="B44" s="1272">
        <v>4286100</v>
      </c>
      <c r="C44" s="316" t="s">
        <v>2423</v>
      </c>
      <c r="D44" s="1276">
        <v>0</v>
      </c>
      <c r="E44" s="1273">
        <v>8793</v>
      </c>
      <c r="F44" s="319"/>
      <c r="G44" s="320">
        <f t="shared" si="0"/>
        <v>0</v>
      </c>
      <c r="H44" s="321"/>
      <c r="I44" s="322"/>
      <c r="J44" s="323"/>
    </row>
    <row r="45" spans="1:10" s="1390" customFormat="1">
      <c r="A45" s="1534" t="str">
        <f>IF(B45="","",IF(B44="",SUM(COUNT($A$5:A44)+1),""))</f>
        <v/>
      </c>
      <c r="B45" s="1544">
        <v>408151</v>
      </c>
      <c r="C45" s="1536" t="s">
        <v>2410</v>
      </c>
      <c r="D45" s="1545">
        <v>30151</v>
      </c>
      <c r="E45" s="1546">
        <v>0</v>
      </c>
      <c r="F45" s="1538"/>
      <c r="G45" s="1277">
        <f t="shared" si="0"/>
        <v>30151</v>
      </c>
      <c r="H45" s="1539"/>
      <c r="I45" s="1540"/>
      <c r="J45" s="1541"/>
    </row>
    <row r="46" spans="1:10" s="1390" customFormat="1">
      <c r="A46" s="1534" t="str">
        <f>IF(B46="","",IF(B45="",SUM(COUNT($A$5:A45)+1),""))</f>
        <v/>
      </c>
      <c r="B46" s="1544">
        <v>4081510</v>
      </c>
      <c r="C46" s="1536" t="s">
        <v>2410</v>
      </c>
      <c r="D46" s="1546">
        <v>0</v>
      </c>
      <c r="E46" s="1545">
        <v>30151</v>
      </c>
      <c r="F46" s="1538"/>
      <c r="G46" s="1277">
        <f t="shared" si="0"/>
        <v>0</v>
      </c>
      <c r="H46" s="1539"/>
      <c r="I46" s="1540"/>
      <c r="J46" s="1541"/>
    </row>
    <row r="47" spans="1:10">
      <c r="A47" s="315" t="str">
        <f>IF(B47="","",IF(B46="",SUM(COUNT($A$5:A46)+1),""))</f>
        <v/>
      </c>
      <c r="B47" s="1272">
        <v>427100</v>
      </c>
      <c r="C47" s="316" t="s">
        <v>2418</v>
      </c>
      <c r="D47" s="1276">
        <v>431085</v>
      </c>
      <c r="E47" s="1273">
        <v>0</v>
      </c>
      <c r="F47" s="319"/>
      <c r="G47" s="320">
        <f t="shared" si="0"/>
        <v>431085</v>
      </c>
      <c r="H47" s="321"/>
      <c r="I47" s="322"/>
      <c r="J47" s="323"/>
    </row>
    <row r="48" spans="1:10">
      <c r="A48" s="315" t="str">
        <f>IF(B48="","",IF(B47="",SUM(COUNT($A$5:A47)+1),""))</f>
        <v/>
      </c>
      <c r="B48" s="1272">
        <v>4210100</v>
      </c>
      <c r="C48" s="316" t="s">
        <v>2681</v>
      </c>
      <c r="D48" s="1273">
        <v>0</v>
      </c>
      <c r="E48" s="1274">
        <v>431085</v>
      </c>
      <c r="F48" s="319"/>
      <c r="G48" s="320">
        <f t="shared" si="0"/>
        <v>0</v>
      </c>
      <c r="H48" s="321"/>
      <c r="I48" s="322"/>
      <c r="J48" s="323"/>
    </row>
    <row r="49" spans="1:10">
      <c r="A49" s="315" t="str">
        <f>IF(B49="","",IF(B48="",SUM(COUNT($A$5:A48)+1),""))</f>
        <v/>
      </c>
      <c r="B49" s="1272">
        <v>437200</v>
      </c>
      <c r="C49" s="316" t="s">
        <v>2426</v>
      </c>
      <c r="D49" s="1273">
        <v>350</v>
      </c>
      <c r="E49" s="1274">
        <v>0</v>
      </c>
      <c r="F49" s="319"/>
      <c r="G49" s="1277">
        <f t="shared" si="0"/>
        <v>350</v>
      </c>
      <c r="H49" s="321"/>
      <c r="I49" s="322"/>
      <c r="J49" s="323"/>
    </row>
    <row r="50" spans="1:10">
      <c r="A50" s="315" t="str">
        <f>IF(B50="","",IF(B49="",SUM(COUNT($A$5:A49)+1),""))</f>
        <v/>
      </c>
      <c r="B50" s="1272">
        <v>4372000</v>
      </c>
      <c r="C50" s="316" t="s">
        <v>2426</v>
      </c>
      <c r="D50" s="1273">
        <v>0</v>
      </c>
      <c r="E50" s="1274">
        <v>350</v>
      </c>
      <c r="F50" s="319"/>
      <c r="G50" s="320">
        <f t="shared" si="0"/>
        <v>0</v>
      </c>
      <c r="H50" s="321"/>
      <c r="I50" s="322"/>
      <c r="J50" s="323"/>
    </row>
    <row r="51" spans="1:10">
      <c r="A51" s="315" t="str">
        <f>IF(B51="","",IF(B50="",SUM(COUNT($A$5:A50)+1),""))</f>
        <v/>
      </c>
      <c r="B51" s="1470">
        <v>437407</v>
      </c>
      <c r="C51" s="316" t="s">
        <v>1427</v>
      </c>
      <c r="D51" s="1273">
        <v>3016</v>
      </c>
      <c r="E51" s="1274">
        <v>0</v>
      </c>
      <c r="F51" s="319"/>
      <c r="G51" s="320">
        <f t="shared" si="0"/>
        <v>3016</v>
      </c>
      <c r="H51" s="321"/>
      <c r="I51" s="322"/>
      <c r="J51" s="323"/>
    </row>
    <row r="52" spans="1:10">
      <c r="A52" s="315" t="str">
        <f>IF(B52="","",IF(B51="",SUM(COUNT($A$5:A51)+1),""))</f>
        <v/>
      </c>
      <c r="B52" s="1272">
        <v>4374070</v>
      </c>
      <c r="C52" s="316" t="s">
        <v>1427</v>
      </c>
      <c r="D52" s="1273">
        <v>0</v>
      </c>
      <c r="E52" s="1274">
        <v>3016</v>
      </c>
      <c r="F52" s="319"/>
      <c r="G52" s="320">
        <f t="shared" si="0"/>
        <v>0</v>
      </c>
      <c r="H52" s="321"/>
      <c r="I52" s="322"/>
      <c r="J52" s="323"/>
    </row>
    <row r="53" spans="1:10" ht="28.8">
      <c r="A53" s="315" t="str">
        <f>IF(B53="","",IF(B52="",SUM(COUNT($A$5:A52)+1),""))</f>
        <v/>
      </c>
      <c r="B53" s="1272">
        <v>4085000</v>
      </c>
      <c r="C53" s="316" t="s">
        <v>2657</v>
      </c>
      <c r="D53" s="1273">
        <v>0</v>
      </c>
      <c r="E53" s="1275">
        <v>3016</v>
      </c>
      <c r="F53" s="325"/>
      <c r="G53" s="1277">
        <f t="shared" si="0"/>
        <v>0</v>
      </c>
      <c r="H53" s="321"/>
      <c r="I53" s="322"/>
      <c r="J53" s="323"/>
    </row>
    <row r="54" spans="1:10" ht="28.8">
      <c r="A54" s="315" t="str">
        <f>IF(B54="","",IF(B53="",SUM(COUNT($A$5:A53)+1),""))</f>
        <v/>
      </c>
      <c r="B54" s="1272">
        <v>4085000</v>
      </c>
      <c r="C54" s="316" t="s">
        <v>2657</v>
      </c>
      <c r="D54" s="1273">
        <v>3016</v>
      </c>
      <c r="E54" s="1275">
        <v>0</v>
      </c>
      <c r="F54" s="319"/>
      <c r="G54" s="320">
        <f t="shared" si="0"/>
        <v>3016</v>
      </c>
      <c r="H54" s="321"/>
      <c r="I54" s="322"/>
      <c r="J54" s="323"/>
    </row>
    <row r="55" spans="1:10">
      <c r="A55" s="315" t="str">
        <f>IF(B55="","",IF(B54="",SUM(COUNT($A$5:A54)+1),""))</f>
        <v/>
      </c>
      <c r="B55" s="1272">
        <v>437408</v>
      </c>
      <c r="C55" s="316" t="s">
        <v>2427</v>
      </c>
      <c r="D55" s="1273">
        <v>91227</v>
      </c>
      <c r="E55" s="1275">
        <v>0</v>
      </c>
      <c r="F55" s="319"/>
      <c r="G55" s="1277">
        <f t="shared" si="0"/>
        <v>91227</v>
      </c>
      <c r="H55" s="321"/>
      <c r="I55" s="322"/>
      <c r="J55" s="323"/>
    </row>
    <row r="56" spans="1:10">
      <c r="A56" s="315" t="str">
        <f>IF(B56="","",IF(B55="",SUM(COUNT($A$5:A55)+1),""))</f>
        <v/>
      </c>
      <c r="B56" s="1272">
        <v>4374080</v>
      </c>
      <c r="C56" s="316" t="s">
        <v>2427</v>
      </c>
      <c r="D56" s="1273">
        <v>0</v>
      </c>
      <c r="E56" s="1275">
        <v>91227</v>
      </c>
      <c r="F56" s="319"/>
      <c r="G56" s="320">
        <f t="shared" si="0"/>
        <v>0</v>
      </c>
      <c r="H56" s="321"/>
      <c r="I56" s="322"/>
      <c r="J56" s="323"/>
    </row>
    <row r="57" spans="1:10" ht="28.8">
      <c r="A57" s="315" t="str">
        <f>IF(B57="","",IF(B56="",SUM(COUNT($A$5:A56)+1),""))</f>
        <v/>
      </c>
      <c r="B57" s="1272">
        <v>4085000</v>
      </c>
      <c r="C57" s="316" t="s">
        <v>2657</v>
      </c>
      <c r="D57" s="1273">
        <v>0</v>
      </c>
      <c r="E57" s="1274">
        <v>91227</v>
      </c>
      <c r="F57" s="319"/>
      <c r="G57" s="320">
        <f>IF(H57="PL - PL",0,IF(D57="",-E57,D57))</f>
        <v>0</v>
      </c>
      <c r="H57" s="321"/>
      <c r="I57" s="322"/>
      <c r="J57" s="323"/>
    </row>
    <row r="58" spans="1:10" ht="28.8">
      <c r="A58" s="315" t="str">
        <f>IF(B58="","",IF(B57="",SUM(COUNT($A$5:A57)+1),""))</f>
        <v/>
      </c>
      <c r="B58" s="1272">
        <v>4085000</v>
      </c>
      <c r="C58" s="316" t="s">
        <v>2657</v>
      </c>
      <c r="D58" s="1273">
        <v>91227</v>
      </c>
      <c r="E58" s="1274">
        <v>0</v>
      </c>
      <c r="F58" s="319"/>
      <c r="G58" s="320">
        <f>IF(H58="PL - PL",0,IF(D58="",-E58,D58))</f>
        <v>91227</v>
      </c>
      <c r="H58" s="321"/>
      <c r="I58" s="322"/>
      <c r="J58" s="323"/>
    </row>
    <row r="59" spans="1:10">
      <c r="A59" s="315" t="str">
        <f>IF(B59="","",IF(B58="",SUM(COUNT($A$5:A58)+1),""))</f>
        <v/>
      </c>
      <c r="B59" s="1272">
        <v>437200</v>
      </c>
      <c r="C59" s="316" t="s">
        <v>2426</v>
      </c>
      <c r="D59" s="1273">
        <v>300</v>
      </c>
      <c r="E59" s="1274">
        <v>0</v>
      </c>
      <c r="F59" s="319"/>
      <c r="G59" s="1277">
        <f>IF(H59="PL - PL",0,IF(D59="",-E59,D59))</f>
        <v>300</v>
      </c>
      <c r="H59" s="321"/>
      <c r="I59" s="322"/>
      <c r="J59" s="323"/>
    </row>
    <row r="60" spans="1:10">
      <c r="A60" s="315" t="str">
        <f>IF(B60="","",IF(B59="",SUM(COUNT($A$5:A59)+1),""))</f>
        <v/>
      </c>
      <c r="B60" s="1272">
        <v>4372000</v>
      </c>
      <c r="C60" s="316" t="s">
        <v>2426</v>
      </c>
      <c r="D60" s="1273">
        <v>0</v>
      </c>
      <c r="E60" s="1274">
        <v>300</v>
      </c>
      <c r="F60" s="319"/>
      <c r="G60" s="320">
        <f t="shared" ref="G60:G124" si="1">IF(H60="PL - PL",0,IF(D60="",-E60,D60))</f>
        <v>0</v>
      </c>
      <c r="H60" s="321"/>
      <c r="I60" s="322"/>
      <c r="J60" s="323"/>
    </row>
    <row r="61" spans="1:10" s="1390" customFormat="1">
      <c r="A61" s="1534" t="str">
        <f>IF(B61="","",IF(B60="",SUM(COUNT($A$5:A60)+1),""))</f>
        <v/>
      </c>
      <c r="B61" s="1544">
        <v>408151</v>
      </c>
      <c r="C61" s="1536" t="s">
        <v>2410</v>
      </c>
      <c r="D61" s="1546">
        <v>0</v>
      </c>
      <c r="E61" s="1547">
        <v>180000</v>
      </c>
      <c r="F61" s="1538"/>
      <c r="G61" s="1277">
        <f t="shared" si="1"/>
        <v>0</v>
      </c>
      <c r="H61" s="1539"/>
      <c r="I61" s="1540"/>
      <c r="J61" s="1541"/>
    </row>
    <row r="62" spans="1:10" s="1390" customFormat="1">
      <c r="A62" s="1534" t="str">
        <f>IF(B62="","",IF(B61="",SUM(COUNT($A$5:A61)+1),""))</f>
        <v/>
      </c>
      <c r="B62" s="1544">
        <v>4081510</v>
      </c>
      <c r="C62" s="1536" t="s">
        <v>2410</v>
      </c>
      <c r="D62" s="1545">
        <v>180000</v>
      </c>
      <c r="E62" s="1546">
        <v>0</v>
      </c>
      <c r="F62" s="1538"/>
      <c r="G62" s="1277">
        <f t="shared" si="1"/>
        <v>180000</v>
      </c>
      <c r="H62" s="1539"/>
      <c r="I62" s="1540"/>
      <c r="J62" s="1541"/>
    </row>
    <row r="63" spans="1:10">
      <c r="A63" s="315" t="str">
        <f>IF(B63="","",IF(B62="",SUM(COUNT($A$5:A62)+1),""))</f>
        <v/>
      </c>
      <c r="B63" s="1272">
        <v>437425</v>
      </c>
      <c r="C63" s="316" t="s">
        <v>2428</v>
      </c>
      <c r="D63" s="1273">
        <v>0</v>
      </c>
      <c r="E63" s="1275">
        <v>434</v>
      </c>
      <c r="F63" s="319"/>
      <c r="G63" s="1277">
        <f t="shared" si="1"/>
        <v>0</v>
      </c>
      <c r="H63" s="321"/>
      <c r="I63" s="322"/>
      <c r="J63" s="323"/>
    </row>
    <row r="64" spans="1:10">
      <c r="A64" s="315" t="str">
        <f>IF(B64="","",IF(B63="",SUM(COUNT($A$5:A63)+1),""))</f>
        <v/>
      </c>
      <c r="B64" s="1272">
        <v>4373000</v>
      </c>
      <c r="C64" s="316" t="s">
        <v>2682</v>
      </c>
      <c r="D64" s="1273">
        <v>434</v>
      </c>
      <c r="E64" s="1275">
        <v>0</v>
      </c>
      <c r="F64" s="319"/>
      <c r="G64" s="320">
        <f t="shared" si="1"/>
        <v>434</v>
      </c>
      <c r="H64" s="321"/>
      <c r="I64" s="322"/>
      <c r="J64" s="323"/>
    </row>
    <row r="65" spans="1:10">
      <c r="A65" s="315" t="str">
        <f>IF(B65="","",IF(B64="",SUM(COUNT($A$5:A64)+1),""))</f>
        <v/>
      </c>
      <c r="B65" s="1272">
        <v>4181500</v>
      </c>
      <c r="C65" s="316" t="s">
        <v>2680</v>
      </c>
      <c r="D65" s="318">
        <v>342770.3097056353</v>
      </c>
      <c r="E65" s="317">
        <v>0</v>
      </c>
      <c r="F65" s="319"/>
      <c r="G65" s="1277">
        <f t="shared" si="1"/>
        <v>342770.3097056353</v>
      </c>
      <c r="H65" s="321"/>
      <c r="I65" s="322"/>
      <c r="J65" s="323"/>
    </row>
    <row r="66" spans="1:10">
      <c r="A66" s="315" t="str">
        <f>IF(B66="","",IF(B65="",SUM(COUNT($A$5:A65)+1),""))</f>
        <v/>
      </c>
      <c r="B66" s="282">
        <v>4181500</v>
      </c>
      <c r="C66" s="316" t="s">
        <v>2680</v>
      </c>
      <c r="D66" s="318">
        <v>0</v>
      </c>
      <c r="E66" s="677">
        <v>342770.3097056353</v>
      </c>
      <c r="F66" s="319"/>
      <c r="G66" s="1277">
        <f t="shared" si="1"/>
        <v>0</v>
      </c>
      <c r="H66" s="321"/>
      <c r="I66" s="322"/>
      <c r="J66" s="323"/>
    </row>
    <row r="67" spans="1:10">
      <c r="A67" s="315" t="str">
        <f>IF(B67="","",IF(B66="",SUM(COUNT($A$5:A66)+1),""))</f>
        <v/>
      </c>
      <c r="B67" s="282">
        <v>4181500</v>
      </c>
      <c r="C67" s="316" t="s">
        <v>2680</v>
      </c>
      <c r="D67" s="318">
        <v>70267.490513036231</v>
      </c>
      <c r="E67" s="677">
        <v>0</v>
      </c>
      <c r="F67" s="319"/>
      <c r="G67" s="1277">
        <f t="shared" si="1"/>
        <v>70267.490513036231</v>
      </c>
      <c r="H67" s="321"/>
      <c r="I67" s="322"/>
      <c r="J67" s="323"/>
    </row>
    <row r="68" spans="1:10">
      <c r="A68" s="315" t="str">
        <f>IF(B68="","",IF(B67="",SUM(COUNT($A$5:A67)+1),""))</f>
        <v/>
      </c>
      <c r="B68" s="282">
        <v>4181500</v>
      </c>
      <c r="C68" s="316" t="s">
        <v>2680</v>
      </c>
      <c r="D68" s="317">
        <v>0</v>
      </c>
      <c r="E68" s="317">
        <v>70267.490513036231</v>
      </c>
      <c r="F68" s="319"/>
      <c r="G68" s="1277">
        <f t="shared" si="1"/>
        <v>0</v>
      </c>
      <c r="H68" s="321"/>
      <c r="I68" s="322"/>
      <c r="J68" s="323"/>
    </row>
    <row r="69" spans="1:10">
      <c r="A69" s="315" t="str">
        <f>IF(B69="","",IF(B68="",SUM(COUNT($A$5:A68)+1),""))</f>
        <v/>
      </c>
      <c r="B69" s="282">
        <v>4181500</v>
      </c>
      <c r="C69" s="316" t="s">
        <v>2680</v>
      </c>
      <c r="D69" s="318">
        <v>0</v>
      </c>
      <c r="E69" s="677">
        <v>96451.227569385999</v>
      </c>
      <c r="F69" s="319"/>
      <c r="G69" s="320">
        <f t="shared" si="1"/>
        <v>0</v>
      </c>
      <c r="H69" s="321"/>
      <c r="I69" s="322"/>
      <c r="J69" s="323"/>
    </row>
    <row r="70" spans="1:10">
      <c r="A70" s="315" t="str">
        <f>IF(B70="","",IF(B69="",SUM(COUNT($A$5:A69)+1),""))</f>
        <v/>
      </c>
      <c r="B70" s="282">
        <v>4181500</v>
      </c>
      <c r="C70" s="316" t="s">
        <v>2680</v>
      </c>
      <c r="D70" s="318">
        <v>96451.227569385999</v>
      </c>
      <c r="E70" s="677">
        <v>0</v>
      </c>
      <c r="F70" s="319"/>
      <c r="G70" s="320">
        <f t="shared" si="1"/>
        <v>96451.227569385999</v>
      </c>
      <c r="H70" s="321"/>
      <c r="I70" s="322"/>
      <c r="J70" s="323"/>
    </row>
    <row r="71" spans="1:10">
      <c r="A71" s="315" t="str">
        <f>IF(B71="","",IF(B70="",SUM(COUNT($A$5:A70)+1),""))</f>
        <v/>
      </c>
      <c r="B71" s="1272">
        <v>4115000</v>
      </c>
      <c r="C71" s="316" t="s">
        <v>2413</v>
      </c>
      <c r="D71" s="318">
        <v>241132.81000000238</v>
      </c>
      <c r="E71" s="317">
        <v>0</v>
      </c>
      <c r="F71" s="319"/>
      <c r="G71" s="320">
        <f t="shared" si="1"/>
        <v>241132.81000000238</v>
      </c>
      <c r="H71" s="321"/>
      <c r="I71" s="322"/>
      <c r="J71" s="323"/>
    </row>
    <row r="72" spans="1:10">
      <c r="A72" s="315" t="str">
        <f>IF(B72="","",IF(B71="",SUM(COUNT($A$5:A71)+1),""))</f>
        <v/>
      </c>
      <c r="B72" s="282">
        <v>4115000</v>
      </c>
      <c r="C72" s="316" t="s">
        <v>2413</v>
      </c>
      <c r="D72" s="1273">
        <v>0</v>
      </c>
      <c r="E72" s="1275">
        <v>241132.81000000238</v>
      </c>
      <c r="F72" s="319"/>
      <c r="G72" s="1277">
        <f t="shared" si="1"/>
        <v>0</v>
      </c>
      <c r="H72" s="321"/>
      <c r="I72" s="322"/>
      <c r="J72" s="323"/>
    </row>
    <row r="73" spans="1:10">
      <c r="A73" s="315" t="str">
        <f>IF(B73="","",IF(B72="",SUM(COUNT($A$5:A72)+1),""))</f>
        <v/>
      </c>
      <c r="B73" s="327">
        <v>4115000</v>
      </c>
      <c r="C73" s="316" t="s">
        <v>2413</v>
      </c>
      <c r="D73" s="317">
        <v>0</v>
      </c>
      <c r="E73" s="318">
        <v>241132.81000000238</v>
      </c>
      <c r="F73" s="319"/>
      <c r="G73" s="1277">
        <f t="shared" si="1"/>
        <v>0</v>
      </c>
      <c r="H73" s="321"/>
      <c r="I73" s="322"/>
      <c r="J73" s="323"/>
    </row>
    <row r="74" spans="1:10">
      <c r="A74" s="315" t="str">
        <f>IF(B74="","",IF(B73="",SUM(COUNT($A$5:A73)+1),""))</f>
        <v/>
      </c>
      <c r="B74" s="282">
        <v>4081510</v>
      </c>
      <c r="C74" s="316" t="s">
        <v>2410</v>
      </c>
      <c r="D74" s="1273">
        <v>241132.81000000238</v>
      </c>
      <c r="E74" s="1274">
        <v>0</v>
      </c>
      <c r="F74" s="319"/>
      <c r="G74" s="1277">
        <f t="shared" si="1"/>
        <v>241132.81000000238</v>
      </c>
      <c r="H74" s="321"/>
      <c r="I74" s="322"/>
      <c r="J74" s="323"/>
    </row>
    <row r="75" spans="1:10" ht="28.8">
      <c r="A75" s="315" t="str">
        <f>IF(B75="","",IF(B74="",SUM(COUNT($A$5:A74)+1),""))</f>
        <v/>
      </c>
      <c r="B75" s="1272">
        <v>1013001</v>
      </c>
      <c r="C75" s="316" t="s">
        <v>2396</v>
      </c>
      <c r="D75" s="318">
        <v>0</v>
      </c>
      <c r="E75" s="317">
        <v>54000</v>
      </c>
      <c r="F75" s="319"/>
      <c r="G75" s="320">
        <f t="shared" si="1"/>
        <v>0</v>
      </c>
      <c r="H75" s="321"/>
      <c r="I75" s="322"/>
      <c r="J75" s="323"/>
    </row>
    <row r="76" spans="1:10">
      <c r="A76" s="315" t="str">
        <f>IF(B76="","",IF(B75="",SUM(COUNT($A$5:A75)+1),""))</f>
        <v/>
      </c>
      <c r="B76" s="282">
        <v>106810</v>
      </c>
      <c r="C76" s="316" t="s">
        <v>2397</v>
      </c>
      <c r="D76" s="318">
        <v>0</v>
      </c>
      <c r="E76" s="317">
        <v>8625780</v>
      </c>
      <c r="F76" s="319"/>
      <c r="G76" s="320">
        <f t="shared" si="1"/>
        <v>0</v>
      </c>
      <c r="H76" s="321"/>
      <c r="I76" s="322"/>
      <c r="J76" s="323"/>
    </row>
    <row r="77" spans="1:10" ht="28.8">
      <c r="A77" s="315" t="str">
        <f>IF(B77="","",IF(B76="",SUM(COUNT($A$5:A76)+1),""))</f>
        <v/>
      </c>
      <c r="B77" s="282">
        <v>106960</v>
      </c>
      <c r="C77" s="316" t="s">
        <v>2478</v>
      </c>
      <c r="D77" s="318">
        <v>210334400.00164101</v>
      </c>
      <c r="E77" s="317">
        <v>0</v>
      </c>
      <c r="F77" s="319"/>
      <c r="G77" s="1277">
        <f t="shared" si="1"/>
        <v>210334400.00164101</v>
      </c>
      <c r="H77" s="321"/>
      <c r="I77" s="322"/>
      <c r="J77" s="323"/>
    </row>
    <row r="78" spans="1:10">
      <c r="A78" s="315" t="str">
        <f>IF(B78="","",IF(B77="",SUM(COUNT($A$5:A77)+1),""))</f>
        <v/>
      </c>
      <c r="B78" s="282">
        <v>110000</v>
      </c>
      <c r="C78" s="316" t="s">
        <v>2400</v>
      </c>
      <c r="D78" s="317">
        <v>0</v>
      </c>
      <c r="E78" s="318">
        <v>201654619.99814799</v>
      </c>
      <c r="F78" s="319"/>
      <c r="G78" s="1277">
        <f t="shared" si="1"/>
        <v>0</v>
      </c>
      <c r="H78" s="321"/>
      <c r="I78" s="322"/>
      <c r="J78" s="323"/>
    </row>
    <row r="79" spans="1:10" ht="28.8">
      <c r="A79" s="315" t="str">
        <f>IF(B79="","",IF(B78="",SUM(COUNT($A$5:A78)+1),""))</f>
        <v/>
      </c>
      <c r="B79" s="1272">
        <v>106960</v>
      </c>
      <c r="C79" s="316" t="s">
        <v>2478</v>
      </c>
      <c r="D79" s="317">
        <v>0</v>
      </c>
      <c r="E79" s="318">
        <v>861118</v>
      </c>
      <c r="F79" s="319"/>
      <c r="G79" s="320">
        <f t="shared" si="1"/>
        <v>0</v>
      </c>
      <c r="H79" s="321"/>
      <c r="I79" s="322"/>
      <c r="J79" s="323"/>
    </row>
    <row r="80" spans="1:10">
      <c r="A80" s="315" t="str">
        <f>IF(B80="","",IF(B79="",SUM(COUNT($A$5:A79)+1),""))</f>
        <v/>
      </c>
      <c r="B80" s="282">
        <v>159300</v>
      </c>
      <c r="C80" s="316" t="s">
        <v>2479</v>
      </c>
      <c r="D80" s="317">
        <v>861118</v>
      </c>
      <c r="E80" s="318">
        <v>0</v>
      </c>
      <c r="F80" s="319"/>
      <c r="G80" s="1277">
        <f t="shared" si="1"/>
        <v>861118</v>
      </c>
      <c r="H80" s="321"/>
      <c r="I80" s="322"/>
      <c r="J80" s="323"/>
    </row>
    <row r="81" spans="1:10">
      <c r="A81" s="315" t="str">
        <f>IF(B81="","",IF(B80="",SUM(COUNT($A$5:A80)+1),""))</f>
        <v/>
      </c>
      <c r="B81" s="1272">
        <v>110000</v>
      </c>
      <c r="C81" s="316" t="s">
        <v>2400</v>
      </c>
      <c r="D81" s="318">
        <v>398082</v>
      </c>
      <c r="E81" s="317">
        <v>0</v>
      </c>
      <c r="F81" s="319"/>
      <c r="G81" s="320">
        <f t="shared" si="1"/>
        <v>398082</v>
      </c>
      <c r="H81" s="321"/>
      <c r="I81" s="322"/>
      <c r="J81" s="323"/>
    </row>
    <row r="82" spans="1:10" ht="28.8">
      <c r="A82" s="315" t="str">
        <f>IF(B82="","",IF(B81="",SUM(COUNT($A$5:A81)+1),""))</f>
        <v/>
      </c>
      <c r="B82" s="282">
        <v>444000</v>
      </c>
      <c r="C82" s="316" t="s">
        <v>2492</v>
      </c>
      <c r="D82" s="318">
        <v>0</v>
      </c>
      <c r="E82" s="317">
        <v>398082</v>
      </c>
      <c r="F82" s="319"/>
      <c r="G82" s="1277">
        <f t="shared" si="1"/>
        <v>0</v>
      </c>
      <c r="H82" s="321"/>
      <c r="I82" s="322"/>
      <c r="J82" s="323"/>
    </row>
    <row r="83" spans="1:10" ht="28.8">
      <c r="A83" s="315" t="str">
        <f>IF(B83="","",IF(B82="",SUM(COUNT($A$5:A82)+1),""))</f>
        <v/>
      </c>
      <c r="B83" s="327">
        <v>488120</v>
      </c>
      <c r="C83" s="316" t="s">
        <v>2550</v>
      </c>
      <c r="D83" s="317">
        <v>0</v>
      </c>
      <c r="E83" s="318">
        <v>398082</v>
      </c>
      <c r="F83" s="319"/>
      <c r="G83" s="1277">
        <f t="shared" si="1"/>
        <v>0</v>
      </c>
      <c r="H83" s="321"/>
      <c r="I83" s="322"/>
      <c r="J83" s="323"/>
    </row>
    <row r="84" spans="1:10" ht="28.8">
      <c r="A84" s="315" t="str">
        <f>IF(B84="","",IF(B83="",SUM(COUNT($A$5:A83)+1),""))</f>
        <v/>
      </c>
      <c r="B84" s="282">
        <v>444000</v>
      </c>
      <c r="C84" s="316" t="s">
        <v>2492</v>
      </c>
      <c r="D84" s="317">
        <v>398082</v>
      </c>
      <c r="E84" s="318">
        <v>0</v>
      </c>
      <c r="F84" s="319"/>
      <c r="G84" s="1277">
        <f t="shared" si="1"/>
        <v>398082</v>
      </c>
      <c r="H84" s="321"/>
      <c r="I84" s="322"/>
      <c r="J84" s="323"/>
    </row>
    <row r="85" spans="1:10">
      <c r="A85" s="315" t="s">
        <v>2856</v>
      </c>
      <c r="B85" s="1272">
        <v>695900</v>
      </c>
      <c r="C85" s="316" t="s">
        <v>2557</v>
      </c>
      <c r="D85" s="318">
        <v>0</v>
      </c>
      <c r="E85" s="317">
        <v>3287743.28064</v>
      </c>
      <c r="F85" s="319"/>
      <c r="G85" s="320">
        <f t="shared" si="1"/>
        <v>0</v>
      </c>
      <c r="H85" s="321"/>
      <c r="I85" s="322"/>
      <c r="J85" s="323"/>
    </row>
    <row r="86" spans="1:10">
      <c r="A86" s="315" t="s">
        <v>2856</v>
      </c>
      <c r="B86" s="1272">
        <v>155000</v>
      </c>
      <c r="C86" s="316" t="s">
        <v>2401</v>
      </c>
      <c r="D86" s="318">
        <v>3287743.28064</v>
      </c>
      <c r="E86" s="317">
        <v>0</v>
      </c>
      <c r="F86" s="319"/>
      <c r="G86" s="1277">
        <f t="shared" si="1"/>
        <v>3287743.28064</v>
      </c>
      <c r="H86" s="321"/>
      <c r="I86" s="322"/>
      <c r="J86" s="323"/>
    </row>
    <row r="87" spans="1:10">
      <c r="A87" s="315" t="s">
        <v>2856</v>
      </c>
      <c r="B87" s="282">
        <v>695000</v>
      </c>
      <c r="C87" s="316" t="s">
        <v>2560</v>
      </c>
      <c r="D87" s="318">
        <v>214729</v>
      </c>
      <c r="E87" s="317">
        <v>0</v>
      </c>
      <c r="F87" s="319"/>
      <c r="G87" s="1277">
        <f t="shared" si="1"/>
        <v>214729</v>
      </c>
      <c r="H87" s="321"/>
      <c r="I87" s="322"/>
      <c r="J87" s="323"/>
    </row>
    <row r="88" spans="1:10" ht="28.8">
      <c r="A88" s="315" t="s">
        <v>2856</v>
      </c>
      <c r="B88" s="282">
        <v>444000</v>
      </c>
      <c r="C88" s="316" t="s">
        <v>2492</v>
      </c>
      <c r="D88" s="317">
        <v>0</v>
      </c>
      <c r="E88" s="318">
        <v>214729</v>
      </c>
      <c r="F88" s="319"/>
      <c r="G88" s="1277">
        <f t="shared" si="1"/>
        <v>0</v>
      </c>
      <c r="H88" s="321"/>
      <c r="I88" s="322"/>
      <c r="J88" s="323"/>
    </row>
    <row r="89" spans="1:10" ht="28.8">
      <c r="A89" s="315" t="s">
        <v>2856</v>
      </c>
      <c r="B89" s="327">
        <v>444000</v>
      </c>
      <c r="C89" s="316" t="s">
        <v>2492</v>
      </c>
      <c r="D89" s="318">
        <v>214729</v>
      </c>
      <c r="E89" s="317">
        <v>0</v>
      </c>
      <c r="F89" s="319"/>
      <c r="G89" s="1277">
        <f t="shared" si="1"/>
        <v>214729</v>
      </c>
      <c r="H89" s="321"/>
      <c r="I89" s="322"/>
      <c r="J89" s="323"/>
    </row>
    <row r="90" spans="1:10" ht="28.8">
      <c r="A90" s="315" t="s">
        <v>2856</v>
      </c>
      <c r="B90" s="327">
        <v>488120</v>
      </c>
      <c r="C90" s="316" t="s">
        <v>2550</v>
      </c>
      <c r="D90" s="317">
        <v>0</v>
      </c>
      <c r="E90" s="318">
        <v>214729</v>
      </c>
      <c r="F90" s="319"/>
      <c r="G90" s="1277">
        <f t="shared" si="1"/>
        <v>0</v>
      </c>
      <c r="H90" s="321"/>
      <c r="I90" s="322"/>
      <c r="J90" s="323"/>
    </row>
    <row r="91" spans="1:10">
      <c r="A91" s="315" t="s">
        <v>2856</v>
      </c>
      <c r="B91" s="327">
        <v>695900</v>
      </c>
      <c r="C91" s="316" t="s">
        <v>2557</v>
      </c>
      <c r="D91" s="317">
        <v>214729</v>
      </c>
      <c r="E91" s="318">
        <v>0</v>
      </c>
      <c r="F91" s="319"/>
      <c r="G91" s="1277">
        <f t="shared" si="1"/>
        <v>214729</v>
      </c>
      <c r="H91" s="321"/>
      <c r="I91" s="322"/>
      <c r="J91" s="323"/>
    </row>
    <row r="92" spans="1:10">
      <c r="A92" s="315" t="s">
        <v>2856</v>
      </c>
      <c r="B92" s="327">
        <v>695000</v>
      </c>
      <c r="C92" s="316" t="s">
        <v>2560</v>
      </c>
      <c r="D92" s="317">
        <v>0</v>
      </c>
      <c r="E92" s="318">
        <v>214729</v>
      </c>
      <c r="F92" s="319"/>
      <c r="G92" s="1277">
        <f t="shared" si="1"/>
        <v>0</v>
      </c>
      <c r="H92" s="321"/>
      <c r="I92" s="322"/>
      <c r="J92" s="323"/>
    </row>
    <row r="93" spans="1:10">
      <c r="A93" s="315" t="s">
        <v>2856</v>
      </c>
      <c r="B93" s="327">
        <v>695900</v>
      </c>
      <c r="C93" s="316" t="s">
        <v>2557</v>
      </c>
      <c r="D93" s="317">
        <v>0</v>
      </c>
      <c r="E93" s="318">
        <v>5799</v>
      </c>
      <c r="F93" s="319"/>
      <c r="G93" s="1277">
        <f t="shared" si="1"/>
        <v>0</v>
      </c>
      <c r="H93" s="321"/>
      <c r="I93" s="322"/>
      <c r="J93" s="323"/>
    </row>
    <row r="94" spans="1:10">
      <c r="A94" s="315" t="s">
        <v>2856</v>
      </c>
      <c r="B94" s="327">
        <v>488000</v>
      </c>
      <c r="C94" s="316" t="s">
        <v>2443</v>
      </c>
      <c r="D94" s="317">
        <v>5799</v>
      </c>
      <c r="E94" s="318">
        <v>0</v>
      </c>
      <c r="F94" s="319"/>
      <c r="G94" s="1277">
        <f t="shared" si="1"/>
        <v>5799</v>
      </c>
      <c r="H94" s="321"/>
      <c r="I94" s="322"/>
      <c r="J94" s="323"/>
    </row>
    <row r="95" spans="1:10">
      <c r="A95" s="315" t="s">
        <v>2856</v>
      </c>
      <c r="B95" s="327">
        <v>695900</v>
      </c>
      <c r="C95" s="316" t="s">
        <v>2557</v>
      </c>
      <c r="D95" s="317">
        <v>0</v>
      </c>
      <c r="E95" s="318">
        <v>258738</v>
      </c>
      <c r="F95" s="319"/>
      <c r="G95" s="1277">
        <f t="shared" si="1"/>
        <v>0</v>
      </c>
      <c r="H95" s="321"/>
      <c r="I95" s="322"/>
      <c r="J95" s="323"/>
    </row>
    <row r="96" spans="1:10">
      <c r="A96" s="315" t="s">
        <v>2856</v>
      </c>
      <c r="B96" s="327">
        <v>488000</v>
      </c>
      <c r="C96" s="316" t="s">
        <v>2443</v>
      </c>
      <c r="D96" s="317">
        <v>258738</v>
      </c>
      <c r="E96" s="318">
        <v>0</v>
      </c>
      <c r="F96" s="319"/>
      <c r="G96" s="1277">
        <f t="shared" si="1"/>
        <v>258738</v>
      </c>
      <c r="H96" s="321"/>
      <c r="I96" s="322"/>
      <c r="J96" s="323"/>
    </row>
    <row r="97" spans="1:10">
      <c r="A97" s="315" t="s">
        <v>2856</v>
      </c>
      <c r="B97" s="327">
        <v>695900</v>
      </c>
      <c r="C97" s="316" t="s">
        <v>2557</v>
      </c>
      <c r="D97" s="317">
        <v>0</v>
      </c>
      <c r="E97" s="318">
        <v>590333.90000000037</v>
      </c>
      <c r="F97" s="319"/>
      <c r="G97" s="1277">
        <f t="shared" si="1"/>
        <v>0</v>
      </c>
      <c r="H97" s="321"/>
      <c r="I97" s="322"/>
      <c r="J97" s="323"/>
    </row>
    <row r="98" spans="1:10">
      <c r="A98" s="315" t="s">
        <v>2856</v>
      </c>
      <c r="B98" s="327">
        <v>488000</v>
      </c>
      <c r="C98" s="316" t="s">
        <v>2443</v>
      </c>
      <c r="D98" s="317">
        <v>590333.90000000037</v>
      </c>
      <c r="E98" s="318">
        <v>0</v>
      </c>
      <c r="F98" s="319"/>
      <c r="G98" s="1277">
        <f t="shared" si="1"/>
        <v>590333.90000000037</v>
      </c>
      <c r="H98" s="321"/>
      <c r="I98" s="322"/>
      <c r="J98" s="323"/>
    </row>
    <row r="99" spans="1:10">
      <c r="A99" s="315" t="s">
        <v>2856</v>
      </c>
      <c r="B99" s="327">
        <v>695900</v>
      </c>
      <c r="C99" s="316" t="s">
        <v>2557</v>
      </c>
      <c r="D99" s="317">
        <v>813699</v>
      </c>
      <c r="E99" s="318">
        <v>0</v>
      </c>
      <c r="F99" s="319"/>
      <c r="G99" s="320">
        <f t="shared" si="1"/>
        <v>813699</v>
      </c>
      <c r="H99" s="321"/>
      <c r="I99" s="322"/>
      <c r="J99" s="323"/>
    </row>
    <row r="100" spans="1:10">
      <c r="A100" s="315" t="s">
        <v>2856</v>
      </c>
      <c r="B100" s="327">
        <v>488000</v>
      </c>
      <c r="C100" s="316" t="s">
        <v>2443</v>
      </c>
      <c r="D100" s="317">
        <v>0</v>
      </c>
      <c r="E100" s="318">
        <v>813699</v>
      </c>
      <c r="F100" s="319"/>
      <c r="G100" s="320">
        <f t="shared" si="1"/>
        <v>0</v>
      </c>
      <c r="H100" s="321"/>
      <c r="I100" s="322"/>
      <c r="J100" s="323"/>
    </row>
    <row r="101" spans="1:10">
      <c r="A101" s="315" t="s">
        <v>2856</v>
      </c>
      <c r="B101" s="327">
        <v>488000</v>
      </c>
      <c r="C101" s="316" t="s">
        <v>2443</v>
      </c>
      <c r="D101" s="317">
        <v>0</v>
      </c>
      <c r="E101" s="318">
        <v>223891</v>
      </c>
      <c r="F101" s="319"/>
      <c r="G101" s="1277">
        <f t="shared" si="1"/>
        <v>0</v>
      </c>
      <c r="H101" s="321"/>
      <c r="I101" s="322"/>
      <c r="J101" s="323"/>
    </row>
    <row r="102" spans="1:10" ht="28.8">
      <c r="A102" s="315" t="s">
        <v>2856</v>
      </c>
      <c r="B102" s="327">
        <v>106960</v>
      </c>
      <c r="C102" s="316" t="s">
        <v>2478</v>
      </c>
      <c r="D102" s="317">
        <v>223891</v>
      </c>
      <c r="E102" s="318">
        <v>0</v>
      </c>
      <c r="F102" s="319"/>
      <c r="G102" s="1277">
        <f t="shared" si="1"/>
        <v>223891</v>
      </c>
      <c r="H102" s="321"/>
      <c r="I102" s="322"/>
      <c r="J102" s="323"/>
    </row>
    <row r="103" spans="1:10">
      <c r="A103" s="315" t="s">
        <v>2856</v>
      </c>
      <c r="B103" s="327">
        <v>695900</v>
      </c>
      <c r="C103" s="316" t="s">
        <v>2557</v>
      </c>
      <c r="D103" s="317">
        <v>86056</v>
      </c>
      <c r="E103" s="318">
        <v>0</v>
      </c>
      <c r="F103" s="319"/>
      <c r="G103" s="1277">
        <f t="shared" si="1"/>
        <v>86056</v>
      </c>
      <c r="H103" s="321"/>
      <c r="I103" s="322"/>
      <c r="J103" s="323"/>
    </row>
    <row r="104" spans="1:10">
      <c r="A104" s="315" t="s">
        <v>2856</v>
      </c>
      <c r="B104" s="327">
        <v>488000</v>
      </c>
      <c r="C104" s="316" t="s">
        <v>2443</v>
      </c>
      <c r="D104" s="317">
        <v>0</v>
      </c>
      <c r="E104" s="318">
        <v>86056</v>
      </c>
      <c r="F104" s="319"/>
      <c r="G104" s="1277">
        <f t="shared" si="1"/>
        <v>0</v>
      </c>
      <c r="H104" s="321"/>
      <c r="I104" s="322"/>
      <c r="J104" s="323"/>
    </row>
    <row r="105" spans="1:10" ht="28.8">
      <c r="A105" s="315" t="s">
        <v>2856</v>
      </c>
      <c r="B105" s="327">
        <v>444000</v>
      </c>
      <c r="C105" s="316" t="s">
        <v>2492</v>
      </c>
      <c r="D105" s="317">
        <v>0</v>
      </c>
      <c r="E105" s="318">
        <v>595400</v>
      </c>
      <c r="F105" s="319"/>
      <c r="G105" s="1277">
        <f t="shared" si="1"/>
        <v>0</v>
      </c>
      <c r="H105" s="321"/>
      <c r="I105" s="322"/>
      <c r="J105" s="323"/>
    </row>
    <row r="106" spans="1:10" ht="28.8">
      <c r="A106" s="315" t="s">
        <v>2856</v>
      </c>
      <c r="B106" s="327">
        <v>488120</v>
      </c>
      <c r="C106" s="316" t="s">
        <v>2550</v>
      </c>
      <c r="D106" s="317">
        <v>595400</v>
      </c>
      <c r="E106" s="318">
        <v>0</v>
      </c>
      <c r="F106" s="319"/>
      <c r="G106" s="1277">
        <f t="shared" si="1"/>
        <v>595400</v>
      </c>
      <c r="H106" s="321"/>
      <c r="I106" s="322"/>
      <c r="J106" s="323"/>
    </row>
    <row r="107" spans="1:10">
      <c r="A107" s="315" t="str">
        <f>IF(B107="","",IF(B106="",SUM(COUNT($A$5:A106)+1),""))</f>
        <v/>
      </c>
      <c r="B107" s="1223">
        <v>444400</v>
      </c>
      <c r="C107" s="316" t="s">
        <v>2542</v>
      </c>
      <c r="D107" s="317">
        <v>0</v>
      </c>
      <c r="E107" s="318">
        <v>1816740.63</v>
      </c>
      <c r="F107" s="319"/>
      <c r="G107" s="1277">
        <f t="shared" si="1"/>
        <v>0</v>
      </c>
      <c r="H107" s="321"/>
      <c r="I107" s="322"/>
      <c r="J107" s="323"/>
    </row>
    <row r="108" spans="1:10">
      <c r="A108" s="315" t="str">
        <f>IF(B108="","",IF(B107="",SUM(COUNT($A$5:A107)+1),""))</f>
        <v/>
      </c>
      <c r="B108" s="327">
        <v>766200</v>
      </c>
      <c r="C108" s="316" t="s">
        <v>2523</v>
      </c>
      <c r="D108" s="318">
        <v>1816740.63</v>
      </c>
      <c r="E108" s="317">
        <v>0</v>
      </c>
      <c r="F108" s="319"/>
      <c r="G108" s="1277">
        <f t="shared" si="1"/>
        <v>1816740.63</v>
      </c>
      <c r="H108" s="321"/>
      <c r="I108" s="322"/>
      <c r="J108" s="323"/>
    </row>
    <row r="109" spans="1:10">
      <c r="A109" s="315" t="str">
        <f>IF(B109="","",IF(B108="",SUM(COUNT($A$5:A108)+1),""))</f>
        <v/>
      </c>
      <c r="B109" s="327">
        <v>444410</v>
      </c>
      <c r="C109" s="316" t="s">
        <v>2543</v>
      </c>
      <c r="D109" s="317">
        <v>184.03</v>
      </c>
      <c r="E109" s="318">
        <v>0</v>
      </c>
      <c r="F109" s="319"/>
      <c r="G109" s="1277">
        <f t="shared" si="1"/>
        <v>184.03</v>
      </c>
      <c r="H109" s="321"/>
      <c r="I109" s="322"/>
      <c r="J109" s="323"/>
    </row>
    <row r="110" spans="1:10">
      <c r="A110" s="315" t="str">
        <f>IF(B110="","",IF(B109="",SUM(COUNT($A$5:A109)+1),""))</f>
        <v/>
      </c>
      <c r="B110" s="1223">
        <v>766200</v>
      </c>
      <c r="C110" s="316" t="s">
        <v>2523</v>
      </c>
      <c r="D110" s="317">
        <v>0</v>
      </c>
      <c r="E110" s="318">
        <v>184.03</v>
      </c>
      <c r="F110" s="319"/>
      <c r="G110" s="1277">
        <f t="shared" si="1"/>
        <v>0</v>
      </c>
      <c r="H110" s="321"/>
      <c r="I110" s="322"/>
      <c r="J110" s="323"/>
    </row>
    <row r="111" spans="1:10">
      <c r="A111" s="315" t="str">
        <f>IF(B111="","",IF(B110="",SUM(COUNT($A$5:A110)+1),""))</f>
        <v/>
      </c>
      <c r="B111" s="282">
        <v>444400</v>
      </c>
      <c r="C111" s="316" t="s">
        <v>2542</v>
      </c>
      <c r="D111" s="1278">
        <v>1221671.3700000001</v>
      </c>
      <c r="E111" s="1279">
        <v>0</v>
      </c>
      <c r="F111" s="319"/>
      <c r="G111" s="1277">
        <f t="shared" si="1"/>
        <v>1221671.3700000001</v>
      </c>
      <c r="H111" s="321"/>
      <c r="I111" s="322"/>
      <c r="J111" s="323"/>
    </row>
    <row r="112" spans="1:10">
      <c r="A112" s="315" t="str">
        <f>IF(B112="","",IF(B111="",SUM(COUNT($A$5:A111)+1),""))</f>
        <v/>
      </c>
      <c r="B112" s="282">
        <v>766200</v>
      </c>
      <c r="C112" s="316" t="s">
        <v>2523</v>
      </c>
      <c r="D112" s="1278">
        <v>0</v>
      </c>
      <c r="E112" s="1279">
        <v>1221671.3700000001</v>
      </c>
      <c r="F112" s="319"/>
      <c r="G112" s="1277">
        <f t="shared" si="1"/>
        <v>0</v>
      </c>
      <c r="H112" s="321"/>
      <c r="I112" s="322"/>
      <c r="J112" s="323"/>
    </row>
    <row r="113" spans="1:10">
      <c r="A113" s="315" t="str">
        <f>IF(B113="","",IF(B112="",SUM(COUNT($A$5:A112)+1),""))</f>
        <v/>
      </c>
      <c r="B113" s="282">
        <v>444410</v>
      </c>
      <c r="C113" s="316" t="s">
        <v>2543</v>
      </c>
      <c r="D113" s="1278">
        <v>356860.08</v>
      </c>
      <c r="E113" s="1279">
        <v>0</v>
      </c>
      <c r="F113" s="319"/>
      <c r="G113" s="1277">
        <f t="shared" si="1"/>
        <v>356860.08</v>
      </c>
      <c r="H113" s="321"/>
      <c r="I113" s="322"/>
      <c r="J113" s="323"/>
    </row>
    <row r="114" spans="1:10">
      <c r="A114" s="315" t="str">
        <f>IF(B114="","",IF(B113="",SUM(COUNT($A$5:A113)+1),""))</f>
        <v/>
      </c>
      <c r="B114" s="282">
        <v>766200</v>
      </c>
      <c r="C114" s="316" t="s">
        <v>2523</v>
      </c>
      <c r="D114" s="1278">
        <v>0</v>
      </c>
      <c r="E114" s="1279">
        <v>356860.08</v>
      </c>
      <c r="F114" s="319"/>
      <c r="G114" s="1277">
        <f t="shared" si="1"/>
        <v>0</v>
      </c>
      <c r="H114" s="321"/>
      <c r="I114" s="322"/>
      <c r="J114" s="323"/>
    </row>
    <row r="115" spans="1:10">
      <c r="A115" s="315" t="s">
        <v>2856</v>
      </c>
      <c r="B115" s="282">
        <v>695900</v>
      </c>
      <c r="C115" s="316" t="s">
        <v>2557</v>
      </c>
      <c r="D115" s="1278">
        <v>0</v>
      </c>
      <c r="E115" s="1279">
        <v>3505403</v>
      </c>
      <c r="F115" s="319"/>
      <c r="G115" s="1277">
        <f t="shared" si="1"/>
        <v>0</v>
      </c>
      <c r="H115" s="321"/>
      <c r="I115" s="322"/>
      <c r="J115" s="323"/>
    </row>
    <row r="116" spans="1:10">
      <c r="A116" s="315" t="s">
        <v>2856</v>
      </c>
      <c r="B116" s="282">
        <v>155000</v>
      </c>
      <c r="C116" s="316" t="s">
        <v>2401</v>
      </c>
      <c r="D116" s="1278">
        <v>3505403</v>
      </c>
      <c r="E116" s="1279">
        <v>0</v>
      </c>
      <c r="F116" s="319"/>
      <c r="G116" s="1277">
        <f t="shared" si="1"/>
        <v>3505403</v>
      </c>
      <c r="H116" s="321"/>
      <c r="I116" s="322"/>
      <c r="J116" s="323"/>
    </row>
    <row r="117" spans="1:10">
      <c r="A117" s="315" t="s">
        <v>2856</v>
      </c>
      <c r="B117" s="282">
        <v>695900</v>
      </c>
      <c r="C117" s="316" t="s">
        <v>2557</v>
      </c>
      <c r="D117" s="1278">
        <v>149171</v>
      </c>
      <c r="E117" s="1279">
        <v>0</v>
      </c>
      <c r="F117" s="319"/>
      <c r="G117" s="1277">
        <f t="shared" si="1"/>
        <v>149171</v>
      </c>
      <c r="H117" s="321"/>
      <c r="I117" s="322"/>
      <c r="J117" s="323"/>
    </row>
    <row r="118" spans="1:10">
      <c r="A118" s="315" t="s">
        <v>2856</v>
      </c>
      <c r="B118" s="282">
        <v>488000</v>
      </c>
      <c r="C118" s="316" t="s">
        <v>2443</v>
      </c>
      <c r="D118" s="1278">
        <v>0</v>
      </c>
      <c r="E118" s="1279">
        <v>149171</v>
      </c>
      <c r="F118" s="319"/>
      <c r="G118" s="1277">
        <f t="shared" si="1"/>
        <v>0</v>
      </c>
      <c r="H118" s="321"/>
      <c r="I118" s="322"/>
      <c r="J118" s="323"/>
    </row>
    <row r="119" spans="1:10">
      <c r="A119" s="315" t="s">
        <v>2856</v>
      </c>
      <c r="B119" s="282">
        <v>695900</v>
      </c>
      <c r="C119" s="316" t="s">
        <v>2557</v>
      </c>
      <c r="D119" s="1278">
        <v>0</v>
      </c>
      <c r="E119" s="1279">
        <v>73715</v>
      </c>
      <c r="F119" s="319"/>
      <c r="G119" s="1277">
        <f t="shared" si="1"/>
        <v>0</v>
      </c>
      <c r="H119" s="321"/>
      <c r="I119" s="322"/>
      <c r="J119" s="323"/>
    </row>
    <row r="120" spans="1:10">
      <c r="A120" s="315" t="s">
        <v>2856</v>
      </c>
      <c r="B120" s="282">
        <v>488000</v>
      </c>
      <c r="C120" s="316" t="s">
        <v>2443</v>
      </c>
      <c r="D120" s="1278">
        <v>73715</v>
      </c>
      <c r="E120" s="1279">
        <v>0</v>
      </c>
      <c r="F120" s="319"/>
      <c r="G120" s="1277">
        <f t="shared" si="1"/>
        <v>73715</v>
      </c>
      <c r="H120" s="321"/>
      <c r="I120" s="322"/>
      <c r="J120" s="323"/>
    </row>
    <row r="121" spans="1:10">
      <c r="A121" s="315" t="s">
        <v>2856</v>
      </c>
      <c r="B121" s="282">
        <v>695900</v>
      </c>
      <c r="C121" s="316" t="s">
        <v>2557</v>
      </c>
      <c r="D121" s="1278">
        <v>109249</v>
      </c>
      <c r="E121" s="1279">
        <v>0</v>
      </c>
      <c r="F121" s="319"/>
      <c r="G121" s="1277">
        <f t="shared" si="1"/>
        <v>109249</v>
      </c>
      <c r="H121" s="321"/>
      <c r="I121" s="322"/>
      <c r="J121" s="323"/>
    </row>
    <row r="122" spans="1:10">
      <c r="A122" s="315" t="s">
        <v>2856</v>
      </c>
      <c r="B122" s="282">
        <v>488000</v>
      </c>
      <c r="C122" s="316" t="s">
        <v>2443</v>
      </c>
      <c r="D122" s="1278">
        <v>0</v>
      </c>
      <c r="E122" s="1279">
        <v>109249</v>
      </c>
      <c r="F122" s="319"/>
      <c r="G122" s="1277">
        <f t="shared" si="1"/>
        <v>0</v>
      </c>
      <c r="H122" s="321"/>
      <c r="I122" s="322"/>
      <c r="J122" s="323"/>
    </row>
    <row r="123" spans="1:10" ht="28.8">
      <c r="A123" s="315" t="s">
        <v>2856</v>
      </c>
      <c r="B123" s="1223">
        <v>106960</v>
      </c>
      <c r="C123" s="316" t="s">
        <v>2478</v>
      </c>
      <c r="D123" s="317">
        <v>0</v>
      </c>
      <c r="E123" s="318">
        <v>311615</v>
      </c>
      <c r="F123" s="319"/>
      <c r="G123" s="320"/>
      <c r="H123" s="321"/>
      <c r="I123" s="322"/>
      <c r="J123" s="323"/>
    </row>
    <row r="124" spans="1:10">
      <c r="A124" s="315" t="s">
        <v>2856</v>
      </c>
      <c r="B124" s="1223">
        <v>488000</v>
      </c>
      <c r="C124" s="316" t="s">
        <v>2443</v>
      </c>
      <c r="D124" s="317">
        <v>311615</v>
      </c>
      <c r="E124" s="318">
        <v>0</v>
      </c>
      <c r="F124" s="319"/>
      <c r="G124" s="1277">
        <f t="shared" si="1"/>
        <v>311615</v>
      </c>
      <c r="H124" s="321"/>
      <c r="I124" s="322"/>
      <c r="J124" s="323"/>
    </row>
    <row r="125" spans="1:10">
      <c r="A125" s="315" t="str">
        <f>IF(B125="","",IF(B124="",SUM(COUNT($A$5:A124)+1),""))</f>
        <v/>
      </c>
      <c r="B125" s="1223">
        <v>4014500</v>
      </c>
      <c r="C125" s="316" t="s">
        <v>2406</v>
      </c>
      <c r="D125" s="317">
        <v>535614.23</v>
      </c>
      <c r="E125" s="318">
        <v>0</v>
      </c>
      <c r="F125" s="319"/>
      <c r="G125" s="1277">
        <f>IF(H125="PL - PL",0,IF(D125="",-E125,D125))</f>
        <v>535614.23</v>
      </c>
      <c r="H125" s="321"/>
      <c r="I125" s="322"/>
      <c r="J125" s="323"/>
    </row>
    <row r="126" spans="1:10">
      <c r="A126" s="315" t="str">
        <f>IF(B126="","",IF(B125="",SUM(COUNT($A$5:A125)+1),""))</f>
        <v/>
      </c>
      <c r="B126" s="1223">
        <v>451099</v>
      </c>
      <c r="C126" s="316" t="s">
        <v>2437</v>
      </c>
      <c r="D126" s="318">
        <v>0</v>
      </c>
      <c r="E126" s="318">
        <v>535614.23</v>
      </c>
      <c r="F126" s="319"/>
      <c r="G126" s="1277">
        <f>IF(H126="PL - PL",0,IF(D126="",-E126,D126))</f>
        <v>0</v>
      </c>
      <c r="H126" s="321"/>
      <c r="I126" s="322"/>
      <c r="J126" s="323"/>
    </row>
    <row r="127" spans="1:10" ht="28.8">
      <c r="A127" s="315" t="str">
        <f>IF(B127="","",IF(B126="",SUM(COUNT($A$5:A126)+1),""))</f>
        <v/>
      </c>
      <c r="B127" s="1223">
        <v>401998</v>
      </c>
      <c r="C127" s="316" t="s">
        <v>2484</v>
      </c>
      <c r="D127" s="318">
        <v>136088.82851063844</v>
      </c>
      <c r="E127" s="318">
        <v>0</v>
      </c>
      <c r="F127" s="319"/>
      <c r="G127" s="1277">
        <f>IF(H127="PL - PL",0,IF(D127="",-E127,D127))</f>
        <v>136088.82851063844</v>
      </c>
      <c r="H127" s="321"/>
      <c r="I127" s="322"/>
      <c r="J127" s="323"/>
    </row>
    <row r="128" spans="1:10">
      <c r="A128" s="315" t="str">
        <f>IF(B128="","",IF(B127="",SUM(COUNT($A$5:A127)+1),""))</f>
        <v/>
      </c>
      <c r="B128" s="1223">
        <v>451099</v>
      </c>
      <c r="C128" s="316" t="s">
        <v>2437</v>
      </c>
      <c r="D128" s="317">
        <v>0</v>
      </c>
      <c r="E128" s="318">
        <v>136088.82851063844</v>
      </c>
      <c r="F128" s="319"/>
      <c r="G128" s="1277">
        <f>IF(H128="PL - PL",0,IF(D128="",-E128,D128))</f>
        <v>0</v>
      </c>
      <c r="H128" s="321"/>
      <c r="I128" s="322"/>
      <c r="J128" s="323"/>
    </row>
    <row r="129" spans="1:10">
      <c r="A129" s="315" t="str">
        <f>IF(B129="","",IF(B128="",SUM(COUNT($A$5:A128)+1),""))</f>
        <v/>
      </c>
      <c r="B129" s="1223">
        <v>168100</v>
      </c>
      <c r="C129" s="316" t="s">
        <v>2480</v>
      </c>
      <c r="D129" s="317">
        <v>0</v>
      </c>
      <c r="E129" s="318">
        <v>3360</v>
      </c>
      <c r="F129" s="319"/>
      <c r="G129" s="1277">
        <f>IF(H129="PL - PL",0,IF(D129="",-E129,D129))</f>
        <v>0</v>
      </c>
      <c r="H129" s="321"/>
      <c r="I129" s="322"/>
      <c r="J129" s="323"/>
    </row>
    <row r="130" spans="1:10">
      <c r="A130" s="315" t="str">
        <f>IF(B130="","",IF(B129="",SUM(COUNT($A$5:A129)+1),""))</f>
        <v/>
      </c>
      <c r="B130" s="1223">
        <v>457000</v>
      </c>
      <c r="C130" s="316" t="s">
        <v>2549</v>
      </c>
      <c r="D130" s="317">
        <v>3360</v>
      </c>
      <c r="E130" s="318">
        <v>0</v>
      </c>
      <c r="F130" s="319"/>
      <c r="G130" s="320">
        <f>+D130-E130</f>
        <v>3360</v>
      </c>
      <c r="H130" s="321"/>
      <c r="I130" s="322"/>
      <c r="J130" s="323"/>
    </row>
    <row r="131" spans="1:10">
      <c r="A131" s="315" t="s">
        <v>2856</v>
      </c>
      <c r="B131" s="1223">
        <v>695000</v>
      </c>
      <c r="C131" s="316" t="s">
        <v>2560</v>
      </c>
      <c r="D131" s="317">
        <v>0</v>
      </c>
      <c r="E131" s="318">
        <v>2864306</v>
      </c>
      <c r="F131" s="319"/>
      <c r="G131" s="1277">
        <f>IF(H131="PL - PL",0,IF(D131="",-E131,D131))</f>
        <v>0</v>
      </c>
      <c r="H131" s="321"/>
      <c r="I131" s="322"/>
      <c r="J131" s="323"/>
    </row>
    <row r="132" spans="1:10" ht="28.8">
      <c r="A132" s="315" t="s">
        <v>2856</v>
      </c>
      <c r="B132" s="1223">
        <v>444000</v>
      </c>
      <c r="C132" s="316" t="s">
        <v>2492</v>
      </c>
      <c r="D132" s="317">
        <v>2864306</v>
      </c>
      <c r="E132" s="318">
        <v>0</v>
      </c>
      <c r="F132" s="319"/>
      <c r="G132" s="320"/>
      <c r="H132" s="321"/>
      <c r="I132" s="322"/>
      <c r="J132" s="323"/>
    </row>
    <row r="133" spans="1:10" ht="28.8">
      <c r="A133" s="315" t="s">
        <v>2856</v>
      </c>
      <c r="B133" s="1223">
        <v>444000</v>
      </c>
      <c r="C133" s="316" t="s">
        <v>2492</v>
      </c>
      <c r="D133" s="317">
        <v>0</v>
      </c>
      <c r="E133" s="318">
        <v>2864306</v>
      </c>
      <c r="F133" s="319"/>
      <c r="G133" s="320">
        <f>+D133-E133</f>
        <v>-2864306</v>
      </c>
      <c r="H133" s="321"/>
      <c r="I133" s="322"/>
      <c r="J133" s="323"/>
    </row>
    <row r="134" spans="1:10" ht="28.8">
      <c r="A134" s="315" t="s">
        <v>2856</v>
      </c>
      <c r="B134" s="1223">
        <v>488120</v>
      </c>
      <c r="C134" s="316" t="s">
        <v>2550</v>
      </c>
      <c r="D134" s="317">
        <v>2864306</v>
      </c>
      <c r="E134" s="318">
        <v>0</v>
      </c>
      <c r="F134" s="319"/>
      <c r="G134" s="1277">
        <f>IF(H134="PL - PL",0,IF(D134="",-E134,D134))</f>
        <v>2864306</v>
      </c>
      <c r="H134" s="321"/>
      <c r="I134" s="322"/>
      <c r="J134" s="323"/>
    </row>
    <row r="135" spans="1:10">
      <c r="A135" s="315" t="s">
        <v>2856</v>
      </c>
      <c r="B135" s="1223">
        <v>695900</v>
      </c>
      <c r="C135" s="316" t="s">
        <v>2557</v>
      </c>
      <c r="D135" s="317">
        <v>0</v>
      </c>
      <c r="E135" s="318">
        <v>2864306</v>
      </c>
      <c r="F135" s="319"/>
      <c r="G135" s="320"/>
      <c r="H135" s="321"/>
      <c r="I135" s="322"/>
      <c r="J135" s="323"/>
    </row>
    <row r="136" spans="1:10">
      <c r="A136" s="315" t="s">
        <v>2856</v>
      </c>
      <c r="B136" s="1223">
        <v>695000</v>
      </c>
      <c r="C136" s="316" t="s">
        <v>2560</v>
      </c>
      <c r="D136" s="317">
        <v>2864306</v>
      </c>
      <c r="E136" s="318">
        <v>0</v>
      </c>
      <c r="F136" s="319"/>
      <c r="G136" s="320">
        <f>+D136-E136</f>
        <v>2864306</v>
      </c>
      <c r="H136" s="321"/>
      <c r="I136" s="322"/>
      <c r="J136" s="323"/>
    </row>
    <row r="137" spans="1:10" s="1390" customFormat="1">
      <c r="A137" s="1534" t="str">
        <f>IF(B137="","",IF(B136="",SUM(COUNT($A$5:A136)+1),""))</f>
        <v/>
      </c>
      <c r="B137" s="1548">
        <v>408151</v>
      </c>
      <c r="C137" s="1536" t="s">
        <v>2410</v>
      </c>
      <c r="D137" s="1543">
        <v>0</v>
      </c>
      <c r="E137" s="1537">
        <v>75309</v>
      </c>
      <c r="F137" s="1538"/>
      <c r="G137" s="1277">
        <f>+D137-E137</f>
        <v>-75309</v>
      </c>
      <c r="H137" s="1539"/>
      <c r="I137" s="1540"/>
      <c r="J137" s="1541"/>
    </row>
    <row r="138" spans="1:10" s="1390" customFormat="1">
      <c r="A138" s="1534" t="str">
        <f>IF(B138="","",IF(B137="",SUM(COUNT($A$5:A137)+1),""))</f>
        <v/>
      </c>
      <c r="B138" s="1548">
        <v>437408</v>
      </c>
      <c r="C138" s="1536" t="s">
        <v>2427</v>
      </c>
      <c r="D138" s="1543">
        <v>32049</v>
      </c>
      <c r="E138" s="1537">
        <v>0</v>
      </c>
      <c r="F138" s="1538"/>
      <c r="G138" s="1277">
        <f>IF(H138="PL - PL",0,IF(D138="",-E138,D138))</f>
        <v>32049</v>
      </c>
      <c r="H138" s="1539"/>
      <c r="I138" s="1540"/>
      <c r="J138" s="1541"/>
    </row>
    <row r="139" spans="1:10" s="1390" customFormat="1">
      <c r="A139" s="1534" t="str">
        <f>IF(B139="","",IF(B138="",SUM(COUNT($A$5:A138)+1),""))</f>
        <v/>
      </c>
      <c r="B139" s="1548">
        <v>437408</v>
      </c>
      <c r="C139" s="1536" t="s">
        <v>2427</v>
      </c>
      <c r="D139" s="1543">
        <v>43260</v>
      </c>
      <c r="E139" s="1537">
        <v>0</v>
      </c>
      <c r="F139" s="1538"/>
      <c r="G139" s="1277">
        <f>+D139-E139</f>
        <v>43260</v>
      </c>
      <c r="H139" s="1539"/>
      <c r="I139" s="1540"/>
      <c r="J139" s="1541"/>
    </row>
    <row r="140" spans="1:10" s="1390" customFormat="1">
      <c r="A140" s="1534" t="str">
        <f>IF(B140="","",IF(B139="",SUM(COUNT($A$5:A139)+1),""))</f>
        <v/>
      </c>
      <c r="B140" s="1548">
        <v>622800</v>
      </c>
      <c r="C140" s="1536" t="s">
        <v>2502</v>
      </c>
      <c r="D140" s="1543">
        <v>0</v>
      </c>
      <c r="E140" s="1537">
        <v>12000</v>
      </c>
      <c r="F140" s="1538"/>
      <c r="G140" s="1277">
        <f>+D140-E140</f>
        <v>-12000</v>
      </c>
      <c r="H140" s="1539"/>
      <c r="I140" s="1540"/>
      <c r="J140" s="1541"/>
    </row>
    <row r="141" spans="1:10" s="1390" customFormat="1">
      <c r="A141" s="1534" t="str">
        <f>IF(B141="","",IF(B140="",SUM(COUNT($A$5:A140)+1),""))</f>
        <v/>
      </c>
      <c r="B141" s="1548">
        <v>408151</v>
      </c>
      <c r="C141" s="1536" t="s">
        <v>2410</v>
      </c>
      <c r="D141" s="1543">
        <v>12000</v>
      </c>
      <c r="E141" s="1537">
        <v>0</v>
      </c>
      <c r="F141" s="1538"/>
      <c r="G141" s="1277"/>
      <c r="H141" s="1539"/>
      <c r="I141" s="1540"/>
      <c r="J141" s="1541"/>
    </row>
    <row r="142" spans="1:10" s="1390" customFormat="1">
      <c r="A142" s="1534" t="str">
        <f>IF(B142="","",IF(B141="",SUM(COUNT($A$5:A141)+1),""))</f>
        <v/>
      </c>
      <c r="B142" s="1548">
        <v>641722</v>
      </c>
      <c r="C142" s="1536" t="s">
        <v>2514</v>
      </c>
      <c r="D142" s="1543">
        <v>0</v>
      </c>
      <c r="E142" s="1537">
        <v>8100</v>
      </c>
      <c r="F142" s="1538"/>
      <c r="G142" s="1277"/>
      <c r="H142" s="1539"/>
      <c r="I142" s="1540"/>
      <c r="J142" s="1541"/>
    </row>
    <row r="143" spans="1:10" s="1390" customFormat="1">
      <c r="A143" s="1534" t="str">
        <f>IF(B143="","",IF(B142="",SUM(COUNT($A$5:A142)+1),""))</f>
        <v/>
      </c>
      <c r="B143" s="1548">
        <v>641721</v>
      </c>
      <c r="C143" s="1536" t="s">
        <v>2513</v>
      </c>
      <c r="D143" s="1543">
        <v>0</v>
      </c>
      <c r="E143" s="1537">
        <v>16200</v>
      </c>
      <c r="F143" s="1538"/>
      <c r="G143" s="1277"/>
      <c r="H143" s="1539"/>
      <c r="I143" s="1540"/>
      <c r="J143" s="1541"/>
    </row>
    <row r="144" spans="1:10" s="1390" customFormat="1">
      <c r="A144" s="1534" t="str">
        <f>IF(B144="","",IF(B143="",SUM(COUNT($A$5:A143)+1),""))</f>
        <v/>
      </c>
      <c r="B144" s="1548">
        <v>626424</v>
      </c>
      <c r="C144" s="1536" t="s">
        <v>2504</v>
      </c>
      <c r="D144" s="1543">
        <v>0</v>
      </c>
      <c r="E144" s="1537">
        <v>22500</v>
      </c>
      <c r="F144" s="1538"/>
      <c r="G144" s="1277"/>
      <c r="H144" s="1539"/>
      <c r="I144" s="1540"/>
      <c r="J144" s="1541"/>
    </row>
    <row r="145" spans="1:10" s="1390" customFormat="1">
      <c r="A145" s="1534" t="str">
        <f>IF(B145="","",IF(B144="",SUM(COUNT($A$5:A144)+1),""))</f>
        <v/>
      </c>
      <c r="B145" s="1548">
        <v>408151</v>
      </c>
      <c r="C145" s="1536" t="s">
        <v>2410</v>
      </c>
      <c r="D145" s="1543">
        <v>46800</v>
      </c>
      <c r="E145" s="1537">
        <v>0</v>
      </c>
      <c r="F145" s="1538"/>
      <c r="G145" s="1277"/>
      <c r="H145" s="1539"/>
      <c r="I145" s="1540"/>
      <c r="J145" s="1541"/>
    </row>
    <row r="146" spans="1:10" s="1390" customFormat="1" ht="28.8">
      <c r="A146" s="1534" t="str">
        <f>IF(B146="","",IF(B145="",SUM(COUNT($A$5:A145)+1),""))</f>
        <v/>
      </c>
      <c r="B146" s="1548">
        <v>4085000</v>
      </c>
      <c r="C146" s="1536" t="s">
        <v>2657</v>
      </c>
      <c r="D146" s="1543">
        <v>0</v>
      </c>
      <c r="E146" s="1537">
        <v>27690</v>
      </c>
      <c r="F146" s="1538"/>
      <c r="G146" s="1277"/>
      <c r="H146" s="1539"/>
      <c r="I146" s="1540"/>
      <c r="J146" s="1541"/>
    </row>
    <row r="147" spans="1:10" s="1390" customFormat="1" ht="28.8">
      <c r="A147" s="1534" t="str">
        <f>IF(B147="","",IF(B146="",SUM(COUNT($A$5:A146)+1),""))</f>
        <v/>
      </c>
      <c r="B147" s="1548">
        <v>4085000</v>
      </c>
      <c r="C147" s="1536" t="s">
        <v>2657</v>
      </c>
      <c r="D147" s="1543">
        <v>0</v>
      </c>
      <c r="E147" s="1537">
        <v>8389</v>
      </c>
      <c r="F147" s="1538"/>
      <c r="G147" s="1277"/>
      <c r="H147" s="1539"/>
      <c r="I147" s="1540"/>
      <c r="J147" s="1541"/>
    </row>
    <row r="148" spans="1:10" s="1390" customFormat="1">
      <c r="A148" s="1534" t="str">
        <f>IF(B148="","",IF(B147="",SUM(COUNT($A$5:A147)+1),""))</f>
        <v/>
      </c>
      <c r="B148" s="1548">
        <v>408151</v>
      </c>
      <c r="C148" s="1536" t="s">
        <v>2410</v>
      </c>
      <c r="D148" s="1543">
        <v>36079</v>
      </c>
      <c r="E148" s="1537">
        <v>0</v>
      </c>
      <c r="F148" s="1538"/>
      <c r="G148" s="1277"/>
      <c r="H148" s="1539"/>
      <c r="I148" s="1540"/>
      <c r="J148" s="1541"/>
    </row>
    <row r="149" spans="1:10" s="1390" customFormat="1">
      <c r="A149" s="1534" t="str">
        <f>IF(B149="","",IF(B148="",SUM(COUNT($A$5:A148)+1),""))</f>
        <v/>
      </c>
      <c r="B149" s="1548">
        <v>408151</v>
      </c>
      <c r="C149" s="1536" t="s">
        <v>2410</v>
      </c>
      <c r="D149" s="1543">
        <v>0</v>
      </c>
      <c r="E149" s="1537">
        <v>100000</v>
      </c>
      <c r="F149" s="1538"/>
      <c r="G149" s="1277"/>
      <c r="H149" s="1539"/>
      <c r="I149" s="1540"/>
      <c r="J149" s="1541"/>
    </row>
    <row r="150" spans="1:10" s="1390" customFormat="1">
      <c r="A150" s="1534" t="str">
        <f>IF(B150="","",IF(B149="",SUM(COUNT($A$5:A149)+1),""))</f>
        <v/>
      </c>
      <c r="B150" s="1548">
        <v>622800</v>
      </c>
      <c r="C150" s="1536" t="s">
        <v>2502</v>
      </c>
      <c r="D150" s="1543">
        <v>100000</v>
      </c>
      <c r="E150" s="1537">
        <v>0</v>
      </c>
      <c r="F150" s="1538"/>
      <c r="G150" s="1277"/>
      <c r="H150" s="1539"/>
      <c r="I150" s="1540"/>
      <c r="J150" s="1541"/>
    </row>
    <row r="151" spans="1:10" s="1390" customFormat="1">
      <c r="A151" s="1534" t="str">
        <f>IF(B151="","",IF(B150="",SUM(COUNT($A$5:A150)+1),""))</f>
        <v/>
      </c>
      <c r="B151" s="1548">
        <v>408151</v>
      </c>
      <c r="C151" s="1536" t="s">
        <v>2410</v>
      </c>
      <c r="D151" s="1543">
        <v>0</v>
      </c>
      <c r="E151" s="1537">
        <v>3000</v>
      </c>
      <c r="F151" s="1538"/>
      <c r="G151" s="1277"/>
      <c r="H151" s="1539"/>
      <c r="I151" s="1540"/>
      <c r="J151" s="1541"/>
    </row>
    <row r="152" spans="1:10" s="1390" customFormat="1">
      <c r="A152" s="1534" t="str">
        <f>IF(B152="","",IF(B151="",SUM(COUNT($A$5:A151)+1),""))</f>
        <v/>
      </c>
      <c r="B152" s="1548">
        <v>622800</v>
      </c>
      <c r="C152" s="1536" t="s">
        <v>2502</v>
      </c>
      <c r="D152" s="1543">
        <v>3000</v>
      </c>
      <c r="E152" s="1537">
        <v>0</v>
      </c>
      <c r="F152" s="1538"/>
      <c r="G152" s="1277"/>
      <c r="H152" s="1539"/>
      <c r="I152" s="1540"/>
      <c r="J152" s="1541"/>
    </row>
    <row r="153" spans="1:10" s="1390" customFormat="1">
      <c r="A153" s="1534" t="str">
        <f>IF(B153="","",IF(B152="",SUM(COUNT($A$5:A152)+1),""))</f>
        <v/>
      </c>
      <c r="B153" s="1548">
        <v>622800</v>
      </c>
      <c r="C153" s="1536" t="s">
        <v>2502</v>
      </c>
      <c r="D153" s="1543">
        <v>0</v>
      </c>
      <c r="E153" s="1537">
        <v>5000</v>
      </c>
      <c r="F153" s="1538"/>
      <c r="G153" s="1277">
        <f>IF(H153="PL - PL",0,IF(D153="",-E153,D153))</f>
        <v>0</v>
      </c>
      <c r="H153" s="1539"/>
      <c r="I153" s="1540"/>
      <c r="J153" s="1541"/>
    </row>
    <row r="154" spans="1:10" s="1390" customFormat="1">
      <c r="A154" s="1534" t="str">
        <f>IF(B154="","",IF(B153="",SUM(COUNT($A$5:A153)+1),""))</f>
        <v/>
      </c>
      <c r="B154" s="1548">
        <v>408151</v>
      </c>
      <c r="C154" s="1536" t="s">
        <v>2410</v>
      </c>
      <c r="D154" s="1543">
        <v>5000</v>
      </c>
      <c r="E154" s="1537">
        <v>0</v>
      </c>
      <c r="F154" s="1538"/>
      <c r="G154" s="1277">
        <f>IF(H154="PL - PL",0,IF(D154="",-E154,D154))</f>
        <v>5000</v>
      </c>
      <c r="H154" s="1539"/>
      <c r="I154" s="1540"/>
      <c r="J154" s="1541"/>
    </row>
    <row r="155" spans="1:10">
      <c r="A155" s="315" t="str">
        <f>IF(B155="","",IF(B154="",SUM(COUNT($A$5:A154)+1),""))</f>
        <v/>
      </c>
      <c r="B155" s="1223">
        <v>159200</v>
      </c>
      <c r="C155" s="316" t="s">
        <v>2402</v>
      </c>
      <c r="D155" s="317">
        <v>691227</v>
      </c>
      <c r="E155" s="318">
        <v>0</v>
      </c>
      <c r="F155" s="319"/>
      <c r="G155" s="320"/>
      <c r="H155" s="321"/>
      <c r="I155" s="322"/>
      <c r="J155" s="323"/>
    </row>
    <row r="156" spans="1:10" ht="28.8">
      <c r="A156" s="315" t="str">
        <f>IF(B156="","",IF(B155="",SUM(COUNT($A$5:A155)+1),""))</f>
        <v/>
      </c>
      <c r="B156" s="1223">
        <v>106960</v>
      </c>
      <c r="C156" s="316" t="s">
        <v>2478</v>
      </c>
      <c r="D156" s="317">
        <v>0</v>
      </c>
      <c r="E156" s="318">
        <v>691227</v>
      </c>
      <c r="F156" s="319"/>
      <c r="G156" s="320"/>
      <c r="H156" s="321"/>
      <c r="I156" s="322"/>
      <c r="J156" s="323"/>
    </row>
    <row r="157" spans="1:10" ht="28.8">
      <c r="A157" s="315" t="str">
        <f>IF(B157="","",IF(B156="",SUM(COUNT($A$5:A156)+1),""))</f>
        <v/>
      </c>
      <c r="B157" s="1223">
        <v>106960</v>
      </c>
      <c r="C157" s="316" t="s">
        <v>2478</v>
      </c>
      <c r="D157" s="317">
        <v>1091741</v>
      </c>
      <c r="E157" s="318">
        <v>0</v>
      </c>
      <c r="F157" s="319"/>
      <c r="G157" s="320"/>
      <c r="H157" s="321"/>
      <c r="I157" s="322"/>
      <c r="J157" s="323"/>
    </row>
    <row r="158" spans="1:10">
      <c r="A158" s="315" t="str">
        <f>IF(B158="","",IF(B157="",SUM(COUNT($A$5:A157)+1),""))</f>
        <v/>
      </c>
      <c r="B158" s="1223">
        <v>159200</v>
      </c>
      <c r="C158" s="1518" t="s">
        <v>2402</v>
      </c>
      <c r="D158" s="317">
        <v>0</v>
      </c>
      <c r="E158" s="318">
        <v>1091741</v>
      </c>
      <c r="F158" s="319"/>
      <c r="G158" s="320"/>
      <c r="H158" s="321"/>
      <c r="I158" s="322"/>
      <c r="J158" s="323"/>
    </row>
    <row r="159" spans="1:10">
      <c r="A159" s="315" t="str">
        <f>IF(B159="","",IF(B158="",SUM(COUNT($A$5:A158)+1),""))</f>
        <v/>
      </c>
      <c r="B159" s="1223">
        <v>641711</v>
      </c>
      <c r="C159" s="316" t="s">
        <v>156</v>
      </c>
      <c r="D159" s="317">
        <v>0</v>
      </c>
      <c r="E159" s="318">
        <v>61499</v>
      </c>
      <c r="F159" s="319"/>
      <c r="G159" s="320"/>
      <c r="H159" s="321"/>
      <c r="I159" s="322"/>
      <c r="J159" s="323"/>
    </row>
    <row r="160" spans="1:10">
      <c r="A160" s="315" t="str">
        <f>IF(B160="","",IF(B159="",SUM(COUNT($A$5:A159)+1),""))</f>
        <v/>
      </c>
      <c r="B160" s="1473">
        <v>159200</v>
      </c>
      <c r="C160" s="316" t="s">
        <v>2402</v>
      </c>
      <c r="D160" s="1474">
        <v>61499</v>
      </c>
      <c r="E160" s="1475">
        <v>0</v>
      </c>
      <c r="F160" s="319"/>
      <c r="G160" s="320"/>
      <c r="H160" s="321"/>
      <c r="I160" s="322"/>
      <c r="J160" s="323"/>
    </row>
    <row r="161" spans="1:10">
      <c r="A161" s="315" t="str">
        <f>IF(B161="","",IF(B160="",SUM(COUNT($A$5:A160)+1),""))</f>
        <v/>
      </c>
      <c r="B161" s="1473">
        <v>159300</v>
      </c>
      <c r="C161" s="316" t="s">
        <v>2479</v>
      </c>
      <c r="D161" s="1474">
        <v>0</v>
      </c>
      <c r="E161" s="1475">
        <v>10409</v>
      </c>
      <c r="F161" s="319"/>
      <c r="G161" s="320"/>
      <c r="H161" s="321"/>
      <c r="I161" s="322"/>
      <c r="J161" s="323"/>
    </row>
    <row r="162" spans="1:10">
      <c r="A162" s="315" t="str">
        <f>IF(B162="","",IF(B161="",SUM(COUNT($A$5:A161)+1),""))</f>
        <v/>
      </c>
      <c r="B162" s="1473">
        <v>159200</v>
      </c>
      <c r="C162" s="316" t="s">
        <v>2402</v>
      </c>
      <c r="D162" s="1476">
        <v>10409</v>
      </c>
      <c r="E162" s="1474">
        <v>0</v>
      </c>
      <c r="F162" s="319"/>
      <c r="G162" s="320"/>
      <c r="H162" s="321"/>
      <c r="I162" s="322"/>
      <c r="J162" s="323"/>
    </row>
    <row r="163" spans="1:10" ht="28.8">
      <c r="A163" s="315" t="str">
        <f>IF(B163="","",IF(B162="",SUM(COUNT($A$5:A162)+1),""))</f>
        <v/>
      </c>
      <c r="B163" s="1473">
        <v>641203</v>
      </c>
      <c r="C163" s="316" t="s">
        <v>2507</v>
      </c>
      <c r="D163" s="1476">
        <v>0</v>
      </c>
      <c r="E163" s="1474">
        <v>101739</v>
      </c>
      <c r="F163" s="319"/>
      <c r="G163" s="320"/>
      <c r="H163" s="321"/>
      <c r="I163" s="322"/>
      <c r="J163" s="323"/>
    </row>
    <row r="164" spans="1:10">
      <c r="A164" s="315" t="str">
        <f>IF(B164="","",IF(B163="",SUM(COUNT($A$5:A163)+1),""))</f>
        <v/>
      </c>
      <c r="B164" s="1473">
        <v>159300</v>
      </c>
      <c r="C164" s="316" t="s">
        <v>2479</v>
      </c>
      <c r="D164" s="1476">
        <v>101739</v>
      </c>
      <c r="E164" s="1476">
        <v>0</v>
      </c>
      <c r="F164" s="319"/>
      <c r="G164" s="320"/>
      <c r="H164" s="321"/>
      <c r="I164" s="322"/>
      <c r="J164" s="323"/>
    </row>
    <row r="165" spans="1:10">
      <c r="A165" s="315" t="str">
        <f>IF(B165="","",IF(B164="",SUM(COUNT($A$5:A164)+1),""))</f>
        <v/>
      </c>
      <c r="B165" s="1473">
        <v>427100</v>
      </c>
      <c r="C165" s="316" t="s">
        <v>2418</v>
      </c>
      <c r="D165" s="1476">
        <v>0</v>
      </c>
      <c r="E165" s="1474">
        <v>74997</v>
      </c>
      <c r="F165" s="319"/>
      <c r="G165" s="320"/>
      <c r="H165" s="321"/>
      <c r="I165" s="322"/>
      <c r="J165" s="323"/>
    </row>
    <row r="166" spans="1:10">
      <c r="A166" s="315" t="str">
        <f>IF(B166="","",IF(B165="",SUM(COUNT($A$5:A165)+1),""))</f>
        <v/>
      </c>
      <c r="B166" s="1473">
        <v>427100</v>
      </c>
      <c r="C166" s="316" t="s">
        <v>2418</v>
      </c>
      <c r="D166" s="1474">
        <v>74997</v>
      </c>
      <c r="E166" s="1474">
        <v>0</v>
      </c>
      <c r="F166" s="319"/>
      <c r="G166" s="1277">
        <f>IF(H166="PL - PL",0,IF(D166="",-E166,D166))</f>
        <v>74997</v>
      </c>
      <c r="H166" s="321"/>
      <c r="I166" s="322"/>
      <c r="J166" s="323"/>
    </row>
    <row r="167" spans="1:10">
      <c r="A167" s="315" t="str">
        <f>IF(B167="","",IF(B166="",SUM(COUNT($A$5:A166)+1),""))</f>
        <v/>
      </c>
      <c r="B167" s="1473">
        <v>427100</v>
      </c>
      <c r="C167" s="316" t="s">
        <v>2418</v>
      </c>
      <c r="D167" s="1474">
        <v>0</v>
      </c>
      <c r="E167" s="1475">
        <v>917</v>
      </c>
      <c r="F167" s="319"/>
      <c r="G167" s="320"/>
      <c r="H167" s="321"/>
      <c r="I167" s="322"/>
      <c r="J167" s="323"/>
    </row>
    <row r="168" spans="1:10">
      <c r="A168" s="315" t="str">
        <f>IF(B168="","",IF(B167="",SUM(COUNT($A$5:A167)+1),""))</f>
        <v/>
      </c>
      <c r="B168" s="1473">
        <v>762510</v>
      </c>
      <c r="C168" s="316" t="s">
        <v>2522</v>
      </c>
      <c r="D168" s="1474">
        <v>917</v>
      </c>
      <c r="E168" s="1475">
        <v>0</v>
      </c>
      <c r="F168" s="319"/>
      <c r="G168" s="320"/>
      <c r="H168" s="321"/>
      <c r="I168" s="322"/>
      <c r="J168" s="323"/>
    </row>
    <row r="169" spans="1:10">
      <c r="A169" s="315" t="str">
        <f>IF(B169="","",IF(B168="",SUM(COUNT($A$5:A168)+1),""))</f>
        <v/>
      </c>
      <c r="B169" s="1473">
        <v>427100</v>
      </c>
      <c r="C169" s="316" t="s">
        <v>2418</v>
      </c>
      <c r="D169" s="1474">
        <v>0</v>
      </c>
      <c r="E169" s="1475">
        <v>87685</v>
      </c>
      <c r="F169" s="319"/>
      <c r="G169" s="1277">
        <f>IF(H169="PL - PL",0,IF(D169="",-E169,D169))</f>
        <v>0</v>
      </c>
      <c r="H169" s="321"/>
      <c r="I169" s="322"/>
      <c r="J169" s="323"/>
    </row>
    <row r="170" spans="1:10">
      <c r="A170" s="315" t="str">
        <f>IF(B170="","",IF(B169="",SUM(COUNT($A$5:A169)+1),""))</f>
        <v/>
      </c>
      <c r="B170" s="1223">
        <v>427100</v>
      </c>
      <c r="C170" s="1518" t="s">
        <v>2418</v>
      </c>
      <c r="D170" s="318">
        <v>87685</v>
      </c>
      <c r="E170" s="318">
        <v>0</v>
      </c>
      <c r="F170" s="319"/>
      <c r="G170" s="320"/>
      <c r="H170" s="321"/>
      <c r="I170" s="322"/>
      <c r="J170" s="323"/>
    </row>
    <row r="171" spans="1:10">
      <c r="A171" s="315" t="str">
        <f>IF(B171="","",IF(B170="",SUM(COUNT($A$5:A170)+1),""))</f>
        <v/>
      </c>
      <c r="B171" s="1223">
        <v>467010</v>
      </c>
      <c r="C171" s="316" t="s">
        <v>2440</v>
      </c>
      <c r="D171" s="317">
        <v>0</v>
      </c>
      <c r="E171" s="317">
        <v>43863</v>
      </c>
      <c r="F171" s="319"/>
      <c r="G171" s="320"/>
      <c r="H171" s="321"/>
      <c r="I171" s="322"/>
      <c r="J171" s="323"/>
    </row>
    <row r="172" spans="1:10">
      <c r="A172" s="315" t="str">
        <f>IF(B172="","",IF(B171="",SUM(COUNT($A$5:A171)+1),""))</f>
        <v/>
      </c>
      <c r="B172" s="1473">
        <v>437407</v>
      </c>
      <c r="C172" s="316" t="s">
        <v>1427</v>
      </c>
      <c r="D172" s="1477">
        <v>43863</v>
      </c>
      <c r="E172" s="1477">
        <v>0</v>
      </c>
      <c r="F172" s="319"/>
      <c r="G172" s="320"/>
      <c r="H172" s="321"/>
      <c r="I172" s="322"/>
      <c r="J172" s="323"/>
    </row>
    <row r="173" spans="1:10" ht="28.8">
      <c r="A173" s="315" t="str">
        <f>IF(B173="","",IF(B172="",SUM(COUNT($A$5:A172)+1),""))</f>
        <v/>
      </c>
      <c r="B173" s="1473">
        <v>4085000</v>
      </c>
      <c r="C173" s="316" t="s">
        <v>2657</v>
      </c>
      <c r="D173" s="1477">
        <v>0</v>
      </c>
      <c r="E173" s="1478">
        <v>28980</v>
      </c>
      <c r="F173" s="319"/>
      <c r="G173" s="320"/>
      <c r="H173" s="321"/>
      <c r="I173" s="322"/>
      <c r="J173" s="323"/>
    </row>
    <row r="174" spans="1:10">
      <c r="A174" s="315" t="str">
        <f>IF(B174="","",IF(B173="",SUM(COUNT($A$5:A173)+1),""))</f>
        <v/>
      </c>
      <c r="B174" s="1223">
        <v>606130</v>
      </c>
      <c r="C174" s="1518" t="s">
        <v>2497</v>
      </c>
      <c r="D174" s="317">
        <v>32200</v>
      </c>
      <c r="E174" s="318">
        <v>0</v>
      </c>
      <c r="F174" s="319"/>
      <c r="G174" s="320"/>
      <c r="H174" s="321"/>
      <c r="I174" s="322"/>
      <c r="J174" s="323"/>
    </row>
    <row r="175" spans="1:10">
      <c r="A175" s="315" t="str">
        <f>IF(B175="","",IF(B174="",SUM(COUNT($A$5:A174)+1),""))</f>
        <v/>
      </c>
      <c r="B175" s="282">
        <v>437407</v>
      </c>
      <c r="C175" s="316" t="s">
        <v>1427</v>
      </c>
      <c r="D175" s="318">
        <v>0</v>
      </c>
      <c r="E175" s="318">
        <v>3220</v>
      </c>
      <c r="F175" s="319"/>
      <c r="G175" s="320"/>
      <c r="H175" s="321"/>
      <c r="I175" s="322"/>
      <c r="J175" s="323"/>
    </row>
    <row r="176" spans="1:10" ht="28.8">
      <c r="A176" s="315"/>
      <c r="B176" s="282">
        <v>4085000</v>
      </c>
      <c r="C176" s="316" t="s">
        <v>2657</v>
      </c>
      <c r="D176" s="318">
        <v>0</v>
      </c>
      <c r="E176" s="318">
        <v>32200</v>
      </c>
      <c r="F176" s="319"/>
      <c r="G176" s="320"/>
      <c r="H176" s="321"/>
      <c r="I176" s="322"/>
      <c r="J176" s="323"/>
    </row>
    <row r="177" spans="1:10">
      <c r="A177" s="315" t="str">
        <f>IF(B177="","",IF(B175="",SUM(COUNT($A$5:A175)+1),""))</f>
        <v/>
      </c>
      <c r="B177" s="282">
        <v>606130</v>
      </c>
      <c r="C177" s="316" t="s">
        <v>2497</v>
      </c>
      <c r="D177" s="318">
        <v>31000</v>
      </c>
      <c r="E177" s="318">
        <v>0</v>
      </c>
      <c r="F177" s="319"/>
      <c r="G177" s="320"/>
      <c r="H177" s="321"/>
      <c r="I177" s="322"/>
      <c r="J177" s="323"/>
    </row>
    <row r="178" spans="1:10">
      <c r="A178" s="315" t="str">
        <f>IF(B178="","",IF(B177="",SUM(COUNT($A$5:A177)+1),""))</f>
        <v/>
      </c>
      <c r="B178" s="282">
        <v>606130</v>
      </c>
      <c r="C178" s="316" t="s">
        <v>2497</v>
      </c>
      <c r="D178" s="317">
        <v>1200</v>
      </c>
      <c r="E178" s="318">
        <v>0</v>
      </c>
      <c r="F178" s="319"/>
      <c r="G178" s="320"/>
      <c r="H178" s="321"/>
      <c r="I178" s="322"/>
      <c r="J178" s="323"/>
    </row>
    <row r="179" spans="1:10" ht="28.8">
      <c r="A179" s="315" t="str">
        <f>IF(B179="","",IF(B178="",SUM(COUNT($A$5:A178)+1),""))</f>
        <v/>
      </c>
      <c r="B179" s="282">
        <v>4015000</v>
      </c>
      <c r="C179" s="316" t="s">
        <v>2407</v>
      </c>
      <c r="D179" s="317">
        <v>3360</v>
      </c>
      <c r="E179" s="318">
        <v>0</v>
      </c>
      <c r="F179" s="319"/>
      <c r="G179" s="320"/>
      <c r="H179" s="321"/>
      <c r="I179" s="322"/>
      <c r="J179" s="323"/>
    </row>
    <row r="180" spans="1:10">
      <c r="A180" s="315" t="str">
        <f>IF(B180="","",IF(B179="",SUM(COUNT($A$5:A179)+1),""))</f>
        <v/>
      </c>
      <c r="B180" s="282">
        <v>457000</v>
      </c>
      <c r="C180" s="316" t="s">
        <v>2549</v>
      </c>
      <c r="D180" s="317">
        <v>0</v>
      </c>
      <c r="E180" s="318">
        <v>3360</v>
      </c>
      <c r="F180" s="319"/>
      <c r="G180" s="320"/>
      <c r="H180" s="321"/>
      <c r="I180" s="322"/>
      <c r="J180" s="323"/>
    </row>
    <row r="181" spans="1:10">
      <c r="A181" s="315" t="str">
        <f>IF(B181="","",IF(B180="",SUM(COUNT($A$5:A180)+1),""))</f>
        <v/>
      </c>
      <c r="B181" s="282">
        <v>4181500</v>
      </c>
      <c r="C181" s="316" t="s">
        <v>2680</v>
      </c>
      <c r="D181" s="317">
        <v>0</v>
      </c>
      <c r="E181" s="318">
        <v>590750.3241953</v>
      </c>
      <c r="F181" s="319"/>
      <c r="G181" s="320"/>
      <c r="H181" s="321"/>
      <c r="I181" s="322"/>
      <c r="J181" s="323"/>
    </row>
    <row r="182" spans="1:10">
      <c r="A182" s="315" t="str">
        <f>IF(B182="","",IF(B181="",SUM(COUNT($A$5:A181)+1),""))</f>
        <v/>
      </c>
      <c r="B182" s="282">
        <v>779000</v>
      </c>
      <c r="C182" s="316" t="s">
        <v>2609</v>
      </c>
      <c r="D182" s="317">
        <v>589787.69666666677</v>
      </c>
      <c r="E182" s="317">
        <v>0</v>
      </c>
      <c r="F182" s="319"/>
      <c r="G182" s="320"/>
      <c r="H182" s="321"/>
      <c r="I182" s="322"/>
      <c r="J182" s="323"/>
    </row>
    <row r="183" spans="1:10">
      <c r="A183" s="315" t="str">
        <f>IF(B183="","",IF(B182="",SUM(COUNT($A$5:A182)+1),""))</f>
        <v/>
      </c>
      <c r="B183" s="1223">
        <v>766000</v>
      </c>
      <c r="C183" s="316" t="s">
        <v>2677</v>
      </c>
      <c r="D183" s="317">
        <v>962.62752863322385</v>
      </c>
      <c r="E183" s="318">
        <v>0</v>
      </c>
      <c r="F183" s="319"/>
      <c r="G183" s="320"/>
      <c r="H183" s="321"/>
      <c r="I183" s="322"/>
      <c r="J183" s="323"/>
    </row>
    <row r="184" spans="1:10">
      <c r="A184" s="315" t="str">
        <f>IF(B184="","",IF(B183="",SUM(COUNT($A$5:A183)+1),""))</f>
        <v/>
      </c>
      <c r="B184" s="1223">
        <v>4181500</v>
      </c>
      <c r="C184" s="316" t="s">
        <v>2680</v>
      </c>
      <c r="D184" s="317">
        <v>0</v>
      </c>
      <c r="E184" s="318">
        <v>74731.54885261145</v>
      </c>
      <c r="F184" s="319"/>
      <c r="G184" s="320"/>
      <c r="H184" s="321"/>
      <c r="I184" s="322"/>
      <c r="J184" s="323"/>
    </row>
    <row r="185" spans="1:10">
      <c r="A185" s="315" t="str">
        <f>IF(B185="","",IF(B184="",SUM(COUNT($A$5:A184)+1),""))</f>
        <v/>
      </c>
      <c r="B185" s="1223">
        <v>779000</v>
      </c>
      <c r="C185" s="316" t="s">
        <v>2609</v>
      </c>
      <c r="D185" s="317">
        <v>74609.773809523802</v>
      </c>
      <c r="E185" s="318">
        <v>0</v>
      </c>
      <c r="F185" s="319"/>
      <c r="G185" s="320"/>
      <c r="H185" s="321"/>
      <c r="I185" s="322"/>
      <c r="J185" s="323"/>
    </row>
    <row r="186" spans="1:10">
      <c r="A186" s="315" t="str">
        <f>IF(B186="","",IF(B185="",SUM(COUNT($A$5:A185)+1),""))</f>
        <v/>
      </c>
      <c r="B186" s="1223">
        <v>766000</v>
      </c>
      <c r="C186" s="316" t="s">
        <v>2677</v>
      </c>
      <c r="D186" s="317">
        <v>121.77504308764765</v>
      </c>
      <c r="E186" s="318">
        <v>0</v>
      </c>
      <c r="F186" s="319"/>
      <c r="G186" s="320"/>
      <c r="H186" s="321"/>
      <c r="I186" s="322"/>
      <c r="J186" s="323"/>
    </row>
    <row r="187" spans="1:10">
      <c r="A187" s="315" t="str">
        <f>IF(B187="","",IF(B186="",SUM(COUNT($A$5:A186)+1),""))</f>
        <v/>
      </c>
      <c r="B187" s="1223">
        <v>4181500</v>
      </c>
      <c r="C187" s="316" t="s">
        <v>2680</v>
      </c>
      <c r="D187" s="317">
        <v>38504.722956264122</v>
      </c>
      <c r="E187" s="318">
        <v>0</v>
      </c>
      <c r="F187" s="319"/>
      <c r="G187" s="320"/>
      <c r="H187" s="321"/>
      <c r="I187" s="322"/>
      <c r="J187" s="323"/>
    </row>
    <row r="188" spans="1:10">
      <c r="A188" s="315" t="str">
        <f>IF(B188="","",IF(B187="",SUM(COUNT($A$5:A187)+1),""))</f>
        <v/>
      </c>
      <c r="B188" s="1223">
        <v>779000</v>
      </c>
      <c r="C188" s="1518" t="s">
        <v>2609</v>
      </c>
      <c r="D188" s="317">
        <v>0</v>
      </c>
      <c r="E188" s="318">
        <v>38158.739206349157</v>
      </c>
      <c r="F188" s="319"/>
      <c r="G188" s="320"/>
      <c r="H188" s="321"/>
      <c r="I188" s="322"/>
      <c r="J188" s="323"/>
    </row>
    <row r="189" spans="1:10">
      <c r="A189" s="315" t="str">
        <f>IF(B189="","",IF(B188="",SUM(COUNT($A$5:A188)+1),""))</f>
        <v/>
      </c>
      <c r="B189" s="1223">
        <v>666000</v>
      </c>
      <c r="C189" s="316" t="s">
        <v>2675</v>
      </c>
      <c r="D189" s="317">
        <v>0</v>
      </c>
      <c r="E189" s="318">
        <v>345.9837499149653</v>
      </c>
      <c r="F189" s="319"/>
      <c r="G189" s="320"/>
      <c r="H189" s="321"/>
      <c r="I189" s="322"/>
      <c r="J189" s="323"/>
    </row>
    <row r="190" spans="1:10">
      <c r="A190" s="315" t="str">
        <f>IF(B190="","",IF(B189="",SUM(COUNT($A$5:A189)+1),""))</f>
        <v/>
      </c>
      <c r="B190" s="1223">
        <v>444400</v>
      </c>
      <c r="C190" s="316" t="s">
        <v>2542</v>
      </c>
      <c r="D190" s="317">
        <v>0</v>
      </c>
      <c r="E190" s="318">
        <v>13209712.465055401</v>
      </c>
      <c r="F190" s="319"/>
      <c r="G190" s="320"/>
      <c r="H190" s="321"/>
      <c r="I190" s="322"/>
      <c r="J190" s="323"/>
    </row>
    <row r="191" spans="1:10">
      <c r="A191" s="315" t="str">
        <f>IF(B191="","",IF(B190="",SUM(COUNT($A$5:A190)+1),""))</f>
        <v/>
      </c>
      <c r="B191" s="1223">
        <v>444410</v>
      </c>
      <c r="C191" s="316" t="s">
        <v>2543</v>
      </c>
      <c r="D191" s="317">
        <v>12144880.52</v>
      </c>
      <c r="E191" s="318">
        <v>0</v>
      </c>
      <c r="F191" s="319"/>
      <c r="G191" s="320"/>
      <c r="H191" s="321"/>
      <c r="I191" s="322"/>
      <c r="J191" s="323"/>
    </row>
    <row r="192" spans="1:10">
      <c r="A192" s="315" t="str">
        <f>IF(B192="","",IF(B191="",SUM(COUNT($A$5:A191)+1),""))</f>
        <v/>
      </c>
      <c r="B192" s="1223">
        <v>695000</v>
      </c>
      <c r="C192" s="316" t="s">
        <v>2560</v>
      </c>
      <c r="D192" s="317">
        <v>1064831.9473236464</v>
      </c>
      <c r="E192" s="318">
        <v>0</v>
      </c>
      <c r="F192" s="319"/>
      <c r="G192" s="320"/>
      <c r="H192" s="321"/>
      <c r="I192" s="322"/>
      <c r="J192" s="323"/>
    </row>
    <row r="193" spans="1:10">
      <c r="A193" s="315" t="str">
        <f>IF(B193="","",IF(B192="",SUM(COUNT($A$5:A192)+1),""))</f>
        <v/>
      </c>
      <c r="B193" s="1223">
        <v>467100</v>
      </c>
      <c r="C193" s="316" t="s">
        <v>2548</v>
      </c>
      <c r="D193" s="317">
        <v>0</v>
      </c>
      <c r="E193" s="318">
        <v>100000</v>
      </c>
      <c r="F193" s="319"/>
      <c r="G193" s="320"/>
      <c r="H193" s="321"/>
      <c r="I193" s="322"/>
      <c r="J193" s="323"/>
    </row>
    <row r="194" spans="1:10">
      <c r="A194" s="315" t="str">
        <f>IF(B194="","",IF(B193="",SUM(COUNT($A$5:A193)+1),""))</f>
        <v/>
      </c>
      <c r="B194" s="1223">
        <v>704670</v>
      </c>
      <c r="C194" s="316" t="s">
        <v>2798</v>
      </c>
      <c r="D194" s="317">
        <v>100000</v>
      </c>
      <c r="E194" s="317">
        <v>0</v>
      </c>
      <c r="F194" s="319"/>
      <c r="G194" s="320"/>
      <c r="H194" s="321"/>
      <c r="I194" s="322"/>
      <c r="J194" s="323"/>
    </row>
    <row r="195" spans="1:10">
      <c r="A195" s="315" t="str">
        <f>IF(B195="","",IF(B194="",SUM(COUNT($A$5:A194)+1),""))</f>
        <v/>
      </c>
      <c r="B195" s="1223"/>
      <c r="C195" s="316"/>
      <c r="D195" s="317"/>
      <c r="E195" s="318"/>
      <c r="F195" s="319"/>
      <c r="G195" s="320"/>
      <c r="H195" s="321"/>
      <c r="I195" s="322"/>
      <c r="J195" s="323"/>
    </row>
    <row r="196" spans="1:10" ht="28.8">
      <c r="A196" s="315">
        <f>IF(B196="","",IF(B195="",SUM(COUNT($A$5:A195)+1),""))</f>
        <v>2</v>
      </c>
      <c r="B196" s="1223">
        <v>51150215</v>
      </c>
      <c r="C196" s="316" t="str">
        <f>VLOOKUP(B196,[102]Sheet1!$C$198:$D$223,2,FALSE)</f>
        <v>J. P. Morgan Chase Bank N.A.-INR-Pymt</v>
      </c>
      <c r="D196" s="317">
        <v>0</v>
      </c>
      <c r="E196" s="318">
        <v>8722</v>
      </c>
      <c r="F196" s="319"/>
      <c r="G196" s="320"/>
      <c r="H196" s="321"/>
      <c r="I196" s="322"/>
      <c r="J196" s="323"/>
    </row>
    <row r="197" spans="1:10">
      <c r="A197" s="315" t="str">
        <f>IF(B197="","",IF(B196="",SUM(COUNT($A$5:A196)+1),""))</f>
        <v/>
      </c>
      <c r="B197" s="1223">
        <v>4510000</v>
      </c>
      <c r="C197" s="316" t="str">
        <f>VLOOKUP(B197,[102]Sheet1!$C$198:$D$223,2,FALSE)</f>
        <v>Current Account</v>
      </c>
      <c r="D197" s="317">
        <v>8722</v>
      </c>
      <c r="E197" s="318">
        <v>0</v>
      </c>
      <c r="F197" s="319"/>
      <c r="G197" s="320"/>
      <c r="H197" s="321"/>
      <c r="I197" s="322"/>
      <c r="J197" s="323"/>
    </row>
    <row r="198" spans="1:10" ht="28.8">
      <c r="A198" s="315" t="str">
        <f>IF(B198="","",IF(B197="",SUM(COUNT($A$5:A197)+1),""))</f>
        <v/>
      </c>
      <c r="B198" s="1223">
        <v>51150216</v>
      </c>
      <c r="C198" s="316" t="str">
        <f>VLOOKUP(B198,[102]Sheet1!$C$198:$D$223,2,FALSE)</f>
        <v>J. P. Morgan Chase Bank N.A.-INR-Pymt</v>
      </c>
      <c r="D198" s="317">
        <v>0</v>
      </c>
      <c r="E198" s="318">
        <v>431085</v>
      </c>
      <c r="F198" s="319"/>
      <c r="G198" s="320"/>
      <c r="H198" s="321"/>
      <c r="I198" s="322"/>
      <c r="J198" s="323"/>
    </row>
    <row r="199" spans="1:10">
      <c r="A199" s="315" t="str">
        <f>IF(B199="","",IF(B198="",SUM(COUNT($A$5:A198)+1),""))</f>
        <v/>
      </c>
      <c r="B199" s="1223">
        <v>4510000</v>
      </c>
      <c r="C199" s="316" t="str">
        <f>VLOOKUP(B199,[102]Sheet1!$C$198:$D$223,2,FALSE)</f>
        <v>Current Account</v>
      </c>
      <c r="D199" s="317">
        <v>431085</v>
      </c>
      <c r="E199" s="318">
        <v>0</v>
      </c>
      <c r="F199" s="319"/>
      <c r="G199" s="320"/>
      <c r="H199" s="321"/>
      <c r="I199" s="322"/>
      <c r="J199" s="323"/>
    </row>
    <row r="200" spans="1:10" ht="28.8">
      <c r="A200" s="315" t="str">
        <f>IF(B200="","",IF(B199="",SUM(COUNT($A$5:A199)+1),""))</f>
        <v/>
      </c>
      <c r="B200" s="1223">
        <v>51150215</v>
      </c>
      <c r="C200" s="316" t="str">
        <f>VLOOKUP(B200,[102]Sheet1!$C$198:$D$223,2,FALSE)</f>
        <v>J. P. Morgan Chase Bank N.A.-INR-Pymt</v>
      </c>
      <c r="D200" s="317">
        <v>0</v>
      </c>
      <c r="E200" s="318">
        <v>350</v>
      </c>
      <c r="F200" s="319"/>
      <c r="G200" s="320"/>
      <c r="H200" s="321"/>
      <c r="I200" s="322"/>
      <c r="J200" s="323"/>
    </row>
    <row r="201" spans="1:10">
      <c r="A201" s="315" t="str">
        <f>IF(B201="","",IF(B200="",SUM(COUNT($A$5:A200)+1),""))</f>
        <v/>
      </c>
      <c r="B201" s="1223">
        <v>4510000</v>
      </c>
      <c r="C201" s="316" t="str">
        <f>VLOOKUP(B201,[102]Sheet1!$C$198:$D$223,2,FALSE)</f>
        <v>Current Account</v>
      </c>
      <c r="D201" s="317">
        <v>350</v>
      </c>
      <c r="E201" s="318">
        <v>0</v>
      </c>
      <c r="F201" s="319"/>
      <c r="G201" s="320"/>
      <c r="H201" s="321"/>
      <c r="I201" s="322"/>
      <c r="J201" s="323"/>
    </row>
    <row r="202" spans="1:10">
      <c r="A202" s="315" t="str">
        <f>IF(B202="","",IF(B200="",SUM(COUNT($A$5:A200)+1),""))</f>
        <v/>
      </c>
      <c r="B202" s="1223">
        <v>51120215</v>
      </c>
      <c r="C202" s="316" t="str">
        <f>VLOOKUP(B202,[102]Sheet1!$C$198:$D$223,2,FALSE)</f>
        <v>J. P. Morgan Chase Bank N.A.-INR-Rcpt</v>
      </c>
      <c r="D202" s="317">
        <v>3000000</v>
      </c>
      <c r="E202" s="318">
        <v>0</v>
      </c>
      <c r="F202" s="319"/>
      <c r="G202" s="320"/>
      <c r="H202" s="321"/>
      <c r="I202" s="322"/>
      <c r="J202" s="323"/>
    </row>
    <row r="203" spans="1:10">
      <c r="A203" s="315" t="str">
        <f>IF(B203="","",IF(B202="",SUM(COUNT($A$5:A202)+1),""))</f>
        <v/>
      </c>
      <c r="B203" s="1223">
        <v>4510000</v>
      </c>
      <c r="C203" s="316" t="str">
        <f>VLOOKUP(B203,[102]Sheet1!$C$198:$D$223,2,FALSE)</f>
        <v>Current Account</v>
      </c>
      <c r="D203" s="317">
        <v>0</v>
      </c>
      <c r="E203" s="318">
        <v>3000000</v>
      </c>
      <c r="F203" s="319"/>
      <c r="G203" s="320"/>
      <c r="H203" s="321"/>
      <c r="I203" s="322"/>
      <c r="J203" s="323"/>
    </row>
    <row r="204" spans="1:10" ht="28.8">
      <c r="A204" s="315" t="str">
        <f>IF(B204="","",IF(B203="",SUM(COUNT($A$5:A203)+1),""))</f>
        <v/>
      </c>
      <c r="B204" s="1223">
        <v>51200215</v>
      </c>
      <c r="C204" s="316" t="str">
        <f>VLOOKUP(B204,[102]Sheet1!$C$198:$D$223,2,FALSE)</f>
        <v>J. P. Morgan Chase Bank N.A.-INR-Main</v>
      </c>
      <c r="D204" s="317">
        <v>0</v>
      </c>
      <c r="E204" s="318">
        <v>4250000</v>
      </c>
      <c r="F204" s="319"/>
      <c r="G204" s="320"/>
      <c r="H204" s="321"/>
      <c r="I204" s="322"/>
      <c r="J204" s="323"/>
    </row>
    <row r="205" spans="1:10">
      <c r="A205" s="315" t="str">
        <f>IF(B205="","",IF(B204="",SUM(COUNT($A$5:A204)+1),""))</f>
        <v/>
      </c>
      <c r="B205" s="1223">
        <v>4510000</v>
      </c>
      <c r="C205" s="316" t="str">
        <f>VLOOKUP(B205,[102]Sheet1!$C$198:$D$223,2,FALSE)</f>
        <v>Current Account</v>
      </c>
      <c r="D205" s="317">
        <v>4250000</v>
      </c>
      <c r="E205" s="318">
        <v>0</v>
      </c>
      <c r="F205" s="319"/>
      <c r="G205" s="320"/>
      <c r="H205" s="321"/>
      <c r="I205" s="322"/>
      <c r="J205" s="323"/>
    </row>
    <row r="206" spans="1:10" ht="28.8">
      <c r="A206" s="315" t="str">
        <f>IF(B206="","",IF(B204="",SUM(COUNT($A$5:A204)+1),""))</f>
        <v/>
      </c>
      <c r="B206" s="1223">
        <v>51200215</v>
      </c>
      <c r="C206" s="316" t="str">
        <f>VLOOKUP(B206,[102]Sheet1!$C$198:$D$223,2,FALSE)</f>
        <v>J. P. Morgan Chase Bank N.A.-INR-Main</v>
      </c>
      <c r="D206" s="317">
        <v>1250000</v>
      </c>
      <c r="E206" s="318">
        <v>0</v>
      </c>
      <c r="F206" s="319"/>
      <c r="G206" s="320"/>
      <c r="H206" s="321"/>
      <c r="I206" s="322"/>
      <c r="J206" s="323"/>
    </row>
    <row r="207" spans="1:10">
      <c r="A207" s="315" t="str">
        <f>IF(B207="","",IF(B206="",SUM(COUNT($A$5:A206)+1),""))</f>
        <v/>
      </c>
      <c r="B207" s="1223">
        <v>4510000</v>
      </c>
      <c r="C207" s="316" t="str">
        <f>VLOOKUP(B207,[102]Sheet1!$C$198:$D$223,2,FALSE)</f>
        <v>Current Account</v>
      </c>
      <c r="D207" s="317">
        <v>0</v>
      </c>
      <c r="E207" s="318">
        <v>1250000</v>
      </c>
      <c r="F207" s="319"/>
      <c r="G207" s="320"/>
      <c r="H207" s="321"/>
      <c r="I207" s="322"/>
      <c r="J207" s="323"/>
    </row>
    <row r="208" spans="1:10">
      <c r="A208" s="315" t="str">
        <f>IF(B208="","",IF(B207="",SUM(COUNT($A$5:A207)+1),""))</f>
        <v/>
      </c>
      <c r="B208" s="1223">
        <v>51120217</v>
      </c>
      <c r="C208" s="316" t="str">
        <f>VLOOKUP(B208,[102]Sheet1!$C$198:$D$223,2,FALSE)</f>
        <v>J. P. Morgan Chase Bank N.A.-INR-Rcpt</v>
      </c>
      <c r="D208" s="317">
        <v>20900000</v>
      </c>
      <c r="E208" s="318">
        <v>0</v>
      </c>
      <c r="F208" s="319"/>
      <c r="G208" s="320"/>
      <c r="H208" s="321"/>
      <c r="I208" s="322"/>
      <c r="J208" s="323"/>
    </row>
    <row r="209" spans="1:10">
      <c r="A209" s="315" t="str">
        <f>IF(B209="","",IF(B208="",SUM(COUNT($A$5:A208)+1),""))</f>
        <v/>
      </c>
      <c r="B209" s="1223">
        <v>4510000</v>
      </c>
      <c r="C209" s="316" t="str">
        <f>VLOOKUP(B209,[102]Sheet1!$C$198:$D$223,2,FALSE)</f>
        <v>Current Account</v>
      </c>
      <c r="D209" s="317">
        <v>0</v>
      </c>
      <c r="E209" s="318">
        <v>20900000</v>
      </c>
      <c r="F209" s="319"/>
      <c r="G209" s="320"/>
      <c r="H209" s="321"/>
      <c r="I209" s="322"/>
      <c r="J209" s="323"/>
    </row>
    <row r="210" spans="1:10" ht="28.8">
      <c r="A210" s="315" t="str">
        <f>IF(B210="","",IF(B209="",SUM(COUNT($A$5:A209)+1),""))</f>
        <v/>
      </c>
      <c r="B210" s="1223">
        <v>51150217</v>
      </c>
      <c r="C210" s="316" t="str">
        <f>VLOOKUP(B210,[102]Sheet1!$C$198:$D$223,2,FALSE)</f>
        <v>J. P. Morgan Chase Bank N.A.-INR-Pymt</v>
      </c>
      <c r="D210" s="317">
        <v>0</v>
      </c>
      <c r="E210" s="318">
        <v>22000000</v>
      </c>
      <c r="F210" s="319"/>
      <c r="G210" s="320"/>
      <c r="H210" s="321"/>
      <c r="I210" s="322"/>
      <c r="J210" s="323"/>
    </row>
    <row r="211" spans="1:10">
      <c r="A211" s="315" t="str">
        <f>IF(B211="","",IF(B210="",SUM(COUNT($A$5:A210)+1),""))</f>
        <v/>
      </c>
      <c r="B211" s="1223">
        <v>4510000</v>
      </c>
      <c r="C211" s="316" t="str">
        <f>VLOOKUP(B211,[102]Sheet1!$C$198:$D$223,2,FALSE)</f>
        <v>Current Account</v>
      </c>
      <c r="D211" s="317">
        <v>22000000</v>
      </c>
      <c r="E211" s="318">
        <v>0</v>
      </c>
      <c r="F211" s="319"/>
      <c r="G211" s="320"/>
      <c r="H211" s="321"/>
      <c r="I211" s="322"/>
      <c r="J211" s="323"/>
    </row>
    <row r="212" spans="1:10" ht="28.8">
      <c r="A212" s="315" t="str">
        <f>IF(B212="","",IF(B211="",SUM(COUNT($A$5:A211)+1),""))</f>
        <v/>
      </c>
      <c r="B212" s="1223">
        <v>51200217</v>
      </c>
      <c r="C212" s="316" t="str">
        <f>VLOOKUP(B212,[102]Sheet1!$C$198:$D$223,2,FALSE)</f>
        <v>J. P. Morgan Chase Bank N.A.-INR-Main</v>
      </c>
      <c r="D212" s="317">
        <v>1100000</v>
      </c>
      <c r="E212" s="318">
        <v>0</v>
      </c>
      <c r="F212" s="319"/>
      <c r="G212" s="320"/>
      <c r="H212" s="321"/>
      <c r="I212" s="322"/>
      <c r="J212" s="323"/>
    </row>
    <row r="213" spans="1:10">
      <c r="A213" s="315" t="str">
        <f>IF(B213="","",IF(B212="",SUM(COUNT($A$5:A212)+1),""))</f>
        <v/>
      </c>
      <c r="B213" s="1223">
        <v>4510000</v>
      </c>
      <c r="C213" s="316" t="str">
        <f>VLOOKUP(B213,[102]Sheet1!$C$198:$D$223,2,FALSE)</f>
        <v>Current Account</v>
      </c>
      <c r="D213" s="317">
        <v>0</v>
      </c>
      <c r="E213" s="318">
        <v>1100000</v>
      </c>
      <c r="F213" s="319"/>
      <c r="G213" s="320"/>
      <c r="H213" s="321"/>
      <c r="I213" s="322"/>
      <c r="J213" s="323"/>
    </row>
    <row r="214" spans="1:10" ht="28.8">
      <c r="A214" s="315" t="str">
        <f>IF(B214="","",IF(B213="",SUM(COUNT($A$5:A213)+1),""))</f>
        <v/>
      </c>
      <c r="B214" s="1223">
        <v>51150215</v>
      </c>
      <c r="C214" s="316" t="str">
        <f>VLOOKUP(B214,[102]Sheet1!$C$198:$D$223,2,FALSE)</f>
        <v>J. P. Morgan Chase Bank N.A.-INR-Pymt</v>
      </c>
      <c r="D214" s="317">
        <v>0</v>
      </c>
      <c r="E214" s="318">
        <v>1250000</v>
      </c>
      <c r="F214" s="319"/>
      <c r="G214" s="320"/>
      <c r="H214" s="321"/>
      <c r="I214" s="322"/>
      <c r="J214" s="323"/>
    </row>
    <row r="215" spans="1:10">
      <c r="A215" s="315" t="str">
        <f>IF(B215="","",IF(B214="",SUM(COUNT($A$5:A214)+1),""))</f>
        <v/>
      </c>
      <c r="B215" s="1223">
        <v>4510000</v>
      </c>
      <c r="C215" s="316" t="str">
        <f>VLOOKUP(B215,[102]Sheet1!$C$198:$D$223,2,FALSE)</f>
        <v>Current Account</v>
      </c>
      <c r="D215" s="317">
        <v>1250000</v>
      </c>
      <c r="E215" s="318">
        <v>0</v>
      </c>
      <c r="F215" s="319"/>
      <c r="G215" s="320"/>
      <c r="H215" s="321"/>
      <c r="I215" s="322"/>
      <c r="J215" s="323"/>
    </row>
    <row r="216" spans="1:10" ht="28.8">
      <c r="A216" s="315" t="str">
        <f>IF(B216="","",IF(B215="",SUM(COUNT($A$5:A215)+1),""))</f>
        <v/>
      </c>
      <c r="B216" s="1223">
        <v>51200215</v>
      </c>
      <c r="C216" s="316" t="str">
        <f>VLOOKUP(B216,[102]Sheet1!$C$198:$D$223,2,FALSE)</f>
        <v>J. P. Morgan Chase Bank N.A.-INR-Main</v>
      </c>
      <c r="D216" s="317">
        <v>1250000</v>
      </c>
      <c r="E216" s="318">
        <v>0</v>
      </c>
      <c r="F216" s="319"/>
      <c r="G216" s="320"/>
      <c r="H216" s="321"/>
      <c r="I216" s="322"/>
      <c r="J216" s="323"/>
    </row>
    <row r="217" spans="1:10">
      <c r="A217" s="315" t="str">
        <f>IF(B217="","",IF(B216="",SUM(COUNT($A$5:A216)+1),""))</f>
        <v/>
      </c>
      <c r="B217" s="1223">
        <v>4510000</v>
      </c>
      <c r="C217" s="316" t="str">
        <f>VLOOKUP(B217,[102]Sheet1!$C$198:$D$223,2,FALSE)</f>
        <v>Current Account</v>
      </c>
      <c r="D217" s="317">
        <v>0</v>
      </c>
      <c r="E217" s="318">
        <v>1250000</v>
      </c>
      <c r="F217" s="319"/>
      <c r="G217" s="320"/>
      <c r="H217" s="321"/>
      <c r="I217" s="322"/>
      <c r="J217" s="323"/>
    </row>
    <row r="218" spans="1:10" ht="28.8">
      <c r="A218" s="315" t="str">
        <f>IF(B218="","",IF(B217="",SUM(COUNT($A$5:A217)+1),""))</f>
        <v/>
      </c>
      <c r="B218" s="1223">
        <v>51150215</v>
      </c>
      <c r="C218" s="316" t="str">
        <f>VLOOKUP(B218,[102]Sheet1!$C$198:$D$223,2,FALSE)</f>
        <v>J. P. Morgan Chase Bank N.A.-INR-Pymt</v>
      </c>
      <c r="D218" s="317">
        <v>0</v>
      </c>
      <c r="E218" s="318">
        <v>300</v>
      </c>
      <c r="F218" s="319"/>
      <c r="G218" s="320"/>
      <c r="H218" s="321"/>
      <c r="I218" s="322"/>
      <c r="J218" s="323"/>
    </row>
    <row r="219" spans="1:10">
      <c r="A219" s="315" t="str">
        <f>IF(B219="","",IF(B218="",SUM(COUNT($A$5:A218)+1),""))</f>
        <v/>
      </c>
      <c r="B219" s="1223">
        <v>4510000</v>
      </c>
      <c r="C219" s="316" t="str">
        <f>VLOOKUP(B219,[102]Sheet1!$C$198:$D$223,2,FALSE)</f>
        <v>Current Account</v>
      </c>
      <c r="D219" s="317">
        <v>300</v>
      </c>
      <c r="E219" s="318">
        <v>0</v>
      </c>
      <c r="F219" s="319"/>
      <c r="G219" s="320"/>
      <c r="H219" s="321"/>
      <c r="I219" s="322"/>
      <c r="J219" s="323"/>
    </row>
    <row r="220" spans="1:10" ht="28.8">
      <c r="A220" s="315" t="str">
        <f>IF(B220="","",IF(B219="",SUM(COUNT($A$5:A219)+1),""))</f>
        <v/>
      </c>
      <c r="B220" s="1223">
        <v>51200215</v>
      </c>
      <c r="C220" s="316" t="str">
        <f>VLOOKUP(B220,[102]Sheet1!$C$198:$D$223,2,FALSE)</f>
        <v>J. P. Morgan Chase Bank N.A.-INR-Main</v>
      </c>
      <c r="D220" s="317">
        <v>0</v>
      </c>
      <c r="E220" s="318">
        <v>2134.41</v>
      </c>
      <c r="F220" s="319"/>
      <c r="G220" s="320"/>
      <c r="H220" s="321"/>
      <c r="I220" s="322"/>
      <c r="J220" s="323"/>
    </row>
    <row r="221" spans="1:10">
      <c r="A221" s="315" t="str">
        <f>IF(B221="","",IF(B220="",SUM(COUNT($A$5:A220)+1),""))</f>
        <v/>
      </c>
      <c r="B221" s="1223">
        <v>4510000</v>
      </c>
      <c r="C221" s="316" t="str">
        <f>VLOOKUP(B221,[102]Sheet1!$C$198:$D$223,2,FALSE)</f>
        <v>Current Account</v>
      </c>
      <c r="D221" s="317">
        <v>2134.41</v>
      </c>
      <c r="E221" s="318">
        <v>0</v>
      </c>
      <c r="F221" s="319"/>
      <c r="G221" s="320"/>
      <c r="H221" s="321"/>
      <c r="I221" s="322"/>
      <c r="J221" s="323"/>
    </row>
    <row r="223" spans="1:10" s="402" customFormat="1">
      <c r="D223" s="1528">
        <f>SUM(D5:D222)</f>
        <v>312527891.1119076</v>
      </c>
      <c r="E223" s="1528">
        <f>SUM(E5:E222)</f>
        <v>312527891.11614633</v>
      </c>
    </row>
  </sheetData>
  <autoFilter ref="A2:J221" xr:uid="{AF70A222-3FDC-4C28-BCB7-C48FD19066E4}"/>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3300"/>
  </sheetPr>
  <dimension ref="A1:R1367"/>
  <sheetViews>
    <sheetView showGridLines="0" zoomScale="80" zoomScaleNormal="80" workbookViewId="0">
      <pane xSplit="2" ySplit="4" topLeftCell="C44" activePane="bottomRight" state="frozen"/>
      <selection activeCell="D16" sqref="D16"/>
      <selection pane="topRight" activeCell="D16" sqref="D16"/>
      <selection pane="bottomLeft" activeCell="D16" sqref="D16"/>
      <selection pane="bottomRight" activeCell="D16" sqref="D16"/>
    </sheetView>
  </sheetViews>
  <sheetFormatPr defaultColWidth="9.21875" defaultRowHeight="14.4"/>
  <cols>
    <col min="1" max="1" width="6.5546875" style="289" customWidth="1"/>
    <col min="2" max="2" width="10.21875" style="282" customWidth="1"/>
    <col min="3" max="3" width="46.77734375" style="283" customWidth="1"/>
    <col min="4" max="4" width="20.77734375" style="284" bestFit="1" customWidth="1"/>
    <col min="5" max="5" width="20.77734375" style="284" customWidth="1"/>
    <col min="6" max="6" width="17.21875" style="285" customWidth="1"/>
    <col min="7" max="7" width="16.44140625" style="286" customWidth="1"/>
    <col min="8" max="8" width="12.44140625" style="286" bestFit="1" customWidth="1"/>
    <col min="9" max="9" width="45.21875" style="287" customWidth="1"/>
    <col min="10" max="10" width="28" style="288" customWidth="1"/>
    <col min="11" max="11" width="8.77734375" style="289" bestFit="1" customWidth="1"/>
    <col min="12" max="12" width="9.21875" style="289"/>
    <col min="13" max="13" width="12.44140625" style="289" bestFit="1" customWidth="1"/>
    <col min="14" max="14" width="12.44140625" style="289" customWidth="1"/>
    <col min="15" max="15" width="13" style="289" bestFit="1" customWidth="1"/>
    <col min="16" max="16" width="9.21875" style="290"/>
    <col min="17" max="17" width="13" style="291" bestFit="1" customWidth="1"/>
    <col min="18" max="18" width="11.44140625" style="292" bestFit="1" customWidth="1"/>
    <col min="19" max="19" width="9.21875" style="289"/>
    <col min="20" max="20" width="14" style="289" bestFit="1" customWidth="1"/>
    <col min="21" max="16384" width="9.21875" style="289"/>
  </cols>
  <sheetData>
    <row r="1" spans="1:18">
      <c r="A1" s="281" t="str">
        <f>+Master!B2</f>
        <v>Syntel Solutions (India) Private Limited</v>
      </c>
    </row>
    <row r="2" spans="1:18">
      <c r="A2" s="281" t="str">
        <f>"Entries for IGAAP for the year ended " &amp;Master!$B$5</f>
        <v>Entries for IGAAP for the year ended 31st March 2025</v>
      </c>
      <c r="D2" s="284">
        <f>ROUND(D1093,4)</f>
        <v>321390373.58859998</v>
      </c>
      <c r="E2" s="284">
        <f>ROUND(E1093,4)</f>
        <v>321390373.58200002</v>
      </c>
      <c r="F2" s="286" t="b">
        <f>IF(D2=E2,"OK")</f>
        <v>0</v>
      </c>
      <c r="I2" s="293"/>
    </row>
    <row r="3" spans="1:18">
      <c r="F3" s="286"/>
    </row>
    <row r="4" spans="1:18" s="302" customFormat="1" ht="29.4" thickBot="1">
      <c r="A4" s="294" t="s">
        <v>722</v>
      </c>
      <c r="B4" s="295" t="s">
        <v>723</v>
      </c>
      <c r="C4" s="294" t="s">
        <v>724</v>
      </c>
      <c r="D4" s="296" t="s">
        <v>725</v>
      </c>
      <c r="E4" s="297" t="s">
        <v>726</v>
      </c>
      <c r="F4" s="298" t="s">
        <v>727</v>
      </c>
      <c r="G4" s="299" t="s">
        <v>728</v>
      </c>
      <c r="H4" s="298" t="s">
        <v>729</v>
      </c>
      <c r="I4" s="300" t="s">
        <v>525</v>
      </c>
      <c r="J4" s="301" t="s">
        <v>730</v>
      </c>
      <c r="P4" s="303"/>
      <c r="Q4" s="304"/>
      <c r="R4" s="305"/>
    </row>
    <row r="5" spans="1:18" ht="15" customHeight="1">
      <c r="A5" s="306"/>
      <c r="B5" s="307"/>
      <c r="C5" s="308"/>
      <c r="D5" s="309"/>
      <c r="E5" s="310"/>
      <c r="F5" s="311"/>
      <c r="G5" s="312"/>
      <c r="H5" s="312"/>
      <c r="I5" s="313"/>
      <c r="J5" s="314"/>
    </row>
    <row r="6" spans="1:18" ht="15" customHeight="1">
      <c r="A6" s="306"/>
      <c r="B6" s="307"/>
      <c r="C6" s="308"/>
      <c r="D6" s="309"/>
      <c r="E6" s="310"/>
      <c r="F6" s="311"/>
      <c r="G6" s="312"/>
      <c r="H6" s="312"/>
      <c r="I6" s="313"/>
      <c r="J6" s="314"/>
    </row>
    <row r="7" spans="1:18" ht="15" customHeight="1">
      <c r="A7" s="315">
        <f>IF(B7="","",IF(B6="",SUM(COUNT($A$5:A6)+1),""))</f>
        <v>1</v>
      </c>
      <c r="B7" s="282">
        <v>408151</v>
      </c>
      <c r="C7" s="316" t="str">
        <f>IF(B7="","",VLOOKUP(B7,'TB for financial'!A:B,2,0))</f>
        <v>Outstanding Liabilities</v>
      </c>
      <c r="D7" s="318"/>
      <c r="E7" s="318">
        <v>21200</v>
      </c>
      <c r="F7" s="319"/>
      <c r="G7" s="320">
        <f t="shared" ref="G7:G15" si="0">IF(H7="PL - PL",0,IF(D7="",-E7,D7))</f>
        <v>-21200</v>
      </c>
      <c r="H7" s="321"/>
      <c r="I7" s="322"/>
      <c r="J7" s="323"/>
    </row>
    <row r="8" spans="1:18" ht="15" customHeight="1">
      <c r="A8" s="315" t="str">
        <f>IF(B8="","",IF(B7="",SUM(COUNT($A$5:A7)+1),""))</f>
        <v/>
      </c>
      <c r="B8" s="282">
        <v>4081510</v>
      </c>
      <c r="C8" s="316" t="str">
        <f>IF(B8="","",VLOOKUP(B8,'TB for financial'!A:B,2,0))</f>
        <v>Outstanding Liabilities</v>
      </c>
      <c r="D8" s="318">
        <v>21200</v>
      </c>
      <c r="E8" s="318"/>
      <c r="F8" s="319"/>
      <c r="G8" s="320">
        <f t="shared" si="0"/>
        <v>21200</v>
      </c>
      <c r="H8" s="321"/>
      <c r="I8" s="322"/>
      <c r="J8" s="323"/>
    </row>
    <row r="9" spans="1:18">
      <c r="A9" s="315" t="str">
        <f>IF(B9="","",IF(B8="",SUM(COUNT($A$5:A8)+1),""))</f>
        <v/>
      </c>
      <c r="B9" s="282">
        <v>408500</v>
      </c>
      <c r="C9" s="316" t="str">
        <f>IF(B9="","",VLOOKUP(B9,'TB for financial'!A:B,2,0))</f>
        <v>TRADE CREDITORS - PURCH. INV. ACCRUALS</v>
      </c>
      <c r="D9" s="318"/>
      <c r="E9" s="318">
        <v>91226</v>
      </c>
      <c r="F9" s="319"/>
      <c r="G9" s="320">
        <f t="shared" si="0"/>
        <v>-91226</v>
      </c>
      <c r="H9" s="321"/>
      <c r="I9" s="322"/>
      <c r="J9" s="323"/>
    </row>
    <row r="10" spans="1:18" ht="15" customHeight="1">
      <c r="A10" s="315" t="str">
        <f>IF(B10="","",IF(B9="",SUM(COUNT($A$5:A9)+1),""))</f>
        <v/>
      </c>
      <c r="B10" s="282">
        <v>4085000</v>
      </c>
      <c r="C10" s="316" t="str">
        <f>IF(B10="","",VLOOKUP(B10,'TB for financial'!A:B,2,0))</f>
        <v>TRADE CREDITORS - PURCH. INV. ACCRUALS GROUP</v>
      </c>
      <c r="D10" s="318">
        <v>91226</v>
      </c>
      <c r="E10" s="318"/>
      <c r="F10" s="319"/>
      <c r="G10" s="320">
        <f t="shared" si="0"/>
        <v>91226</v>
      </c>
      <c r="H10" s="321"/>
      <c r="I10" s="322"/>
      <c r="J10" s="323"/>
    </row>
    <row r="11" spans="1:18" ht="15" customHeight="1">
      <c r="A11" s="315" t="str">
        <f>IF(B11="","",IF(B10="",SUM(COUNT($A$5:A10)+1),""))</f>
        <v/>
      </c>
      <c r="B11" s="282">
        <v>437408</v>
      </c>
      <c r="C11" s="316" t="str">
        <f>IF(B11="","",VLOOKUP(B11,'TB for financial'!A:B,2,0))</f>
        <v>TDS - Professional Fees</v>
      </c>
      <c r="D11" s="317">
        <v>112426</v>
      </c>
      <c r="E11" s="318"/>
      <c r="F11" s="319"/>
      <c r="G11" s="320">
        <f t="shared" si="0"/>
        <v>112426</v>
      </c>
      <c r="H11" s="321"/>
      <c r="I11" s="322"/>
      <c r="J11" s="323"/>
    </row>
    <row r="12" spans="1:18">
      <c r="A12" s="315" t="str">
        <f>IF(B12="","",IF(B11="",SUM(COUNT($A$5:A11)+1),""))</f>
        <v/>
      </c>
      <c r="B12" s="282">
        <v>4374080</v>
      </c>
      <c r="C12" s="316" t="str">
        <f>IF(B12="","",VLOOKUP(B12,'TB for financial'!A:B,2,0))</f>
        <v>TDS - Professional Fees</v>
      </c>
      <c r="D12" s="318"/>
      <c r="E12" s="317">
        <v>112426</v>
      </c>
      <c r="F12" s="319"/>
      <c r="G12" s="320">
        <f t="shared" si="0"/>
        <v>-112426</v>
      </c>
      <c r="H12" s="321"/>
      <c r="I12" s="322"/>
      <c r="J12" s="323"/>
    </row>
    <row r="13" spans="1:18">
      <c r="A13" s="315" t="str">
        <f>IF(B13="","",IF(B12="",SUM(COUNT($A$5:A12)+1),""))</f>
        <v/>
      </c>
      <c r="B13" s="315">
        <v>438666</v>
      </c>
      <c r="C13" s="316" t="str">
        <f>IF(B13="","",VLOOKUP(B13,'TB for financial'!A:B,2,0))</f>
        <v>INCOME TAXES ON SALARIES</v>
      </c>
      <c r="D13" s="317">
        <v>9011</v>
      </c>
      <c r="E13" s="318"/>
      <c r="F13" s="319"/>
      <c r="G13" s="320">
        <f t="shared" si="0"/>
        <v>9011</v>
      </c>
      <c r="H13" s="321"/>
      <c r="I13" s="322"/>
      <c r="J13" s="315" t="str">
        <f>IF(K13="","",IF(K12="",SUM(COUNT($A$5:J12)+1),""))</f>
        <v/>
      </c>
    </row>
    <row r="14" spans="1:18" ht="15" customHeight="1">
      <c r="A14" s="315" t="str">
        <f>IF(B14="","",IF(B13="",SUM(COUNT($A$5:A13)+1),""))</f>
        <v/>
      </c>
      <c r="B14" s="324">
        <v>4386660</v>
      </c>
      <c r="C14" s="316" t="str">
        <f>IF(B14="","",VLOOKUP(B14,'TB for financial'!A:B,2,0))</f>
        <v>INCOME TAXES ON SALARIES</v>
      </c>
      <c r="D14" s="318"/>
      <c r="E14" s="317">
        <v>9011</v>
      </c>
      <c r="F14" s="319"/>
      <c r="G14" s="1277">
        <f t="shared" si="0"/>
        <v>-9011</v>
      </c>
      <c r="H14" s="321"/>
      <c r="I14" s="322"/>
      <c r="J14" s="323"/>
    </row>
    <row r="15" spans="1:18" ht="15" customHeight="1">
      <c r="A15" s="315" t="str">
        <f>IF(B15="","",IF(B14="",SUM(COUNT($A$5:A14)+1),""))</f>
        <v/>
      </c>
      <c r="B15" s="324">
        <v>408151</v>
      </c>
      <c r="C15" s="316" t="str">
        <f>IF(B15="","",VLOOKUP(B15,'TB for financial'!A:B,2,0))</f>
        <v>Outstanding Liabilities</v>
      </c>
      <c r="D15" s="317">
        <v>46800</v>
      </c>
      <c r="E15" s="318"/>
      <c r="F15" s="319"/>
      <c r="G15" s="1277">
        <f t="shared" si="0"/>
        <v>46800</v>
      </c>
      <c r="H15" s="321"/>
      <c r="I15" s="322"/>
      <c r="J15" s="323"/>
    </row>
    <row r="16" spans="1:18">
      <c r="A16" s="315" t="str">
        <f>IF(B16="","",IF(B15="",SUM(COUNT($A$5:A15)+1),""))</f>
        <v/>
      </c>
      <c r="B16" s="315">
        <v>4081510</v>
      </c>
      <c r="C16" s="316" t="str">
        <f>IF(B16="","",VLOOKUP(B16,'TB for financial'!A:B,2,0))</f>
        <v>Outstanding Liabilities</v>
      </c>
      <c r="D16" s="317"/>
      <c r="E16" s="318">
        <v>46800</v>
      </c>
      <c r="F16" s="319"/>
      <c r="G16" s="320">
        <f t="shared" ref="G16:G58" si="1">IF(H16="PL - PL",0,IF(D16="",-E16,D16))</f>
        <v>-46800</v>
      </c>
      <c r="H16" s="321"/>
      <c r="I16" s="322"/>
      <c r="J16" s="323"/>
    </row>
    <row r="17" spans="1:10" ht="15" customHeight="1">
      <c r="A17" s="315" t="str">
        <f>IF(B17="","",IF(B16="",SUM(COUNT($A$5:A16)+1),""))</f>
        <v/>
      </c>
      <c r="B17" s="324">
        <v>408500</v>
      </c>
      <c r="C17" s="316" t="str">
        <f>IF(B17="","",VLOOKUP(B17,'TB for financial'!A:B,2,0))</f>
        <v>TRADE CREDITORS - PURCH. INV. ACCRUALS</v>
      </c>
      <c r="D17" s="318"/>
      <c r="E17" s="318">
        <v>27690</v>
      </c>
      <c r="F17" s="319"/>
      <c r="G17" s="320">
        <f t="shared" si="1"/>
        <v>-27690</v>
      </c>
      <c r="H17" s="321"/>
      <c r="I17" s="322"/>
      <c r="J17" s="323"/>
    </row>
    <row r="18" spans="1:10" ht="15" customHeight="1">
      <c r="A18" s="315" t="str">
        <f>IF(B18="","",IF(B17="",SUM(COUNT($A$5:A17)+1),""))</f>
        <v/>
      </c>
      <c r="B18" s="324">
        <v>4085000</v>
      </c>
      <c r="C18" s="316" t="str">
        <f>IF(B18="","",VLOOKUP(B18,'TB for financial'!A:B,2,0))</f>
        <v>TRADE CREDITORS - PURCH. INV. ACCRUALS GROUP</v>
      </c>
      <c r="D18" s="317">
        <v>27690</v>
      </c>
      <c r="E18" s="318"/>
      <c r="F18" s="319"/>
      <c r="G18" s="320">
        <f t="shared" si="1"/>
        <v>27690</v>
      </c>
      <c r="H18" s="321"/>
      <c r="I18" s="322"/>
      <c r="J18" s="323"/>
    </row>
    <row r="19" spans="1:10">
      <c r="A19" s="315" t="str">
        <f>IF(B19="","",IF(B18="",SUM(COUNT($A$5:A18)+1),""))</f>
        <v/>
      </c>
      <c r="B19" s="324">
        <v>408500</v>
      </c>
      <c r="C19" s="316" t="str">
        <f>IF(B19="","",VLOOKUP(B19,'TB for financial'!A:B,2,0))</f>
        <v>TRADE CREDITORS - PURCH. INV. ACCRUALS</v>
      </c>
      <c r="E19" s="1222">
        <v>8389</v>
      </c>
      <c r="F19" s="319"/>
      <c r="G19" s="320">
        <f t="shared" si="1"/>
        <v>-8389</v>
      </c>
      <c r="H19" s="321"/>
      <c r="I19" s="322"/>
      <c r="J19" s="323"/>
    </row>
    <row r="20" spans="1:10" ht="15" customHeight="1">
      <c r="A20" s="315" t="str">
        <f>IF(B20="","",IF(B19="",SUM(COUNT($A$5:A19)+1),""))</f>
        <v/>
      </c>
      <c r="B20" s="324">
        <v>4085000</v>
      </c>
      <c r="C20" s="316" t="str">
        <f>IF(B20="","",VLOOKUP(B20,'TB for financial'!A:B,2,0))</f>
        <v>TRADE CREDITORS - PURCH. INV. ACCRUALS GROUP</v>
      </c>
      <c r="D20" s="284">
        <v>8389</v>
      </c>
      <c r="E20" s="1222"/>
      <c r="F20" s="319"/>
      <c r="G20" s="320">
        <f t="shared" si="1"/>
        <v>8389</v>
      </c>
      <c r="H20" s="321"/>
      <c r="I20" s="322"/>
      <c r="J20" s="323"/>
    </row>
    <row r="21" spans="1:10" ht="15" customHeight="1">
      <c r="A21" s="315" t="str">
        <f>IF(B21="","",IF(B20="",SUM(COUNT($A$5:A20)+1),""))</f>
        <v/>
      </c>
      <c r="B21" s="324">
        <v>408151</v>
      </c>
      <c r="C21" s="316" t="str">
        <f>IF(B21="","",VLOOKUP(B21,'TB for financial'!A:B,2,0))</f>
        <v>Outstanding Liabilities</v>
      </c>
      <c r="D21" s="317">
        <v>36079</v>
      </c>
      <c r="E21" s="318"/>
      <c r="F21" s="319"/>
      <c r="G21" s="320">
        <f t="shared" si="1"/>
        <v>36079</v>
      </c>
      <c r="H21" s="321"/>
      <c r="I21" s="322"/>
      <c r="J21" s="323"/>
    </row>
    <row r="22" spans="1:10" ht="15" customHeight="1">
      <c r="A22" s="315" t="str">
        <f>IF(B22="","",IF(B21="",SUM(COUNT($A$5:A21)+1),""))</f>
        <v/>
      </c>
      <c r="B22" s="282">
        <v>4081510</v>
      </c>
      <c r="C22" s="316" t="str">
        <f>IF(B22="","",VLOOKUP(B22,'TB for financial'!A:B,2,0))</f>
        <v>Outstanding Liabilities</v>
      </c>
      <c r="D22" s="1222"/>
      <c r="E22" s="1222">
        <v>36079</v>
      </c>
      <c r="F22" s="319"/>
      <c r="G22" s="320">
        <f t="shared" si="1"/>
        <v>-36079</v>
      </c>
      <c r="H22" s="321"/>
      <c r="I22" s="322"/>
      <c r="J22" s="323"/>
    </row>
    <row r="23" spans="1:10">
      <c r="A23" s="315" t="str">
        <f>IF(B23="","",IF(B22="",SUM(COUNT($A$5:A22)+1),""))</f>
        <v/>
      </c>
      <c r="B23" s="282">
        <v>437407</v>
      </c>
      <c r="C23" s="316" t="str">
        <f>IF(B23="","",VLOOKUP(B23,'TB for financial'!A:B,2,0))</f>
        <v>TDS - Rent</v>
      </c>
      <c r="E23" s="1222">
        <v>7770.1</v>
      </c>
      <c r="F23" s="319"/>
      <c r="G23" s="320">
        <f t="shared" si="1"/>
        <v>-7770.1</v>
      </c>
      <c r="H23" s="321"/>
      <c r="I23" s="322"/>
      <c r="J23" s="323"/>
    </row>
    <row r="24" spans="1:10" ht="15" customHeight="1">
      <c r="A24" s="315" t="str">
        <f>IF(B24="","",IF(B23="",SUM(COUNT($A$5:A23)+1),""))</f>
        <v/>
      </c>
      <c r="B24" s="282">
        <v>4374070</v>
      </c>
      <c r="C24" s="316" t="str">
        <f>IF(B24="","",VLOOKUP(B24,'TB for financial'!A:B,2,0))</f>
        <v>TDS - Rent</v>
      </c>
      <c r="D24" s="317">
        <v>7770.1</v>
      </c>
      <c r="E24" s="318"/>
      <c r="F24" s="319"/>
      <c r="G24" s="320">
        <f t="shared" si="1"/>
        <v>7770.1</v>
      </c>
      <c r="H24" s="321"/>
      <c r="I24" s="322"/>
      <c r="J24" s="323"/>
    </row>
    <row r="25" spans="1:10" ht="15" customHeight="1">
      <c r="A25" s="315" t="str">
        <f>IF(B25="","",IF(B24="",SUM(COUNT($A$5:A24)+1),""))</f>
        <v/>
      </c>
      <c r="B25" s="282">
        <v>401500</v>
      </c>
      <c r="C25" s="316" t="str">
        <f>IF(B25="","",VLOOKUP(B25,'TB for financial'!A:B,2,0))</f>
        <v>TRADE PAYABLES - DOMESTIC</v>
      </c>
      <c r="D25" s="318">
        <v>7770.1</v>
      </c>
      <c r="F25" s="319"/>
      <c r="G25" s="320">
        <f t="shared" si="1"/>
        <v>7770.1</v>
      </c>
      <c r="H25" s="321"/>
      <c r="I25" s="322"/>
      <c r="J25" s="323"/>
    </row>
    <row r="26" spans="1:10" ht="15" customHeight="1">
      <c r="A26" s="315" t="str">
        <f>IF(B26="","",IF(B25="",SUM(COUNT($A$5:A25)+1),""))</f>
        <v/>
      </c>
      <c r="B26" s="282">
        <v>4015000</v>
      </c>
      <c r="C26" s="316" t="str">
        <f>IF(B26="","",VLOOKUP(B26,'TB for financial'!A:B,2,0))</f>
        <v>TRADE CREDITORS - GOODS AND SERVICES GROUP</v>
      </c>
      <c r="E26" s="1222">
        <v>7770.1</v>
      </c>
      <c r="F26" s="319"/>
      <c r="G26" s="320">
        <f t="shared" si="1"/>
        <v>-7770.1</v>
      </c>
      <c r="H26" s="321"/>
      <c r="I26" s="322"/>
      <c r="J26" s="323"/>
    </row>
    <row r="27" spans="1:10">
      <c r="A27" s="315" t="str">
        <f>IF(B27="","",IF(B26="",SUM(COUNT($A$5:A26)+1),""))</f>
        <v/>
      </c>
      <c r="B27" s="282">
        <v>488000</v>
      </c>
      <c r="C27" s="316" t="str">
        <f>IF(B27="","",VLOOKUP(B27,'TB for financial'!A:B,2,0))</f>
        <v>DEFERRED TAX</v>
      </c>
      <c r="D27" s="284">
        <v>5799</v>
      </c>
      <c r="E27" s="1222"/>
      <c r="F27" s="319"/>
      <c r="G27" s="320">
        <f t="shared" si="1"/>
        <v>5799</v>
      </c>
      <c r="H27" s="321"/>
      <c r="I27" s="322"/>
      <c r="J27" s="323"/>
    </row>
    <row r="28" spans="1:10" ht="15" customHeight="1">
      <c r="A28" s="315" t="str">
        <f>IF(B28="","",IF(B27="",SUM(COUNT($A$5:A27)+1),""))</f>
        <v/>
      </c>
      <c r="B28" s="282">
        <v>4880000</v>
      </c>
      <c r="C28" s="316" t="str">
        <f>IF(B28="","",VLOOKUP(B28,'TB for financial'!A:B,2,0))</f>
        <v>DEFERRED TAX</v>
      </c>
      <c r="D28" s="318"/>
      <c r="E28" s="317">
        <v>5799</v>
      </c>
      <c r="F28" s="319"/>
      <c r="G28" s="320">
        <f t="shared" si="1"/>
        <v>-5799</v>
      </c>
      <c r="H28" s="321"/>
      <c r="I28" s="322"/>
      <c r="J28" s="323"/>
    </row>
    <row r="29" spans="1:10" ht="15" customHeight="1">
      <c r="A29" s="315" t="str">
        <f>IF(B29="","",IF(B28="",SUM(COUNT($A$5:A28)+1),""))</f>
        <v/>
      </c>
      <c r="B29" s="282">
        <v>488000</v>
      </c>
      <c r="C29" s="316" t="str">
        <f>IF(B29="","",VLOOKUP(B29,'TB for financial'!A:B,2,0))</f>
        <v>DEFERRED TAX</v>
      </c>
      <c r="D29" s="1222">
        <v>258738</v>
      </c>
      <c r="E29" s="1222"/>
      <c r="F29" s="319"/>
      <c r="G29" s="320">
        <f t="shared" si="1"/>
        <v>258738</v>
      </c>
      <c r="H29" s="321"/>
      <c r="I29" s="322"/>
      <c r="J29" s="323"/>
    </row>
    <row r="30" spans="1:10" ht="15" customHeight="1">
      <c r="A30" s="315" t="str">
        <f>IF(B30="","",IF(B29="",SUM(COUNT($A$5:A29)+1),""))</f>
        <v/>
      </c>
      <c r="B30" s="282">
        <v>4880000</v>
      </c>
      <c r="C30" s="316" t="str">
        <f>IF(B30="","",VLOOKUP(B30,'TB for financial'!A:B,2,0))</f>
        <v>DEFERRED TAX</v>
      </c>
      <c r="D30" s="317"/>
      <c r="E30" s="318">
        <v>258738</v>
      </c>
      <c r="F30" s="325"/>
      <c r="G30" s="320">
        <f t="shared" si="1"/>
        <v>-258738</v>
      </c>
      <c r="H30" s="321"/>
      <c r="I30" s="322"/>
      <c r="J30" s="323"/>
    </row>
    <row r="31" spans="1:10" ht="15" customHeight="1">
      <c r="A31" s="315" t="str">
        <f>IF(B31="","",IF(B30="",SUM(COUNT($A$5:A30)+1),""))</f>
        <v/>
      </c>
      <c r="B31" s="282">
        <v>488000</v>
      </c>
      <c r="C31" s="316" t="str">
        <f>IF(B31="","",VLOOKUP(B31,'TB for financial'!A:B,2,0))</f>
        <v>DEFERRED TAX</v>
      </c>
      <c r="D31" s="1222">
        <v>590333.9</v>
      </c>
      <c r="E31" s="318"/>
      <c r="F31" s="319"/>
      <c r="G31" s="320">
        <f t="shared" si="1"/>
        <v>590333.9</v>
      </c>
      <c r="H31" s="321"/>
      <c r="I31" s="322"/>
      <c r="J31" s="323"/>
    </row>
    <row r="32" spans="1:10">
      <c r="A32" s="315" t="str">
        <f>IF(B32="","",IF(B31="",SUM(COUNT($A$5:A31)+1),""))</f>
        <v/>
      </c>
      <c r="B32" s="282">
        <v>4880000</v>
      </c>
      <c r="C32" s="316" t="str">
        <f>IF(B32="","",VLOOKUP(B32,'TB for financial'!A:B,2,0))</f>
        <v>DEFERRED TAX</v>
      </c>
      <c r="D32" s="1222"/>
      <c r="E32" s="318">
        <v>590333.9</v>
      </c>
      <c r="F32" s="319"/>
      <c r="G32" s="320">
        <f t="shared" si="1"/>
        <v>-590333.9</v>
      </c>
      <c r="H32" s="321"/>
      <c r="I32" s="322"/>
      <c r="J32" s="323"/>
    </row>
    <row r="33" spans="1:10" ht="15" customHeight="1">
      <c r="A33" s="315" t="str">
        <f>IF(B33="","",IF(B32="",SUM(COUNT($A$5:A32)+1),""))</f>
        <v/>
      </c>
      <c r="B33" s="282">
        <v>488000</v>
      </c>
      <c r="C33" s="316" t="str">
        <f>IF(B33="","",VLOOKUP(B33,'TB for financial'!A:B,2,0))</f>
        <v>DEFERRED TAX</v>
      </c>
      <c r="D33" s="1222"/>
      <c r="E33" s="318">
        <v>813699</v>
      </c>
      <c r="F33" s="319"/>
      <c r="G33" s="320">
        <f t="shared" si="1"/>
        <v>-813699</v>
      </c>
      <c r="H33" s="321"/>
      <c r="I33" s="322"/>
      <c r="J33" s="323"/>
    </row>
    <row r="34" spans="1:10" ht="15" customHeight="1">
      <c r="A34" s="315" t="str">
        <f>IF(B34="","",IF(B33="",SUM(COUNT($A$5:A33)+1),""))</f>
        <v/>
      </c>
      <c r="B34" s="282">
        <v>4880000</v>
      </c>
      <c r="C34" s="316" t="str">
        <f>IF(B34="","",VLOOKUP(B34,'TB for financial'!A:B,2,0))</f>
        <v>DEFERRED TAX</v>
      </c>
      <c r="D34" s="317">
        <v>813699</v>
      </c>
      <c r="E34" s="318"/>
      <c r="F34" s="325"/>
      <c r="G34" s="320">
        <f t="shared" si="1"/>
        <v>813699</v>
      </c>
      <c r="H34" s="321"/>
      <c r="I34" s="322"/>
      <c r="J34" s="323"/>
    </row>
    <row r="35" spans="1:10">
      <c r="A35" s="315" t="str">
        <f>IF(B35="","",IF(B34="",SUM(COUNT($A$5:A34)+1),""))</f>
        <v/>
      </c>
      <c r="B35" s="282">
        <v>488000</v>
      </c>
      <c r="C35" s="316" t="str">
        <f>IF(B35="","",VLOOKUP(B35,'TB for financial'!A:B,2,0))</f>
        <v>DEFERRED TAX</v>
      </c>
      <c r="D35" s="317"/>
      <c r="E35" s="318">
        <v>223891</v>
      </c>
      <c r="F35" s="319"/>
      <c r="G35" s="320">
        <f t="shared" si="1"/>
        <v>-223891</v>
      </c>
      <c r="H35" s="321"/>
      <c r="I35" s="322"/>
      <c r="J35" s="323"/>
    </row>
    <row r="36" spans="1:10" ht="15" customHeight="1">
      <c r="A36" s="315" t="str">
        <f>IF(B36="","",IF(B35="",SUM(COUNT($A$5:A35)+1),""))</f>
        <v/>
      </c>
      <c r="B36" s="282">
        <v>4880000</v>
      </c>
      <c r="C36" s="316" t="str">
        <f>IF(B36="","",VLOOKUP(B36,'TB for financial'!A:B,2,0))</f>
        <v>DEFERRED TAX</v>
      </c>
      <c r="D36" s="284">
        <v>223891</v>
      </c>
      <c r="E36" s="1222"/>
      <c r="F36" s="326"/>
      <c r="G36" s="320">
        <f t="shared" si="1"/>
        <v>223891</v>
      </c>
      <c r="H36" s="321"/>
      <c r="I36" s="322"/>
      <c r="J36" s="323"/>
    </row>
    <row r="37" spans="1:10" ht="15" customHeight="1">
      <c r="A37" s="315" t="str">
        <f>IF(B37="","",IF(B36="",SUM(COUNT($A$5:A36)+1),""))</f>
        <v/>
      </c>
      <c r="B37" s="1272">
        <v>401450</v>
      </c>
      <c r="C37" s="316" t="str">
        <f>IF(B37="","",VLOOKUP(B37,'TB for financial'!A:B,2,0))</f>
        <v>TRADE PAYABLES - FOREIGN</v>
      </c>
      <c r="D37" s="1273">
        <v>535704.43000000005</v>
      </c>
      <c r="E37" s="1274"/>
      <c r="F37" s="326"/>
      <c r="G37" s="320">
        <f t="shared" si="1"/>
        <v>535704.43000000005</v>
      </c>
      <c r="H37" s="321"/>
      <c r="I37" s="322"/>
      <c r="J37" s="323"/>
    </row>
    <row r="38" spans="1:10" ht="15" customHeight="1">
      <c r="A38" s="315" t="str">
        <f>IF(B38="","",IF(B37="",SUM(COUNT($A$5:A37)+1),""))</f>
        <v/>
      </c>
      <c r="B38" s="1272">
        <v>4014500</v>
      </c>
      <c r="C38" s="316" t="str">
        <f>IF(B38="","",VLOOKUP(B38,'TB for financial'!A:B,2,0))</f>
        <v>interco foreign Vendors</v>
      </c>
      <c r="D38" s="1273"/>
      <c r="E38" s="1274">
        <v>535704.43000000005</v>
      </c>
      <c r="F38" s="326"/>
      <c r="G38" s="320">
        <f t="shared" si="1"/>
        <v>-535704.43000000005</v>
      </c>
      <c r="H38" s="321"/>
      <c r="I38" s="322"/>
      <c r="J38" s="323"/>
    </row>
    <row r="39" spans="1:10" ht="15" customHeight="1">
      <c r="A39" s="315" t="str">
        <f>IF(B39="","",IF(B38="",SUM(COUNT($A$5:A38)+1),""))</f>
        <v/>
      </c>
      <c r="B39" s="1272">
        <v>451099</v>
      </c>
      <c r="C39" s="316" t="str">
        <f>IF(B39="","",VLOOKUP(B39,'TB for financial'!A:B,2,0))</f>
        <v>C/A Atos Syntel Inc. (US)</v>
      </c>
      <c r="D39" s="1273"/>
      <c r="E39" s="1274">
        <v>535704.43000000005</v>
      </c>
      <c r="F39" s="326"/>
      <c r="G39" s="1277">
        <f t="shared" si="1"/>
        <v>-535704.43000000005</v>
      </c>
      <c r="H39" s="321"/>
      <c r="I39" s="322"/>
      <c r="J39" s="323"/>
    </row>
    <row r="40" spans="1:10">
      <c r="A40" s="315" t="str">
        <f>IF(B40="","",IF(B39="",SUM(COUNT($A$5:A39)+1),""))</f>
        <v/>
      </c>
      <c r="B40" s="1272">
        <v>4550000</v>
      </c>
      <c r="C40" s="316" t="str">
        <f>IF(B40="","",VLOOKUP(B40,'TB for financial'!A:B,2,0))</f>
        <v>Intercompany current accounts liabilities</v>
      </c>
      <c r="D40" s="1274">
        <v>535704.43000000005</v>
      </c>
      <c r="E40" s="1274"/>
      <c r="F40" s="326"/>
      <c r="G40" s="1277">
        <f t="shared" si="1"/>
        <v>535704.43000000005</v>
      </c>
      <c r="H40" s="321"/>
      <c r="I40" s="322"/>
      <c r="J40" s="323"/>
    </row>
    <row r="41" spans="1:10" ht="15" customHeight="1">
      <c r="A41" s="315" t="str">
        <f>IF(B41="","",IF(B40="",SUM(COUNT($A$5:A40)+1),""))</f>
        <v/>
      </c>
      <c r="B41" s="1272">
        <v>451099</v>
      </c>
      <c r="C41" s="316" t="str">
        <f>IF(B41="","",VLOOKUP(B41,'TB for financial'!A:B,2,0))</f>
        <v>C/A Atos Syntel Inc. (US)</v>
      </c>
      <c r="D41" s="1273"/>
      <c r="E41" s="1274">
        <v>87579.68</v>
      </c>
      <c r="F41" s="326"/>
      <c r="G41" s="320">
        <f t="shared" si="1"/>
        <v>-87579.68</v>
      </c>
      <c r="H41" s="321"/>
      <c r="I41" s="322"/>
      <c r="J41" s="323"/>
    </row>
    <row r="42" spans="1:10" ht="15" customHeight="1">
      <c r="A42" s="315" t="str">
        <f>IF(B42="","",IF(B41="",SUM(COUNT($A$5:A41)+1),""))</f>
        <v/>
      </c>
      <c r="B42" s="1272">
        <v>4550000</v>
      </c>
      <c r="C42" s="316" t="str">
        <f>IF(B42="","",VLOOKUP(B42,'TB for financial'!A:B,2,0))</f>
        <v>Intercompany current accounts liabilities</v>
      </c>
      <c r="D42" s="1273">
        <v>87579.69</v>
      </c>
      <c r="E42" s="1274"/>
      <c r="F42" s="319"/>
      <c r="G42" s="320">
        <f t="shared" si="1"/>
        <v>87579.69</v>
      </c>
      <c r="H42" s="321"/>
      <c r="I42" s="322"/>
      <c r="J42" s="323"/>
    </row>
    <row r="43" spans="1:10" ht="15" customHeight="1">
      <c r="A43" s="315" t="str">
        <f>IF(B43="","",IF(B42="",SUM(COUNT($A$5:A42)+1),""))</f>
        <v/>
      </c>
      <c r="B43" s="1272">
        <v>427100</v>
      </c>
      <c r="C43" s="316" t="str">
        <f>IF(B43="","",VLOOKUP(B43,'TB for financial'!A:B,2,0))</f>
        <v>Payroll Clearing Account</v>
      </c>
      <c r="D43" s="1273"/>
      <c r="E43" s="1274">
        <v>292</v>
      </c>
      <c r="F43" s="319"/>
      <c r="G43" s="1277">
        <f t="shared" si="1"/>
        <v>-292</v>
      </c>
      <c r="H43" s="321"/>
      <c r="I43" s="322"/>
      <c r="J43" s="323"/>
    </row>
    <row r="44" spans="1:10" ht="15" customHeight="1">
      <c r="A44" s="315" t="str">
        <f>IF(B44="","",IF(B43="",SUM(COUNT($A$5:A43)+1),""))</f>
        <v/>
      </c>
      <c r="B44" s="1272">
        <v>4210100</v>
      </c>
      <c r="C44" s="316" t="str">
        <f>IF(B44="","",VLOOKUP(B44,'TB for financial'!A:B,2,0))</f>
        <v>Salary payables - regularization</v>
      </c>
      <c r="D44" s="1273">
        <v>292</v>
      </c>
      <c r="E44" s="1274"/>
      <c r="F44" s="319"/>
      <c r="G44" s="1277">
        <f t="shared" si="1"/>
        <v>292</v>
      </c>
      <c r="H44" s="321"/>
      <c r="I44" s="322"/>
      <c r="J44" s="323"/>
    </row>
    <row r="45" spans="1:10" ht="15" customHeight="1">
      <c r="A45" s="315" t="str">
        <f>IF(B45="","",IF(B44="",SUM(COUNT($A$5:A44)+1),""))</f>
        <v/>
      </c>
      <c r="B45" s="1272">
        <v>428610</v>
      </c>
      <c r="C45" s="316" t="str">
        <f>IF(B45="","",VLOOKUP(B45,'TB for financial'!A:B,2,0))</f>
        <v>ACCRUED EXPENSES - YEAR-END BONUS</v>
      </c>
      <c r="D45" s="1273"/>
      <c r="E45" s="1274">
        <v>8793</v>
      </c>
      <c r="F45" s="319"/>
      <c r="G45" s="320">
        <f t="shared" si="1"/>
        <v>-8793</v>
      </c>
      <c r="H45" s="321"/>
      <c r="I45" s="322"/>
      <c r="J45" s="323"/>
    </row>
    <row r="46" spans="1:10" ht="15" customHeight="1">
      <c r="A46" s="315" t="str">
        <f>IF(B46="","",IF(B45="",SUM(COUNT($A$5:A45)+1),""))</f>
        <v/>
      </c>
      <c r="B46" s="1272">
        <v>4286100</v>
      </c>
      <c r="C46" s="316" t="str">
        <f>IF(B46="","",VLOOKUP(B46,'TB for financial'!A:B,2,0))</f>
        <v>ACCRUED EXPENSES - YEAR-END BONUS</v>
      </c>
      <c r="D46" s="1276">
        <v>8793</v>
      </c>
      <c r="E46" s="1273"/>
      <c r="F46" s="319"/>
      <c r="G46" s="320">
        <f t="shared" si="1"/>
        <v>8793</v>
      </c>
      <c r="H46" s="321"/>
      <c r="I46" s="322"/>
      <c r="J46" s="323"/>
    </row>
    <row r="47" spans="1:10" ht="15" customHeight="1">
      <c r="A47" s="315" t="str">
        <f>IF(B47="","",IF(B46="",SUM(COUNT($A$5:A46)+1),""))</f>
        <v/>
      </c>
      <c r="B47" s="1272">
        <v>408151</v>
      </c>
      <c r="C47" s="316" t="str">
        <f>IF(B47="","",VLOOKUP(B47,'TB for financial'!A:B,2,0))</f>
        <v>Outstanding Liabilities</v>
      </c>
      <c r="D47" s="1276"/>
      <c r="E47" s="1273">
        <v>30151</v>
      </c>
      <c r="F47" s="319"/>
      <c r="G47" s="320">
        <f t="shared" si="1"/>
        <v>-30151</v>
      </c>
      <c r="H47" s="321"/>
      <c r="I47" s="322"/>
      <c r="J47" s="323"/>
    </row>
    <row r="48" spans="1:10" ht="15" customHeight="1">
      <c r="A48" s="315" t="str">
        <f>IF(B48="","",IF(B47="",SUM(COUNT($A$5:A47)+1),""))</f>
        <v/>
      </c>
      <c r="B48" s="1272">
        <v>4081510</v>
      </c>
      <c r="C48" s="316" t="str">
        <f>IF(B48="","",VLOOKUP(B48,'TB for financial'!A:B,2,0))</f>
        <v>Outstanding Liabilities</v>
      </c>
      <c r="D48" s="1273">
        <v>30151</v>
      </c>
      <c r="E48" s="1276"/>
      <c r="F48" s="319"/>
      <c r="G48" s="320">
        <f t="shared" si="1"/>
        <v>30151</v>
      </c>
      <c r="H48" s="321"/>
      <c r="I48" s="322"/>
      <c r="J48" s="323"/>
    </row>
    <row r="49" spans="1:10" ht="15" customHeight="1">
      <c r="A49" s="315" t="str">
        <f>IF(B49="","",IF(B48="",SUM(COUNT($A$5:A48)+1),""))</f>
        <v/>
      </c>
      <c r="B49" s="1272">
        <v>51150215</v>
      </c>
      <c r="C49" s="316" t="str">
        <f>IF(B49="","",VLOOKUP(B49,'TB for financial'!A:B,2,0))</f>
        <v>J. P. Morgan Chase Bank N.A.-INR-Pymt</v>
      </c>
      <c r="D49" s="1276">
        <v>8722</v>
      </c>
      <c r="E49" s="1273"/>
      <c r="F49" s="319"/>
      <c r="G49" s="320">
        <f t="shared" si="1"/>
        <v>8722</v>
      </c>
      <c r="H49" s="321"/>
      <c r="I49" s="322"/>
      <c r="J49" s="323"/>
    </row>
    <row r="50" spans="1:10" ht="15" customHeight="1">
      <c r="A50" s="315" t="str">
        <f>IF(B50="","",IF(B49="",SUM(COUNT($A$5:A49)+1),""))</f>
        <v/>
      </c>
      <c r="B50" s="1272">
        <v>4510000</v>
      </c>
      <c r="C50" s="316" t="str">
        <f>IF(B50="","",VLOOKUP(B50,'TB for financial'!A:B,2,0))</f>
        <v>Current Account</v>
      </c>
      <c r="D50" s="1273"/>
      <c r="E50" s="1274">
        <v>8722</v>
      </c>
      <c r="F50" s="319"/>
      <c r="G50" s="320">
        <f t="shared" si="1"/>
        <v>-8722</v>
      </c>
      <c r="H50" s="321"/>
      <c r="I50" s="322"/>
      <c r="J50" s="323"/>
    </row>
    <row r="51" spans="1:10" ht="15" customHeight="1">
      <c r="A51" s="315" t="str">
        <f>IF(B51="","",IF(B50="",SUM(COUNT($A$5:A50)+1),""))</f>
        <v/>
      </c>
      <c r="B51" s="1272">
        <v>427100</v>
      </c>
      <c r="C51" s="316" t="str">
        <f>IF(B51="","",VLOOKUP(B51,'TB for financial'!A:B,2,0))</f>
        <v>Payroll Clearing Account</v>
      </c>
      <c r="D51" s="1273"/>
      <c r="E51" s="1274">
        <v>431085</v>
      </c>
      <c r="F51" s="319"/>
      <c r="G51" s="1277">
        <f t="shared" si="1"/>
        <v>-431085</v>
      </c>
      <c r="H51" s="321"/>
      <c r="I51" s="322"/>
      <c r="J51" s="323"/>
    </row>
    <row r="52" spans="1:10" ht="15" customHeight="1">
      <c r="A52" s="315" t="str">
        <f>IF(B52="","",IF(B51="",SUM(COUNT($A$5:A51)+1),""))</f>
        <v/>
      </c>
      <c r="B52" s="1272">
        <v>4210100</v>
      </c>
      <c r="C52" s="316" t="str">
        <f>IF(B52="","",VLOOKUP(B52,'TB for financial'!A:B,2,0))</f>
        <v>Salary payables - regularization</v>
      </c>
      <c r="D52" s="1273">
        <v>431085</v>
      </c>
      <c r="E52" s="1274"/>
      <c r="F52" s="319"/>
      <c r="G52" s="320">
        <f t="shared" si="1"/>
        <v>431085</v>
      </c>
      <c r="H52" s="321"/>
      <c r="I52" s="322"/>
      <c r="J52" s="323"/>
    </row>
    <row r="53" spans="1:10">
      <c r="A53" s="315" t="str">
        <f>IF(B53="","",IF(B52="",SUM(COUNT($A$5:A52)+1),""))</f>
        <v/>
      </c>
      <c r="B53" s="1470">
        <v>51150216</v>
      </c>
      <c r="C53" s="316" t="str">
        <f>IF(B53="","",VLOOKUP(B53,'TB for financial'!A:B,2,0))</f>
        <v>J. P. Morgan Chase Bank N.A.-INR-Pymt</v>
      </c>
      <c r="D53" s="1273">
        <v>431085</v>
      </c>
      <c r="E53" s="1274"/>
      <c r="F53" s="319"/>
      <c r="G53" s="320">
        <f t="shared" si="1"/>
        <v>431085</v>
      </c>
      <c r="H53" s="321"/>
      <c r="I53" s="322"/>
      <c r="J53" s="323"/>
    </row>
    <row r="54" spans="1:10" ht="15" customHeight="1">
      <c r="A54" s="315" t="str">
        <f>IF(B54="","",IF(B53="",SUM(COUNT($A$5:A53)+1),""))</f>
        <v/>
      </c>
      <c r="B54" s="1272">
        <v>4510000</v>
      </c>
      <c r="C54" s="316" t="str">
        <f>IF(B54="","",VLOOKUP(B54,'TB for financial'!A:B,2,0))</f>
        <v>Current Account</v>
      </c>
      <c r="D54" s="1273"/>
      <c r="E54" s="1274">
        <v>431085</v>
      </c>
      <c r="F54" s="319"/>
      <c r="G54" s="320">
        <f t="shared" si="1"/>
        <v>-431085</v>
      </c>
      <c r="H54" s="321"/>
      <c r="I54" s="322"/>
      <c r="J54" s="323"/>
    </row>
    <row r="55" spans="1:10" ht="15" customHeight="1">
      <c r="A55" s="315" t="str">
        <f>IF(B55="","",IF(B54="",SUM(COUNT($A$5:A54)+1),""))</f>
        <v/>
      </c>
      <c r="B55" s="1272">
        <v>437200</v>
      </c>
      <c r="C55" s="316" t="str">
        <f>IF(B55="","",VLOOKUP(B55,'TB for financial'!A:B,2,0))</f>
        <v>WELFARE INSTITUTIONS</v>
      </c>
      <c r="D55" s="1273"/>
      <c r="E55" s="1275">
        <v>350</v>
      </c>
      <c r="F55" s="325"/>
      <c r="G55" s="1277">
        <f t="shared" si="1"/>
        <v>-350</v>
      </c>
      <c r="H55" s="321"/>
      <c r="I55" s="322"/>
      <c r="J55" s="323"/>
    </row>
    <row r="56" spans="1:10" ht="15" customHeight="1">
      <c r="A56" s="315" t="str">
        <f>IF(B56="","",IF(B55="",SUM(COUNT($A$5:A55)+1),""))</f>
        <v/>
      </c>
      <c r="B56" s="1272">
        <v>4372000</v>
      </c>
      <c r="C56" s="316" t="str">
        <f>IF(B56="","",VLOOKUP(B56,'TB for financial'!A:B,2,0))</f>
        <v>WELFARE INSTITUTIONS</v>
      </c>
      <c r="D56" s="1273">
        <v>350</v>
      </c>
      <c r="E56" s="1275"/>
      <c r="F56" s="319"/>
      <c r="G56" s="320">
        <f t="shared" si="1"/>
        <v>350</v>
      </c>
      <c r="H56" s="321"/>
      <c r="I56" s="322"/>
      <c r="J56" s="323"/>
    </row>
    <row r="57" spans="1:10">
      <c r="A57" s="315" t="str">
        <f>IF(B57="","",IF(B56="",SUM(COUNT($A$5:A56)+1),""))</f>
        <v/>
      </c>
      <c r="B57" s="1272">
        <v>51150215</v>
      </c>
      <c r="C57" s="316" t="str">
        <f>IF(B57="","",VLOOKUP(B57,'TB for financial'!A:B,2,0))</f>
        <v>J. P. Morgan Chase Bank N.A.-INR-Pymt</v>
      </c>
      <c r="D57" s="1273">
        <v>350</v>
      </c>
      <c r="E57" s="1275"/>
      <c r="F57" s="319"/>
      <c r="G57" s="1277">
        <f t="shared" si="1"/>
        <v>350</v>
      </c>
      <c r="H57" s="321"/>
      <c r="I57" s="322"/>
      <c r="J57" s="323"/>
    </row>
    <row r="58" spans="1:10" ht="15" customHeight="1">
      <c r="A58" s="315" t="str">
        <f>IF(B58="","",IF(B57="",SUM(COUNT($A$5:A57)+1),""))</f>
        <v/>
      </c>
      <c r="B58" s="1272">
        <v>4510000</v>
      </c>
      <c r="C58" s="316" t="str">
        <f>IF(B58="","",VLOOKUP(B58,'TB for financial'!A:B,2,0))</f>
        <v>Current Account</v>
      </c>
      <c r="D58" s="1273"/>
      <c r="E58" s="1275">
        <v>350</v>
      </c>
      <c r="F58" s="319"/>
      <c r="G58" s="320">
        <f t="shared" si="1"/>
        <v>-350</v>
      </c>
      <c r="H58" s="321"/>
      <c r="I58" s="322"/>
      <c r="J58" s="323"/>
    </row>
    <row r="59" spans="1:10" ht="15" customHeight="1">
      <c r="A59" s="315" t="str">
        <f>IF(B59="","",IF(B58="",SUM(COUNT($A$5:A58)+1),""))</f>
        <v/>
      </c>
      <c r="B59" s="1272">
        <v>437407</v>
      </c>
      <c r="C59" s="316" t="str">
        <f>IF(B59="","",VLOOKUP(B59,'TB for financial'!A:B,2,0))</f>
        <v>TDS - Rent</v>
      </c>
      <c r="D59" s="1273"/>
      <c r="E59" s="1274">
        <v>3016</v>
      </c>
      <c r="F59" s="319"/>
      <c r="G59" s="320">
        <f>IF(H59="PL - PL",0,IF(D59="",-E59,D59))</f>
        <v>-3016</v>
      </c>
      <c r="H59" s="321"/>
      <c r="I59" s="322"/>
      <c r="J59" s="323"/>
    </row>
    <row r="60" spans="1:10" ht="15" customHeight="1">
      <c r="A60" s="315" t="str">
        <f>IF(B60="","",IF(B59="",SUM(COUNT($A$5:A59)+1),""))</f>
        <v/>
      </c>
      <c r="B60" s="1272">
        <v>4374070</v>
      </c>
      <c r="C60" s="316" t="str">
        <f>IF(B60="","",VLOOKUP(B60,'TB for financial'!A:B,2,0))</f>
        <v>TDS - Rent</v>
      </c>
      <c r="D60" s="1273">
        <v>3016</v>
      </c>
      <c r="E60" s="1274"/>
      <c r="F60" s="319"/>
      <c r="G60" s="320">
        <f>IF(H60="PL - PL",0,IF(D60="",-E60,D60))</f>
        <v>3016</v>
      </c>
      <c r="H60" s="321"/>
      <c r="I60" s="322"/>
      <c r="J60" s="323"/>
    </row>
    <row r="61" spans="1:10" ht="15" customHeight="1">
      <c r="A61" s="315" t="str">
        <f>IF(B61="","",IF(B60="",SUM(COUNT($A$5:A60)+1),""))</f>
        <v/>
      </c>
      <c r="B61" s="1272">
        <v>408500</v>
      </c>
      <c r="C61" s="316" t="str">
        <f>IF(B61="","",VLOOKUP(B61,'TB for financial'!A:B,2,0))</f>
        <v>TRADE CREDITORS - PURCH. INV. ACCRUALS</v>
      </c>
      <c r="D61" s="1273">
        <v>3016</v>
      </c>
      <c r="E61" s="1274"/>
      <c r="F61" s="319"/>
      <c r="G61" s="1277">
        <f>IF(H61="PL - PL",0,IF(D61="",-E61,D61))</f>
        <v>3016</v>
      </c>
      <c r="H61" s="321"/>
      <c r="I61" s="322"/>
      <c r="J61" s="323"/>
    </row>
    <row r="62" spans="1:10" ht="15" customHeight="1">
      <c r="A62" s="315" t="str">
        <f>IF(B62="","",IF(B61="",SUM(COUNT($A$5:A61)+1),""))</f>
        <v/>
      </c>
      <c r="B62" s="1272">
        <v>4085000</v>
      </c>
      <c r="C62" s="316" t="str">
        <f>IF(B62="","",VLOOKUP(B62,'TB for financial'!A:B,2,0))</f>
        <v>TRADE CREDITORS - PURCH. INV. ACCRUALS GROUP</v>
      </c>
      <c r="D62" s="1273"/>
      <c r="E62" s="1274">
        <v>3016</v>
      </c>
      <c r="F62" s="319"/>
      <c r="G62" s="320">
        <f t="shared" ref="G62:G126" si="2">IF(H62="PL - PL",0,IF(D62="",-E62,D62))</f>
        <v>-3016</v>
      </c>
      <c r="H62" s="321"/>
      <c r="I62" s="322"/>
      <c r="J62" s="323"/>
    </row>
    <row r="63" spans="1:10" ht="15" customHeight="1">
      <c r="A63" s="315" t="str">
        <f>IF(B63="","",IF(B62="",SUM(COUNT($A$5:A62)+1),""))</f>
        <v/>
      </c>
      <c r="B63" s="1272">
        <v>437408</v>
      </c>
      <c r="C63" s="316" t="str">
        <f>IF(B63="","",VLOOKUP(B63,'TB for financial'!A:B,2,0))</f>
        <v>TDS - Professional Fees</v>
      </c>
      <c r="D63" s="1273"/>
      <c r="E63" s="1275">
        <v>91227</v>
      </c>
      <c r="F63" s="319"/>
      <c r="G63" s="1277">
        <f t="shared" si="2"/>
        <v>-91227</v>
      </c>
      <c r="H63" s="321"/>
      <c r="I63" s="322"/>
      <c r="J63" s="323"/>
    </row>
    <row r="64" spans="1:10" ht="15" customHeight="1">
      <c r="A64" s="315" t="str">
        <f>IF(B64="","",IF(B63="",SUM(COUNT($A$5:A63)+1),""))</f>
        <v/>
      </c>
      <c r="B64" s="1272">
        <v>4374080</v>
      </c>
      <c r="C64" s="316" t="str">
        <f>IF(B64="","",VLOOKUP(B64,'TB for financial'!A:B,2,0))</f>
        <v>TDS - Professional Fees</v>
      </c>
      <c r="D64" s="1276">
        <v>91227</v>
      </c>
      <c r="E64" s="1273"/>
      <c r="F64" s="319"/>
      <c r="G64" s="1277">
        <f t="shared" si="2"/>
        <v>91227</v>
      </c>
      <c r="H64" s="321"/>
      <c r="I64" s="322"/>
      <c r="J64" s="323"/>
    </row>
    <row r="65" spans="1:10" ht="15" customHeight="1">
      <c r="A65" s="315" t="str">
        <f>IF(B65="","",IF(B64="",SUM(COUNT($A$5:A64)+1),""))</f>
        <v/>
      </c>
      <c r="B65" s="1272">
        <v>408500</v>
      </c>
      <c r="C65" s="316" t="str">
        <f>IF(B65="","",VLOOKUP(B65,'TB for financial'!A:B,2,0))</f>
        <v>TRADE CREDITORS - PURCH. INV. ACCRUALS</v>
      </c>
      <c r="D65" s="1273">
        <v>91227</v>
      </c>
      <c r="E65" s="1275"/>
      <c r="F65" s="319"/>
      <c r="G65" s="1277">
        <f t="shared" si="2"/>
        <v>91227</v>
      </c>
      <c r="H65" s="321"/>
      <c r="I65" s="322"/>
      <c r="J65" s="323"/>
    </row>
    <row r="66" spans="1:10" ht="15" customHeight="1">
      <c r="A66" s="315" t="str">
        <f>IF(B66="","",IF(B65="",SUM(COUNT($A$5:A65)+1),""))</f>
        <v/>
      </c>
      <c r="B66" s="1272">
        <v>4085000</v>
      </c>
      <c r="C66" s="316" t="str">
        <f>IF(B66="","",VLOOKUP(B66,'TB for financial'!A:B,2,0))</f>
        <v>TRADE CREDITORS - PURCH. INV. ACCRUALS GROUP</v>
      </c>
      <c r="D66" s="1273"/>
      <c r="E66" s="1275">
        <v>91227</v>
      </c>
      <c r="F66" s="319"/>
      <c r="G66" s="320">
        <f t="shared" si="2"/>
        <v>-91227</v>
      </c>
      <c r="H66" s="321"/>
      <c r="I66" s="322"/>
      <c r="J66" s="323"/>
    </row>
    <row r="67" spans="1:10" ht="15" customHeight="1">
      <c r="A67" s="315" t="str">
        <f>IF(B67="","",IF(B66="",SUM(COUNT($A$5:A66)+1),""))</f>
        <v/>
      </c>
      <c r="B67" s="1272">
        <v>51120215</v>
      </c>
      <c r="C67" s="316" t="str">
        <f>IF(B67="","",VLOOKUP(B67,'TB for financial'!A:B,2,0))</f>
        <v>J. P. Morgan Chase Bank N.A.-INR-Rcpt</v>
      </c>
      <c r="D67" s="318"/>
      <c r="E67" s="317">
        <v>3000000</v>
      </c>
      <c r="F67" s="319"/>
      <c r="G67" s="1277">
        <f t="shared" si="2"/>
        <v>-3000000</v>
      </c>
      <c r="H67" s="321"/>
      <c r="I67" s="322"/>
      <c r="J67" s="323"/>
    </row>
    <row r="68" spans="1:10" ht="15" customHeight="1">
      <c r="A68" s="315" t="str">
        <f>IF(B68="","",IF(B67="",SUM(COUNT($A$5:A67)+1),""))</f>
        <v/>
      </c>
      <c r="B68" s="282">
        <v>4510000</v>
      </c>
      <c r="C68" s="316" t="str">
        <f>IF(B68="","",VLOOKUP(B68,'TB for financial'!A:B,2,0))</f>
        <v>Current Account</v>
      </c>
      <c r="D68" s="318">
        <v>3000000</v>
      </c>
      <c r="E68" s="677"/>
      <c r="F68" s="319"/>
      <c r="G68" s="1277">
        <f t="shared" si="2"/>
        <v>3000000</v>
      </c>
      <c r="H68" s="321"/>
      <c r="I68" s="322"/>
      <c r="J68" s="323"/>
    </row>
    <row r="69" spans="1:10" ht="15" customHeight="1">
      <c r="A69" s="315" t="str">
        <f>IF(B69="","",IF(B68="",SUM(COUNT($A$5:A68)+1),""))</f>
        <v/>
      </c>
      <c r="B69" s="282">
        <v>51200215</v>
      </c>
      <c r="C69" s="316" t="str">
        <f>IF(B69="","",VLOOKUP(B69,'TB for financial'!A:B,2,0))</f>
        <v>J. P. Morgan Chase Bank N.A.-INR-Main</v>
      </c>
      <c r="D69" s="318">
        <v>4250000</v>
      </c>
      <c r="E69" s="677"/>
      <c r="F69" s="319"/>
      <c r="G69" s="1277">
        <f t="shared" si="2"/>
        <v>4250000</v>
      </c>
      <c r="H69" s="321"/>
      <c r="I69" s="322"/>
      <c r="J69" s="323"/>
    </row>
    <row r="70" spans="1:10" ht="15" customHeight="1">
      <c r="A70" s="315" t="str">
        <f>IF(B70="","",IF(B69="",SUM(COUNT($A$5:A69)+1),""))</f>
        <v/>
      </c>
      <c r="B70" s="282">
        <v>4510000</v>
      </c>
      <c r="C70" s="316" t="str">
        <f>IF(B70="","",VLOOKUP(B70,'TB for financial'!A:B,2,0))</f>
        <v>Current Account</v>
      </c>
      <c r="D70" s="317"/>
      <c r="E70" s="317">
        <v>4250000</v>
      </c>
      <c r="F70" s="319"/>
      <c r="G70" s="1277">
        <f t="shared" si="2"/>
        <v>-4250000</v>
      </c>
      <c r="H70" s="321"/>
      <c r="I70" s="322"/>
      <c r="J70" s="323"/>
    </row>
    <row r="71" spans="1:10" ht="15" customHeight="1">
      <c r="A71" s="315" t="str">
        <f>IF(B71="","",IF(B70="",SUM(COUNT($A$5:A70)+1),""))</f>
        <v/>
      </c>
      <c r="B71" s="282">
        <v>51200215</v>
      </c>
      <c r="C71" s="316" t="str">
        <f>IF(B71="","",VLOOKUP(B71,'TB for financial'!A:B,2,0))</f>
        <v>J. P. Morgan Chase Bank N.A.-INR-Main</v>
      </c>
      <c r="D71" s="318"/>
      <c r="E71" s="677">
        <v>1250000</v>
      </c>
      <c r="F71" s="319"/>
      <c r="G71" s="320">
        <f t="shared" si="2"/>
        <v>-1250000</v>
      </c>
      <c r="H71" s="321"/>
      <c r="I71" s="322"/>
      <c r="J71" s="323"/>
    </row>
    <row r="72" spans="1:10" ht="15" customHeight="1">
      <c r="A72" s="315" t="str">
        <f>IF(B72="","",IF(B71="",SUM(COUNT($A$5:A71)+1),""))</f>
        <v/>
      </c>
      <c r="B72" s="282">
        <v>4510000</v>
      </c>
      <c r="C72" s="316" t="str">
        <f>IF(B72="","",VLOOKUP(B72,'TB for financial'!A:B,2,0))</f>
        <v>Current Account</v>
      </c>
      <c r="D72" s="318">
        <v>1250000</v>
      </c>
      <c r="E72" s="677"/>
      <c r="F72" s="319"/>
      <c r="G72" s="320">
        <f t="shared" si="2"/>
        <v>1250000</v>
      </c>
      <c r="H72" s="321"/>
      <c r="I72" s="322"/>
      <c r="J72" s="323"/>
    </row>
    <row r="73" spans="1:10" ht="15" customHeight="1">
      <c r="A73" s="315" t="str">
        <f>IF(B73="","",IF(B72="",SUM(COUNT($A$5:A72)+1),""))</f>
        <v/>
      </c>
      <c r="B73" s="1272">
        <v>51120217</v>
      </c>
      <c r="C73" s="316" t="str">
        <f>IF(B73="","",VLOOKUP(B73,'TB for financial'!A:B,2,0))</f>
        <v>J. P. Morgan Chase Bank N.A.-INR-Rcpt</v>
      </c>
      <c r="D73" s="318"/>
      <c r="E73" s="317">
        <v>20900000</v>
      </c>
      <c r="F73" s="319"/>
      <c r="G73" s="320">
        <f t="shared" si="2"/>
        <v>-20900000</v>
      </c>
      <c r="H73" s="321"/>
      <c r="I73" s="322"/>
      <c r="J73" s="323"/>
    </row>
    <row r="74" spans="1:10" ht="15" customHeight="1">
      <c r="A74" s="315" t="str">
        <f>IF(B74="","",IF(B73="",SUM(COUNT($A$5:A73)+1),""))</f>
        <v/>
      </c>
      <c r="B74" s="282">
        <v>4510000</v>
      </c>
      <c r="C74" s="316" t="str">
        <f>IF(B74="","",VLOOKUP(B74,'TB for financial'!A:B,2,0))</f>
        <v>Current Account</v>
      </c>
      <c r="D74" s="1273">
        <v>20900000</v>
      </c>
      <c r="E74" s="1275"/>
      <c r="F74" s="319"/>
      <c r="G74" s="1277">
        <f t="shared" si="2"/>
        <v>20900000</v>
      </c>
      <c r="H74" s="321"/>
      <c r="I74" s="322"/>
      <c r="J74" s="323"/>
    </row>
    <row r="75" spans="1:10" ht="15" customHeight="1">
      <c r="A75" s="315" t="str">
        <f>IF(B75="","",IF(B74="",SUM(COUNT($A$5:A74)+1),""))</f>
        <v/>
      </c>
      <c r="B75" s="327">
        <v>51150217</v>
      </c>
      <c r="C75" s="316" t="str">
        <f>IF(B75="","",VLOOKUP(B75,'TB for financial'!A:B,2,0))</f>
        <v>J. P. Morgan Chase Bank N.A.-INR-Pymt</v>
      </c>
      <c r="D75" s="317">
        <v>22000000</v>
      </c>
      <c r="E75" s="318"/>
      <c r="F75" s="319"/>
      <c r="G75" s="1277">
        <f t="shared" si="2"/>
        <v>22000000</v>
      </c>
      <c r="H75" s="321"/>
      <c r="I75" s="322"/>
      <c r="J75" s="323"/>
    </row>
    <row r="76" spans="1:10" ht="15" customHeight="1">
      <c r="A76" s="315" t="str">
        <f>IF(B76="","",IF(B75="",SUM(COUNT($A$5:A75)+1),""))</f>
        <v/>
      </c>
      <c r="B76" s="282">
        <v>4510000</v>
      </c>
      <c r="C76" s="316" t="str">
        <f>IF(B76="","",VLOOKUP(B76,'TB for financial'!A:B,2,0))</f>
        <v>Current Account</v>
      </c>
      <c r="D76" s="1273"/>
      <c r="E76" s="1274">
        <v>22000000</v>
      </c>
      <c r="F76" s="319"/>
      <c r="G76" s="1277">
        <f t="shared" si="2"/>
        <v>-22000000</v>
      </c>
      <c r="H76" s="321"/>
      <c r="I76" s="322"/>
      <c r="J76" s="323"/>
    </row>
    <row r="77" spans="1:10" ht="15" customHeight="1">
      <c r="A77" s="315" t="str">
        <f>IF(B77="","",IF(B76="",SUM(COUNT($A$5:A76)+1),""))</f>
        <v/>
      </c>
      <c r="B77" s="1272">
        <v>51200217</v>
      </c>
      <c r="C77" s="316" t="str">
        <f>IF(B77="","",VLOOKUP(B77,'TB for financial'!A:B,2,0))</f>
        <v>J. P. Morgan Chase Bank N.A.-INR-Main</v>
      </c>
      <c r="D77" s="318"/>
      <c r="E77" s="317">
        <v>1100000</v>
      </c>
      <c r="F77" s="319"/>
      <c r="G77" s="320">
        <f t="shared" si="2"/>
        <v>-1100000</v>
      </c>
      <c r="H77" s="321"/>
      <c r="I77" s="322"/>
      <c r="J77" s="323"/>
    </row>
    <row r="78" spans="1:10" ht="15" customHeight="1">
      <c r="A78" s="315" t="str">
        <f>IF(B78="","",IF(B77="",SUM(COUNT($A$5:A77)+1),""))</f>
        <v/>
      </c>
      <c r="B78" s="282">
        <v>4510000</v>
      </c>
      <c r="C78" s="316" t="str">
        <f>IF(B78="","",VLOOKUP(B78,'TB for financial'!A:B,2,0))</f>
        <v>Current Account</v>
      </c>
      <c r="D78" s="318">
        <v>1100000</v>
      </c>
      <c r="E78" s="317"/>
      <c r="F78" s="319"/>
      <c r="G78" s="320">
        <f t="shared" si="2"/>
        <v>1100000</v>
      </c>
      <c r="H78" s="321"/>
      <c r="I78" s="322"/>
      <c r="J78" s="323"/>
    </row>
    <row r="79" spans="1:10" ht="15" customHeight="1">
      <c r="A79" s="315" t="str">
        <f>IF(B79="","",IF(B78="",SUM(COUNT($A$5:A78)+1),""))</f>
        <v/>
      </c>
      <c r="B79" s="282">
        <v>51150215</v>
      </c>
      <c r="C79" s="316" t="str">
        <f>IF(B79="","",VLOOKUP(B79,'TB for financial'!A:B,2,0))</f>
        <v>J. P. Morgan Chase Bank N.A.-INR-Pymt</v>
      </c>
      <c r="D79" s="318">
        <v>1250000</v>
      </c>
      <c r="E79" s="317"/>
      <c r="F79" s="319"/>
      <c r="G79" s="1277">
        <f t="shared" si="2"/>
        <v>1250000</v>
      </c>
      <c r="H79" s="321"/>
      <c r="I79" s="322"/>
      <c r="J79" s="323"/>
    </row>
    <row r="80" spans="1:10" ht="15" customHeight="1">
      <c r="A80" s="315" t="str">
        <f>IF(B80="","",IF(B79="",SUM(COUNT($A$5:A79)+1),""))</f>
        <v/>
      </c>
      <c r="B80" s="282">
        <v>4510000</v>
      </c>
      <c r="C80" s="316" t="str">
        <f>IF(B80="","",VLOOKUP(B80,'TB for financial'!A:B,2,0))</f>
        <v>Current Account</v>
      </c>
      <c r="D80" s="317"/>
      <c r="E80" s="318">
        <v>1250000</v>
      </c>
      <c r="F80" s="319"/>
      <c r="G80" s="1277">
        <f t="shared" si="2"/>
        <v>-1250000</v>
      </c>
      <c r="H80" s="321"/>
      <c r="I80" s="322"/>
      <c r="J80" s="323"/>
    </row>
    <row r="81" spans="1:10" ht="15" customHeight="1">
      <c r="A81" s="315" t="str">
        <f>IF(B81="","",IF(B80="",SUM(COUNT($A$5:A80)+1),""))</f>
        <v/>
      </c>
      <c r="B81" s="1272">
        <v>51200215</v>
      </c>
      <c r="C81" s="316" t="str">
        <f>IF(B81="","",VLOOKUP(B81,'TB for financial'!A:B,2,0))</f>
        <v>J. P. Morgan Chase Bank N.A.-INR-Main</v>
      </c>
      <c r="D81" s="317"/>
      <c r="E81" s="318">
        <v>1250000</v>
      </c>
      <c r="F81" s="319"/>
      <c r="G81" s="320">
        <f t="shared" si="2"/>
        <v>-1250000</v>
      </c>
      <c r="H81" s="321"/>
      <c r="I81" s="322"/>
      <c r="J81" s="323"/>
    </row>
    <row r="82" spans="1:10" ht="15" customHeight="1">
      <c r="A82" s="315" t="str">
        <f>IF(B82="","",IF(B81="",SUM(COUNT($A$5:A81)+1),""))</f>
        <v/>
      </c>
      <c r="B82" s="282">
        <v>4510000</v>
      </c>
      <c r="C82" s="316" t="str">
        <f>IF(B82="","",VLOOKUP(B82,'TB for financial'!A:B,2,0))</f>
        <v>Current Account</v>
      </c>
      <c r="D82" s="317">
        <v>1250000</v>
      </c>
      <c r="E82" s="318"/>
      <c r="F82" s="319"/>
      <c r="G82" s="1277">
        <f t="shared" si="2"/>
        <v>1250000</v>
      </c>
      <c r="H82" s="321"/>
      <c r="I82" s="322"/>
      <c r="J82" s="323"/>
    </row>
    <row r="83" spans="1:10" ht="15" customHeight="1">
      <c r="A83" s="315" t="str">
        <f>IF(B83="","",IF(B82="",SUM(COUNT($A$5:A82)+1),""))</f>
        <v/>
      </c>
      <c r="B83" s="1272">
        <v>437200</v>
      </c>
      <c r="C83" s="316" t="str">
        <f>IF(B83="","",VLOOKUP(B83,'TB for financial'!A:B,2,0))</f>
        <v>WELFARE INSTITUTIONS</v>
      </c>
      <c r="D83" s="318"/>
      <c r="E83" s="317">
        <v>300</v>
      </c>
      <c r="F83" s="319"/>
      <c r="G83" s="320">
        <f t="shared" si="2"/>
        <v>-300</v>
      </c>
      <c r="H83" s="321"/>
      <c r="I83" s="322"/>
      <c r="J83" s="323"/>
    </row>
    <row r="84" spans="1:10" ht="15" customHeight="1">
      <c r="A84" s="315" t="str">
        <f>IF(B84="","",IF(B83="",SUM(COUNT($A$5:A83)+1),""))</f>
        <v/>
      </c>
      <c r="B84" s="282">
        <v>4372000</v>
      </c>
      <c r="C84" s="316" t="str">
        <f>IF(B84="","",VLOOKUP(B84,'TB for financial'!A:B,2,0))</f>
        <v>WELFARE INSTITUTIONS</v>
      </c>
      <c r="D84" s="318">
        <v>300</v>
      </c>
      <c r="E84" s="317"/>
      <c r="F84" s="319"/>
      <c r="G84" s="1277">
        <f t="shared" si="2"/>
        <v>300</v>
      </c>
      <c r="H84" s="321"/>
      <c r="I84" s="322"/>
      <c r="J84" s="323"/>
    </row>
    <row r="85" spans="1:10" ht="15" customHeight="1">
      <c r="A85" s="315" t="str">
        <f>IF(B85="","",IF(B84="",SUM(COUNT($A$5:A84)+1),""))</f>
        <v/>
      </c>
      <c r="B85" s="327">
        <v>51150215</v>
      </c>
      <c r="C85" s="316" t="str">
        <f>IF(B85="","",VLOOKUP(B85,'TB for financial'!A:B,2,0))</f>
        <v>J. P. Morgan Chase Bank N.A.-INR-Pymt</v>
      </c>
      <c r="D85" s="317">
        <v>300</v>
      </c>
      <c r="E85" s="318"/>
      <c r="F85" s="319"/>
      <c r="G85" s="1277">
        <f t="shared" si="2"/>
        <v>300</v>
      </c>
      <c r="H85" s="321"/>
      <c r="I85" s="322"/>
      <c r="J85" s="323"/>
    </row>
    <row r="86" spans="1:10" ht="15" customHeight="1">
      <c r="A86" s="315" t="str">
        <f>IF(B86="","",IF(B85="",SUM(COUNT($A$5:A85)+1),""))</f>
        <v/>
      </c>
      <c r="B86" s="282">
        <v>4510000</v>
      </c>
      <c r="C86" s="316" t="str">
        <f>IF(B86="","",VLOOKUP(B86,'TB for financial'!A:B,2,0))</f>
        <v>Current Account</v>
      </c>
      <c r="D86" s="317"/>
      <c r="E86" s="318">
        <v>300</v>
      </c>
      <c r="F86" s="319"/>
      <c r="G86" s="1277">
        <f t="shared" si="2"/>
        <v>-300</v>
      </c>
      <c r="H86" s="321"/>
      <c r="I86" s="322"/>
      <c r="J86" s="323"/>
    </row>
    <row r="87" spans="1:10" ht="15" customHeight="1">
      <c r="A87" s="315" t="str">
        <f>IF(B87="","",IF(B86="",SUM(COUNT($A$5:A86)+1),""))</f>
        <v/>
      </c>
      <c r="B87" s="1272">
        <v>408151</v>
      </c>
      <c r="C87" s="316" t="str">
        <f>IF(B87="","",VLOOKUP(B87,'TB for financial'!A:B,2,0))</f>
        <v>Outstanding Liabilities</v>
      </c>
      <c r="D87" s="318">
        <v>180000</v>
      </c>
      <c r="E87" s="317"/>
      <c r="F87" s="319"/>
      <c r="G87" s="320">
        <f t="shared" si="2"/>
        <v>180000</v>
      </c>
      <c r="H87" s="321"/>
      <c r="I87" s="322"/>
      <c r="J87" s="323"/>
    </row>
    <row r="88" spans="1:10" ht="15" customHeight="1">
      <c r="A88" s="315" t="str">
        <f>IF(B88="","",IF(B87="",SUM(COUNT($A$5:A87)+1),""))</f>
        <v/>
      </c>
      <c r="B88" s="1272">
        <v>4081510</v>
      </c>
      <c r="C88" s="316" t="str">
        <f>IF(B88="","",VLOOKUP(B88,'TB for financial'!A:B,2,0))</f>
        <v>Outstanding Liabilities</v>
      </c>
      <c r="D88" s="318"/>
      <c r="E88" s="317">
        <v>180000</v>
      </c>
      <c r="F88" s="319"/>
      <c r="G88" s="1277">
        <f t="shared" si="2"/>
        <v>-180000</v>
      </c>
      <c r="H88" s="321"/>
      <c r="I88" s="322"/>
      <c r="J88" s="323"/>
    </row>
    <row r="89" spans="1:10" ht="15" customHeight="1">
      <c r="A89" s="315" t="str">
        <f>IF(B89="","",IF(B88="",SUM(COUNT($A$5:A88)+1),""))</f>
        <v/>
      </c>
      <c r="B89" s="282">
        <v>51200215</v>
      </c>
      <c r="C89" s="316" t="str">
        <f>IF(B89="","",VLOOKUP(B89,'TB for financial'!A:B,2,0))</f>
        <v>J. P. Morgan Chase Bank N.A.-INR-Main</v>
      </c>
      <c r="D89" s="318">
        <v>2134.41</v>
      </c>
      <c r="E89" s="317"/>
      <c r="F89" s="319"/>
      <c r="G89" s="1277">
        <f t="shared" si="2"/>
        <v>2134.41</v>
      </c>
      <c r="H89" s="321"/>
      <c r="I89" s="322"/>
      <c r="J89" s="323"/>
    </row>
    <row r="90" spans="1:10" ht="15" customHeight="1">
      <c r="A90" s="315" t="str">
        <f>IF(B90="","",IF(B89="",SUM(COUNT($A$5:A89)+1),""))</f>
        <v/>
      </c>
      <c r="B90" s="282">
        <v>4510000</v>
      </c>
      <c r="C90" s="316" t="str">
        <f>IF(B90="","",VLOOKUP(B90,'TB for financial'!A:B,2,0))</f>
        <v>Current Account</v>
      </c>
      <c r="D90" s="317"/>
      <c r="E90" s="318">
        <v>2134.41</v>
      </c>
      <c r="F90" s="319"/>
      <c r="G90" s="1277">
        <f t="shared" si="2"/>
        <v>-2134.41</v>
      </c>
      <c r="H90" s="321"/>
      <c r="I90" s="322"/>
      <c r="J90" s="323"/>
    </row>
    <row r="91" spans="1:10" ht="15" customHeight="1">
      <c r="A91" s="315" t="str">
        <f>IF(B91="","",IF(B90="",SUM(COUNT($A$5:A90)+1),""))</f>
        <v/>
      </c>
      <c r="B91" s="327">
        <v>437425</v>
      </c>
      <c r="C91" s="316" t="str">
        <f>IF(B91="","",VLOOKUP(B91,'TB for financial'!A:B,2,0))</f>
        <v>Emp PF Pension Payable</v>
      </c>
      <c r="D91" s="318">
        <v>434</v>
      </c>
      <c r="E91" s="317"/>
      <c r="F91" s="319"/>
      <c r="G91" s="1277">
        <f t="shared" si="2"/>
        <v>434</v>
      </c>
      <c r="H91" s="321"/>
      <c r="I91" s="322"/>
      <c r="J91" s="323"/>
    </row>
    <row r="92" spans="1:10" ht="15" customHeight="1">
      <c r="A92" s="315" t="str">
        <f>IF(B92="","",IF(B91="",SUM(COUNT($A$5:A91)+1),""))</f>
        <v/>
      </c>
      <c r="B92" s="327">
        <v>4373000</v>
      </c>
      <c r="C92" s="316" t="str">
        <f>IF(B92="","",VLOOKUP(B92,'TB for financial'!A:B,2,0))</f>
        <v>PENSION FUNDS</v>
      </c>
      <c r="D92" s="317"/>
      <c r="E92" s="318">
        <v>434</v>
      </c>
      <c r="F92" s="319"/>
      <c r="G92" s="1277">
        <f t="shared" si="2"/>
        <v>-434</v>
      </c>
      <c r="H92" s="321"/>
      <c r="I92" s="322"/>
      <c r="J92" s="323"/>
    </row>
    <row r="93" spans="1:10" ht="15" customHeight="1">
      <c r="A93" s="315" t="str">
        <f>IF(B93="","",IF(B92="",SUM(COUNT($A$5:A92)+1),""))</f>
        <v/>
      </c>
      <c r="B93" s="327">
        <v>418150</v>
      </c>
      <c r="C93" s="316" t="str">
        <f>IF(B93="","",VLOOKUP(B93,'TB for financial'!A:B,2,0))</f>
        <v>TRADE DEBTORS - SALES INVOICE ACCRUALS</v>
      </c>
      <c r="D93" s="317"/>
      <c r="E93" s="318">
        <v>342770.3097056353</v>
      </c>
      <c r="F93" s="319"/>
      <c r="G93" s="1277">
        <f t="shared" si="2"/>
        <v>-342770.3097056353</v>
      </c>
      <c r="H93" s="321"/>
      <c r="I93" s="322"/>
      <c r="J93" s="323"/>
    </row>
    <row r="94" spans="1:10" ht="15" customHeight="1">
      <c r="A94" s="315" t="str">
        <f>IF(B94="","",IF(B93="",SUM(COUNT($A$5:A93)+1),""))</f>
        <v/>
      </c>
      <c r="B94" s="327">
        <v>4181500</v>
      </c>
      <c r="C94" s="316" t="str">
        <f>IF(B94="","",VLOOKUP(B94,'TB for financial'!A:B,2,0))</f>
        <v>WIP: travel costs</v>
      </c>
      <c r="D94" s="317">
        <v>342770.3097056353</v>
      </c>
      <c r="E94" s="318"/>
      <c r="F94" s="319"/>
      <c r="G94" s="1277">
        <f t="shared" si="2"/>
        <v>342770.3097056353</v>
      </c>
      <c r="H94" s="321"/>
      <c r="I94" s="322"/>
      <c r="J94" s="323"/>
    </row>
    <row r="95" spans="1:10" ht="15" customHeight="1">
      <c r="A95" s="315" t="str">
        <f>IF(B95="","",IF(B94="",SUM(COUNT($A$5:A94)+1),""))</f>
        <v/>
      </c>
      <c r="B95" s="327">
        <v>418150</v>
      </c>
      <c r="C95" s="316" t="str">
        <f>IF(B95="","",VLOOKUP(B95,'TB for financial'!A:B,2,0))</f>
        <v>TRADE DEBTORS - SALES INVOICE ACCRUALS</v>
      </c>
      <c r="D95" s="317"/>
      <c r="E95" s="318">
        <v>70267.490513036231</v>
      </c>
      <c r="F95" s="319"/>
      <c r="G95" s="1277">
        <f t="shared" si="2"/>
        <v>-70267.490513036231</v>
      </c>
      <c r="H95" s="321"/>
      <c r="I95" s="322"/>
      <c r="J95" s="323"/>
    </row>
    <row r="96" spans="1:10" ht="15" customHeight="1">
      <c r="A96" s="315" t="str">
        <f>IF(B96="","",IF(B95="",SUM(COUNT($A$5:A95)+1),""))</f>
        <v/>
      </c>
      <c r="B96" s="327">
        <v>4181500</v>
      </c>
      <c r="C96" s="316" t="str">
        <f>IF(B96="","",VLOOKUP(B96,'TB for financial'!A:B,2,0))</f>
        <v>WIP: travel costs</v>
      </c>
      <c r="D96" s="317">
        <v>70267.490513036231</v>
      </c>
      <c r="E96" s="318"/>
      <c r="F96" s="319"/>
      <c r="G96" s="1277">
        <f t="shared" si="2"/>
        <v>70267.490513036231</v>
      </c>
      <c r="H96" s="321"/>
      <c r="I96" s="322"/>
      <c r="J96" s="323"/>
    </row>
    <row r="97" spans="1:10" ht="15" customHeight="1">
      <c r="A97" s="315" t="str">
        <f>IF(B97="","",IF(B96="",SUM(COUNT($A$5:A96)+1),""))</f>
        <v/>
      </c>
      <c r="B97" s="327">
        <v>418150</v>
      </c>
      <c r="C97" s="316" t="str">
        <f>IF(B97="","",VLOOKUP(B97,'TB for financial'!A:B,2,0))</f>
        <v>TRADE DEBTORS - SALES INVOICE ACCRUALS</v>
      </c>
      <c r="D97" s="317">
        <v>96451.227569385999</v>
      </c>
      <c r="E97" s="318"/>
      <c r="F97" s="319"/>
      <c r="G97" s="1277">
        <f t="shared" si="2"/>
        <v>96451.227569385999</v>
      </c>
      <c r="H97" s="321"/>
      <c r="I97" s="322"/>
      <c r="J97" s="323"/>
    </row>
    <row r="98" spans="1:10" ht="15" customHeight="1">
      <c r="A98" s="315" t="str">
        <f>IF(B98="","",IF(B97="",SUM(COUNT($A$5:A97)+1),""))</f>
        <v/>
      </c>
      <c r="B98" s="327">
        <v>4181500</v>
      </c>
      <c r="C98" s="316" t="str">
        <f>IF(B98="","",VLOOKUP(B98,'TB for financial'!A:B,2,0))</f>
        <v>WIP: travel costs</v>
      </c>
      <c r="D98" s="317"/>
      <c r="E98" s="318">
        <v>96451.227569385999</v>
      </c>
      <c r="F98" s="319"/>
      <c r="G98" s="1277">
        <f t="shared" si="2"/>
        <v>-96451.227569385999</v>
      </c>
      <c r="H98" s="321"/>
      <c r="I98" s="322"/>
      <c r="J98" s="323"/>
    </row>
    <row r="99" spans="1:10" ht="15" customHeight="1">
      <c r="A99" s="315" t="str">
        <f>IF(B99="","",IF(B98="",SUM(COUNT($A$5:A98)+1),""))</f>
        <v/>
      </c>
      <c r="B99" s="327">
        <v>411500</v>
      </c>
      <c r="C99" s="316" t="str">
        <f>IF(B99="","",VLOOKUP(B99,'TB for financial'!A:B,2,0))</f>
        <v>TRADE RECEIVABLES - DOMESTIC</v>
      </c>
      <c r="D99" s="317"/>
      <c r="E99" s="318">
        <v>241132.81000000238</v>
      </c>
      <c r="F99" s="319"/>
      <c r="G99" s="1277">
        <f t="shared" si="2"/>
        <v>-241132.81000000238</v>
      </c>
      <c r="H99" s="321"/>
      <c r="I99" s="322"/>
      <c r="J99" s="323"/>
    </row>
    <row r="100" spans="1:10" ht="15" customHeight="1">
      <c r="A100" s="315" t="str">
        <f>IF(B100="","",IF(B99="",SUM(COUNT($A$5:A99)+1),""))</f>
        <v/>
      </c>
      <c r="B100" s="327">
        <v>4115000</v>
      </c>
      <c r="C100" s="316" t="str">
        <f>IF(B100="","",VLOOKUP(B100,'TB for financial'!A:B,2,0))</f>
        <v>TRADE DEBTORS GROUP</v>
      </c>
      <c r="D100" s="317">
        <v>241132.81000000238</v>
      </c>
      <c r="E100" s="318"/>
      <c r="F100" s="319"/>
      <c r="G100" s="1277">
        <f t="shared" si="2"/>
        <v>241132.81000000238</v>
      </c>
      <c r="H100" s="321"/>
      <c r="I100" s="322"/>
      <c r="J100" s="323"/>
    </row>
    <row r="101" spans="1:10" ht="15" customHeight="1">
      <c r="A101" s="315" t="str">
        <f>IF(B101="","",IF(B100="",SUM(COUNT($A$5:A100)+1),""))</f>
        <v/>
      </c>
      <c r="B101" s="327">
        <v>411500</v>
      </c>
      <c r="C101" s="316" t="str">
        <f>IF(B101="","",VLOOKUP(B101,'TB for financial'!A:B,2,0))</f>
        <v>TRADE RECEIVABLES - DOMESTIC</v>
      </c>
      <c r="D101" s="317">
        <v>241132.81000000238</v>
      </c>
      <c r="E101" s="318"/>
      <c r="F101" s="319"/>
      <c r="G101" s="320">
        <f t="shared" si="2"/>
        <v>241132.81000000238</v>
      </c>
      <c r="H101" s="321"/>
      <c r="I101" s="322"/>
      <c r="J101" s="323"/>
    </row>
    <row r="102" spans="1:10" ht="15" customHeight="1">
      <c r="A102" s="315" t="str">
        <f>IF(B102="","",IF(B101="",SUM(COUNT($A$5:A101)+1),""))</f>
        <v/>
      </c>
      <c r="B102" s="327">
        <v>4081510</v>
      </c>
      <c r="C102" s="316" t="str">
        <f>IF(B102="","",VLOOKUP(B102,'TB for financial'!A:B,2,0))</f>
        <v>Outstanding Liabilities</v>
      </c>
      <c r="D102" s="317"/>
      <c r="E102" s="318">
        <v>241132.81000000238</v>
      </c>
      <c r="F102" s="319"/>
      <c r="G102" s="320">
        <f t="shared" si="2"/>
        <v>-241132.81000000238</v>
      </c>
      <c r="H102" s="321"/>
      <c r="I102" s="322"/>
      <c r="J102" s="323"/>
    </row>
    <row r="103" spans="1:10" ht="15" customHeight="1">
      <c r="A103" s="315" t="str">
        <f>IF(B103="","",IF(B102="",SUM(COUNT($A$5:A102)+1),""))</f>
        <v/>
      </c>
      <c r="B103" s="327">
        <v>1013001</v>
      </c>
      <c r="C103" s="316" t="str">
        <f>IF(B103="","",VLOOKUP(B103,'TB for financial'!A:B,2,0))</f>
        <v>CAPITAL SUBSCRIBED - CALLED AND PAID</v>
      </c>
      <c r="D103" s="317">
        <v>54000</v>
      </c>
      <c r="E103" s="318"/>
      <c r="F103" s="319"/>
      <c r="G103" s="1277">
        <f t="shared" si="2"/>
        <v>54000</v>
      </c>
      <c r="H103" s="321"/>
      <c r="I103" s="322"/>
      <c r="J103" s="323"/>
    </row>
    <row r="104" spans="1:10" ht="15" customHeight="1">
      <c r="A104" s="315"/>
      <c r="B104" s="327">
        <v>106810</v>
      </c>
      <c r="C104" s="316" t="str">
        <f>IF(B104="","",VLOOKUP(B104,'TB for financial'!A:B,2,0))</f>
        <v>OTHER RESERVES 4</v>
      </c>
      <c r="D104" s="317">
        <v>8625780</v>
      </c>
      <c r="E104" s="318"/>
      <c r="F104" s="319"/>
      <c r="G104" s="1277">
        <f t="shared" si="2"/>
        <v>8625780</v>
      </c>
      <c r="H104" s="321"/>
      <c r="I104" s="322"/>
      <c r="J104" s="323"/>
    </row>
    <row r="105" spans="1:10" ht="15" customHeight="1">
      <c r="A105" s="315" t="str">
        <f>IF(B105="","",IF(B103="",SUM(COUNT($A$5:A103)+1),""))</f>
        <v/>
      </c>
      <c r="B105" s="327">
        <v>106960</v>
      </c>
      <c r="C105" s="316" t="str">
        <f>IF(B105="","",VLOOKUP(B105,'TB for financial'!A:B,2,0))</f>
        <v>Stat, Of Recognized Income and Expense</v>
      </c>
      <c r="D105" s="317"/>
      <c r="E105" s="318">
        <v>210334400.00164101</v>
      </c>
      <c r="F105" s="319"/>
      <c r="G105" s="1277">
        <f t="shared" si="2"/>
        <v>-210334400.00164101</v>
      </c>
      <c r="H105" s="321"/>
      <c r="I105" s="322"/>
      <c r="J105" s="323"/>
    </row>
    <row r="106" spans="1:10" ht="15" customHeight="1">
      <c r="A106" s="315" t="str">
        <f>IF(B106="","",IF(B105="",SUM(COUNT($A$5:A105)+1),""))</f>
        <v/>
      </c>
      <c r="B106" s="327">
        <v>110000</v>
      </c>
      <c r="C106" s="316" t="str">
        <f>IF(B106="","",VLOOKUP(B106,'TB for financial'!A:B,2,0))</f>
        <v>RETAINED EARNINGS</v>
      </c>
      <c r="D106" s="317">
        <v>201654619.99814799</v>
      </c>
      <c r="E106" s="318"/>
      <c r="F106" s="319"/>
      <c r="G106" s="1277">
        <f t="shared" si="2"/>
        <v>201654619.99814799</v>
      </c>
      <c r="H106" s="321"/>
      <c r="I106" s="322"/>
      <c r="J106" s="323"/>
    </row>
    <row r="107" spans="1:10" ht="15" customHeight="1">
      <c r="A107" s="315" t="str">
        <f>IF(B107="","",IF(B106="",SUM(COUNT($A$5:A106)+1),""))</f>
        <v/>
      </c>
      <c r="B107" s="327">
        <v>106960</v>
      </c>
      <c r="C107" s="316" t="str">
        <f>IF(B107="","",VLOOKUP(B107,'TB for financial'!A:B,2,0))</f>
        <v>Stat, Of Recognized Income and Expense</v>
      </c>
      <c r="D107" s="317">
        <v>861118</v>
      </c>
      <c r="E107" s="318"/>
      <c r="F107" s="319"/>
      <c r="G107" s="1277">
        <f t="shared" si="2"/>
        <v>861118</v>
      </c>
      <c r="H107" s="321"/>
      <c r="I107" s="322"/>
      <c r="J107" s="323"/>
    </row>
    <row r="108" spans="1:10" ht="15" customHeight="1">
      <c r="A108" s="315" t="str">
        <f>IF(B108="","",IF(B107="",SUM(COUNT($A$5:A107)+1),""))</f>
        <v/>
      </c>
      <c r="B108" s="327">
        <v>159300</v>
      </c>
      <c r="C108" s="316" t="str">
        <f>IF(B108="","",VLOOKUP(B108,'TB for financial'!A:B,2,0))</f>
        <v>Other long term DB plans</v>
      </c>
      <c r="D108" s="317"/>
      <c r="E108" s="318">
        <f>+D107</f>
        <v>861118</v>
      </c>
      <c r="F108" s="319"/>
      <c r="G108" s="1277">
        <f t="shared" si="2"/>
        <v>-861118</v>
      </c>
      <c r="H108" s="321"/>
      <c r="I108" s="322"/>
      <c r="J108" s="323"/>
    </row>
    <row r="109" spans="1:10" ht="15" customHeight="1">
      <c r="A109" s="315" t="str">
        <f>IF(B109="","",IF(B108="",SUM(COUNT($A$5:A108)+1),""))</f>
        <v/>
      </c>
      <c r="B109" s="1223">
        <v>110000</v>
      </c>
      <c r="C109" s="316" t="str">
        <f>IF(B109="","",VLOOKUP(B109,'TB for financial'!A:B,2,0))</f>
        <v>RETAINED EARNINGS</v>
      </c>
      <c r="D109" s="317"/>
      <c r="E109" s="318">
        <v>398082</v>
      </c>
      <c r="F109" s="319"/>
      <c r="G109" s="1277">
        <f t="shared" si="2"/>
        <v>-398082</v>
      </c>
      <c r="H109" s="321"/>
      <c r="I109" s="322"/>
      <c r="J109" s="323"/>
    </row>
    <row r="110" spans="1:10" ht="15" customHeight="1">
      <c r="A110" s="315" t="str">
        <f>IF(B110="","",IF(B109="",SUM(COUNT($A$5:A109)+1),""))</f>
        <v/>
      </c>
      <c r="B110" s="327">
        <v>444000</v>
      </c>
      <c r="C110" s="316" t="str">
        <f>IF(B110="","",VLOOKUP(B110,'TB for financial'!A:B,2,0))</f>
        <v>Corporate Income Tax and Accrued Income</v>
      </c>
      <c r="D110" s="318">
        <v>398082</v>
      </c>
      <c r="E110" s="317"/>
      <c r="F110" s="319"/>
      <c r="G110" s="1277">
        <f t="shared" si="2"/>
        <v>398082</v>
      </c>
      <c r="H110" s="321"/>
      <c r="I110" s="322"/>
      <c r="J110" s="323"/>
    </row>
    <row r="111" spans="1:10" ht="15" customHeight="1">
      <c r="A111" s="315" t="str">
        <f>IF(B111="","",IF(B110="",SUM(COUNT($A$5:A110)+1),""))</f>
        <v/>
      </c>
      <c r="B111" s="327">
        <v>488120</v>
      </c>
      <c r="C111" s="316" t="str">
        <f>IF(B111="","",VLOOKUP(B111,'TB for financial'!A:B,2,0))</f>
        <v>Deferred Tax - Mininumum alternate tax</v>
      </c>
      <c r="D111" s="317">
        <v>398082</v>
      </c>
      <c r="E111" s="318"/>
      <c r="F111" s="319"/>
      <c r="G111" s="1277">
        <f t="shared" si="2"/>
        <v>398082</v>
      </c>
      <c r="H111" s="321"/>
      <c r="I111" s="322"/>
      <c r="J111" s="323"/>
    </row>
    <row r="112" spans="1:10" ht="15" customHeight="1">
      <c r="A112" s="315" t="str">
        <f>IF(B112="","",IF(B111="",SUM(COUNT($A$5:A111)+1),""))</f>
        <v/>
      </c>
      <c r="B112" s="1223">
        <v>444000</v>
      </c>
      <c r="C112" s="316" t="str">
        <f>IF(B112="","",VLOOKUP(B112,'TB for financial'!A:B,2,0))</f>
        <v>Corporate Income Tax and Accrued Income</v>
      </c>
      <c r="D112" s="317"/>
      <c r="E112" s="318">
        <v>398082</v>
      </c>
      <c r="F112" s="319"/>
      <c r="G112" s="1277">
        <f t="shared" si="2"/>
        <v>-398082</v>
      </c>
      <c r="H112" s="321"/>
      <c r="I112" s="322"/>
      <c r="J112" s="323"/>
    </row>
    <row r="113" spans="1:10" ht="15" customHeight="1">
      <c r="A113" s="315" t="str">
        <f>IF(B113="","",IF(B112="",SUM(COUNT($A$5:A112)+1),""))</f>
        <v/>
      </c>
      <c r="B113" s="282">
        <v>457000</v>
      </c>
      <c r="C113" s="316" t="str">
        <f>IF(B113="","",VLOOKUP(B113,'TB for financial'!A:B,2,0))</f>
        <v>DIVIDENDS TO BE PAID</v>
      </c>
      <c r="D113" s="1278"/>
      <c r="E113" s="1279">
        <f>13514*0</f>
        <v>0</v>
      </c>
      <c r="F113" s="319"/>
      <c r="G113" s="1277">
        <f t="shared" si="2"/>
        <v>0</v>
      </c>
      <c r="H113" s="321"/>
      <c r="I113" s="322"/>
      <c r="J113" s="323"/>
    </row>
    <row r="114" spans="1:10" ht="15" customHeight="1">
      <c r="A114" s="315" t="str">
        <f>IF(B114="","",IF(B113="",SUM(COUNT($A$5:A113)+1),""))</f>
        <v/>
      </c>
      <c r="B114" s="282">
        <v>110000</v>
      </c>
      <c r="C114" s="316" t="str">
        <f>IF(B114="","",VLOOKUP(B114,'TB for financial'!A:B,2,0))</f>
        <v>RETAINED EARNINGS</v>
      </c>
      <c r="D114" s="1278">
        <f>+E113</f>
        <v>0</v>
      </c>
      <c r="E114" s="1279"/>
      <c r="F114" s="319"/>
      <c r="G114" s="1277">
        <f t="shared" si="2"/>
        <v>0</v>
      </c>
      <c r="H114" s="321"/>
      <c r="I114" s="322"/>
      <c r="J114" s="323"/>
    </row>
    <row r="115" spans="1:10" ht="15" customHeight="1">
      <c r="A115" s="315" t="str">
        <f>IF(B115="","",IF(B114="",SUM(COUNT($A$5:A114)+1),""))</f>
        <v/>
      </c>
      <c r="C115" s="316" t="str">
        <f>IF(B115="","",VLOOKUP(B115,'TB for financial'!A:B,2,0))</f>
        <v/>
      </c>
      <c r="D115" s="1278"/>
      <c r="E115" s="1279"/>
      <c r="F115" s="319"/>
      <c r="G115" s="1277">
        <f t="shared" si="2"/>
        <v>0</v>
      </c>
      <c r="H115" s="321"/>
      <c r="I115" s="322"/>
      <c r="J115" s="323"/>
    </row>
    <row r="116" spans="1:10" ht="15" customHeight="1">
      <c r="A116" s="315">
        <f>IF(B116="","",IF(B115="",SUM(COUNT($A$5:A115)+1),""))</f>
        <v>2</v>
      </c>
      <c r="B116" s="282">
        <v>695000</v>
      </c>
      <c r="C116" s="316" t="str">
        <f>IF(B116="","",VLOOKUP(B116,'TB for financial'!A:B,2,0))</f>
        <v>CORPORATE INCOME TAX</v>
      </c>
      <c r="D116" s="1278">
        <v>2345</v>
      </c>
      <c r="E116" s="1279"/>
      <c r="F116" s="319"/>
      <c r="G116" s="1277">
        <f t="shared" si="2"/>
        <v>2345</v>
      </c>
      <c r="H116" s="321"/>
      <c r="I116" s="322"/>
      <c r="J116" s="323"/>
    </row>
    <row r="117" spans="1:10" ht="15" customHeight="1">
      <c r="A117" s="315" t="str">
        <f>IF(B117="","",IF(B116="",SUM(COUNT($A$5:A116)+1),""))</f>
        <v/>
      </c>
      <c r="B117" s="282">
        <v>444000</v>
      </c>
      <c r="C117" s="316" t="str">
        <f>IF(B117="","",VLOOKUP(B117,'TB for financial'!A:B,2,0))</f>
        <v>Corporate Income Tax and Accrued Income</v>
      </c>
      <c r="D117" s="1278"/>
      <c r="E117" s="1279">
        <v>2345</v>
      </c>
      <c r="F117" s="319"/>
      <c r="G117" s="1277">
        <f t="shared" si="2"/>
        <v>-2345</v>
      </c>
      <c r="H117" s="321"/>
      <c r="I117" s="322"/>
      <c r="J117" s="323"/>
    </row>
    <row r="118" spans="1:10" ht="15" customHeight="1">
      <c r="A118" s="315" t="str">
        <f>IF(B118="","",IF(B117="",SUM(COUNT($A$5:A117)+1),""))</f>
        <v/>
      </c>
      <c r="B118" s="282">
        <v>488120</v>
      </c>
      <c r="C118" s="316" t="str">
        <f>IF(B118="","",VLOOKUP(B118,'TB for financial'!A:B,2,0))</f>
        <v>Deferred Tax - Mininumum alternate tax</v>
      </c>
      <c r="D118" s="1278"/>
      <c r="E118" s="1279">
        <v>2345</v>
      </c>
      <c r="F118" s="319"/>
      <c r="G118" s="1277">
        <f t="shared" si="2"/>
        <v>-2345</v>
      </c>
      <c r="H118" s="321"/>
      <c r="I118" s="322"/>
      <c r="J118" s="323"/>
    </row>
    <row r="119" spans="1:10" ht="15" customHeight="1">
      <c r="A119" s="315" t="str">
        <f>IF(B119="","",IF(B118="",SUM(COUNT($A$5:A118)+1),""))</f>
        <v/>
      </c>
      <c r="B119" s="282">
        <v>695900</v>
      </c>
      <c r="C119" s="316" t="str">
        <f>IF(B119="","",VLOOKUP(B119,'TB for financial'!A:B,2,0))</f>
        <v>DEFERRED TAX CHARGES</v>
      </c>
      <c r="D119" s="1278">
        <v>2345</v>
      </c>
      <c r="E119" s="1279"/>
      <c r="F119" s="319"/>
      <c r="G119" s="1277">
        <f t="shared" si="2"/>
        <v>2345</v>
      </c>
      <c r="H119" s="321"/>
      <c r="I119" s="322"/>
      <c r="J119" s="323"/>
    </row>
    <row r="120" spans="1:10" ht="28.8">
      <c r="A120" s="315" t="str">
        <f>IF(B120="","",IF(B119="",SUM(COUNT($A$5:A119)+1),""))</f>
        <v/>
      </c>
      <c r="C120" s="1385" t="s">
        <v>2704</v>
      </c>
      <c r="D120" s="1278"/>
      <c r="E120" s="1279"/>
      <c r="F120" s="319"/>
      <c r="G120" s="1277">
        <f t="shared" si="2"/>
        <v>0</v>
      </c>
      <c r="H120" s="321"/>
      <c r="I120" s="322"/>
      <c r="J120" s="323"/>
    </row>
    <row r="121" spans="1:10" ht="15" customHeight="1">
      <c r="A121" s="315" t="str">
        <f>IF(B121="","",IF(B120="",SUM(COUNT($A$5:A120)+1),""))</f>
        <v/>
      </c>
      <c r="C121" s="316" t="str">
        <f>IF(B121="","",VLOOKUP(B121,'TB for financial'!A:B,2,0))</f>
        <v/>
      </c>
      <c r="D121" s="1278"/>
      <c r="E121" s="1279"/>
      <c r="F121" s="319"/>
      <c r="G121" s="1277">
        <f t="shared" si="2"/>
        <v>0</v>
      </c>
      <c r="H121" s="321"/>
      <c r="I121" s="322"/>
      <c r="J121" s="323"/>
    </row>
    <row r="122" spans="1:10" ht="15" customHeight="1">
      <c r="A122" s="315">
        <f>IF(B122="","",IF(B121="",SUM(COUNT($A$5:A121)+1),""))</f>
        <v>3</v>
      </c>
      <c r="B122" s="282">
        <v>444000</v>
      </c>
      <c r="C122" s="316" t="str">
        <f>IF(B122="","",VLOOKUP(B122,'TB for financial'!A:B,2,0))</f>
        <v>Corporate Income Tax and Accrued Income</v>
      </c>
      <c r="D122" s="1278">
        <v>1136938</v>
      </c>
      <c r="E122" s="1279"/>
      <c r="F122" s="319"/>
      <c r="G122" s="1277">
        <f t="shared" si="2"/>
        <v>1136938</v>
      </c>
      <c r="H122" s="321"/>
      <c r="I122" s="322"/>
      <c r="J122" s="323"/>
    </row>
    <row r="123" spans="1:10" ht="15" customHeight="1">
      <c r="A123" s="315" t="str">
        <f>IF(B123="","",IF(B122="",SUM(COUNT($A$5:A122)+1),""))</f>
        <v/>
      </c>
      <c r="B123" s="282">
        <v>444000</v>
      </c>
      <c r="C123" s="316" t="str">
        <f>IF(B123="","",VLOOKUP(B123,'TB for financial'!A:B,2,0))</f>
        <v>Corporate Income Tax and Accrued Income</v>
      </c>
      <c r="D123" s="1278"/>
      <c r="E123" s="1279">
        <v>1136938</v>
      </c>
      <c r="F123" s="319"/>
      <c r="G123" s="1277">
        <f t="shared" si="2"/>
        <v>-1136938</v>
      </c>
      <c r="H123" s="321"/>
      <c r="I123" s="322"/>
      <c r="J123" s="323"/>
    </row>
    <row r="124" spans="1:10" ht="15" customHeight="1">
      <c r="A124" s="315" t="str">
        <f>IF(B124="","",IF(B123="",SUM(COUNT($A$5:A123)+1),""))</f>
        <v/>
      </c>
      <c r="B124" s="282">
        <v>488000</v>
      </c>
      <c r="C124" s="316" t="str">
        <f>IF(B124="","",VLOOKUP(B124,'TB for financial'!A:B,2,0))</f>
        <v>DEFERRED TAX</v>
      </c>
      <c r="D124" s="1278">
        <v>1136938</v>
      </c>
      <c r="E124" s="1279"/>
      <c r="F124" s="319"/>
      <c r="G124" s="1277">
        <f t="shared" si="2"/>
        <v>1136938</v>
      </c>
      <c r="H124" s="321"/>
      <c r="I124" s="322"/>
      <c r="J124" s="323"/>
    </row>
    <row r="125" spans="1:10" ht="15" customHeight="1">
      <c r="A125" s="315" t="str">
        <f>IF(B125="","",IF(B124="",SUM(COUNT($A$5:A124)+1),""))</f>
        <v/>
      </c>
      <c r="B125" s="1223">
        <v>695000</v>
      </c>
      <c r="C125" s="316" t="str">
        <f>IF(B125="","",VLOOKUP(B125,'TB for financial'!A:B,2,0))</f>
        <v>CORPORATE INCOME TAX</v>
      </c>
      <c r="D125" s="317">
        <v>1136938</v>
      </c>
      <c r="E125" s="318"/>
      <c r="F125" s="319"/>
      <c r="G125" s="320"/>
      <c r="H125" s="321"/>
      <c r="I125" s="322"/>
      <c r="J125" s="323"/>
    </row>
    <row r="126" spans="1:10" ht="15" customHeight="1">
      <c r="A126" s="315" t="str">
        <f>IF(B126="","",IF(B125="",SUM(COUNT($A$5:A125)+1),""))</f>
        <v/>
      </c>
      <c r="B126" s="1223">
        <v>695000</v>
      </c>
      <c r="C126" s="316" t="str">
        <f>IF(B126="","",VLOOKUP(B126,'TB for financial'!A:B,2,0))</f>
        <v>CORPORATE INCOME TAX</v>
      </c>
      <c r="D126" s="317"/>
      <c r="E126" s="318">
        <v>1136938</v>
      </c>
      <c r="F126" s="319"/>
      <c r="G126" s="1277">
        <f t="shared" si="2"/>
        <v>-1136938</v>
      </c>
      <c r="H126" s="321"/>
      <c r="I126" s="322"/>
      <c r="J126" s="323"/>
    </row>
    <row r="127" spans="1:10" ht="15" customHeight="1">
      <c r="A127" s="315" t="str">
        <f>IF(B127="","",IF(B126="",SUM(COUNT($A$5:A126)+1),""))</f>
        <v/>
      </c>
      <c r="B127" s="1223">
        <v>695900</v>
      </c>
      <c r="C127" s="316" t="str">
        <f>IF(B127="","",VLOOKUP(B127,'TB for financial'!A:B,2,0))</f>
        <v>DEFERRED TAX CHARGES</v>
      </c>
      <c r="D127" s="317"/>
      <c r="E127" s="318">
        <v>1136938</v>
      </c>
      <c r="F127" s="319"/>
      <c r="G127" s="1277">
        <f>IF(H127="PL - PL",0,IF(D127="",-E127,D127))</f>
        <v>-1136938</v>
      </c>
      <c r="H127" s="321"/>
      <c r="I127" s="322"/>
      <c r="J127" s="323"/>
    </row>
    <row r="128" spans="1:10" ht="43.2">
      <c r="A128" s="315" t="str">
        <f>IF(B128="","",IF(B127="",SUM(COUNT($A$5:A127)+1),""))</f>
        <v/>
      </c>
      <c r="B128" s="1223"/>
      <c r="C128" s="1385" t="s">
        <v>2705</v>
      </c>
      <c r="D128" s="318"/>
      <c r="E128" s="318"/>
      <c r="F128" s="319"/>
      <c r="G128" s="1277">
        <f>IF(H128="PL - PL",0,IF(D128="",-E128,D128))</f>
        <v>0</v>
      </c>
      <c r="H128" s="321"/>
      <c r="I128" s="322"/>
      <c r="J128" s="323"/>
    </row>
    <row r="129" spans="1:10" ht="15" customHeight="1">
      <c r="A129" s="315" t="str">
        <f>IF(B129="","",IF(B128="",SUM(COUNT($A$5:A128)+1),""))</f>
        <v/>
      </c>
      <c r="B129" s="1223"/>
      <c r="C129" s="316" t="str">
        <f>IF(B129="","",VLOOKUP(B129,'TB for financial'!A:B,2,0))</f>
        <v/>
      </c>
      <c r="D129" s="318"/>
      <c r="E129" s="318"/>
      <c r="F129" s="319"/>
      <c r="G129" s="1277">
        <f>IF(H129="PL - PL",0,IF(D129="",-E129,D129))</f>
        <v>0</v>
      </c>
      <c r="H129" s="321"/>
      <c r="I129" s="322"/>
      <c r="J129" s="323"/>
    </row>
    <row r="130" spans="1:10" ht="15" customHeight="1">
      <c r="A130" s="315">
        <f>IF(B130="","",IF(B129="",SUM(COUNT($A$5:A129)+1),""))</f>
        <v>4</v>
      </c>
      <c r="B130" s="1223">
        <v>444000</v>
      </c>
      <c r="C130" s="316" t="str">
        <f>IF(B130="","",VLOOKUP(B130,'TB for financial'!A:B,2,0))</f>
        <v>Corporate Income Tax and Accrued Income</v>
      </c>
      <c r="D130" s="317">
        <v>961692</v>
      </c>
      <c r="E130" s="318"/>
      <c r="F130" s="319"/>
      <c r="G130" s="1277">
        <f>IF(H130="PL - PL",0,IF(D130="",-E130,D130))</f>
        <v>961692</v>
      </c>
      <c r="H130" s="321"/>
      <c r="I130" s="322"/>
      <c r="J130" s="323"/>
    </row>
    <row r="131" spans="1:10" ht="15" customHeight="1">
      <c r="A131" s="315" t="str">
        <f>IF(B131="","",IF(B130="",SUM(COUNT($A$5:A130)+1),""))</f>
        <v/>
      </c>
      <c r="B131" s="1223">
        <v>444000</v>
      </c>
      <c r="C131" s="316" t="str">
        <f>IF(B131="","",VLOOKUP(B131,'TB for financial'!A:B,2,0))</f>
        <v>Corporate Income Tax and Accrued Income</v>
      </c>
      <c r="D131" s="317"/>
      <c r="E131" s="318">
        <v>961692</v>
      </c>
      <c r="F131" s="319"/>
      <c r="G131" s="1277">
        <f>IF(H131="PL - PL",0,IF(D131="",-E131,D131))</f>
        <v>-961692</v>
      </c>
      <c r="H131" s="321"/>
      <c r="I131" s="322"/>
      <c r="J131" s="323"/>
    </row>
    <row r="132" spans="1:10" ht="15" customHeight="1">
      <c r="A132" s="315" t="str">
        <f>IF(B132="","",IF(B131="",SUM(COUNT($A$5:A131)+1),""))</f>
        <v/>
      </c>
      <c r="B132" s="1223">
        <v>488000</v>
      </c>
      <c r="C132" s="316" t="str">
        <f>IF(B132="","",VLOOKUP(B132,'TB for financial'!A:B,2,0))</f>
        <v>DEFERRED TAX</v>
      </c>
      <c r="D132" s="317">
        <v>961692</v>
      </c>
      <c r="E132" s="318"/>
      <c r="F132" s="319"/>
      <c r="G132" s="320">
        <f>+D132-E132</f>
        <v>961692</v>
      </c>
      <c r="H132" s="321"/>
      <c r="I132" s="322"/>
      <c r="J132" s="323"/>
    </row>
    <row r="133" spans="1:10" ht="15" customHeight="1">
      <c r="A133" s="315" t="str">
        <f>IF(B133="","",IF(B132="",SUM(COUNT($A$5:A132)+1),""))</f>
        <v/>
      </c>
      <c r="B133" s="1223">
        <v>695000</v>
      </c>
      <c r="C133" s="316" t="str">
        <f>IF(B133="","",VLOOKUP(B133,'TB for financial'!A:B,2,0))</f>
        <v>CORPORATE INCOME TAX</v>
      </c>
      <c r="D133" s="317">
        <v>961692</v>
      </c>
      <c r="E133" s="318"/>
      <c r="F133" s="319"/>
      <c r="G133" s="1277">
        <f>IF(H133="PL - PL",0,IF(D133="",-E133,D133))</f>
        <v>961692</v>
      </c>
      <c r="H133" s="321"/>
      <c r="I133" s="322"/>
      <c r="J133" s="323"/>
    </row>
    <row r="134" spans="1:10" ht="15" customHeight="1">
      <c r="A134" s="315" t="str">
        <f>IF(B134="","",IF(B133="",SUM(COUNT($A$5:A133)+1),""))</f>
        <v/>
      </c>
      <c r="B134" s="1223">
        <v>695000</v>
      </c>
      <c r="C134" s="316" t="str">
        <f>IF(B134="","",VLOOKUP(B134,'TB for financial'!A:B,2,0))</f>
        <v>CORPORATE INCOME TAX</v>
      </c>
      <c r="D134" s="317"/>
      <c r="E134" s="318">
        <v>961692</v>
      </c>
      <c r="F134" s="319"/>
      <c r="G134" s="320"/>
      <c r="H134" s="321"/>
      <c r="I134" s="322"/>
      <c r="J134" s="323"/>
    </row>
    <row r="135" spans="1:10" ht="15" customHeight="1">
      <c r="A135" s="315" t="str">
        <f>IF(B135="","",IF(B134="",SUM(COUNT($A$5:A134)+1),""))</f>
        <v/>
      </c>
      <c r="B135" s="1223">
        <v>695900</v>
      </c>
      <c r="C135" s="316" t="str">
        <f>IF(B135="","",VLOOKUP(B135,'TB for financial'!A:B,2,0))</f>
        <v>DEFERRED TAX CHARGES</v>
      </c>
      <c r="D135" s="317"/>
      <c r="E135" s="318">
        <v>961692</v>
      </c>
      <c r="F135" s="319"/>
      <c r="G135" s="320">
        <f>+D135-E135</f>
        <v>-961692</v>
      </c>
      <c r="H135" s="321"/>
      <c r="I135" s="322"/>
      <c r="J135" s="323"/>
    </row>
    <row r="136" spans="1:10" ht="43.2">
      <c r="A136" s="315" t="str">
        <f>IF(B136="","",IF(B135="",SUM(COUNT($A$5:A135)+1),""))</f>
        <v/>
      </c>
      <c r="B136" s="1223"/>
      <c r="C136" s="1385" t="s">
        <v>2706</v>
      </c>
      <c r="D136" s="317"/>
      <c r="E136" s="318"/>
      <c r="F136" s="319"/>
      <c r="G136" s="1277">
        <f>IF(H136="PL - PL",0,IF(D136="",-E136,D136))</f>
        <v>0</v>
      </c>
      <c r="H136" s="321"/>
      <c r="I136" s="322"/>
      <c r="J136" s="323"/>
    </row>
    <row r="137" spans="1:10" ht="15" customHeight="1">
      <c r="A137" s="315" t="str">
        <f>IF(B137="","",IF(B136="",SUM(COUNT($A$5:A136)+1),""))</f>
        <v/>
      </c>
      <c r="B137" s="1223"/>
      <c r="C137" s="316" t="str">
        <f>IF(B137="","",VLOOKUP(B137,'TB for financial'!A:B,2,0))</f>
        <v/>
      </c>
      <c r="D137" s="317"/>
      <c r="E137" s="318"/>
      <c r="F137" s="319"/>
      <c r="G137" s="320"/>
      <c r="H137" s="321"/>
      <c r="I137" s="322"/>
      <c r="J137" s="323"/>
    </row>
    <row r="138" spans="1:10" ht="15" customHeight="1">
      <c r="A138" s="315">
        <f>IF(B138="","",IF(B137="",SUM(COUNT($A$5:A137)+1),""))</f>
        <v>5</v>
      </c>
      <c r="B138" s="1223">
        <v>488000</v>
      </c>
      <c r="C138" s="316" t="str">
        <f>IF(B138="","",VLOOKUP(B138,'TB for financial'!A:B,2,0))</f>
        <v>DEFERRED TAX</v>
      </c>
      <c r="D138" s="317">
        <v>399124.96</v>
      </c>
      <c r="E138" s="318"/>
      <c r="F138" s="319"/>
      <c r="G138" s="320">
        <f>+D138-E138</f>
        <v>399124.96</v>
      </c>
      <c r="H138" s="321"/>
      <c r="I138" s="322"/>
      <c r="J138" s="323"/>
    </row>
    <row r="139" spans="1:10" ht="15" customHeight="1">
      <c r="A139" s="315" t="str">
        <f>IF(B139="","",IF(B138="",SUM(COUNT($A$5:A138)+1),""))</f>
        <v/>
      </c>
      <c r="B139" s="1223">
        <v>695900</v>
      </c>
      <c r="C139" s="316" t="str">
        <f>IF(B139="","",VLOOKUP(B139,'TB for financial'!A:B,2,0))</f>
        <v>DEFERRED TAX CHARGES</v>
      </c>
      <c r="D139" s="317"/>
      <c r="E139" s="318">
        <f>+D138</f>
        <v>399124.96</v>
      </c>
      <c r="F139" s="319"/>
      <c r="G139" s="320">
        <f>+D139-E139</f>
        <v>-399124.96</v>
      </c>
      <c r="H139" s="321"/>
      <c r="I139" s="322"/>
      <c r="J139" s="323"/>
    </row>
    <row r="140" spans="1:10" ht="43.2">
      <c r="A140" s="315" t="str">
        <f>IF(B140="","",IF(B139="",SUM(COUNT($A$5:A139)+1),""))</f>
        <v/>
      </c>
      <c r="B140" s="1223"/>
      <c r="C140" s="1385" t="s">
        <v>2708</v>
      </c>
      <c r="D140" s="317"/>
      <c r="E140" s="318"/>
      <c r="F140" s="319"/>
      <c r="G140" s="1277">
        <f>IF(H140="PL - PL",0,IF(D140="",-E140,D140))</f>
        <v>0</v>
      </c>
      <c r="H140" s="321"/>
      <c r="I140" s="322"/>
      <c r="J140" s="323"/>
    </row>
    <row r="141" spans="1:10" ht="15" customHeight="1">
      <c r="A141" s="315" t="str">
        <f>IF(B141="","",IF(B140="",SUM(COUNT($A$5:A140)+1),""))</f>
        <v/>
      </c>
      <c r="B141" s="1223"/>
      <c r="C141" s="316" t="str">
        <f>IF(B141="","",VLOOKUP(B141,'TB for financial'!A:B,2,0))</f>
        <v/>
      </c>
      <c r="D141" s="317"/>
      <c r="E141" s="318"/>
      <c r="F141" s="319"/>
      <c r="G141" s="320">
        <f>+D141-E141</f>
        <v>0</v>
      </c>
      <c r="H141" s="321"/>
      <c r="I141" s="322"/>
      <c r="J141" s="323"/>
    </row>
    <row r="142" spans="1:10" ht="15" customHeight="1">
      <c r="A142" s="315">
        <f>IF(B142="","",IF(B141="",SUM(COUNT($A$5:A141)+1),""))</f>
        <v>6</v>
      </c>
      <c r="B142" s="1223">
        <v>488000</v>
      </c>
      <c r="C142" s="316" t="str">
        <f>IF(B142="","",VLOOKUP(B142,'TB for financial'!A:B,2,0))</f>
        <v>DEFERRED TAX</v>
      </c>
      <c r="D142" s="317">
        <v>117927</v>
      </c>
      <c r="E142" s="318"/>
      <c r="F142" s="319"/>
      <c r="G142" s="320">
        <f>+D142-E142</f>
        <v>117927</v>
      </c>
      <c r="H142" s="321"/>
      <c r="I142" s="322"/>
      <c r="J142" s="323"/>
    </row>
    <row r="143" spans="1:10" ht="15" customHeight="1">
      <c r="A143" s="315" t="str">
        <f>IF(B143="","",IF(B142="",SUM(COUNT($A$5:A142)+1),""))</f>
        <v/>
      </c>
      <c r="B143" s="1223">
        <v>695900</v>
      </c>
      <c r="C143" s="316" t="str">
        <f>IF(B143="","",VLOOKUP(B143,'TB for financial'!A:B,2,0))</f>
        <v>DEFERRED TAX CHARGES</v>
      </c>
      <c r="D143" s="317"/>
      <c r="E143" s="318">
        <f>+D142</f>
        <v>117927</v>
      </c>
      <c r="F143" s="319"/>
      <c r="G143" s="320"/>
      <c r="H143" s="321"/>
      <c r="I143" s="322"/>
      <c r="J143" s="323"/>
    </row>
    <row r="144" spans="1:10" ht="43.2">
      <c r="A144" s="315" t="str">
        <f>IF(B144="","",IF(B143="",SUM(COUNT($A$5:A143)+1),""))</f>
        <v/>
      </c>
      <c r="B144" s="1223"/>
      <c r="C144" s="1385" t="s">
        <v>2707</v>
      </c>
      <c r="D144" s="317"/>
      <c r="E144" s="318"/>
      <c r="F144" s="319"/>
      <c r="G144" s="320"/>
      <c r="H144" s="321"/>
      <c r="I144" s="322"/>
      <c r="J144" s="323"/>
    </row>
    <row r="145" spans="1:10" ht="15" customHeight="1">
      <c r="A145" s="315" t="str">
        <f>IF(B145="","",IF(B144="",SUM(COUNT($A$5:A144)+1),""))</f>
        <v/>
      </c>
      <c r="B145" s="1223"/>
      <c r="C145" s="316" t="str">
        <f>IF(B145="","",VLOOKUP(B145,'TB for financial'!A:B,2,0))</f>
        <v/>
      </c>
      <c r="D145" s="317"/>
      <c r="E145" s="318"/>
      <c r="F145" s="319"/>
      <c r="G145" s="320"/>
      <c r="H145" s="321"/>
      <c r="I145" s="322"/>
      <c r="J145" s="323"/>
    </row>
    <row r="146" spans="1:10" ht="15" customHeight="1">
      <c r="A146" s="315">
        <f>IF(B146="","",IF(B145="",SUM(COUNT($A$5:A145)+1),""))</f>
        <v>7</v>
      </c>
      <c r="B146" s="1223">
        <v>488000</v>
      </c>
      <c r="C146" s="316" t="str">
        <f>IF(B146="","",VLOOKUP(B146,'TB for financial'!A:B,2,0))</f>
        <v>DEFERRED TAX</v>
      </c>
      <c r="D146" s="317">
        <v>153347</v>
      </c>
      <c r="E146" s="318"/>
      <c r="F146" s="319"/>
      <c r="G146" s="320"/>
      <c r="H146" s="321"/>
      <c r="I146" s="322"/>
      <c r="J146" s="323"/>
    </row>
    <row r="147" spans="1:10" ht="15" customHeight="1">
      <c r="A147" s="315" t="str">
        <f>IF(B147="","",IF(B146="",SUM(COUNT($A$5:A146)+1),""))</f>
        <v/>
      </c>
      <c r="B147" s="1223">
        <v>695900</v>
      </c>
      <c r="C147" s="316" t="str">
        <f>IF(B147="","",VLOOKUP(B147,'TB for financial'!A:B,2,0))</f>
        <v>DEFERRED TAX CHARGES</v>
      </c>
      <c r="D147" s="317"/>
      <c r="E147" s="318">
        <f>+D146</f>
        <v>153347</v>
      </c>
      <c r="F147" s="319"/>
      <c r="G147" s="320"/>
      <c r="H147" s="321"/>
      <c r="I147" s="322"/>
      <c r="J147" s="323"/>
    </row>
    <row r="148" spans="1:10" ht="43.2">
      <c r="A148" s="315" t="str">
        <f>IF(B148="","",IF(B147="",SUM(COUNT($A$5:A147)+1),""))</f>
        <v/>
      </c>
      <c r="B148" s="1223"/>
      <c r="C148" s="1385" t="s">
        <v>2709</v>
      </c>
      <c r="D148" s="317"/>
      <c r="E148" s="318"/>
      <c r="F148" s="319"/>
      <c r="G148" s="320"/>
      <c r="H148" s="321"/>
      <c r="I148" s="322"/>
      <c r="J148" s="323"/>
    </row>
    <row r="149" spans="1:10" ht="15" customHeight="1">
      <c r="A149" s="315" t="str">
        <f>IF(B149="","",IF(B148="",SUM(COUNT($A$5:A148)+1),""))</f>
        <v/>
      </c>
      <c r="B149" s="1223"/>
      <c r="C149" s="316" t="str">
        <f>IF(B149="","",VLOOKUP(B149,'TB for financial'!A:B,2,0))</f>
        <v/>
      </c>
      <c r="D149" s="317"/>
      <c r="E149" s="318"/>
      <c r="F149" s="319"/>
      <c r="G149" s="320"/>
      <c r="H149" s="321"/>
      <c r="I149" s="322"/>
      <c r="J149" s="323"/>
    </row>
    <row r="150" spans="1:10" ht="15" customHeight="1">
      <c r="A150" s="315">
        <f>IF(B150="","",IF(B149="",SUM(COUNT($A$5:A149)+1),""))</f>
        <v>8</v>
      </c>
      <c r="B150" s="1223">
        <v>695900</v>
      </c>
      <c r="C150" s="316" t="str">
        <f>IF(B150="","",VLOOKUP(B150,'TB for financial'!A:B,2,0))</f>
        <v>DEFERRED TAX CHARGES</v>
      </c>
      <c r="D150" s="317">
        <v>3287743.28064</v>
      </c>
      <c r="E150" s="318"/>
      <c r="F150" s="319"/>
      <c r="G150" s="320"/>
      <c r="H150" s="321"/>
      <c r="I150" s="322"/>
      <c r="J150" s="323"/>
    </row>
    <row r="151" spans="1:10" ht="15" customHeight="1">
      <c r="A151" s="315" t="str">
        <f>IF(B151="","",IF(B150="",SUM(COUNT($A$5:A150)+1),""))</f>
        <v/>
      </c>
      <c r="B151" s="1223">
        <v>155000</v>
      </c>
      <c r="C151" s="316" t="str">
        <f>IF(B151="","",VLOOKUP(B151,'TB for financial'!A:B,2,0))</f>
        <v>DEFERRED TAX LIABILITY</v>
      </c>
      <c r="D151" s="317"/>
      <c r="E151" s="318">
        <v>3287743.28064</v>
      </c>
      <c r="F151" s="319"/>
      <c r="G151" s="320"/>
      <c r="H151" s="321"/>
      <c r="I151" s="322"/>
      <c r="J151" s="323"/>
    </row>
    <row r="152" spans="1:10" ht="15" customHeight="1">
      <c r="A152" s="315" t="str">
        <f>IF(B152="","",IF(B151="",SUM(COUNT($A$5:A151)+1),""))</f>
        <v/>
      </c>
      <c r="B152" s="1223"/>
      <c r="C152" s="1385" t="s">
        <v>2710</v>
      </c>
      <c r="D152" s="317"/>
      <c r="E152" s="318"/>
      <c r="F152" s="319"/>
      <c r="G152" s="320"/>
      <c r="H152" s="321"/>
      <c r="I152" s="322"/>
      <c r="J152" s="323"/>
    </row>
    <row r="153" spans="1:10" ht="15" customHeight="1">
      <c r="A153" s="315" t="str">
        <f>IF(B153="","",IF(B152="",SUM(COUNT($A$5:A152)+1),""))</f>
        <v/>
      </c>
      <c r="B153" s="1223"/>
      <c r="C153" s="316" t="str">
        <f>IF(B153="","",VLOOKUP(B153,'TB for financial'!A:B,2,0))</f>
        <v/>
      </c>
      <c r="D153" s="317"/>
      <c r="E153" s="318"/>
      <c r="F153" s="319"/>
      <c r="G153" s="320"/>
      <c r="H153" s="321"/>
      <c r="I153" s="322"/>
      <c r="J153" s="323"/>
    </row>
    <row r="154" spans="1:10" ht="15" customHeight="1">
      <c r="A154" s="315">
        <f>IF(B154="","",IF(B153="",SUM(COUNT($A$5:A153)+1),""))</f>
        <v>9</v>
      </c>
      <c r="B154" s="1223">
        <v>695000</v>
      </c>
      <c r="C154" s="316" t="str">
        <f>IF(B154="","",VLOOKUP(B154,'TB for financial'!A:B,2,0))</f>
        <v>CORPORATE INCOME TAX</v>
      </c>
      <c r="D154" s="317"/>
      <c r="E154" s="318">
        <v>214729</v>
      </c>
      <c r="F154" s="319"/>
      <c r="G154" s="320"/>
      <c r="H154" s="321"/>
      <c r="I154" s="322"/>
      <c r="J154" s="323"/>
    </row>
    <row r="155" spans="1:10" ht="15" customHeight="1">
      <c r="A155" s="315" t="str">
        <f>IF(B155="","",IF(B154="",SUM(COUNT($A$5:A154)+1),""))</f>
        <v/>
      </c>
      <c r="B155" s="1223">
        <v>444000</v>
      </c>
      <c r="C155" s="316" t="str">
        <f>IF(B155="","",VLOOKUP(B155,'TB for financial'!A:B,2,0))</f>
        <v>Corporate Income Tax and Accrued Income</v>
      </c>
      <c r="D155" s="317">
        <v>214729</v>
      </c>
      <c r="E155" s="318">
        <v>0</v>
      </c>
      <c r="F155" s="319"/>
      <c r="G155" s="1277">
        <f>IF(H155="PL - PL",0,IF(D155="",-E155,D155))</f>
        <v>214729</v>
      </c>
      <c r="H155" s="321"/>
      <c r="I155" s="322"/>
      <c r="J155" s="323"/>
    </row>
    <row r="156" spans="1:10" ht="15" customHeight="1">
      <c r="A156" s="315" t="str">
        <f>IF(B156="","",IF(B155="",SUM(COUNT($A$5:A155)+1),""))</f>
        <v/>
      </c>
      <c r="B156" s="1223">
        <v>444000</v>
      </c>
      <c r="C156" s="316" t="str">
        <f>IF(B156="","",VLOOKUP(B156,'TB for financial'!A:B,2,0))</f>
        <v>Corporate Income Tax and Accrued Income</v>
      </c>
      <c r="D156" s="317">
        <v>0</v>
      </c>
      <c r="E156" s="318">
        <v>214729</v>
      </c>
      <c r="F156" s="319"/>
      <c r="G156" s="1277">
        <f>IF(H156="PL - PL",0,IF(D156="",-E156,D156))</f>
        <v>0</v>
      </c>
      <c r="H156" s="321"/>
      <c r="I156" s="322"/>
      <c r="J156" s="323"/>
    </row>
    <row r="157" spans="1:10" ht="15" customHeight="1">
      <c r="A157" s="315" t="str">
        <f>IF(B157="","",IF(B156="",SUM(COUNT($A$5:A156)+1),""))</f>
        <v/>
      </c>
      <c r="B157" s="1223">
        <v>488120</v>
      </c>
      <c r="C157" s="316" t="str">
        <f>IF(B157="","",VLOOKUP(B157,'TB for financial'!A:B,2,0))</f>
        <v>Deferred Tax - Mininumum alternate tax</v>
      </c>
      <c r="D157" s="317">
        <v>214729</v>
      </c>
      <c r="E157" s="318">
        <v>0</v>
      </c>
      <c r="F157" s="319"/>
      <c r="G157" s="320"/>
      <c r="H157" s="321"/>
      <c r="I157" s="322"/>
      <c r="J157" s="323"/>
    </row>
    <row r="158" spans="1:10" ht="15" customHeight="1">
      <c r="A158" s="315" t="str">
        <f>IF(B158="","",IF(B157="",SUM(COUNT($A$5:A157)+1),""))</f>
        <v/>
      </c>
      <c r="B158" s="1223">
        <v>695900</v>
      </c>
      <c r="C158" s="316" t="str">
        <f>IF(B158="","",VLOOKUP(B158,'TB for financial'!A:B,2,0))</f>
        <v>DEFERRED TAX CHARGES</v>
      </c>
      <c r="D158" s="317">
        <v>0</v>
      </c>
      <c r="E158" s="318">
        <v>214729</v>
      </c>
      <c r="F158" s="319"/>
      <c r="G158" s="320"/>
      <c r="H158" s="321"/>
      <c r="I158" s="322"/>
      <c r="J158" s="323"/>
    </row>
    <row r="159" spans="1:10" ht="15" customHeight="1">
      <c r="A159" s="315" t="str">
        <f>IF(B159="","",IF(B158="",SUM(COUNT($A$5:A158)+1),""))</f>
        <v/>
      </c>
      <c r="B159" s="1223">
        <v>695000</v>
      </c>
      <c r="C159" s="316" t="str">
        <f>IF(B159="","",VLOOKUP(B159,'TB for financial'!A:B,2,0))</f>
        <v>CORPORATE INCOME TAX</v>
      </c>
      <c r="D159" s="317">
        <v>214729</v>
      </c>
      <c r="E159" s="318">
        <v>0</v>
      </c>
      <c r="F159" s="319"/>
      <c r="G159" s="320"/>
      <c r="H159" s="321"/>
      <c r="I159" s="322"/>
      <c r="J159" s="323"/>
    </row>
    <row r="160" spans="1:10" ht="43.2">
      <c r="A160" s="315" t="str">
        <f>IF(B160="","",IF(B159="",SUM(COUNT($A$5:A159)+1),""))</f>
        <v/>
      </c>
      <c r="B160" s="1223"/>
      <c r="C160" s="1472" t="s">
        <v>2711</v>
      </c>
      <c r="D160" s="317"/>
      <c r="E160" s="318"/>
      <c r="F160" s="319"/>
      <c r="G160" s="320"/>
      <c r="H160" s="321"/>
      <c r="I160" s="322"/>
      <c r="J160" s="323"/>
    </row>
    <row r="161" spans="1:10" ht="15" customHeight="1">
      <c r="A161" s="315" t="str">
        <f>IF(B161="","",IF(B160="",SUM(COUNT($A$5:A160)+1),""))</f>
        <v/>
      </c>
      <c r="B161" s="1223"/>
      <c r="C161" s="316" t="str">
        <f>IF(B161="","",VLOOKUP(B161,'TB for financial'!A:B,2,0))</f>
        <v/>
      </c>
      <c r="D161" s="317"/>
      <c r="E161" s="318"/>
      <c r="F161" s="319"/>
      <c r="G161" s="320"/>
      <c r="H161" s="321"/>
      <c r="I161" s="322"/>
      <c r="J161" s="323"/>
    </row>
    <row r="162" spans="1:10" ht="15" customHeight="1">
      <c r="A162" s="315">
        <f>IF(B162="","",IF(B161="",SUM(COUNT($A$5:A161)+1),""))</f>
        <v>10</v>
      </c>
      <c r="B162" s="1473">
        <v>695900</v>
      </c>
      <c r="C162" s="316" t="str">
        <f>IF(B162="","",VLOOKUP(B162,'TB for financial'!A:B,2,0))</f>
        <v>DEFERRED TAX CHARGES</v>
      </c>
      <c r="D162" s="1474">
        <v>5799</v>
      </c>
      <c r="E162" s="1475"/>
      <c r="F162" s="319"/>
      <c r="G162" s="320"/>
      <c r="H162" s="321"/>
      <c r="I162" s="322"/>
      <c r="J162" s="323"/>
    </row>
    <row r="163" spans="1:10" ht="15" customHeight="1">
      <c r="A163" s="315" t="str">
        <f>IF(B163="","",IF(B162="",SUM(COUNT($A$5:A162)+1),""))</f>
        <v/>
      </c>
      <c r="B163" s="1473">
        <v>488000</v>
      </c>
      <c r="C163" s="316" t="str">
        <f>IF(B163="","",VLOOKUP(B163,'TB for financial'!A:B,2,0))</f>
        <v>DEFERRED TAX</v>
      </c>
      <c r="D163" s="1474"/>
      <c r="E163" s="1475">
        <f>D162</f>
        <v>5799</v>
      </c>
      <c r="F163" s="319"/>
      <c r="G163" s="320"/>
      <c r="H163" s="321"/>
      <c r="I163" s="322"/>
      <c r="J163" s="323"/>
    </row>
    <row r="164" spans="1:10" ht="15" customHeight="1">
      <c r="A164" s="315" t="str">
        <f>IF(B164="","",IF(B163="",SUM(COUNT($A$5:A163)+1),""))</f>
        <v/>
      </c>
      <c r="B164" s="1473">
        <v>695900</v>
      </c>
      <c r="C164" s="316" t="str">
        <f>IF(B164="","",VLOOKUP(B164,'TB for financial'!A:B,2,0))</f>
        <v>DEFERRED TAX CHARGES</v>
      </c>
      <c r="D164" s="1476">
        <v>258738</v>
      </c>
      <c r="E164" s="1474"/>
      <c r="F164" s="319"/>
      <c r="G164" s="320"/>
      <c r="H164" s="321"/>
      <c r="I164" s="322"/>
      <c r="J164" s="323"/>
    </row>
    <row r="165" spans="1:10" ht="15" customHeight="1">
      <c r="A165" s="315" t="str">
        <f>IF(B165="","",IF(B164="",SUM(COUNT($A$5:A164)+1),""))</f>
        <v/>
      </c>
      <c r="B165" s="1473">
        <v>488000</v>
      </c>
      <c r="C165" s="316" t="str">
        <f>IF(B165="","",VLOOKUP(B165,'TB for financial'!A:B,2,0))</f>
        <v>DEFERRED TAX</v>
      </c>
      <c r="D165" s="1476"/>
      <c r="E165" s="1474">
        <f>D164</f>
        <v>258738</v>
      </c>
      <c r="F165" s="319"/>
      <c r="G165" s="320"/>
      <c r="H165" s="321"/>
      <c r="I165" s="322"/>
      <c r="J165" s="323"/>
    </row>
    <row r="166" spans="1:10" ht="15" customHeight="1">
      <c r="A166" s="315" t="str">
        <f>IF(B166="","",IF(B165="",SUM(COUNT($A$5:A165)+1),""))</f>
        <v/>
      </c>
      <c r="B166" s="1473">
        <v>695900</v>
      </c>
      <c r="C166" s="316" t="str">
        <f>IF(B166="","",VLOOKUP(B166,'TB for financial'!A:B,2,0))</f>
        <v>DEFERRED TAX CHARGES</v>
      </c>
      <c r="D166" s="1476">
        <v>590333.90000000037</v>
      </c>
      <c r="E166" s="1476">
        <f>590333.9*0</f>
        <v>0</v>
      </c>
      <c r="F166" s="319"/>
      <c r="G166" s="320"/>
      <c r="H166" s="321"/>
      <c r="I166" s="322"/>
      <c r="J166" s="323"/>
    </row>
    <row r="167" spans="1:10" ht="15" customHeight="1">
      <c r="A167" s="315" t="str">
        <f>IF(B167="","",IF(B166="",SUM(COUNT($A$5:A166)+1),""))</f>
        <v/>
      </c>
      <c r="B167" s="1473">
        <v>488000</v>
      </c>
      <c r="C167" s="316" t="str">
        <f>IF(B167="","",VLOOKUP(B167,'TB for financial'!A:B,2,0))</f>
        <v>DEFERRED TAX</v>
      </c>
      <c r="D167" s="1476">
        <f>+E166</f>
        <v>0</v>
      </c>
      <c r="E167" s="1474">
        <f>+D166</f>
        <v>590333.90000000037</v>
      </c>
      <c r="F167" s="319"/>
      <c r="G167" s="320"/>
      <c r="H167" s="321"/>
      <c r="I167" s="322"/>
      <c r="J167" s="323"/>
    </row>
    <row r="168" spans="1:10" ht="15" customHeight="1">
      <c r="A168" s="315" t="str">
        <f>IF(B168="","",IF(B167="",SUM(COUNT($A$5:A167)+1),""))</f>
        <v/>
      </c>
      <c r="B168" s="1473">
        <v>695900</v>
      </c>
      <c r="C168" s="316" t="str">
        <f>IF(B168="","",VLOOKUP(B168,'TB for financial'!A:B,2,0))</f>
        <v>DEFERRED TAX CHARGES</v>
      </c>
      <c r="D168" s="1474">
        <f>822124.94*0</f>
        <v>0</v>
      </c>
      <c r="E168" s="1474">
        <f>824232-10533</f>
        <v>813699</v>
      </c>
      <c r="F168" s="319"/>
      <c r="G168" s="1277">
        <f>IF(H168="PL - PL",0,IF(D168="",-E168,D168))</f>
        <v>0</v>
      </c>
      <c r="H168" s="321"/>
      <c r="I168" s="322"/>
      <c r="J168" s="323"/>
    </row>
    <row r="169" spans="1:10" ht="15" customHeight="1">
      <c r="A169" s="315" t="str">
        <f>IF(B169="","",IF(B168="",SUM(COUNT($A$5:A168)+1),""))</f>
        <v/>
      </c>
      <c r="B169" s="1473">
        <v>488000</v>
      </c>
      <c r="C169" s="316" t="str">
        <f>IF(B169="","",VLOOKUP(B169,'TB for financial'!A:B,2,0))</f>
        <v>DEFERRED TAX</v>
      </c>
      <c r="D169" s="1474">
        <f>+E168</f>
        <v>813699</v>
      </c>
      <c r="E169" s="1475">
        <f>+D168</f>
        <v>0</v>
      </c>
      <c r="F169" s="319"/>
      <c r="G169" s="320"/>
      <c r="H169" s="321"/>
      <c r="I169" s="322"/>
      <c r="J169" s="323"/>
    </row>
    <row r="170" spans="1:10" ht="15" customHeight="1">
      <c r="A170" s="315" t="str">
        <f>IF(B170="","",IF(B169="",SUM(COUNT($A$5:A169)+1),""))</f>
        <v/>
      </c>
      <c r="B170" s="1473">
        <v>488000</v>
      </c>
      <c r="C170" s="316" t="str">
        <f>IF(B170="","",VLOOKUP(B170,'TB for financial'!A:B,2,0))</f>
        <v>DEFERRED TAX</v>
      </c>
      <c r="D170" s="1474">
        <v>223891</v>
      </c>
      <c r="E170" s="1475"/>
      <c r="F170" s="319"/>
      <c r="G170" s="320"/>
      <c r="H170" s="321"/>
      <c r="I170" s="322"/>
      <c r="J170" s="323"/>
    </row>
    <row r="171" spans="1:10" ht="15" customHeight="1">
      <c r="A171" s="315" t="str">
        <f>IF(B171="","",IF(B170="",SUM(COUNT($A$5:A170)+1),""))</f>
        <v/>
      </c>
      <c r="B171" s="1473">
        <v>106960</v>
      </c>
      <c r="C171" s="316" t="str">
        <f>IF(B171="","",VLOOKUP(B171,'TB for financial'!A:B,2,0))</f>
        <v>Stat, Of Recognized Income and Expense</v>
      </c>
      <c r="D171" s="1474"/>
      <c r="E171" s="1475">
        <f>+D170</f>
        <v>223891</v>
      </c>
      <c r="F171" s="319"/>
      <c r="G171" s="1277">
        <f>IF(H171="PL - PL",0,IF(D171="",-E171,D171))</f>
        <v>-223891</v>
      </c>
      <c r="H171" s="321"/>
      <c r="I171" s="322"/>
      <c r="J171" s="323"/>
    </row>
    <row r="172" spans="1:10" ht="15" customHeight="1">
      <c r="A172" s="315" t="str">
        <f>IF(B172="","",IF(B171="",SUM(COUNT($A$5:A171)+1),""))</f>
        <v/>
      </c>
      <c r="B172" s="1223"/>
      <c r="C172" s="1472" t="s">
        <v>2712</v>
      </c>
      <c r="D172" s="318"/>
      <c r="E172" s="318"/>
      <c r="F172" s="319"/>
      <c r="G172" s="320"/>
      <c r="H172" s="321"/>
      <c r="I172" s="322"/>
      <c r="J172" s="323"/>
    </row>
    <row r="173" spans="1:10" ht="15" customHeight="1">
      <c r="A173" s="315" t="str">
        <f>IF(B173="","",IF(B172="",SUM(COUNT($A$5:A172)+1),""))</f>
        <v/>
      </c>
      <c r="B173" s="1223"/>
      <c r="C173" s="316" t="str">
        <f>IF(B173="","",VLOOKUP(B173,'TB for financial'!A:B,2,0))</f>
        <v/>
      </c>
      <c r="D173" s="317"/>
      <c r="E173" s="317"/>
      <c r="F173" s="319"/>
      <c r="G173" s="320"/>
      <c r="H173" s="321"/>
      <c r="I173" s="322"/>
      <c r="J173" s="323"/>
    </row>
    <row r="174" spans="1:10" ht="15" customHeight="1">
      <c r="A174" s="315">
        <f>IF(B174="","",IF(B173="",SUM(COUNT($A$5:A173)+1),""))</f>
        <v>11</v>
      </c>
      <c r="B174" s="1473">
        <v>695900</v>
      </c>
      <c r="C174" s="316" t="str">
        <f>IF(B174="","",VLOOKUP(B174,'TB for financial'!A:B,2,0))</f>
        <v>DEFERRED TAX CHARGES</v>
      </c>
      <c r="D174" s="1477"/>
      <c r="E174" s="1477">
        <v>86056</v>
      </c>
      <c r="F174" s="319"/>
      <c r="G174" s="320"/>
      <c r="H174" s="321"/>
      <c r="I174" s="322"/>
      <c r="J174" s="323"/>
    </row>
    <row r="175" spans="1:10" ht="15" customHeight="1">
      <c r="A175" s="315" t="str">
        <f>IF(B175="","",IF(B174="",SUM(COUNT($A$5:A174)+1),""))</f>
        <v/>
      </c>
      <c r="B175" s="1473">
        <v>488000</v>
      </c>
      <c r="C175" s="316" t="str">
        <f>IF(B175="","",VLOOKUP(B175,'TB for financial'!A:B,2,0))</f>
        <v>DEFERRED TAX</v>
      </c>
      <c r="D175" s="1477">
        <f>+E174</f>
        <v>86056</v>
      </c>
      <c r="E175" s="1478"/>
      <c r="F175" s="319"/>
      <c r="G175" s="320"/>
      <c r="H175" s="321"/>
      <c r="I175" s="322"/>
      <c r="J175" s="323"/>
    </row>
    <row r="176" spans="1:10" ht="15" customHeight="1">
      <c r="A176" s="315" t="str">
        <f>IF(B176="","",IF(B175="",SUM(COUNT($A$5:A175)+1),""))</f>
        <v/>
      </c>
      <c r="B176" s="1223"/>
      <c r="C176" s="1472" t="s">
        <v>2713</v>
      </c>
      <c r="D176" s="317"/>
      <c r="E176" s="318"/>
      <c r="F176" s="319"/>
      <c r="G176" s="320"/>
      <c r="H176" s="321"/>
      <c r="I176" s="322"/>
      <c r="J176" s="323"/>
    </row>
    <row r="177" spans="1:10" ht="15" customHeight="1">
      <c r="A177" s="315" t="str">
        <f>IF(B177="","",IF(B176="",SUM(COUNT($A$5:A176)+1),""))</f>
        <v/>
      </c>
      <c r="C177" s="1385"/>
      <c r="D177" s="318"/>
      <c r="E177" s="318"/>
      <c r="F177" s="319"/>
      <c r="G177" s="320"/>
      <c r="H177" s="321"/>
      <c r="I177" s="322"/>
      <c r="J177" s="323"/>
    </row>
    <row r="178" spans="1:10" ht="15" customHeight="1">
      <c r="A178" s="315"/>
      <c r="B178" s="282">
        <v>444000</v>
      </c>
      <c r="C178" s="316" t="str">
        <f>IF(B178="","",VLOOKUP(B178,'TB for financial'!A:B,2,0))</f>
        <v>Corporate Income Tax and Accrued Income</v>
      </c>
      <c r="D178" s="318">
        <v>595400</v>
      </c>
      <c r="E178" s="318"/>
      <c r="F178" s="319"/>
      <c r="G178" s="320"/>
      <c r="H178" s="321"/>
      <c r="I178" s="322"/>
      <c r="J178" s="323"/>
    </row>
    <row r="179" spans="1:10" ht="15" customHeight="1">
      <c r="A179" s="315">
        <f>IF(B179="","",IF(B177="",SUM(COUNT($A$5:A177)+1),""))</f>
        <v>12</v>
      </c>
      <c r="B179" s="282">
        <v>488120</v>
      </c>
      <c r="C179" s="316" t="str">
        <f>IF(B179="","",VLOOKUP(B179,'TB for financial'!A:B,2,0))</f>
        <v>Deferred Tax - Mininumum alternate tax</v>
      </c>
      <c r="D179" s="318"/>
      <c r="E179" s="318">
        <v>595400</v>
      </c>
      <c r="F179" s="319"/>
      <c r="G179" s="320"/>
      <c r="H179" s="321"/>
      <c r="I179" s="322"/>
      <c r="J179" s="323"/>
    </row>
    <row r="180" spans="1:10" ht="15" customHeight="1">
      <c r="A180" s="315" t="str">
        <f>IF(B180="","",IF(B179="",SUM(COUNT($A$5:A179)+1),""))</f>
        <v/>
      </c>
      <c r="C180" s="1385" t="s">
        <v>2714</v>
      </c>
      <c r="D180" s="317"/>
      <c r="E180" s="318"/>
      <c r="F180" s="319"/>
      <c r="G180" s="320"/>
      <c r="H180" s="321"/>
      <c r="I180" s="322"/>
      <c r="J180" s="323"/>
    </row>
    <row r="181" spans="1:10" ht="15" customHeight="1">
      <c r="A181" s="315" t="str">
        <f>IF(B181="","",IF(B180="",SUM(COUNT($A$5:A180)+1),""))</f>
        <v/>
      </c>
      <c r="C181" s="1385"/>
      <c r="D181" s="317"/>
      <c r="E181" s="318"/>
      <c r="F181" s="319"/>
      <c r="G181" s="320"/>
      <c r="H181" s="321"/>
      <c r="I181" s="322"/>
      <c r="J181" s="323"/>
    </row>
    <row r="182" spans="1:10" ht="15" customHeight="1">
      <c r="A182" s="315">
        <f>IF(B182="","",IF(B181="",SUM(COUNT($A$5:A181)+1),""))</f>
        <v>13</v>
      </c>
      <c r="B182" s="282">
        <v>444400</v>
      </c>
      <c r="C182" s="316" t="str">
        <f>IF(B182="","",VLOOKUP(B182,'TB for financial'!A:B,2,0))</f>
        <v>US federal income tax liability</v>
      </c>
      <c r="D182" s="317">
        <v>1816740.63</v>
      </c>
      <c r="E182" s="318"/>
      <c r="F182" s="319"/>
      <c r="G182" s="320"/>
      <c r="H182" s="321"/>
      <c r="I182" s="322"/>
      <c r="J182" s="323"/>
    </row>
    <row r="183" spans="1:10" ht="15" customHeight="1">
      <c r="A183" s="315" t="str">
        <f>IF(B183="","",IF(B182="",SUM(COUNT($A$5:A182)+1),""))</f>
        <v/>
      </c>
      <c r="B183" s="282">
        <v>766200</v>
      </c>
      <c r="C183" s="316" t="str">
        <f>IF(B183="","",VLOOKUP(B183,'TB for financial'!A:B,2,0))</f>
        <v>Non-realized exchange gain</v>
      </c>
      <c r="D183" s="317"/>
      <c r="E183" s="318">
        <v>1816740.63</v>
      </c>
      <c r="F183" s="319"/>
      <c r="G183" s="320"/>
      <c r="H183" s="321"/>
      <c r="I183" s="322"/>
      <c r="J183" s="323"/>
    </row>
    <row r="184" spans="1:10" ht="15" customHeight="1">
      <c r="A184" s="315" t="str">
        <f>IF(B184="","",IF(B183="",SUM(COUNT($A$5:A183)+1),""))</f>
        <v/>
      </c>
      <c r="B184" s="282">
        <v>444410</v>
      </c>
      <c r="C184" s="316" t="str">
        <f>IF(B184="","",VLOOKUP(B184,'TB for financial'!A:B,2,0))</f>
        <v>US state income tax liability</v>
      </c>
      <c r="D184" s="317"/>
      <c r="E184" s="317">
        <v>184.03</v>
      </c>
      <c r="F184" s="319"/>
      <c r="G184" s="320"/>
      <c r="H184" s="321"/>
      <c r="I184" s="322"/>
      <c r="J184" s="323"/>
    </row>
    <row r="185" spans="1:10" ht="15" customHeight="1">
      <c r="A185" s="315" t="str">
        <f>IF(B185="","",IF(B184="",SUM(COUNT($A$5:A184)+1),""))</f>
        <v/>
      </c>
      <c r="B185" s="1223">
        <v>766200</v>
      </c>
      <c r="C185" s="316" t="str">
        <f>IF(B185="","",VLOOKUP(B185,'TB for financial'!A:B,2,0))</f>
        <v>Non-realized exchange gain</v>
      </c>
      <c r="D185" s="317">
        <v>184.03</v>
      </c>
      <c r="E185" s="318"/>
      <c r="F185" s="319"/>
      <c r="G185" s="320"/>
      <c r="H185" s="321"/>
      <c r="I185" s="322"/>
      <c r="J185" s="323"/>
    </row>
    <row r="186" spans="1:10" ht="15" customHeight="1">
      <c r="A186" s="315" t="str">
        <f>IF(B186="","",IF(B185="",SUM(COUNT($A$5:A185)+1),""))</f>
        <v/>
      </c>
      <c r="B186" s="1223">
        <v>444400</v>
      </c>
      <c r="C186" s="316" t="str">
        <f>IF(B186="","",VLOOKUP(B186,'TB for financial'!A:B,2,0))</f>
        <v>US federal income tax liability</v>
      </c>
      <c r="D186" s="317"/>
      <c r="E186" s="318">
        <v>1221671.3700000001</v>
      </c>
      <c r="F186" s="319"/>
      <c r="G186" s="320"/>
      <c r="H186" s="321"/>
      <c r="I186" s="322"/>
      <c r="J186" s="323"/>
    </row>
    <row r="187" spans="1:10" ht="15" customHeight="1">
      <c r="A187" s="315" t="str">
        <f>IF(B187="","",IF(B186="",SUM(COUNT($A$5:A186)+1),""))</f>
        <v/>
      </c>
      <c r="B187" s="1223">
        <v>766200</v>
      </c>
      <c r="C187" s="316" t="str">
        <f>IF(B187="","",VLOOKUP(B187,'TB for financial'!A:B,2,0))</f>
        <v>Non-realized exchange gain</v>
      </c>
      <c r="D187" s="317">
        <v>1221671.3700000001</v>
      </c>
      <c r="E187" s="318"/>
      <c r="F187" s="319"/>
      <c r="G187" s="320"/>
      <c r="H187" s="321"/>
      <c r="I187" s="322"/>
      <c r="J187" s="323"/>
    </row>
    <row r="188" spans="1:10" ht="15" customHeight="1">
      <c r="A188" s="315" t="str">
        <f>IF(B188="","",IF(B187="",SUM(COUNT($A$5:A187)+1),""))</f>
        <v/>
      </c>
      <c r="B188" s="1223">
        <v>444410</v>
      </c>
      <c r="C188" s="316" t="str">
        <f>IF(B188="","",VLOOKUP(B188,'TB for financial'!A:B,2,0))</f>
        <v>US state income tax liability</v>
      </c>
      <c r="D188" s="317"/>
      <c r="E188" s="318">
        <v>356860.08</v>
      </c>
      <c r="F188" s="319"/>
      <c r="G188" s="320"/>
      <c r="H188" s="321"/>
      <c r="I188" s="322"/>
      <c r="J188" s="323"/>
    </row>
    <row r="189" spans="1:10" ht="15" customHeight="1">
      <c r="A189" s="315" t="str">
        <f>IF(B189="","",IF(B188="",SUM(COUNT($A$5:A188)+1),""))</f>
        <v/>
      </c>
      <c r="B189" s="1223">
        <v>766200</v>
      </c>
      <c r="C189" s="316" t="str">
        <f>IF(B189="","",VLOOKUP(B189,'TB for financial'!A:B,2,0))</f>
        <v>Non-realized exchange gain</v>
      </c>
      <c r="D189" s="317">
        <v>356860.08</v>
      </c>
      <c r="E189" s="318"/>
      <c r="F189" s="319"/>
      <c r="G189" s="320"/>
      <c r="H189" s="321"/>
      <c r="I189" s="322"/>
      <c r="J189" s="323"/>
    </row>
    <row r="190" spans="1:10" ht="15" customHeight="1">
      <c r="A190" s="315" t="str">
        <f>IF(B190="","",IF(B189="",SUM(COUNT($A$5:A189)+1),""))</f>
        <v/>
      </c>
      <c r="B190" s="1223"/>
      <c r="C190" s="1472" t="s">
        <v>2715</v>
      </c>
      <c r="D190" s="317"/>
      <c r="E190" s="318"/>
      <c r="F190" s="319"/>
      <c r="G190" s="320"/>
      <c r="H190" s="321"/>
      <c r="I190" s="322"/>
      <c r="J190" s="323"/>
    </row>
    <row r="191" spans="1:10" ht="15" customHeight="1">
      <c r="A191" s="315" t="str">
        <f>IF(B191="","",IF(B190="",SUM(COUNT($A$5:A190)+1),""))</f>
        <v/>
      </c>
      <c r="B191" s="1223"/>
      <c r="C191" s="316" t="str">
        <f>IF(B191="","",VLOOKUP(B191,'TB for financial'!A:B,2,0))</f>
        <v/>
      </c>
      <c r="D191" s="317"/>
      <c r="E191" s="318"/>
      <c r="F191" s="319"/>
      <c r="G191" s="320"/>
      <c r="H191" s="321"/>
      <c r="I191" s="322"/>
      <c r="J191" s="323"/>
    </row>
    <row r="192" spans="1:10" ht="15" customHeight="1">
      <c r="A192" s="315">
        <f>IF(B192="","",IF(B191="",SUM(COUNT($A$5:A191)+1),""))</f>
        <v>14</v>
      </c>
      <c r="B192" s="1223">
        <v>695900</v>
      </c>
      <c r="C192" s="316" t="str">
        <f>IF(B192="","",VLOOKUP(B192,'TB for financial'!A:B,2,0))</f>
        <v>DEFERRED TAX CHARGES</v>
      </c>
      <c r="D192" s="317">
        <v>3505403</v>
      </c>
      <c r="E192" s="318"/>
      <c r="F192" s="319"/>
      <c r="G192" s="320"/>
      <c r="H192" s="321"/>
      <c r="I192" s="322"/>
      <c r="J192" s="323"/>
    </row>
    <row r="193" spans="1:10" ht="15" customHeight="1">
      <c r="A193" s="315" t="str">
        <f>IF(B193="","",IF(B192="",SUM(COUNT($A$5:A192)+1),""))</f>
        <v/>
      </c>
      <c r="B193" s="1223">
        <v>155000</v>
      </c>
      <c r="C193" s="316" t="str">
        <f>IF(B193="","",VLOOKUP(B193,'TB for financial'!A:B,2,0))</f>
        <v>DEFERRED TAX LIABILITY</v>
      </c>
      <c r="D193" s="317"/>
      <c r="E193" s="318">
        <f>+D192</f>
        <v>3505403</v>
      </c>
      <c r="F193" s="319"/>
      <c r="G193" s="320"/>
      <c r="H193" s="321"/>
      <c r="I193" s="322"/>
      <c r="J193" s="323"/>
    </row>
    <row r="194" spans="1:10" ht="28.8">
      <c r="A194" s="315" t="str">
        <f>IF(B194="","",IF(B193="",SUM(COUNT($A$5:A193)+1),""))</f>
        <v/>
      </c>
      <c r="B194" s="1223"/>
      <c r="C194" s="1385" t="s">
        <v>2716</v>
      </c>
      <c r="D194" s="317"/>
      <c r="E194" s="318"/>
      <c r="F194" s="319"/>
      <c r="G194" s="320"/>
      <c r="H194" s="321"/>
      <c r="I194" s="322"/>
      <c r="J194" s="323"/>
    </row>
    <row r="195" spans="1:10" ht="15" customHeight="1">
      <c r="A195" s="315" t="str">
        <f>IF(B195="","",IF(B194="",SUM(COUNT($A$5:A194)+1),""))</f>
        <v/>
      </c>
      <c r="B195" s="1223"/>
      <c r="C195" s="316" t="str">
        <f>IF(B195="","",VLOOKUP(B195,'TB for financial'!A:B,2,0))</f>
        <v/>
      </c>
      <c r="D195" s="317"/>
      <c r="E195" s="318"/>
      <c r="F195" s="319"/>
      <c r="G195" s="320"/>
      <c r="H195" s="321"/>
      <c r="I195" s="322"/>
      <c r="J195" s="323"/>
    </row>
    <row r="196" spans="1:10" ht="15" customHeight="1">
      <c r="A196" s="315">
        <f>IF(B196="","",IF(B195="",SUM(COUNT($A$5:A195)+1),""))</f>
        <v>15</v>
      </c>
      <c r="B196" s="1223">
        <v>695900</v>
      </c>
      <c r="C196" s="316" t="str">
        <f>IF(B196="","",VLOOKUP(B196,'TB for financial'!A:B,2,0))</f>
        <v>DEFERRED TAX CHARGES</v>
      </c>
      <c r="D196" s="317"/>
      <c r="E196" s="317">
        <v>149171</v>
      </c>
      <c r="F196" s="319"/>
      <c r="G196" s="320"/>
      <c r="H196" s="321"/>
      <c r="I196" s="322"/>
      <c r="J196" s="323"/>
    </row>
    <row r="197" spans="1:10" ht="15" customHeight="1">
      <c r="A197" s="315" t="str">
        <f>IF(B197="","",IF(B196="",SUM(COUNT($A$5:A196)+1),""))</f>
        <v/>
      </c>
      <c r="B197" s="1223">
        <v>488000</v>
      </c>
      <c r="C197" s="316" t="str">
        <f>IF(B197="","",VLOOKUP(B197,'TB for financial'!A:B,2,0))</f>
        <v>DEFERRED TAX</v>
      </c>
      <c r="D197" s="317">
        <f>+E196</f>
        <v>149171</v>
      </c>
      <c r="E197" s="318">
        <f>+D196</f>
        <v>0</v>
      </c>
      <c r="F197" s="319"/>
      <c r="G197" s="320"/>
      <c r="H197" s="321"/>
      <c r="I197" s="322"/>
      <c r="J197" s="323"/>
    </row>
    <row r="198" spans="1:10" ht="43.2">
      <c r="A198" s="315" t="str">
        <f>IF(B198="","",IF(B197="",SUM(COUNT($A$5:A197)+1),""))</f>
        <v/>
      </c>
      <c r="B198" s="1223"/>
      <c r="C198" s="1385" t="s">
        <v>2717</v>
      </c>
      <c r="D198" s="317"/>
      <c r="E198" s="318"/>
      <c r="F198" s="319"/>
      <c r="G198" s="320"/>
      <c r="H198" s="321"/>
      <c r="I198" s="322"/>
      <c r="J198" s="323"/>
    </row>
    <row r="199" spans="1:10">
      <c r="A199" s="315" t="str">
        <f>IF(B199="","",IF(B198="",SUM(COUNT($A$5:A198)+1),""))</f>
        <v/>
      </c>
      <c r="B199" s="1223"/>
      <c r="C199" s="316" t="str">
        <f>IF(B199="","",VLOOKUP(B199,'TB for financial'!A:B,2,0))</f>
        <v/>
      </c>
      <c r="D199" s="317"/>
      <c r="E199" s="1388"/>
      <c r="F199" s="319"/>
      <c r="G199" s="320"/>
      <c r="H199" s="321"/>
      <c r="I199" s="322"/>
      <c r="J199" s="323"/>
    </row>
    <row r="200" spans="1:10" ht="15" customHeight="1">
      <c r="A200" s="315">
        <f>IF(B200="","",IF(B199="",SUM(COUNT($A$5:A199)+1),""))</f>
        <v>16</v>
      </c>
      <c r="B200" s="1223">
        <v>695900</v>
      </c>
      <c r="C200" s="316" t="str">
        <f>IF(B200="","",VLOOKUP(B200,'TB for financial'!A:B,2,0))</f>
        <v>DEFERRED TAX CHARGES</v>
      </c>
      <c r="D200" s="317">
        <v>73715</v>
      </c>
      <c r="E200" s="317"/>
      <c r="F200" s="319"/>
      <c r="G200" s="320"/>
      <c r="H200" s="321"/>
      <c r="I200" s="322"/>
      <c r="J200" s="323"/>
    </row>
    <row r="201" spans="1:10" ht="15" customHeight="1">
      <c r="A201" s="315" t="str">
        <f>IF(B201="","",IF(B200="",SUM(COUNT($A$5:A200)+1),""))</f>
        <v/>
      </c>
      <c r="B201" s="1223">
        <v>488000</v>
      </c>
      <c r="C201" s="316" t="str">
        <f>IF(B201="","",VLOOKUP(B201,'TB for financial'!A:B,2,0))</f>
        <v>DEFERRED TAX</v>
      </c>
      <c r="D201" s="317">
        <f>+E200</f>
        <v>0</v>
      </c>
      <c r="E201" s="318">
        <f>+D200</f>
        <v>73715</v>
      </c>
      <c r="F201" s="319"/>
      <c r="G201" s="320"/>
      <c r="H201" s="321"/>
      <c r="I201" s="322"/>
      <c r="J201" s="323"/>
    </row>
    <row r="202" spans="1:10" ht="15" customHeight="1">
      <c r="A202" s="315" t="str">
        <f>IF(B202="","",IF(B201="",SUM(COUNT($A$5:A201)+1),""))</f>
        <v/>
      </c>
      <c r="B202" s="1223"/>
      <c r="C202" s="1385" t="s">
        <v>2738</v>
      </c>
      <c r="D202" s="317"/>
      <c r="E202" s="318"/>
      <c r="F202" s="319"/>
      <c r="G202" s="320"/>
      <c r="H202" s="321"/>
      <c r="I202" s="322"/>
      <c r="J202" s="323"/>
    </row>
    <row r="203" spans="1:10" ht="15" customHeight="1">
      <c r="A203" s="315" t="str">
        <f>IF(B203="","",IF(B202="",SUM(COUNT($A$5:A202)+1),""))</f>
        <v/>
      </c>
      <c r="B203" s="1223"/>
      <c r="C203" s="1385"/>
      <c r="D203" s="317"/>
      <c r="E203" s="1388"/>
      <c r="F203" s="319"/>
      <c r="G203" s="320"/>
      <c r="H203" s="321"/>
      <c r="I203" s="322"/>
      <c r="J203" s="323"/>
    </row>
    <row r="204" spans="1:10" ht="15" customHeight="1">
      <c r="A204" s="315">
        <f>IF(B204="","",IF(B202="",SUM(COUNT($A$5:A202)+1),""))</f>
        <v>17</v>
      </c>
      <c r="B204" s="1223">
        <v>695900</v>
      </c>
      <c r="C204" s="316" t="str">
        <f>IF(B204="","",VLOOKUP(B204,'TB for financial'!A:B,2,0))</f>
        <v>DEFERRED TAX CHARGES</v>
      </c>
      <c r="D204" s="317"/>
      <c r="E204" s="317">
        <f>36349*0+109249</f>
        <v>109249</v>
      </c>
      <c r="F204" s="319"/>
      <c r="G204" s="320"/>
      <c r="H204" s="321"/>
      <c r="I204" s="322"/>
      <c r="J204" s="323"/>
    </row>
    <row r="205" spans="1:10" ht="15" customHeight="1">
      <c r="A205" s="315" t="str">
        <f>IF(B205="","",IF(B204="",SUM(COUNT($A$5:A204)+1),""))</f>
        <v/>
      </c>
      <c r="B205" s="1223">
        <v>488000</v>
      </c>
      <c r="C205" s="316" t="str">
        <f>IF(B205="","",VLOOKUP(B205,'TB for financial'!A:B,2,0))</f>
        <v>DEFERRED TAX</v>
      </c>
      <c r="D205" s="317">
        <f>+E204</f>
        <v>109249</v>
      </c>
      <c r="E205" s="318">
        <f>+D204</f>
        <v>0</v>
      </c>
      <c r="F205" s="319"/>
      <c r="G205" s="320"/>
      <c r="H205" s="321"/>
      <c r="I205" s="322"/>
      <c r="J205" s="323"/>
    </row>
    <row r="206" spans="1:10" ht="15" customHeight="1">
      <c r="A206" s="315" t="str">
        <f>IF(B206="","",IF(B205="",SUM(COUNT($A$5:A205)+1),""))</f>
        <v/>
      </c>
      <c r="B206" s="1223"/>
      <c r="C206" s="1385" t="s">
        <v>2739</v>
      </c>
      <c r="D206" s="317"/>
      <c r="E206" s="318"/>
      <c r="F206" s="319"/>
      <c r="G206" s="320"/>
      <c r="H206" s="321"/>
      <c r="I206" s="322"/>
      <c r="J206" s="323"/>
    </row>
    <row r="207" spans="1:10" ht="15" customHeight="1">
      <c r="A207" s="315" t="str">
        <f>IF(B207="","",IF(B206="",SUM(COUNT($A$5:A206)+1),""))</f>
        <v/>
      </c>
      <c r="B207" s="1223"/>
      <c r="C207" s="316"/>
      <c r="D207" s="317"/>
      <c r="E207" s="1388"/>
      <c r="F207" s="319"/>
      <c r="G207" s="320"/>
      <c r="H207" s="321"/>
      <c r="I207" s="322"/>
      <c r="J207" s="323"/>
    </row>
    <row r="208" spans="1:10" ht="15" customHeight="1">
      <c r="A208" s="315">
        <f>IF(B208="","",IF(B206="",SUM(COUNT($A$5:A206)+1),""))</f>
        <v>18</v>
      </c>
      <c r="B208" s="1223">
        <v>106960</v>
      </c>
      <c r="C208" s="316" t="str">
        <f>IF(B208="","",VLOOKUP(B208,'TB for financial'!A:B,2,0))</f>
        <v>Stat, Of Recognized Income and Expense</v>
      </c>
      <c r="D208" s="317">
        <v>311615</v>
      </c>
      <c r="E208" s="317"/>
      <c r="F208" s="319"/>
      <c r="G208" s="320"/>
      <c r="H208" s="321"/>
      <c r="I208" s="322"/>
      <c r="J208" s="323"/>
    </row>
    <row r="209" spans="1:10" ht="15" customHeight="1">
      <c r="A209" s="315" t="str">
        <f>IF(B209="","",IF(B208="",SUM(COUNT($A$5:A208)+1),""))</f>
        <v/>
      </c>
      <c r="B209" s="1223">
        <v>488000</v>
      </c>
      <c r="C209" s="316" t="str">
        <f>IF(B209="","",VLOOKUP(B209,'TB for financial'!A:B,2,0))</f>
        <v>DEFERRED TAX</v>
      </c>
      <c r="D209" s="317">
        <f>+E208</f>
        <v>0</v>
      </c>
      <c r="E209" s="318">
        <f>+D208</f>
        <v>311615</v>
      </c>
      <c r="F209" s="319"/>
      <c r="G209" s="320"/>
      <c r="H209" s="321"/>
      <c r="I209" s="322"/>
      <c r="J209" s="323"/>
    </row>
    <row r="210" spans="1:10" ht="15" customHeight="1">
      <c r="A210" s="315" t="str">
        <f>IF(B210="","",IF(B209="",SUM(COUNT($A$5:A209)+1),""))</f>
        <v/>
      </c>
      <c r="B210" s="1223"/>
      <c r="C210" s="1385" t="s">
        <v>2740</v>
      </c>
      <c r="D210" s="317"/>
      <c r="E210" s="318"/>
      <c r="F210" s="319"/>
      <c r="G210" s="320"/>
      <c r="H210" s="321"/>
      <c r="I210" s="322"/>
      <c r="J210" s="323"/>
    </row>
    <row r="211" spans="1:10" ht="15" customHeight="1">
      <c r="A211" s="315" t="str">
        <f>IF(B211="","",IF(B210="",SUM(COUNT($A$5:A210)+1),""))</f>
        <v/>
      </c>
      <c r="B211" s="1223"/>
      <c r="C211" s="316"/>
      <c r="D211" s="317"/>
      <c r="E211" s="1388"/>
      <c r="F211" s="319"/>
      <c r="G211" s="320"/>
      <c r="H211" s="321"/>
      <c r="I211" s="322"/>
      <c r="J211" s="323"/>
    </row>
    <row r="212" spans="1:10" ht="15" customHeight="1">
      <c r="A212" s="315" t="str">
        <f>IF(B212="","",IF(B211="",SUM(COUNT($A$5:A211)+1),""))</f>
        <v/>
      </c>
      <c r="B212" s="1223"/>
      <c r="C212" s="316"/>
      <c r="D212" s="317"/>
      <c r="E212" s="1388"/>
      <c r="F212" s="319"/>
      <c r="G212" s="320"/>
      <c r="H212" s="321"/>
      <c r="I212" s="322"/>
      <c r="J212" s="323"/>
    </row>
    <row r="213" spans="1:10" ht="15" customHeight="1">
      <c r="A213" s="315">
        <f>IF(B213="","",IF(B212="",SUM(COUNT($A$5:A212)+1),""))</f>
        <v>19</v>
      </c>
      <c r="B213" s="1223">
        <v>444400</v>
      </c>
      <c r="C213" s="316" t="str">
        <f>IF(B213="","",VLOOKUP(B213,'TB for financial'!A:B,2,0))</f>
        <v>US federal income tax liability</v>
      </c>
      <c r="D213" s="317"/>
      <c r="E213" s="317">
        <f>3955132.25750013-3001150.74509142</f>
        <v>953981.51240871008</v>
      </c>
      <c r="F213" s="319"/>
      <c r="G213" s="320"/>
      <c r="H213" s="321"/>
      <c r="I213" s="322"/>
      <c r="J213" s="323"/>
    </row>
    <row r="214" spans="1:10" ht="15" customHeight="1">
      <c r="A214" s="315" t="str">
        <f>IF(B214="","",IF(B213="",SUM(COUNT($A$5:A213)+1),""))</f>
        <v/>
      </c>
      <c r="B214" s="1223">
        <v>444410</v>
      </c>
      <c r="C214" s="316" t="str">
        <f>IF(B214="","",VLOOKUP(B214,'TB for financial'!A:B,2,0))</f>
        <v>US state income tax liability</v>
      </c>
      <c r="D214" s="318">
        <v>876661.85886388272</v>
      </c>
      <c r="E214" s="318"/>
      <c r="F214" s="319"/>
      <c r="G214" s="320"/>
      <c r="H214" s="321"/>
      <c r="I214" s="322"/>
      <c r="J214" s="323"/>
    </row>
    <row r="215" spans="1:10" ht="15" customHeight="1">
      <c r="A215" s="315" t="str">
        <f>IF(B215="","",IF(B214="",SUM(COUNT($A$5:A214)+1),""))</f>
        <v/>
      </c>
      <c r="B215" s="1223">
        <v>604230</v>
      </c>
      <c r="C215" s="316" t="str">
        <f>IF(B215="","",VLOOKUP(B215,'TB for financial'!A:B,2,0))</f>
        <v>Other foreign exchange Losses</v>
      </c>
      <c r="D215" s="317">
        <f>+E213-D214</f>
        <v>77319.653544827364</v>
      </c>
      <c r="E215" s="318"/>
      <c r="F215" s="319"/>
      <c r="G215" s="320"/>
      <c r="H215" s="321"/>
      <c r="I215" s="322"/>
      <c r="J215" s="323"/>
    </row>
    <row r="216" spans="1:10" ht="28.8">
      <c r="A216" s="315" t="str">
        <f>IF(B216="","",IF(B215="",SUM(COUNT($A$5:A215)+1),""))</f>
        <v/>
      </c>
      <c r="B216" s="1223"/>
      <c r="C216" s="1385" t="s">
        <v>2718</v>
      </c>
      <c r="D216" s="317"/>
      <c r="E216" s="318"/>
      <c r="F216" s="319"/>
      <c r="G216" s="320"/>
      <c r="H216" s="321"/>
      <c r="I216" s="322"/>
      <c r="J216" s="323"/>
    </row>
    <row r="217" spans="1:10" ht="15" customHeight="1">
      <c r="A217" s="315" t="str">
        <f>IF(B217="","",IF(B216="",SUM(COUNT($A$5:A216)+1),""))</f>
        <v/>
      </c>
      <c r="B217" s="1223"/>
      <c r="C217" s="316" t="str">
        <f>IF(B217="","",VLOOKUP(B217,'TB for financial'!A:B,2,0))</f>
        <v/>
      </c>
      <c r="D217" s="317"/>
      <c r="E217" s="318"/>
      <c r="F217" s="319"/>
      <c r="G217" s="320"/>
      <c r="H217" s="321"/>
      <c r="I217" s="322"/>
      <c r="J217" s="323"/>
    </row>
    <row r="218" spans="1:10" ht="15" customHeight="1">
      <c r="A218" s="315">
        <f>IF(B218="","",IF(B217="",SUM(COUNT($A$5:A217)+1),""))</f>
        <v>20</v>
      </c>
      <c r="B218" s="1223">
        <v>401450</v>
      </c>
      <c r="C218" s="316" t="str">
        <f>IF(B218="","",VLOOKUP(B218,'TB for financial'!A:B,2,0))</f>
        <v>TRADE PAYABLES - FOREIGN</v>
      </c>
      <c r="D218" s="317"/>
      <c r="E218" s="318">
        <v>535614.23</v>
      </c>
      <c r="F218" s="319"/>
      <c r="G218" s="320"/>
      <c r="H218" s="321"/>
      <c r="I218" s="322"/>
      <c r="J218" s="323"/>
    </row>
    <row r="219" spans="1:10" ht="15" customHeight="1">
      <c r="A219" s="315" t="str">
        <f>IF(B219="","",IF(B218="",SUM(COUNT($A$5:A218)+1),""))</f>
        <v/>
      </c>
      <c r="B219" s="1223">
        <v>451099</v>
      </c>
      <c r="C219" s="316" t="str">
        <f>IF(B219="","",VLOOKUP(B219,'TB for financial'!A:B,2,0))</f>
        <v>C/A Atos Syntel Inc. (US)</v>
      </c>
      <c r="D219" s="317">
        <f>+E218</f>
        <v>535614.23</v>
      </c>
      <c r="E219" s="318"/>
      <c r="F219" s="319"/>
      <c r="G219" s="320"/>
      <c r="H219" s="321"/>
      <c r="I219" s="322"/>
      <c r="J219" s="323"/>
    </row>
    <row r="220" spans="1:10" ht="15" customHeight="1">
      <c r="A220" s="315" t="str">
        <f>IF(B220="","",IF(B219="",SUM(COUNT($A$5:A219)+1),""))</f>
        <v/>
      </c>
      <c r="B220" s="1223">
        <v>401998</v>
      </c>
      <c r="C220" s="316" t="str">
        <f>IF(B220="","",VLOOKUP(B220,'TB for financial'!A:B,2,0))</f>
        <v>TRADE PAYABLES - FOREIGN CURRENCY REVAL</v>
      </c>
      <c r="D220" s="317"/>
      <c r="E220" s="318">
        <f>+D221</f>
        <v>136088.82851063844</v>
      </c>
      <c r="F220" s="319"/>
      <c r="G220" s="320"/>
      <c r="H220" s="321"/>
      <c r="I220" s="322"/>
      <c r="J220" s="323"/>
    </row>
    <row r="221" spans="1:10" ht="15" customHeight="1">
      <c r="A221" s="315" t="str">
        <f>IF(B221="","",IF(B220="",SUM(COUNT($A$5:A220)+1),""))</f>
        <v/>
      </c>
      <c r="B221" s="1223">
        <v>451099</v>
      </c>
      <c r="C221" s="316" t="str">
        <f>IF(B221="","",VLOOKUP(B221,'TB for financial'!A:B,2,0))</f>
        <v>C/A Atos Syntel Inc. (US)</v>
      </c>
      <c r="D221" s="317">
        <f>8155*(82.3670212765958-65.6792434089516)</f>
        <v>136088.82851063844</v>
      </c>
      <c r="E221" s="318"/>
      <c r="F221" s="319"/>
      <c r="G221" s="320"/>
      <c r="H221" s="321"/>
      <c r="I221" s="322"/>
      <c r="J221" s="323"/>
    </row>
    <row r="222" spans="1:10" ht="28.8">
      <c r="A222" s="315" t="str">
        <f>IF(B222="","",IF(B221="",SUM(COUNT($A$5:A221)+1),""))</f>
        <v/>
      </c>
      <c r="B222" s="1223"/>
      <c r="C222" s="1385" t="s">
        <v>2719</v>
      </c>
      <c r="D222" s="317"/>
      <c r="E222" s="318"/>
      <c r="F222" s="319"/>
      <c r="G222" s="320"/>
      <c r="H222" s="321"/>
      <c r="I222" s="322"/>
      <c r="J222" s="323"/>
    </row>
    <row r="223" spans="1:10" ht="15" customHeight="1">
      <c r="A223" s="315" t="str">
        <f>IF(B223="","",IF(B222="",SUM(COUNT($A$5:A222)+1),""))</f>
        <v/>
      </c>
      <c r="B223" s="1223"/>
      <c r="C223" s="316" t="str">
        <f>IF(B223="","",VLOOKUP(B223,'TB for financial'!A:B,2,0))</f>
        <v/>
      </c>
      <c r="D223" s="317"/>
      <c r="E223" s="318"/>
      <c r="F223" s="319"/>
      <c r="G223" s="320"/>
      <c r="H223" s="321"/>
      <c r="I223" s="322"/>
      <c r="J223" s="323"/>
    </row>
    <row r="224" spans="1:10" ht="15" customHeight="1">
      <c r="A224" s="315">
        <f>IF(B224="","",IF(B223="",SUM(COUNT($A$5:A223)+1),""))</f>
        <v>21</v>
      </c>
      <c r="B224" s="1223">
        <v>168100</v>
      </c>
      <c r="C224" s="316" t="str">
        <f>IF(B224="","",VLOOKUP(B224,'TB for financial'!A:B,2,0))</f>
        <v>SUNDRY BORROWINGS</v>
      </c>
      <c r="D224" s="318">
        <v>3360</v>
      </c>
      <c r="E224" s="318"/>
      <c r="F224" s="319"/>
      <c r="G224" s="320"/>
      <c r="H224" s="321"/>
      <c r="I224" s="322"/>
      <c r="J224" s="323"/>
    </row>
    <row r="225" spans="1:10" ht="15" customHeight="1">
      <c r="A225" s="315" t="str">
        <f>IF(B225="","",IF(B224="",SUM(COUNT($A$5:A224)+1),""))</f>
        <v/>
      </c>
      <c r="B225" s="1223">
        <v>457000</v>
      </c>
      <c r="C225" s="316" t="str">
        <f>IF(B225="","",VLOOKUP(B225,'TB for financial'!A:B,2,0))</f>
        <v>DIVIDENDS TO BE PAID</v>
      </c>
      <c r="D225" s="317">
        <f>+E224</f>
        <v>0</v>
      </c>
      <c r="E225" s="318">
        <f>+D224</f>
        <v>3360</v>
      </c>
      <c r="F225" s="319"/>
      <c r="G225" s="320"/>
      <c r="H225" s="321"/>
      <c r="I225" s="322"/>
      <c r="J225" s="323"/>
    </row>
    <row r="226" spans="1:10" ht="15" customHeight="1">
      <c r="A226" s="315" t="str">
        <f>IF(B226="","",IF(B225="",SUM(COUNT($A$5:A225)+1),""))</f>
        <v/>
      </c>
      <c r="B226" s="1223"/>
      <c r="C226" s="316" t="str">
        <f>IF(B226="","",VLOOKUP(B226,'TB for financial'!A:B,2,0))</f>
        <v/>
      </c>
      <c r="D226" s="317"/>
      <c r="E226" s="318"/>
      <c r="F226" s="319"/>
      <c r="G226" s="320"/>
      <c r="H226" s="321"/>
      <c r="I226" s="322"/>
      <c r="J226" s="323"/>
    </row>
    <row r="227" spans="1:10" ht="15" customHeight="1">
      <c r="A227" s="315">
        <f>IF(B227="","",IF(B226="",SUM(COUNT($A$5:A226)+1),""))</f>
        <v>22</v>
      </c>
      <c r="B227" s="1223">
        <v>695000</v>
      </c>
      <c r="C227" s="316" t="str">
        <f>IF(B227="","",VLOOKUP(B227,'TB for financial'!A:B,2,0))</f>
        <v>CORPORATE INCOME TAX</v>
      </c>
      <c r="D227" s="317">
        <v>2864306</v>
      </c>
      <c r="E227" s="318"/>
      <c r="F227" s="319"/>
      <c r="G227" s="320"/>
      <c r="H227" s="321"/>
      <c r="I227" s="322"/>
      <c r="J227" s="323"/>
    </row>
    <row r="228" spans="1:10" ht="15" customHeight="1">
      <c r="A228" s="315" t="str">
        <f>IF(B228="","",IF(B227="",SUM(COUNT($A$5:A227)+1),""))</f>
        <v/>
      </c>
      <c r="B228" s="1223">
        <v>444000</v>
      </c>
      <c r="C228" s="316" t="str">
        <f>IF(B228="","",VLOOKUP(B228,'TB for financial'!A:B,2,0))</f>
        <v>Corporate Income Tax and Accrued Income</v>
      </c>
      <c r="D228" s="317"/>
      <c r="E228" s="318">
        <f>+D227</f>
        <v>2864306</v>
      </c>
      <c r="F228" s="319"/>
      <c r="G228" s="320"/>
      <c r="H228" s="321"/>
      <c r="I228" s="322"/>
      <c r="J228" s="323"/>
    </row>
    <row r="229" spans="1:10" ht="15" customHeight="1">
      <c r="A229" s="315" t="str">
        <f>IF(B229="","",IF(B228="",SUM(COUNT($A$5:A228)+1),""))</f>
        <v/>
      </c>
      <c r="B229" s="1223">
        <v>444000</v>
      </c>
      <c r="C229" s="316" t="str">
        <f>IF(B229="","",VLOOKUP(B229,'TB for financial'!A:B,2,0))</f>
        <v>Corporate Income Tax and Accrued Income</v>
      </c>
      <c r="D229" s="317">
        <f>+E228</f>
        <v>2864306</v>
      </c>
      <c r="E229" s="318"/>
      <c r="F229" s="319"/>
      <c r="G229" s="320"/>
      <c r="H229" s="321"/>
      <c r="I229" s="322"/>
      <c r="J229" s="323"/>
    </row>
    <row r="230" spans="1:10" ht="15" customHeight="1">
      <c r="A230" s="315" t="str">
        <f>IF(B230="","",IF(B229="",SUM(COUNT($A$5:A229)+1),""))</f>
        <v/>
      </c>
      <c r="B230" s="1223">
        <v>488120</v>
      </c>
      <c r="C230" s="316" t="str">
        <f>IF(B230="","",VLOOKUP(B230,'TB for financial'!A:B,2,0))</f>
        <v>Deferred Tax - Mininumum alternate tax</v>
      </c>
      <c r="D230" s="317"/>
      <c r="E230" s="318">
        <f>+D229</f>
        <v>2864306</v>
      </c>
      <c r="F230" s="319"/>
      <c r="G230" s="320"/>
      <c r="H230" s="321"/>
      <c r="I230" s="322"/>
      <c r="J230" s="323"/>
    </row>
    <row r="231" spans="1:10" ht="15" customHeight="1">
      <c r="A231" s="315" t="str">
        <f>IF(B231="","",IF(B230="",SUM(COUNT($A$5:A230)+1),""))</f>
        <v/>
      </c>
      <c r="B231" s="1223">
        <v>695900</v>
      </c>
      <c r="C231" s="316" t="str">
        <f>IF(B231="","",VLOOKUP(B231,'TB for financial'!A:B,2,0))</f>
        <v>DEFERRED TAX CHARGES</v>
      </c>
      <c r="D231" s="317">
        <f>+E230</f>
        <v>2864306</v>
      </c>
      <c r="E231" s="318"/>
      <c r="F231" s="319"/>
      <c r="G231" s="320"/>
      <c r="H231" s="321"/>
      <c r="I231" s="322"/>
      <c r="J231" s="323"/>
    </row>
    <row r="232" spans="1:10" ht="15" customHeight="1">
      <c r="A232" s="315" t="str">
        <f>IF(B232="","",IF(B231="",SUM(COUNT($A$5:A231)+1),""))</f>
        <v/>
      </c>
      <c r="B232" s="1223">
        <v>695000</v>
      </c>
      <c r="C232" s="316" t="str">
        <f>IF(B232="","",VLOOKUP(B232,'TB for financial'!A:B,2,0))</f>
        <v>CORPORATE INCOME TAX</v>
      </c>
      <c r="D232" s="317"/>
      <c r="E232" s="318">
        <f>+D231</f>
        <v>2864306</v>
      </c>
      <c r="F232" s="319"/>
      <c r="G232" s="320"/>
      <c r="H232" s="321"/>
      <c r="I232" s="322"/>
      <c r="J232" s="323"/>
    </row>
    <row r="233" spans="1:10" ht="43.2">
      <c r="A233" s="315" t="str">
        <f>IF(B233="","",IF(B232="",SUM(COUNT($A$5:A232)+1),""))</f>
        <v/>
      </c>
      <c r="B233" s="1223"/>
      <c r="C233" s="1385" t="s">
        <v>2724</v>
      </c>
      <c r="D233" s="317"/>
      <c r="E233" s="318"/>
      <c r="F233" s="319"/>
      <c r="G233" s="320"/>
      <c r="H233" s="321"/>
      <c r="I233" s="322"/>
      <c r="J233" s="323"/>
    </row>
    <row r="234" spans="1:10" ht="15" customHeight="1">
      <c r="A234" s="315" t="str">
        <f>IF(B234="","",IF(B233="",SUM(COUNT($A$5:A233)+1),""))</f>
        <v/>
      </c>
      <c r="B234" s="1223"/>
      <c r="C234" s="1385"/>
      <c r="D234" s="317"/>
      <c r="E234" s="318"/>
      <c r="F234" s="319"/>
      <c r="G234" s="320"/>
      <c r="H234" s="321"/>
      <c r="I234" s="322"/>
      <c r="J234" s="323"/>
    </row>
    <row r="235" spans="1:10" ht="15" customHeight="1">
      <c r="A235" s="315">
        <f>IF(B235="","",IF(B234="",SUM(COUNT($A$5:A234)+1),""))</f>
        <v>23</v>
      </c>
      <c r="B235" s="1223">
        <v>408151</v>
      </c>
      <c r="C235" s="316" t="str">
        <f>IF(B235="","",VLOOKUP(B235,'TB for financial'!A:B,2,0))</f>
        <v>Outstanding Liabilities</v>
      </c>
      <c r="D235" s="317">
        <f>SUM(E236:E237)</f>
        <v>75309</v>
      </c>
      <c r="E235" s="318"/>
      <c r="F235" s="319"/>
      <c r="G235" s="320"/>
      <c r="H235" s="321"/>
      <c r="I235" s="322"/>
      <c r="J235" s="323"/>
    </row>
    <row r="236" spans="1:10" ht="15" customHeight="1">
      <c r="A236" s="315" t="str">
        <f>IF(B236="","",IF(B235="",SUM(COUNT($A$5:A235)+1),""))</f>
        <v/>
      </c>
      <c r="B236" s="1223">
        <v>437408</v>
      </c>
      <c r="C236" s="316" t="str">
        <f>IF(B236="","",VLOOKUP(B236,'TB for financial'!A:B,2,0))</f>
        <v>TDS - Professional Fees</v>
      </c>
      <c r="D236" s="317"/>
      <c r="E236" s="318">
        <v>32049</v>
      </c>
      <c r="F236" s="319"/>
      <c r="G236" s="320"/>
      <c r="H236" s="321"/>
      <c r="I236" s="322"/>
      <c r="J236" s="323"/>
    </row>
    <row r="237" spans="1:10" ht="15" customHeight="1">
      <c r="A237" s="315" t="str">
        <f>IF(B237="","",IF(B236="",SUM(COUNT($A$5:A236)+1),""))</f>
        <v/>
      </c>
      <c r="B237" s="1223">
        <v>437408</v>
      </c>
      <c r="C237" s="316" t="str">
        <f>IF(B237="","",VLOOKUP(B237,'TB for financial'!A:B,2,0))</f>
        <v>TDS - Professional Fees</v>
      </c>
      <c r="D237" s="317"/>
      <c r="E237" s="318">
        <v>43260</v>
      </c>
      <c r="F237" s="319"/>
      <c r="G237" s="320">
        <f>IF(H237="PL - PL",0,IF(D237="",-E237,D237))</f>
        <v>-43260</v>
      </c>
      <c r="H237" s="321"/>
      <c r="I237" s="322"/>
      <c r="J237" s="323"/>
    </row>
    <row r="238" spans="1:10" ht="28.8">
      <c r="A238" s="315" t="str">
        <f>IF(B238="","",IF(B237="",SUM(COUNT($A$5:A237)+1),""))</f>
        <v/>
      </c>
      <c r="B238" s="1223"/>
      <c r="C238" s="1385" t="s">
        <v>2725</v>
      </c>
      <c r="D238" s="317"/>
      <c r="E238" s="318"/>
      <c r="F238" s="319"/>
      <c r="G238" s="320"/>
      <c r="H238" s="321"/>
      <c r="I238" s="322"/>
      <c r="J238" s="323"/>
    </row>
    <row r="239" spans="1:10" ht="15" customHeight="1">
      <c r="A239" s="315" t="str">
        <f>IF(B239="","",IF(B238="",SUM(COUNT($A$5:A238)+1),""))</f>
        <v/>
      </c>
      <c r="B239" s="1223"/>
      <c r="C239" s="316" t="str">
        <f>IF(B239="","",VLOOKUP(B239,'TB for financial'!A:B,2,0))</f>
        <v/>
      </c>
      <c r="D239" s="317"/>
      <c r="E239" s="318"/>
      <c r="F239" s="319"/>
      <c r="G239" s="320"/>
      <c r="H239" s="321"/>
      <c r="I239" s="322"/>
      <c r="J239" s="323"/>
    </row>
    <row r="240" spans="1:10" ht="15" customHeight="1">
      <c r="A240" s="315">
        <f>IF(B240="","",IF(B239="",SUM(COUNT($A$5:A239)+1),""))</f>
        <v>24</v>
      </c>
      <c r="B240" s="1223">
        <v>622800</v>
      </c>
      <c r="C240" s="316" t="str">
        <f>IF(B240="","",VLOOKUP(B240,'TB for financial'!A:B,2,0))</f>
        <v>OTHER PROFESSIONAL FEES</v>
      </c>
      <c r="D240" s="317">
        <v>12000</v>
      </c>
      <c r="E240" s="318"/>
      <c r="F240" s="319"/>
      <c r="G240" s="320">
        <f>IF(H240="PL - PL",0,IF(D240="",-E240,D240))</f>
        <v>12000</v>
      </c>
      <c r="H240" s="321"/>
      <c r="I240" s="322" t="s">
        <v>2729</v>
      </c>
      <c r="J240" s="323"/>
    </row>
    <row r="241" spans="1:10" ht="15" customHeight="1">
      <c r="A241" s="315" t="str">
        <f>IF(B241="","",IF(B240="",SUM(COUNT($A$5:A240)+1),""))</f>
        <v/>
      </c>
      <c r="B241" s="1223">
        <v>408151</v>
      </c>
      <c r="C241" s="316" t="str">
        <f>IF(B241="","",VLOOKUP(B241,'TB for financial'!A:B,2,0))</f>
        <v>Outstanding Liabilities</v>
      </c>
      <c r="D241" s="317"/>
      <c r="E241" s="318">
        <f>+D240</f>
        <v>12000</v>
      </c>
      <c r="F241" s="319"/>
      <c r="G241" s="320"/>
      <c r="H241" s="321"/>
      <c r="I241" s="322" t="s">
        <v>2729</v>
      </c>
      <c r="J241" s="323"/>
    </row>
    <row r="242" spans="1:10" ht="15" customHeight="1">
      <c r="A242" s="315"/>
      <c r="B242" s="1223"/>
      <c r="C242" s="1385" t="s">
        <v>2726</v>
      </c>
      <c r="D242" s="317"/>
      <c r="E242" s="318"/>
      <c r="F242" s="319"/>
      <c r="G242" s="320"/>
      <c r="H242" s="321"/>
      <c r="I242" s="322"/>
      <c r="J242" s="323"/>
    </row>
    <row r="243" spans="1:10" ht="15" customHeight="1">
      <c r="A243" s="315" t="str">
        <f>IF(B243="","",IF(B241="",SUM(COUNT($A$5:A241)+1),""))</f>
        <v/>
      </c>
      <c r="B243" s="1223"/>
      <c r="C243" s="316" t="str">
        <f>IF(B243="","",VLOOKUP(B243,'TB for financial'!A:B,2,0))</f>
        <v/>
      </c>
      <c r="D243" s="317"/>
      <c r="E243" s="318"/>
      <c r="F243" s="319"/>
      <c r="G243" s="320"/>
      <c r="H243" s="321"/>
      <c r="I243" s="322"/>
      <c r="J243" s="323"/>
    </row>
    <row r="244" spans="1:10" ht="15" customHeight="1">
      <c r="A244" s="315">
        <f>IF(B244="","",IF(B242="",SUM(COUNT($A$5:A242)+1),""))</f>
        <v>25</v>
      </c>
      <c r="B244" s="1223">
        <v>641722</v>
      </c>
      <c r="C244" s="316" t="str">
        <f>IF(B244="","",VLOOKUP(B244,'TB for financial'!A:B,2,0))</f>
        <v>Car Hire-Personnel</v>
      </c>
      <c r="D244" s="317">
        <v>8100</v>
      </c>
      <c r="E244" s="318"/>
      <c r="F244" s="319"/>
      <c r="G244" s="320"/>
      <c r="H244" s="321"/>
      <c r="I244" s="322" t="s">
        <v>2729</v>
      </c>
      <c r="J244" s="323"/>
    </row>
    <row r="245" spans="1:10" ht="15" customHeight="1">
      <c r="A245" s="315" t="str">
        <f>IF(B245="","",IF(B244="",SUM(COUNT($A$5:A244)+1),""))</f>
        <v/>
      </c>
      <c r="B245" s="1223">
        <v>641721</v>
      </c>
      <c r="C245" s="316" t="str">
        <f>IF(B245="","",VLOOKUP(B245,'TB for financial'!A:B,2,0))</f>
        <v>Petrol Exps-Personnel</v>
      </c>
      <c r="D245" s="317">
        <v>16200</v>
      </c>
      <c r="E245" s="318"/>
      <c r="F245" s="319"/>
      <c r="G245" s="320"/>
      <c r="H245" s="321"/>
      <c r="I245" s="322" t="s">
        <v>2729</v>
      </c>
      <c r="J245" s="323"/>
    </row>
    <row r="246" spans="1:10" ht="15" customHeight="1">
      <c r="A246" s="315" t="str">
        <f>IF(B246="","",IF(B245="",SUM(COUNT($A$5:A245)+1),""))</f>
        <v/>
      </c>
      <c r="B246" s="1223">
        <v>626424</v>
      </c>
      <c r="C246" s="316" t="str">
        <f>IF(B246="","",VLOOKUP(B246,'TB for financial'!A:B,2,0))</f>
        <v>Telephone Charges</v>
      </c>
      <c r="D246" s="317">
        <v>22500</v>
      </c>
      <c r="E246" s="318"/>
      <c r="F246" s="319"/>
      <c r="G246" s="320"/>
      <c r="H246" s="321"/>
      <c r="I246" s="322" t="s">
        <v>2729</v>
      </c>
      <c r="J246" s="323"/>
    </row>
    <row r="247" spans="1:10" ht="15" customHeight="1">
      <c r="A247" s="315" t="str">
        <f>IF(B247="","",IF(B246="",SUM(COUNT($A$5:A246)+1),""))</f>
        <v/>
      </c>
      <c r="B247" s="1223">
        <v>408151</v>
      </c>
      <c r="C247" s="316" t="str">
        <f>IF(B247="","",VLOOKUP(B247,'TB for financial'!A:B,2,0))</f>
        <v>Outstanding Liabilities</v>
      </c>
      <c r="D247" s="317"/>
      <c r="E247" s="318">
        <v>46800</v>
      </c>
      <c r="F247" s="319"/>
      <c r="G247" s="320"/>
      <c r="H247" s="321"/>
      <c r="I247" s="322" t="s">
        <v>2729</v>
      </c>
      <c r="J247" s="323"/>
    </row>
    <row r="248" spans="1:10" ht="15" customHeight="1">
      <c r="A248" s="315" t="str">
        <f>IF(B248="","",IF(B247="",SUM(COUNT($A$5:A247)+1),""))</f>
        <v/>
      </c>
      <c r="B248" s="1223"/>
      <c r="C248" s="1385" t="s">
        <v>2727</v>
      </c>
      <c r="D248" s="317"/>
      <c r="E248" s="318"/>
      <c r="F248" s="319"/>
      <c r="G248" s="320"/>
      <c r="H248" s="321"/>
      <c r="I248" s="322"/>
      <c r="J248" s="323"/>
    </row>
    <row r="249" spans="1:10" ht="15" customHeight="1">
      <c r="A249" s="315" t="str">
        <f>IF(B249="","",IF(B248="",SUM(COUNT($A$5:A248)+1),""))</f>
        <v/>
      </c>
      <c r="B249" s="1223"/>
      <c r="C249" s="316" t="str">
        <f>IF(B249="","",VLOOKUP(B249,'TB for financial'!A:B,2,0))</f>
        <v/>
      </c>
      <c r="D249" s="317"/>
      <c r="E249" s="318"/>
      <c r="F249" s="319"/>
      <c r="G249" s="320"/>
      <c r="H249" s="321"/>
      <c r="I249" s="322"/>
      <c r="J249" s="323"/>
    </row>
    <row r="250" spans="1:10" ht="15" customHeight="1">
      <c r="A250" s="315">
        <f>IF(B250="","",IF(B249="",SUM(COUNT($A$5:A249)+1),""))</f>
        <v>26</v>
      </c>
      <c r="B250" s="1223">
        <v>408500</v>
      </c>
      <c r="C250" s="316" t="str">
        <f>IF(B250="","",VLOOKUP(B250,'TB for financial'!A:B,2,0))</f>
        <v>TRADE CREDITORS - PURCH. INV. ACCRUALS</v>
      </c>
      <c r="D250" s="317">
        <v>27690</v>
      </c>
      <c r="E250" s="318"/>
      <c r="F250" s="319"/>
      <c r="G250" s="320"/>
      <c r="H250" s="321"/>
      <c r="I250" s="322" t="s">
        <v>2729</v>
      </c>
      <c r="J250" s="323"/>
    </row>
    <row r="251" spans="1:10" ht="15" customHeight="1">
      <c r="A251" s="315" t="str">
        <f>IF(B251="","",IF(B250="",SUM(COUNT($A$5:A250)+1),""))</f>
        <v/>
      </c>
      <c r="B251" s="1223">
        <v>408500</v>
      </c>
      <c r="C251" s="316" t="str">
        <f>IF(B251="","",VLOOKUP(B251,'TB for financial'!A:B,2,0))</f>
        <v>TRADE CREDITORS - PURCH. INV. ACCRUALS</v>
      </c>
      <c r="D251" s="317">
        <v>8389</v>
      </c>
      <c r="E251" s="318"/>
      <c r="F251" s="319"/>
      <c r="G251" s="320"/>
      <c r="H251" s="321"/>
      <c r="I251" s="322" t="s">
        <v>2729</v>
      </c>
      <c r="J251" s="323"/>
    </row>
    <row r="252" spans="1:10" ht="15" customHeight="1">
      <c r="A252" s="315" t="str">
        <f>IF(B252="","",IF(B251="",SUM(COUNT($A$5:A251)+1),""))</f>
        <v/>
      </c>
      <c r="B252" s="1223">
        <v>408151</v>
      </c>
      <c r="C252" s="316" t="str">
        <f>IF(B252="","",VLOOKUP(B252,'TB for financial'!A:B,2,0))</f>
        <v>Outstanding Liabilities</v>
      </c>
      <c r="D252" s="317"/>
      <c r="E252" s="318">
        <v>36079</v>
      </c>
      <c r="F252" s="319"/>
      <c r="G252" s="320"/>
      <c r="H252" s="321"/>
      <c r="I252" s="322" t="s">
        <v>2729</v>
      </c>
      <c r="J252" s="323"/>
    </row>
    <row r="253" spans="1:10" ht="15" customHeight="1">
      <c r="A253" s="315" t="str">
        <f>IF(B253="","",IF(B252="",SUM(COUNT($A$5:A252)+1),""))</f>
        <v/>
      </c>
      <c r="B253" s="1223"/>
      <c r="C253" s="1385" t="s">
        <v>2727</v>
      </c>
      <c r="D253" s="317"/>
      <c r="E253" s="318"/>
      <c r="F253" s="319"/>
      <c r="G253" s="320">
        <f>IF(H253="PL - PL",0,IF(D253="",-E253,D253))</f>
        <v>0</v>
      </c>
      <c r="H253" s="321"/>
      <c r="I253" s="322"/>
      <c r="J253" s="323"/>
    </row>
    <row r="254" spans="1:10" ht="15" customHeight="1">
      <c r="A254" s="315" t="str">
        <f>IF(B254="","",IF(B253="",SUM(COUNT($A$5:A253)+1),""))</f>
        <v/>
      </c>
      <c r="B254" s="1223"/>
      <c r="C254" s="316" t="str">
        <f>IF(B254="","",VLOOKUP(B254,'TB for financial'!A:B,2,0))</f>
        <v/>
      </c>
      <c r="D254" s="317"/>
      <c r="E254" s="318"/>
      <c r="F254" s="319"/>
      <c r="G254" s="320"/>
      <c r="H254" s="321"/>
      <c r="I254" s="322"/>
      <c r="J254" s="323"/>
    </row>
    <row r="255" spans="1:10" ht="15" customHeight="1">
      <c r="A255" s="315">
        <f>IF(B255="","",IF(B254="",SUM(COUNT($A$5:A254)+1),""))</f>
        <v>27</v>
      </c>
      <c r="B255" s="1223">
        <v>408151</v>
      </c>
      <c r="C255" s="316" t="str">
        <f>IF(B255="","",VLOOKUP(B255,'TB for financial'!A:B,2,0))</f>
        <v>Outstanding Liabilities</v>
      </c>
      <c r="D255" s="317">
        <v>100000</v>
      </c>
      <c r="E255" s="318"/>
      <c r="F255" s="319"/>
      <c r="G255" s="320"/>
      <c r="H255" s="321"/>
      <c r="I255" s="322" t="s">
        <v>2729</v>
      </c>
      <c r="J255" s="323"/>
    </row>
    <row r="256" spans="1:10" ht="15" customHeight="1">
      <c r="A256" s="315" t="str">
        <f>IF(B256="","",IF(B255="",SUM(COUNT($A$5:A255)+1),""))</f>
        <v/>
      </c>
      <c r="B256" s="1223">
        <v>622800</v>
      </c>
      <c r="C256" s="316" t="str">
        <f>IF(B256="","",VLOOKUP(B256,'TB for financial'!A:B,2,0))</f>
        <v>OTHER PROFESSIONAL FEES</v>
      </c>
      <c r="D256" s="317"/>
      <c r="E256" s="317">
        <v>100000</v>
      </c>
      <c r="F256" s="319"/>
      <c r="G256" s="320"/>
      <c r="H256" s="321"/>
      <c r="I256" s="322" t="s">
        <v>2729</v>
      </c>
      <c r="J256" s="323"/>
    </row>
    <row r="257" spans="1:10" ht="15" customHeight="1">
      <c r="A257" s="315" t="str">
        <f>IF(B257="","",IF(B256="",SUM(COUNT($A$5:A256)+1),""))</f>
        <v/>
      </c>
      <c r="B257" s="1223"/>
      <c r="C257" s="1385" t="s">
        <v>2728</v>
      </c>
      <c r="D257" s="317"/>
      <c r="E257" s="318"/>
      <c r="F257" s="319"/>
      <c r="G257" s="320"/>
      <c r="H257" s="321"/>
      <c r="I257" s="322"/>
      <c r="J257" s="323"/>
    </row>
    <row r="258" spans="1:10" ht="15" customHeight="1">
      <c r="A258" s="315" t="str">
        <f>IF(B258="","",IF(B257="",SUM(COUNT($A$5:A257)+1),""))</f>
        <v/>
      </c>
      <c r="B258" s="1223"/>
      <c r="C258" s="316" t="str">
        <f>IF(B258="","",VLOOKUP(B258,'TB for financial'!A:B,2,0))</f>
        <v/>
      </c>
      <c r="D258" s="317"/>
      <c r="E258" s="317"/>
      <c r="F258" s="319"/>
      <c r="G258" s="320"/>
      <c r="H258" s="321"/>
      <c r="I258" s="322"/>
      <c r="J258" s="323"/>
    </row>
    <row r="259" spans="1:10" ht="15" customHeight="1">
      <c r="A259" s="315">
        <f>IF(B259="","",IF(B258="",SUM(COUNT($A$5:A258)+1),""))</f>
        <v>28</v>
      </c>
      <c r="B259" s="1223">
        <v>408151</v>
      </c>
      <c r="C259" s="316" t="str">
        <f>IF(B259="","",VLOOKUP(B259,'TB for financial'!A:B,2,0))</f>
        <v>Outstanding Liabilities</v>
      </c>
      <c r="D259" s="317">
        <v>3000</v>
      </c>
      <c r="E259" s="318"/>
      <c r="F259" s="319"/>
      <c r="G259" s="320"/>
      <c r="H259" s="321"/>
      <c r="I259" s="322" t="s">
        <v>2730</v>
      </c>
      <c r="J259" s="323"/>
    </row>
    <row r="260" spans="1:10" ht="15" customHeight="1">
      <c r="A260" s="315" t="str">
        <f>IF(B260="","",IF(B259="",SUM(COUNT($A$5:A259)+1),""))</f>
        <v/>
      </c>
      <c r="B260" s="1223">
        <v>622800</v>
      </c>
      <c r="C260" s="316" t="str">
        <f>IF(B260="","",VLOOKUP(B260,'TB for financial'!A:B,2,0))</f>
        <v>OTHER PROFESSIONAL FEES</v>
      </c>
      <c r="D260" s="317"/>
      <c r="E260" s="318">
        <v>3000</v>
      </c>
      <c r="F260" s="319"/>
      <c r="G260" s="320"/>
      <c r="H260" s="321"/>
      <c r="I260" s="322" t="s">
        <v>2730</v>
      </c>
      <c r="J260" s="323"/>
    </row>
    <row r="261" spans="1:10" ht="15" customHeight="1">
      <c r="A261" s="315" t="str">
        <f>IF(B261="","",IF(B260="",SUM(COUNT($A$5:A260)+1),""))</f>
        <v/>
      </c>
      <c r="B261" s="1223"/>
      <c r="C261" s="1385" t="s">
        <v>2731</v>
      </c>
      <c r="D261" s="317"/>
      <c r="E261" s="318"/>
      <c r="F261" s="319"/>
      <c r="G261" s="320"/>
      <c r="H261" s="321"/>
      <c r="I261" s="322"/>
      <c r="J261" s="323"/>
    </row>
    <row r="262" spans="1:10" ht="15" customHeight="1">
      <c r="A262" s="315" t="str">
        <f>IF(B262="","",IF(B261="",SUM(COUNT($A$5:A261)+1),""))</f>
        <v/>
      </c>
      <c r="B262" s="1223"/>
      <c r="C262" s="1385"/>
      <c r="D262" s="317"/>
      <c r="E262" s="318"/>
      <c r="F262" s="319"/>
      <c r="G262" s="320"/>
      <c r="H262" s="321"/>
      <c r="I262" s="322"/>
      <c r="J262" s="323"/>
    </row>
    <row r="263" spans="1:10" ht="15" customHeight="1">
      <c r="A263" s="315">
        <f>IF(B263="","",IF(B262="",SUM(COUNT($A$5:A262)+1),""))</f>
        <v>29</v>
      </c>
      <c r="B263" s="1223">
        <v>622800</v>
      </c>
      <c r="C263" s="316" t="str">
        <f>IF(B263="","",VLOOKUP(B263,'TB for financial'!A:B,2,0))</f>
        <v>OTHER PROFESSIONAL FEES</v>
      </c>
      <c r="D263" s="317">
        <v>5000</v>
      </c>
      <c r="E263" s="318"/>
      <c r="F263" s="319"/>
      <c r="G263" s="320"/>
      <c r="H263" s="321"/>
      <c r="I263" s="322" t="s">
        <v>2730</v>
      </c>
      <c r="J263" s="323"/>
    </row>
    <row r="264" spans="1:10" ht="15" customHeight="1">
      <c r="A264" s="315" t="str">
        <f>IF(B264="","",IF(B263="",SUM(COUNT($A$5:A263)+1),""))</f>
        <v/>
      </c>
      <c r="B264" s="1223">
        <v>408151</v>
      </c>
      <c r="C264" s="316" t="str">
        <f>IF(B264="","",VLOOKUP(B264,'TB for financial'!A:B,2,0))</f>
        <v>Outstanding Liabilities</v>
      </c>
      <c r="D264" s="317"/>
      <c r="E264" s="318">
        <v>5000</v>
      </c>
      <c r="F264" s="319"/>
      <c r="G264" s="320"/>
      <c r="H264" s="321"/>
      <c r="I264" s="322" t="s">
        <v>2730</v>
      </c>
      <c r="J264" s="323"/>
    </row>
    <row r="265" spans="1:10" ht="15" customHeight="1">
      <c r="A265" s="315" t="str">
        <f>IF(B265="","",IF(B264="",SUM(COUNT($A$5:A264)+1),""))</f>
        <v/>
      </c>
      <c r="B265" s="1223"/>
      <c r="C265" s="1385" t="s">
        <v>2732</v>
      </c>
      <c r="D265" s="317"/>
      <c r="E265" s="318"/>
      <c r="F265" s="319"/>
      <c r="G265" s="320"/>
      <c r="H265" s="321"/>
      <c r="I265" s="322"/>
      <c r="J265" s="323"/>
    </row>
    <row r="266" spans="1:10" ht="15" customHeight="1">
      <c r="A266" s="315" t="str">
        <f>IF(B266="","",IF(B265="",SUM(COUNT($A$5:A265)+1),""))</f>
        <v/>
      </c>
      <c r="B266" s="1223"/>
      <c r="C266" s="1385"/>
      <c r="D266" s="317"/>
      <c r="E266" s="318"/>
      <c r="F266" s="319"/>
      <c r="G266" s="320"/>
      <c r="H266" s="321"/>
      <c r="I266" s="322"/>
      <c r="J266" s="323"/>
    </row>
    <row r="267" spans="1:10" ht="15" customHeight="1">
      <c r="A267" s="315">
        <f>IF(B267="","",IF(B266="",SUM(COUNT($A$5:A266)+1),""))</f>
        <v>30</v>
      </c>
      <c r="B267" s="1223">
        <v>635130</v>
      </c>
      <c r="C267" s="316" t="str">
        <f>IF(B267="","",VLOOKUP(B267,'TB for financial'!A:B,2,0))</f>
        <v>OTHER LOCAL TAXES</v>
      </c>
      <c r="D267" s="317">
        <v>8722</v>
      </c>
      <c r="E267" s="318"/>
      <c r="F267" s="319"/>
      <c r="G267" s="320"/>
      <c r="H267" s="321"/>
      <c r="I267" s="322" t="s">
        <v>2733</v>
      </c>
      <c r="J267" s="323"/>
    </row>
    <row r="268" spans="1:10" ht="15" customHeight="1">
      <c r="A268" s="315" t="str">
        <f>IF(B268="","",IF(B267="",SUM(COUNT($A$5:A267)+1),""))</f>
        <v/>
      </c>
      <c r="B268" s="1223">
        <v>445780</v>
      </c>
      <c r="C268" s="316" t="str">
        <f>IF(B268="","",VLOOKUP(B268,'TB for financial'!A:B,2,0))</f>
        <v>MAH. SEZ - IGST Payable</v>
      </c>
      <c r="D268" s="317"/>
      <c r="E268" s="318">
        <v>8722</v>
      </c>
      <c r="F268" s="319"/>
      <c r="G268" s="320"/>
      <c r="H268" s="321"/>
      <c r="I268" s="322" t="s">
        <v>2733</v>
      </c>
      <c r="J268" s="323"/>
    </row>
    <row r="269" spans="1:10" ht="15" customHeight="1">
      <c r="A269" s="315" t="str">
        <f>IF(B269="","",IF(B268="",SUM(COUNT($A$5:A268)+1),""))</f>
        <v/>
      </c>
      <c r="B269" s="1223"/>
      <c r="C269" s="1386"/>
      <c r="D269" s="317"/>
      <c r="E269" s="318"/>
      <c r="F269" s="319"/>
      <c r="G269" s="320"/>
      <c r="H269" s="321"/>
      <c r="I269" s="322"/>
      <c r="J269" s="323"/>
    </row>
    <row r="270" spans="1:10" ht="15" customHeight="1">
      <c r="A270" s="315">
        <f>IF(B270="","",IF(B269="",SUM(COUNT($A$5:A269)+1),""))</f>
        <v>31</v>
      </c>
      <c r="B270" s="1223">
        <v>635130</v>
      </c>
      <c r="C270" s="316" t="str">
        <f>IF(B270="","",VLOOKUP(B270,'TB for financial'!A:B,2,0))</f>
        <v>OTHER LOCAL TAXES</v>
      </c>
      <c r="D270" s="317">
        <v>3540</v>
      </c>
      <c r="E270" s="318"/>
      <c r="F270" s="319"/>
      <c r="G270" s="320"/>
      <c r="H270" s="321"/>
      <c r="I270" s="322" t="s">
        <v>2734</v>
      </c>
      <c r="J270" s="323"/>
    </row>
    <row r="271" spans="1:10" ht="15" customHeight="1">
      <c r="A271" s="315" t="str">
        <f>IF(B271="","",IF(B270="",SUM(COUNT($A$5:A270)+1),""))</f>
        <v/>
      </c>
      <c r="B271" s="1387">
        <v>622800</v>
      </c>
      <c r="C271" s="316" t="str">
        <f>IF(B271="","",VLOOKUP(B271,'TB for financial'!A:B,2,0))</f>
        <v>OTHER PROFESSIONAL FEES</v>
      </c>
      <c r="D271" s="317"/>
      <c r="E271" s="318">
        <v>3540</v>
      </c>
      <c r="F271" s="319"/>
      <c r="G271" s="320"/>
      <c r="H271" s="321"/>
      <c r="I271" s="322" t="s">
        <v>2734</v>
      </c>
      <c r="J271" s="323"/>
    </row>
    <row r="272" spans="1:10" ht="15" customHeight="1">
      <c r="A272" s="315" t="str">
        <f>IF(B272="","",IF(B271="",SUM(COUNT($A$5:A271)+1),""))</f>
        <v/>
      </c>
      <c r="B272" s="1387"/>
      <c r="C272" s="316" t="str">
        <f>IF(B272="","",VLOOKUP(B272,'TB for financial'!A:B,2,0))</f>
        <v/>
      </c>
      <c r="D272" s="317"/>
      <c r="E272" s="318"/>
      <c r="F272" s="319"/>
      <c r="G272" s="320"/>
      <c r="H272" s="321"/>
      <c r="I272" s="322"/>
      <c r="J272" s="323"/>
    </row>
    <row r="273" spans="1:10" ht="15" customHeight="1">
      <c r="A273" s="315">
        <f>IF(B273="","",IF(B272="",SUM(COUNT($A$5:A272)+1),""))</f>
        <v>32</v>
      </c>
      <c r="B273" s="1387">
        <v>641702</v>
      </c>
      <c r="C273" s="316" t="str">
        <f>IF(B273="","",VLOOKUP(B273,'TB for financial'!A:B,2,0))</f>
        <v>Allowance 2</v>
      </c>
      <c r="D273" s="317">
        <v>912257</v>
      </c>
      <c r="E273" s="318"/>
      <c r="F273" s="319"/>
      <c r="G273" s="320"/>
      <c r="H273" s="321"/>
      <c r="I273" s="322" t="s">
        <v>2734</v>
      </c>
      <c r="J273" s="323"/>
    </row>
    <row r="274" spans="1:10" ht="15" customHeight="1">
      <c r="A274" s="315" t="str">
        <f>IF(B274="","",IF(B273="",SUM(COUNT($A$5:A273)+1),""))</f>
        <v/>
      </c>
      <c r="B274" s="1223">
        <v>604160</v>
      </c>
      <c r="C274" s="316" t="str">
        <f>IF(B274="","",VLOOKUP(B274,'TB for financial'!A:B,2,0))</f>
        <v>OP S/C T&amp;M. Interco</v>
      </c>
      <c r="D274" s="317"/>
      <c r="E274" s="318">
        <v>912257</v>
      </c>
      <c r="F274" s="319"/>
      <c r="G274" s="320"/>
      <c r="H274" s="321"/>
      <c r="I274" s="322" t="s">
        <v>2734</v>
      </c>
      <c r="J274" s="323"/>
    </row>
    <row r="275" spans="1:10" ht="15" customHeight="1">
      <c r="A275" s="315" t="str">
        <f>IF(B275="","",IF(B274="",SUM(COUNT($A$5:A274)+1),""))</f>
        <v/>
      </c>
      <c r="B275" s="1387"/>
      <c r="C275" s="316" t="str">
        <f>IF(B275="","",VLOOKUP(B275,'TB for financial'!A:B,2,0))</f>
        <v/>
      </c>
      <c r="D275" s="318"/>
      <c r="E275" s="318"/>
      <c r="F275" s="319"/>
      <c r="G275" s="320"/>
      <c r="H275" s="321"/>
      <c r="I275" s="322"/>
      <c r="J275" s="323"/>
    </row>
    <row r="276" spans="1:10" ht="15" customHeight="1">
      <c r="A276" s="315">
        <f>IF(B276="","",IF(B275="",SUM(COUNT($A$5:A275)+1),""))</f>
        <v>33</v>
      </c>
      <c r="B276" s="1223">
        <v>159200</v>
      </c>
      <c r="C276" s="316" t="str">
        <f>IF(B276="","",VLOOKUP(B276,'TB for financial'!A:B,2,0))</f>
        <v>Unfunded post employment DB plans</v>
      </c>
      <c r="D276" s="317"/>
      <c r="E276" s="317">
        <f>+D277</f>
        <v>691227</v>
      </c>
      <c r="F276" s="319"/>
      <c r="G276" s="320"/>
      <c r="H276" s="321"/>
      <c r="I276" s="322"/>
      <c r="J276" s="323"/>
    </row>
    <row r="277" spans="1:10" ht="15" customHeight="1">
      <c r="A277" s="315" t="str">
        <f>IF(B277="","",IF(B276="",SUM(COUNT($A$5:A276)+1),""))</f>
        <v/>
      </c>
      <c r="B277" s="1387">
        <v>106960</v>
      </c>
      <c r="C277" s="316" t="str">
        <f>IF(B277="","",VLOOKUP(B277,'TB for financial'!A:B,2,0))</f>
        <v>Stat, Of Recognized Income and Expense</v>
      </c>
      <c r="D277" s="318">
        <v>691227</v>
      </c>
      <c r="E277" s="318"/>
      <c r="F277" s="319"/>
      <c r="G277" s="320"/>
      <c r="H277" s="321"/>
      <c r="I277" s="322"/>
      <c r="J277" s="323"/>
    </row>
    <row r="278" spans="1:10" ht="15" customHeight="1">
      <c r="A278" s="315" t="str">
        <f>IF(B278="","",IF(B277="",SUM(COUNT($A$5:A277)+1),""))</f>
        <v/>
      </c>
      <c r="B278" s="1223"/>
      <c r="C278" s="316" t="str">
        <f>IF(B278="","",VLOOKUP(B278,'TB for financial'!A:B,2,0))</f>
        <v/>
      </c>
      <c r="D278" s="317"/>
      <c r="E278" s="318"/>
      <c r="F278" s="319"/>
      <c r="G278" s="320"/>
      <c r="H278" s="321"/>
      <c r="I278" s="322"/>
      <c r="J278" s="323"/>
    </row>
    <row r="279" spans="1:10" ht="15" customHeight="1">
      <c r="A279" s="315">
        <f>IF(B279="","",IF(B278="",SUM(COUNT($A$5:A278)+1),""))</f>
        <v>34</v>
      </c>
      <c r="B279" s="327">
        <v>106960</v>
      </c>
      <c r="C279" s="316" t="str">
        <f>IF(B279="","",VLOOKUP(B279,'TB for financial'!A:B,2,0))</f>
        <v>Stat, Of Recognized Income and Expense</v>
      </c>
      <c r="D279" s="317"/>
      <c r="E279" s="317">
        <f>+D280</f>
        <v>1091741</v>
      </c>
      <c r="F279" s="319"/>
      <c r="G279" s="320"/>
      <c r="H279" s="321"/>
      <c r="I279" s="322"/>
      <c r="J279" s="323"/>
    </row>
    <row r="280" spans="1:10" ht="15" customHeight="1">
      <c r="A280" s="315" t="str">
        <f>IF(B280="","",IF(B279="",SUM(COUNT($A$5:A279)+1),""))</f>
        <v/>
      </c>
      <c r="B280" s="327">
        <v>159200</v>
      </c>
      <c r="C280" s="316" t="str">
        <f>IF(B280="","",VLOOKUP(B280,'TB for financial'!A:B,2,0))</f>
        <v>Unfunded post employment DB plans</v>
      </c>
      <c r="D280" s="318">
        <v>1091741</v>
      </c>
      <c r="E280" s="318"/>
      <c r="F280" s="319"/>
      <c r="G280" s="320"/>
      <c r="H280" s="321"/>
      <c r="I280" s="322"/>
      <c r="J280" s="323"/>
    </row>
    <row r="281" spans="1:10" ht="15" customHeight="1">
      <c r="A281" s="315" t="str">
        <f>IF(B281="","",IF(B280="",SUM(COUNT($A$5:A280)+1),""))</f>
        <v/>
      </c>
      <c r="B281" s="1387"/>
      <c r="C281" s="316" t="str">
        <f>IF(B281="","",VLOOKUP(B281,'TB for financial'!A:B,2,0))</f>
        <v/>
      </c>
      <c r="D281" s="318"/>
      <c r="E281" s="318"/>
      <c r="F281" s="319"/>
      <c r="G281" s="320"/>
      <c r="H281" s="321"/>
      <c r="I281" s="322"/>
      <c r="J281" s="323"/>
    </row>
    <row r="282" spans="1:10" ht="15" customHeight="1">
      <c r="A282" s="315">
        <f>IF(B282="","",IF(B281="",SUM(COUNT($A$5:A281)+1),""))</f>
        <v>35</v>
      </c>
      <c r="B282" s="327">
        <v>641711</v>
      </c>
      <c r="C282" s="316" t="str">
        <f>IF(B282="","",VLOOKUP(B282,'TB for financial'!A:B,2,0))</f>
        <v>Gratuity</v>
      </c>
      <c r="D282" s="317">
        <f>+E283</f>
        <v>61499</v>
      </c>
      <c r="E282" s="318"/>
      <c r="F282" s="319"/>
      <c r="G282" s="320"/>
      <c r="H282" s="321"/>
      <c r="I282" s="322"/>
      <c r="J282" s="323"/>
    </row>
    <row r="283" spans="1:10" ht="15" customHeight="1">
      <c r="A283" s="315" t="str">
        <f>IF(B283="","",IF(B282="",SUM(COUNT($A$5:A282)+1),""))</f>
        <v/>
      </c>
      <c r="B283" s="327">
        <v>159200</v>
      </c>
      <c r="C283" s="316" t="str">
        <f>IF(B283="","",VLOOKUP(B283,'TB for financial'!A:B,2,0))</f>
        <v>Unfunded post employment DB plans</v>
      </c>
      <c r="D283" s="317"/>
      <c r="E283" s="318">
        <f>(437042-375543)</f>
        <v>61499</v>
      </c>
      <c r="F283" s="319"/>
      <c r="G283" s="320"/>
      <c r="H283" s="321"/>
      <c r="I283" s="322"/>
      <c r="J283" s="323"/>
    </row>
    <row r="284" spans="1:10" ht="15" customHeight="1">
      <c r="A284" s="315" t="str">
        <f>IF(B284="","",IF(B283="",SUM(COUNT($A$5:A283)+1),""))</f>
        <v/>
      </c>
      <c r="B284" s="1223"/>
      <c r="C284" s="316" t="str">
        <f>IF(B284="","",VLOOKUP(B284,'TB for financial'!A:B,2,0))</f>
        <v/>
      </c>
      <c r="D284" s="317"/>
      <c r="E284" s="318"/>
      <c r="F284" s="319"/>
      <c r="G284" s="320"/>
      <c r="H284" s="321"/>
      <c r="I284" s="322"/>
      <c r="J284" s="323"/>
    </row>
    <row r="285" spans="1:10" ht="15" customHeight="1">
      <c r="A285" s="315">
        <f>IF(B285="","",IF(B284="",SUM(COUNT($A$5:A284)+1),""))</f>
        <v>36</v>
      </c>
      <c r="B285" s="1387">
        <v>159300</v>
      </c>
      <c r="C285" s="316" t="str">
        <f>IF(B285="","",VLOOKUP(B285,'TB for financial'!A:B,2,0))</f>
        <v>Other long term DB plans</v>
      </c>
      <c r="D285" s="318">
        <v>10409</v>
      </c>
      <c r="E285" s="318"/>
      <c r="F285" s="319"/>
      <c r="G285" s="320"/>
      <c r="H285" s="321"/>
      <c r="I285" s="322"/>
      <c r="J285" s="323"/>
    </row>
    <row r="286" spans="1:10" ht="15" customHeight="1">
      <c r="A286" s="315" t="str">
        <f>IF(B286="","",IF(B285="",SUM(COUNT($A$5:A285)+1),""))</f>
        <v/>
      </c>
      <c r="B286" s="1223">
        <v>159200</v>
      </c>
      <c r="C286" s="316" t="str">
        <f>IF(B286="","",VLOOKUP(B286,'TB for financial'!A:B,2,0))</f>
        <v>Unfunded post employment DB plans</v>
      </c>
      <c r="D286" s="317"/>
      <c r="E286" s="318">
        <v>10409</v>
      </c>
      <c r="F286" s="319"/>
      <c r="G286" s="320"/>
      <c r="H286" s="321"/>
      <c r="I286" s="322"/>
      <c r="J286" s="323"/>
    </row>
    <row r="287" spans="1:10" ht="15" customHeight="1">
      <c r="A287" s="315" t="str">
        <f>IF(B287="","",IF(B286="",SUM(COUNT($A$5:A286)+1),""))</f>
        <v/>
      </c>
      <c r="B287" s="1387"/>
      <c r="C287" s="316" t="str">
        <f>IF(B287="","",VLOOKUP(B287,'TB for financial'!A:B,2,0))</f>
        <v/>
      </c>
      <c r="D287" s="318"/>
      <c r="E287" s="318"/>
      <c r="F287" s="319"/>
      <c r="G287" s="320"/>
      <c r="H287" s="321"/>
      <c r="I287" s="322"/>
      <c r="J287" s="323"/>
    </row>
    <row r="288" spans="1:10" ht="15" customHeight="1">
      <c r="A288" s="315">
        <f>IF(B288="","",IF(B287="",SUM(COUNT($A$5:A287)+1),""))</f>
        <v>37</v>
      </c>
      <c r="B288" s="1223">
        <v>641203</v>
      </c>
      <c r="C288" s="316" t="str">
        <f>IF(B288="","",VLOOKUP(B288,'TB for financial'!A:B,2,0))</f>
        <v>VACATION LEAVE PAYMENTS - GEN&amp;ADM</v>
      </c>
      <c r="D288" s="317">
        <f>323265-221526</f>
        <v>101739</v>
      </c>
      <c r="E288" s="318"/>
      <c r="F288" s="319"/>
      <c r="G288" s="320"/>
      <c r="H288" s="321"/>
      <c r="I288" s="322"/>
      <c r="J288" s="323"/>
    </row>
    <row r="289" spans="1:10" ht="15" customHeight="1">
      <c r="A289" s="315" t="str">
        <f>IF(B289="","",IF(B288="",SUM(COUNT($A$5:A288)+1),""))</f>
        <v/>
      </c>
      <c r="B289" s="1223">
        <v>159300</v>
      </c>
      <c r="C289" s="316" t="str">
        <f>IF(B289="","",VLOOKUP(B289,'TB for financial'!A:B,2,0))</f>
        <v>Other long term DB plans</v>
      </c>
      <c r="D289" s="317"/>
      <c r="E289" s="318">
        <f>+D288</f>
        <v>101739</v>
      </c>
      <c r="F289" s="319"/>
      <c r="G289" s="320"/>
      <c r="H289" s="321"/>
      <c r="I289" s="322"/>
      <c r="J289" s="323"/>
    </row>
    <row r="290" spans="1:10" ht="15" customHeight="1">
      <c r="A290" s="315" t="str">
        <f>IF(B290="","",IF(B289="",SUM(COUNT($A$5:A289)+1),""))</f>
        <v/>
      </c>
      <c r="B290" s="1223"/>
      <c r="C290" s="316" t="str">
        <f>IF(B290="","",VLOOKUP(B290,'TB for financial'!A:B,2,0))</f>
        <v/>
      </c>
      <c r="D290" s="318"/>
      <c r="E290" s="318"/>
      <c r="F290" s="319"/>
      <c r="G290" s="320"/>
      <c r="H290" s="321"/>
      <c r="I290" s="322"/>
      <c r="J290" s="323"/>
    </row>
    <row r="291" spans="1:10" ht="15" customHeight="1">
      <c r="A291" s="315">
        <f>IF(B291="","",IF(B290="",SUM(COUNT($A$5:A290)+1),""))</f>
        <v>38</v>
      </c>
      <c r="B291" s="1223">
        <v>427100</v>
      </c>
      <c r="C291" s="316" t="str">
        <f>IF(B291="","",VLOOKUP(B291,'TB for financial'!A:B,2,0))</f>
        <v>Payroll Clearing Account</v>
      </c>
      <c r="D291" s="318">
        <v>74997</v>
      </c>
      <c r="E291" s="318"/>
      <c r="F291" s="319"/>
      <c r="G291" s="320"/>
      <c r="H291" s="321"/>
      <c r="I291" s="322" t="s">
        <v>2736</v>
      </c>
      <c r="J291" s="323"/>
    </row>
    <row r="292" spans="1:10" ht="15" customHeight="1">
      <c r="A292" s="315" t="str">
        <f>IF(B292="","",IF(B291="",SUM(COUNT($A$5:A291)+1),""))</f>
        <v/>
      </c>
      <c r="B292" s="1223">
        <v>425004</v>
      </c>
      <c r="C292" s="316" t="str">
        <f>IF(B292="","",VLOOKUP(B292,'TB for financial'!A:B,2,0))</f>
        <v>Empl Personal Loan</v>
      </c>
      <c r="D292" s="317"/>
      <c r="E292" s="318">
        <f>+D291</f>
        <v>74997</v>
      </c>
      <c r="F292" s="319"/>
      <c r="G292" s="320"/>
      <c r="H292" s="321"/>
      <c r="I292" s="322" t="s">
        <v>2736</v>
      </c>
      <c r="J292" s="323"/>
    </row>
    <row r="293" spans="1:10" ht="15" customHeight="1">
      <c r="A293" s="315" t="str">
        <f>IF(B293="","",IF(B292="",SUM(COUNT($A$5:A292)+1),""))</f>
        <v/>
      </c>
      <c r="B293" s="1223">
        <v>427100</v>
      </c>
      <c r="C293" s="316" t="str">
        <f>IF(B293="","",VLOOKUP(B293,'TB for financial'!A:B,2,0))</f>
        <v>Payroll Clearing Account</v>
      </c>
      <c r="D293" s="318">
        <v>917</v>
      </c>
      <c r="E293" s="318"/>
      <c r="F293" s="319"/>
      <c r="G293" s="320"/>
      <c r="H293" s="321"/>
      <c r="I293" s="322" t="s">
        <v>2736</v>
      </c>
      <c r="J293" s="323"/>
    </row>
    <row r="294" spans="1:10" ht="15" customHeight="1">
      <c r="A294" s="315" t="str">
        <f>IF(B294="","",IF(B293="",SUM(COUNT($A$5:A293)+1),""))</f>
        <v/>
      </c>
      <c r="B294" s="1223">
        <v>762510</v>
      </c>
      <c r="C294" s="316" t="str">
        <f>IF(B294="","",VLOOKUP(B294,'TB for financial'!A:B,2,0))</f>
        <v>Int Income-Personal Loan</v>
      </c>
      <c r="D294" s="317"/>
      <c r="E294" s="318">
        <f>+D293</f>
        <v>917</v>
      </c>
      <c r="F294" s="319"/>
      <c r="G294" s="320"/>
      <c r="H294" s="321"/>
      <c r="I294" s="322" t="s">
        <v>2736</v>
      </c>
      <c r="J294" s="323"/>
    </row>
    <row r="295" spans="1:10" ht="15" customHeight="1">
      <c r="A295" s="315" t="str">
        <f>IF(B295="","",IF(B294="",SUM(COUNT($A$5:A294)+1),""))</f>
        <v/>
      </c>
      <c r="B295" s="1223">
        <v>427100</v>
      </c>
      <c r="C295" s="316" t="str">
        <f>IF(B295="","",VLOOKUP(B295,'TB for financial'!A:B,2,0))</f>
        <v>Payroll Clearing Account</v>
      </c>
      <c r="D295" s="318">
        <v>87685</v>
      </c>
      <c r="E295" s="318"/>
      <c r="F295" s="319"/>
      <c r="G295" s="320"/>
      <c r="H295" s="321"/>
      <c r="I295" s="322" t="s">
        <v>2736</v>
      </c>
      <c r="J295" s="323"/>
    </row>
    <row r="296" spans="1:10" ht="15" customHeight="1">
      <c r="A296" s="315" t="str">
        <f>IF(B296="","",IF(B295="",SUM(COUNT($A$5:A295)+1),""))</f>
        <v/>
      </c>
      <c r="B296" s="1223">
        <v>425000</v>
      </c>
      <c r="C296" s="316" t="str">
        <f>IF(B296="","",VLOOKUP(B296,'TB for financial'!A:B,2,0))</f>
        <v>ADVANCES ON SALARIES</v>
      </c>
      <c r="D296" s="318"/>
      <c r="E296" s="318">
        <v>87685</v>
      </c>
      <c r="F296" s="319"/>
      <c r="G296" s="320"/>
      <c r="H296" s="321"/>
      <c r="I296" s="322" t="s">
        <v>2736</v>
      </c>
      <c r="J296" s="323"/>
    </row>
    <row r="297" spans="1:10" ht="15" customHeight="1">
      <c r="A297" s="315" t="str">
        <f>IF(B297="","",IF(B296="",SUM(COUNT($A$5:A296)+1),""))</f>
        <v/>
      </c>
      <c r="B297" s="1223"/>
      <c r="C297" s="316" t="str">
        <f>IF(B297="","",VLOOKUP(B297,'TB for financial'!A:B,2,0))</f>
        <v/>
      </c>
      <c r="D297" s="318"/>
      <c r="E297" s="318"/>
      <c r="F297" s="319"/>
      <c r="G297" s="320"/>
      <c r="H297" s="321"/>
      <c r="I297" s="322"/>
      <c r="J297" s="323"/>
    </row>
    <row r="298" spans="1:10" ht="15" customHeight="1">
      <c r="A298" s="315">
        <f>IF(B298="","",IF(B297="",SUM(COUNT($A$5:A297)+1),""))</f>
        <v>39</v>
      </c>
      <c r="B298" s="1223">
        <v>437407</v>
      </c>
      <c r="C298" s="316" t="str">
        <f>IF(B298="","",VLOOKUP(B298,'TB for financial'!A:B,2,0))</f>
        <v>TDS - Rent</v>
      </c>
      <c r="D298" s="317">
        <f>3061.8*0</f>
        <v>0</v>
      </c>
      <c r="E298" s="318"/>
      <c r="F298" s="319"/>
      <c r="G298" s="320"/>
      <c r="H298" s="321"/>
      <c r="I298" s="322" t="s">
        <v>2742</v>
      </c>
      <c r="J298" s="323"/>
    </row>
    <row r="299" spans="1:10" ht="15" customHeight="1">
      <c r="A299" s="315" t="str">
        <f>IF(B299="","",IF(B298="",SUM(COUNT($A$5:A298)+1),""))</f>
        <v/>
      </c>
      <c r="B299" s="1223">
        <v>437407</v>
      </c>
      <c r="C299" s="316" t="str">
        <f>IF(B299="","",VLOOKUP(B299,'TB for financial'!A:B,2,0))</f>
        <v>TDS - Rent</v>
      </c>
      <c r="D299" s="318">
        <f>3220*0</f>
        <v>0</v>
      </c>
      <c r="E299" s="318"/>
      <c r="F299" s="319"/>
      <c r="G299" s="320"/>
      <c r="H299" s="321"/>
      <c r="I299" s="322" t="s">
        <v>2742</v>
      </c>
      <c r="J299" s="323"/>
    </row>
    <row r="300" spans="1:10" ht="15" customHeight="1">
      <c r="A300" s="315" t="str">
        <f>IF(B300="","",IF(B299="",SUM(COUNT($A$5:A299)+1),""))</f>
        <v/>
      </c>
      <c r="B300" s="1223">
        <v>467010</v>
      </c>
      <c r="C300" s="316" t="str">
        <f>IF(B300="","",VLOOKUP(B300,'TB for financial'!A:B,2,0))</f>
        <v>OTHER ACCOUNTS IN DEBIT</v>
      </c>
      <c r="D300" s="317"/>
      <c r="E300" s="318">
        <f>+D298</f>
        <v>0</v>
      </c>
      <c r="F300" s="319"/>
      <c r="G300" s="320"/>
      <c r="H300" s="321"/>
      <c r="I300" s="322" t="s">
        <v>2742</v>
      </c>
      <c r="J300" s="323"/>
    </row>
    <row r="301" spans="1:10" ht="15" customHeight="1">
      <c r="A301" s="315" t="str">
        <f>IF(B301="","",IF(B300="",SUM(COUNT($A$5:A300)+1),""))</f>
        <v/>
      </c>
      <c r="B301" s="1223">
        <v>467010</v>
      </c>
      <c r="C301" s="316" t="str">
        <f>IF(B301="","",VLOOKUP(B301,'TB for financial'!A:B,2,0))</f>
        <v>OTHER ACCOUNTS IN DEBIT</v>
      </c>
      <c r="D301" s="317"/>
      <c r="E301" s="318">
        <f>+D299</f>
        <v>0</v>
      </c>
      <c r="F301" s="319"/>
      <c r="G301" s="320"/>
      <c r="H301" s="321"/>
      <c r="I301" s="322" t="s">
        <v>2742</v>
      </c>
      <c r="J301" s="323"/>
    </row>
    <row r="302" spans="1:10" ht="15" customHeight="1">
      <c r="A302" s="315" t="str">
        <f>IF(B302="","",IF(B301="",SUM(COUNT($A$5:A301)+1),""))</f>
        <v/>
      </c>
      <c r="B302" s="1223"/>
      <c r="C302" s="316" t="str">
        <f>IF(B302="","",VLOOKUP(B302,'TB for financial'!A:B,2,0))</f>
        <v/>
      </c>
      <c r="D302" s="317"/>
      <c r="E302" s="318"/>
      <c r="F302" s="319"/>
      <c r="G302" s="320"/>
      <c r="H302" s="321"/>
      <c r="I302" s="322"/>
      <c r="J302" s="323"/>
    </row>
    <row r="303" spans="1:10" ht="15" customHeight="1">
      <c r="A303" s="315">
        <f>IF(B303="","",IF(B302="",SUM(COUNT($A$5:A302)+1),""))</f>
        <v>40</v>
      </c>
      <c r="B303" s="1223">
        <v>467010</v>
      </c>
      <c r="C303" s="316" t="str">
        <f>IF(B303="","",VLOOKUP(B303,'TB for financial'!A:B,2,0))</f>
        <v>OTHER ACCOUNTS IN DEBIT</v>
      </c>
      <c r="D303" s="318">
        <v>43863</v>
      </c>
      <c r="E303" s="318"/>
      <c r="F303" s="319"/>
      <c r="G303" s="320"/>
      <c r="H303" s="321"/>
      <c r="I303" s="322" t="s">
        <v>2742</v>
      </c>
      <c r="J303" s="323"/>
    </row>
    <row r="304" spans="1:10" ht="15" customHeight="1">
      <c r="A304" s="315" t="str">
        <f>IF(B304="","",IF(B303="",SUM(COUNT($A$5:A303)+1),""))</f>
        <v/>
      </c>
      <c r="B304" s="1223">
        <v>437407</v>
      </c>
      <c r="C304" s="316" t="str">
        <f>IF(B304="","",VLOOKUP(B304,'TB for financial'!A:B,2,0))</f>
        <v>TDS - Rent</v>
      </c>
      <c r="D304" s="317"/>
      <c r="E304" s="318">
        <v>43863</v>
      </c>
      <c r="F304" s="319"/>
      <c r="G304" s="320"/>
      <c r="H304" s="321"/>
      <c r="I304" s="322" t="s">
        <v>2742</v>
      </c>
      <c r="J304" s="323"/>
    </row>
    <row r="305" spans="1:10" ht="15" customHeight="1">
      <c r="A305" s="315" t="str">
        <f>IF(B305="","",IF(B304="",SUM(COUNT($A$5:A304)+1),""))</f>
        <v/>
      </c>
      <c r="B305" s="1223"/>
      <c r="C305" s="316" t="str">
        <f>IF(B305="","",VLOOKUP(B305,'TB for financial'!A:B,2,0))</f>
        <v/>
      </c>
      <c r="D305" s="318"/>
      <c r="E305" s="318"/>
      <c r="F305" s="319"/>
      <c r="G305" s="320"/>
      <c r="H305" s="321"/>
      <c r="I305" s="322"/>
      <c r="J305" s="323"/>
    </row>
    <row r="306" spans="1:10" ht="15" customHeight="1">
      <c r="A306" s="315">
        <f>IF(B306="","",IF(B305="",SUM(COUNT($A$5:A305)+1),""))</f>
        <v>41</v>
      </c>
      <c r="B306" s="1223">
        <v>401500</v>
      </c>
      <c r="C306" s="316" t="str">
        <f>IF(B306="","",VLOOKUP(B306,'TB for financial'!A:B,2,0))</f>
        <v>TRADE PAYABLES - DOMESTIC</v>
      </c>
      <c r="D306" s="317">
        <f>64400*0</f>
        <v>0</v>
      </c>
      <c r="E306" s="318"/>
      <c r="F306" s="319"/>
      <c r="G306" s="320"/>
      <c r="H306" s="321"/>
      <c r="I306" s="322" t="s">
        <v>2737</v>
      </c>
      <c r="J306" s="323"/>
    </row>
    <row r="307" spans="1:10" ht="15" customHeight="1">
      <c r="A307" s="315" t="str">
        <f>IF(B307="","",IF(B306="",SUM(COUNT($A$5:A306)+1),""))</f>
        <v/>
      </c>
      <c r="B307" s="1223">
        <v>606130</v>
      </c>
      <c r="C307" s="316" t="str">
        <f>IF(B307="","",VLOOKUP(B307,'TB for financial'!A:B,2,0))</f>
        <v>ELECTRICITY</v>
      </c>
      <c r="D307" s="318"/>
      <c r="E307" s="318">
        <f>64400*0</f>
        <v>0</v>
      </c>
      <c r="F307" s="319"/>
      <c r="G307" s="320"/>
      <c r="H307" s="321"/>
      <c r="I307" s="322" t="s">
        <v>2737</v>
      </c>
      <c r="J307" s="323"/>
    </row>
    <row r="308" spans="1:10" ht="15" customHeight="1">
      <c r="A308" s="315" t="str">
        <f>IF(B308="","",IF(B307="",SUM(COUNT($A$5:A307)+1),""))</f>
        <v/>
      </c>
      <c r="B308" s="1223"/>
      <c r="C308" s="316" t="str">
        <f>IF(B308="","",VLOOKUP(B308,'TB for financial'!A:B,2,0))</f>
        <v/>
      </c>
      <c r="D308" s="317"/>
      <c r="E308" s="318"/>
      <c r="F308" s="319"/>
      <c r="G308" s="320"/>
      <c r="H308" s="321"/>
      <c r="I308" s="322"/>
      <c r="J308" s="323"/>
    </row>
    <row r="309" spans="1:10" ht="15" customHeight="1">
      <c r="A309" s="315">
        <f>IF(B309="","",IF(B308="",SUM(COUNT($A$5:A308)+1),""))</f>
        <v>42</v>
      </c>
      <c r="B309" s="1223">
        <v>627100</v>
      </c>
      <c r="C309" s="316" t="str">
        <f>IF(B309="","",VLOOKUP(B309,'TB for financial'!A:B,2,0))</f>
        <v>SECURITY EXPENSES</v>
      </c>
      <c r="D309" s="317">
        <v>9643</v>
      </c>
      <c r="E309" s="318"/>
      <c r="F309" s="319"/>
      <c r="G309" s="320"/>
      <c r="H309" s="321"/>
      <c r="I309" s="322" t="s">
        <v>2743</v>
      </c>
      <c r="J309" s="323"/>
    </row>
    <row r="310" spans="1:10" ht="15" customHeight="1">
      <c r="A310" s="315" t="str">
        <f>IF(B310="","",IF(B309="",SUM(COUNT($A$5:A309)+1),""))</f>
        <v/>
      </c>
      <c r="B310" s="1223">
        <v>606300</v>
      </c>
      <c r="C310" s="316" t="str">
        <f>IF(B310="","",VLOOKUP(B310,'TB for financial'!A:B,2,0))</f>
        <v>OFFICE SUPPLIES, SMALL TOOLS, MAINTENANCE SUPPLIES</v>
      </c>
      <c r="D310" s="317"/>
      <c r="E310" s="318">
        <v>9643</v>
      </c>
      <c r="F310" s="319"/>
      <c r="G310" s="1277">
        <f>IF(H310="PL - PL",0,IF(D310="",-E310,D310))</f>
        <v>-9643</v>
      </c>
      <c r="H310" s="321"/>
      <c r="I310" s="322" t="s">
        <v>2743</v>
      </c>
      <c r="J310" s="323"/>
    </row>
    <row r="311" spans="1:10" ht="15" customHeight="1">
      <c r="A311" s="315" t="str">
        <f>IF(B311="","",IF(B310="",SUM(COUNT($A$5:A310)+1),""))</f>
        <v/>
      </c>
      <c r="B311" s="1223"/>
      <c r="C311" s="316" t="str">
        <f>IF(B311="","",VLOOKUP(B311,'TB for financial'!A:B,2,0))</f>
        <v/>
      </c>
      <c r="D311" s="318"/>
      <c r="E311" s="318"/>
      <c r="F311" s="319"/>
      <c r="G311" s="1277">
        <f>IF(H311="PL - PL",0,IF(D311="",-E311,D311))</f>
        <v>0</v>
      </c>
      <c r="H311" s="321"/>
      <c r="I311" s="322"/>
      <c r="J311" s="323"/>
    </row>
    <row r="312" spans="1:10" ht="15" customHeight="1">
      <c r="A312" s="315">
        <f>IF(B312="","",IF(B311="",SUM(COUNT($A$5:A311)+1),""))</f>
        <v>43</v>
      </c>
      <c r="B312" s="1223">
        <v>408500</v>
      </c>
      <c r="C312" s="316" t="str">
        <f>IF(B312="","",VLOOKUP(B312,'TB for financial'!A:B,2,0))</f>
        <v>TRADE CREDITORS - PURCH. INV. ACCRUALS</v>
      </c>
      <c r="D312" s="317">
        <v>28980</v>
      </c>
      <c r="E312" s="318"/>
      <c r="F312" s="319"/>
      <c r="G312" s="320"/>
      <c r="H312" s="321"/>
      <c r="I312" s="322" t="s">
        <v>2744</v>
      </c>
      <c r="J312" s="323"/>
    </row>
    <row r="313" spans="1:10" ht="15" customHeight="1">
      <c r="A313" s="315" t="str">
        <f>IF(B313="","",IF(B312="",SUM(COUNT($A$5:A312)+1),""))</f>
        <v/>
      </c>
      <c r="B313" s="1223">
        <v>606130</v>
      </c>
      <c r="C313" s="316" t="str">
        <f>IF(B313="","",VLOOKUP(B313,'TB for financial'!A:B,2,0))</f>
        <v>ELECTRICITY</v>
      </c>
      <c r="D313" s="317"/>
      <c r="E313" s="318">
        <v>32200</v>
      </c>
      <c r="F313" s="319"/>
      <c r="G313" s="320"/>
      <c r="H313" s="321"/>
      <c r="I313" s="322" t="s">
        <v>2744</v>
      </c>
      <c r="J313" s="323"/>
    </row>
    <row r="314" spans="1:10" ht="15" customHeight="1">
      <c r="A314" s="315" t="str">
        <f>IF(B314="","",IF(B313="",SUM(COUNT($A$5:A313)+1),""))</f>
        <v/>
      </c>
      <c r="B314" s="1223">
        <v>437407</v>
      </c>
      <c r="C314" s="316" t="str">
        <f>IF(B314="","",VLOOKUP(B314,'TB for financial'!A:B,2,0))</f>
        <v>TDS - Rent</v>
      </c>
      <c r="D314" s="317">
        <f>+E313-D312</f>
        <v>3220</v>
      </c>
      <c r="E314" s="318"/>
      <c r="F314" s="319"/>
      <c r="G314" s="320"/>
      <c r="H314" s="321"/>
      <c r="I314" s="322" t="s">
        <v>2744</v>
      </c>
      <c r="J314" s="323"/>
    </row>
    <row r="315" spans="1:10" ht="15" customHeight="1">
      <c r="A315" s="315" t="str">
        <f>IF(B315="","",IF(B314="",SUM(COUNT($A$5:A314)+1),""))</f>
        <v/>
      </c>
      <c r="B315" s="1223"/>
      <c r="C315" s="316" t="str">
        <f>IF(B315="","",VLOOKUP(B315,'TB for financial'!A:B,2,0))</f>
        <v/>
      </c>
      <c r="D315" s="318"/>
      <c r="E315" s="318"/>
      <c r="F315" s="319"/>
      <c r="G315" s="320"/>
      <c r="H315" s="321"/>
      <c r="I315" s="322"/>
      <c r="J315" s="323"/>
    </row>
    <row r="316" spans="1:10" ht="28.8">
      <c r="A316" s="315">
        <f>IF(B316="","",IF(B315="",SUM(COUNT($A$5:A315)+1),""))</f>
        <v>44</v>
      </c>
      <c r="B316" s="1223">
        <v>408500</v>
      </c>
      <c r="C316" s="316" t="str">
        <f>IF(B316="","",VLOOKUP(B316,'TB for financial'!A:B,2,0))</f>
        <v>TRADE CREDITORS - PURCH. INV. ACCRUALS</v>
      </c>
      <c r="D316" s="317">
        <v>32200</v>
      </c>
      <c r="E316" s="318"/>
      <c r="F316" s="319"/>
      <c r="G316" s="320"/>
      <c r="H316" s="321"/>
      <c r="I316" s="1438" t="s">
        <v>2744</v>
      </c>
      <c r="J316" s="323"/>
    </row>
    <row r="317" spans="1:10" ht="15" customHeight="1">
      <c r="A317" s="315" t="str">
        <f>IF(B317="","",IF(B316="",SUM(COUNT($A$5:A316)+1),""))</f>
        <v/>
      </c>
      <c r="B317" s="1223">
        <v>606130</v>
      </c>
      <c r="C317" s="316" t="str">
        <f>IF(B317="","",VLOOKUP(B317,'TB for financial'!A:B,2,0))</f>
        <v>ELECTRICITY</v>
      </c>
      <c r="D317" s="318"/>
      <c r="E317" s="318">
        <v>31000</v>
      </c>
      <c r="F317" s="319"/>
      <c r="G317" s="320"/>
      <c r="H317" s="321"/>
      <c r="I317" s="322" t="s">
        <v>2744</v>
      </c>
      <c r="J317" s="323"/>
    </row>
    <row r="318" spans="1:10" ht="15" customHeight="1">
      <c r="A318" s="315" t="str">
        <f>IF(B318="","",IF(B317="",SUM(COUNT($A$5:A317)+1),""))</f>
        <v/>
      </c>
      <c r="B318" s="1223">
        <v>606130</v>
      </c>
      <c r="C318" s="316" t="str">
        <f>IF(B318="","",VLOOKUP(B318,'TB for financial'!A:B,2,0))</f>
        <v>ELECTRICITY</v>
      </c>
      <c r="D318" s="317"/>
      <c r="E318" s="318">
        <v>1200</v>
      </c>
      <c r="F318" s="319"/>
      <c r="G318" s="320"/>
      <c r="H318" s="321"/>
      <c r="I318" s="322" t="s">
        <v>2744</v>
      </c>
      <c r="J318" s="323"/>
    </row>
    <row r="319" spans="1:10" ht="15" customHeight="1">
      <c r="A319" s="315" t="str">
        <f>IF(B319="","",IF(B318="",SUM(COUNT($A$5:A318)+1),""))</f>
        <v/>
      </c>
      <c r="B319" s="1223"/>
      <c r="C319" s="316" t="str">
        <f>IF(B319="","",VLOOKUP(B319,'TB for financial'!A:B,2,0))</f>
        <v/>
      </c>
      <c r="D319" s="318"/>
      <c r="E319" s="318"/>
      <c r="F319" s="319"/>
      <c r="G319" s="320"/>
      <c r="H319" s="321"/>
      <c r="I319" s="322"/>
      <c r="J319" s="323"/>
    </row>
    <row r="320" spans="1:10" ht="28.8">
      <c r="A320" s="315">
        <f>IF(B320="","",IF(B319="",SUM(COUNT($A$5:A319)+1),""))</f>
        <v>45</v>
      </c>
      <c r="B320" s="1223">
        <v>437407</v>
      </c>
      <c r="C320" s="316" t="str">
        <f>IF(B320="","",VLOOKUP(B320,'TB for financial'!A:B,2,0))</f>
        <v>TDS - Rent</v>
      </c>
      <c r="D320" s="317">
        <f>3061.8*0</f>
        <v>0</v>
      </c>
      <c r="E320" s="318"/>
      <c r="F320" s="319"/>
      <c r="G320" s="320"/>
      <c r="H320" s="321"/>
      <c r="I320" s="322" t="s">
        <v>2744</v>
      </c>
      <c r="J320" s="323"/>
    </row>
    <row r="321" spans="1:10" ht="15" customHeight="1">
      <c r="A321" s="315" t="str">
        <f>IF(B321="","",IF(B320="",SUM(COUNT($A$5:A320)+1),""))</f>
        <v/>
      </c>
      <c r="B321" s="1223">
        <v>408500</v>
      </c>
      <c r="C321" s="316" t="str">
        <f>IF(B321="","",VLOOKUP(B321,'TB for financial'!A:B,2,0))</f>
        <v>TRADE CREDITORS - PURCH. INV. ACCRUALS</v>
      </c>
      <c r="D321" s="318"/>
      <c r="E321" s="317">
        <f>+D320</f>
        <v>0</v>
      </c>
      <c r="F321" s="319"/>
      <c r="G321" s="320"/>
      <c r="H321" s="321"/>
      <c r="I321" s="322" t="s">
        <v>2744</v>
      </c>
      <c r="J321" s="323"/>
    </row>
    <row r="322" spans="1:10" ht="15" customHeight="1">
      <c r="A322" s="315" t="str">
        <f>IF(B322="","",IF(B321="",SUM(COUNT($A$5:A321)+1),""))</f>
        <v/>
      </c>
      <c r="B322" s="1223"/>
      <c r="C322" s="316" t="str">
        <f>IF(B322="","",VLOOKUP(B322,'TB for financial'!A:B,2,0))</f>
        <v/>
      </c>
      <c r="D322" s="317"/>
      <c r="E322" s="318"/>
      <c r="F322" s="319"/>
      <c r="G322" s="320"/>
      <c r="H322" s="321"/>
      <c r="I322" s="322"/>
      <c r="J322" s="323"/>
    </row>
    <row r="323" spans="1:10" ht="15" customHeight="1">
      <c r="A323" s="315">
        <f>IF(B323="","",IF(B322="",SUM(COUNT($A$5:A322)+1),""))</f>
        <v>46</v>
      </c>
      <c r="B323" s="1223">
        <v>401500</v>
      </c>
      <c r="C323" s="316" t="str">
        <f>IF(B323="","",VLOOKUP(B323,'TB for financial'!A:B,2,0))</f>
        <v>TRADE PAYABLES - DOMESTIC</v>
      </c>
      <c r="D323" s="318"/>
      <c r="E323" s="318">
        <v>3360</v>
      </c>
      <c r="F323" s="319"/>
      <c r="G323" s="320"/>
      <c r="H323" s="321"/>
      <c r="I323" s="322" t="s">
        <v>2744</v>
      </c>
      <c r="J323" s="323"/>
    </row>
    <row r="324" spans="1:10" ht="28.8">
      <c r="A324" s="315" t="str">
        <f>IF(B324="","",IF(B323="",SUM(COUNT($A$5:A323)+1),""))</f>
        <v/>
      </c>
      <c r="B324" s="1223">
        <v>457000</v>
      </c>
      <c r="C324" s="316" t="str">
        <f>IF(B324="","",VLOOKUP(B324,'TB for financial'!A:B,2,0))</f>
        <v>DIVIDENDS TO BE PAID</v>
      </c>
      <c r="D324" s="317">
        <v>3360</v>
      </c>
      <c r="E324" s="318"/>
      <c r="F324" s="319"/>
      <c r="G324" s="320"/>
      <c r="H324" s="321"/>
      <c r="I324" s="322" t="s">
        <v>2744</v>
      </c>
      <c r="J324" s="323"/>
    </row>
    <row r="325" spans="1:10" ht="15" customHeight="1">
      <c r="A325" s="315" t="str">
        <f>IF(B325="","",IF(B324="",SUM(COUNT($A$5:A324)+1),""))</f>
        <v/>
      </c>
      <c r="B325" s="1223"/>
      <c r="C325" s="316" t="str">
        <f>IF(B325="","",VLOOKUP(B325,'TB for financial'!A:B,2,0))</f>
        <v/>
      </c>
      <c r="D325" s="318"/>
      <c r="E325" s="318"/>
      <c r="F325" s="319"/>
      <c r="G325" s="320"/>
      <c r="H325" s="321"/>
      <c r="I325" s="322"/>
      <c r="J325" s="323"/>
    </row>
    <row r="326" spans="1:10" ht="15" customHeight="1">
      <c r="A326" s="315">
        <f>IF(B326="","",IF(B325="",SUM(COUNT($A$5:A325)+1),""))</f>
        <v>47</v>
      </c>
      <c r="B326" s="1223">
        <v>418150</v>
      </c>
      <c r="C326" s="316" t="str">
        <f>IF(B326="","",VLOOKUP(B326,'TB for financial'!A:B,2,0))</f>
        <v>TRADE DEBTORS - SALES INVOICE ACCRUALS</v>
      </c>
      <c r="D326" s="317">
        <v>590750.3241953</v>
      </c>
      <c r="E326" s="318"/>
      <c r="F326" s="319"/>
      <c r="G326" s="320"/>
      <c r="H326" s="321"/>
      <c r="I326" s="322" t="s">
        <v>2745</v>
      </c>
      <c r="J326" s="323"/>
    </row>
    <row r="327" spans="1:10" ht="15" customHeight="1">
      <c r="A327" s="315" t="str">
        <f>IF(B327="","",IF(B326="",SUM(COUNT($A$5:A326)+1),""))</f>
        <v/>
      </c>
      <c r="B327" s="1223">
        <v>779000</v>
      </c>
      <c r="C327" s="316" t="str">
        <f>IF(B327="","",VLOOKUP(B327,'TB for financial'!A:B,2,0))</f>
        <v>Revenue Offshore Netting Billing</v>
      </c>
      <c r="D327" s="318"/>
      <c r="E327" s="318">
        <v>589787.69666666677</v>
      </c>
      <c r="F327" s="319"/>
      <c r="G327" s="320"/>
      <c r="H327" s="321"/>
      <c r="I327" s="322" t="s">
        <v>2745</v>
      </c>
      <c r="J327" s="323"/>
    </row>
    <row r="328" spans="1:10" ht="28.8">
      <c r="A328" s="315" t="str">
        <f>IF(B328="","",IF(B327="",SUM(COUNT($A$5:A327)+1),""))</f>
        <v/>
      </c>
      <c r="B328" s="1223">
        <v>766000</v>
      </c>
      <c r="C328" s="316" t="str">
        <f>IF(B328="","",VLOOKUP(B328,'TB for financial'!A:B,2,0))</f>
        <v>EXCHANGE GAINS</v>
      </c>
      <c r="D328" s="317"/>
      <c r="E328" s="318">
        <v>962.62752863322385</v>
      </c>
      <c r="F328" s="319"/>
      <c r="G328" s="320"/>
      <c r="H328" s="321"/>
      <c r="I328" s="322" t="s">
        <v>2745</v>
      </c>
      <c r="J328" s="323"/>
    </row>
    <row r="329" spans="1:10" ht="15" customHeight="1">
      <c r="A329" s="315" t="str">
        <f>IF(B329="","",IF(B328="",SUM(COUNT($A$5:A328)+1),""))</f>
        <v/>
      </c>
      <c r="B329" s="1223">
        <v>418150</v>
      </c>
      <c r="C329" s="316" t="str">
        <f>IF(B329="","",VLOOKUP(B329,'TB for financial'!A:B,2,0))</f>
        <v>TRADE DEBTORS - SALES INVOICE ACCRUALS</v>
      </c>
      <c r="D329" s="318">
        <v>74731.54885261145</v>
      </c>
      <c r="E329" s="318"/>
      <c r="F329" s="319"/>
      <c r="G329" s="320"/>
      <c r="H329" s="321"/>
      <c r="I329" s="322" t="s">
        <v>2745</v>
      </c>
      <c r="J329" s="323"/>
    </row>
    <row r="330" spans="1:10" ht="15" customHeight="1">
      <c r="A330" s="315" t="str">
        <f>IF(B330="","",IF(B329="",SUM(COUNT($A$5:A329)+1),""))</f>
        <v/>
      </c>
      <c r="B330" s="1223">
        <v>779000</v>
      </c>
      <c r="C330" s="316" t="str">
        <f>IF(B330="","",VLOOKUP(B330,'TB for financial'!A:B,2,0))</f>
        <v>Revenue Offshore Netting Billing</v>
      </c>
      <c r="D330" s="317"/>
      <c r="E330" s="318">
        <v>74609.773809523802</v>
      </c>
      <c r="F330" s="319"/>
      <c r="G330" s="320"/>
      <c r="H330" s="321"/>
      <c r="I330" s="322" t="s">
        <v>2745</v>
      </c>
      <c r="J330" s="323"/>
    </row>
    <row r="331" spans="1:10" ht="15" customHeight="1">
      <c r="A331" s="315" t="str">
        <f>IF(B331="","",IF(B330="",SUM(COUNT($A$5:A330)+1),""))</f>
        <v/>
      </c>
      <c r="B331" s="1223">
        <v>766000</v>
      </c>
      <c r="C331" s="316" t="str">
        <f>IF(B331="","",VLOOKUP(B331,'TB for financial'!A:B,2,0))</f>
        <v>EXCHANGE GAINS</v>
      </c>
      <c r="D331" s="318"/>
      <c r="E331" s="318">
        <v>121.77504308764765</v>
      </c>
      <c r="F331" s="319"/>
      <c r="G331" s="1277">
        <f>IF(H331="PL - PL",0,IF(D331="",-E331,D331))</f>
        <v>-121.77504308764765</v>
      </c>
      <c r="H331" s="321"/>
      <c r="I331" s="322" t="s">
        <v>2745</v>
      </c>
      <c r="J331" s="323"/>
    </row>
    <row r="332" spans="1:10" ht="28.8">
      <c r="A332" s="315" t="str">
        <f>IF(B332="","",IF(B331="",SUM(COUNT($A$5:A331)+1),""))</f>
        <v/>
      </c>
      <c r="B332" s="1223">
        <v>418150</v>
      </c>
      <c r="C332" s="316" t="str">
        <f>IF(B332="","",VLOOKUP(B332,'TB for financial'!A:B,2,0))</f>
        <v>TRADE DEBTORS - SALES INVOICE ACCRUALS</v>
      </c>
      <c r="D332" s="317"/>
      <c r="E332" s="318">
        <v>38504.722956264122</v>
      </c>
      <c r="F332" s="319"/>
      <c r="G332" s="320"/>
      <c r="H332" s="321"/>
      <c r="I332" s="322" t="s">
        <v>2745</v>
      </c>
      <c r="J332" s="323"/>
    </row>
    <row r="333" spans="1:10" ht="15" customHeight="1">
      <c r="A333" s="315" t="str">
        <f>IF(B333="","",IF(B332="",SUM(COUNT($A$5:A332)+1),""))</f>
        <v/>
      </c>
      <c r="B333" s="1223">
        <v>779000</v>
      </c>
      <c r="C333" s="316" t="str">
        <f>IF(B333="","",VLOOKUP(B333,'TB for financial'!A:B,2,0))</f>
        <v>Revenue Offshore Netting Billing</v>
      </c>
      <c r="D333" s="318">
        <v>38158.739206349157</v>
      </c>
      <c r="E333" s="318"/>
      <c r="F333" s="319"/>
      <c r="G333" s="320"/>
      <c r="H333" s="321"/>
      <c r="I333" s="322" t="s">
        <v>2745</v>
      </c>
      <c r="J333" s="323"/>
    </row>
    <row r="334" spans="1:10" ht="15" customHeight="1">
      <c r="A334" s="315" t="str">
        <f>IF(B334="","",IF(B333="",SUM(COUNT($A$5:A333)+1),""))</f>
        <v/>
      </c>
      <c r="B334" s="1223">
        <v>666000</v>
      </c>
      <c r="C334" s="316" t="str">
        <f>IF(B334="","",VLOOKUP(B334,'TB for financial'!A:B,2,0))</f>
        <v>EXCHANGE LOSSES</v>
      </c>
      <c r="D334" s="317">
        <v>345.9837499149653</v>
      </c>
      <c r="E334" s="318"/>
      <c r="F334" s="319"/>
      <c r="G334" s="320"/>
      <c r="H334" s="321"/>
      <c r="I334" s="322" t="s">
        <v>2745</v>
      </c>
      <c r="J334" s="323"/>
    </row>
    <row r="335" spans="1:10" ht="15" customHeight="1">
      <c r="A335" s="315" t="str">
        <f>IF(B335="","",IF(B334="",SUM(COUNT($A$5:A334)+1),""))</f>
        <v/>
      </c>
      <c r="B335" s="1223"/>
      <c r="C335" s="316" t="str">
        <f>IF(B335="","",VLOOKUP(B335,'TB for financial'!A:B,2,0))</f>
        <v/>
      </c>
      <c r="D335" s="318"/>
      <c r="E335" s="318"/>
      <c r="F335" s="319"/>
      <c r="G335" s="1277">
        <f>IF(H335="PL - PL",0,IF(D335="",-E335,D335))</f>
        <v>0</v>
      </c>
      <c r="H335" s="321"/>
      <c r="I335" s="322"/>
      <c r="J335" s="323"/>
    </row>
    <row r="336" spans="1:10" ht="15" customHeight="1">
      <c r="A336" s="315">
        <f>IF(B336="","",IF(B335="",SUM(COUNT($A$5:A335)+1),""))</f>
        <v>48</v>
      </c>
      <c r="B336" s="1223">
        <v>168100</v>
      </c>
      <c r="C336" s="316" t="str">
        <f>IF(B336="","",VLOOKUP(B336,'TB for financial'!A:B,2,0))</f>
        <v>SUNDRY BORROWINGS</v>
      </c>
      <c r="D336" s="317">
        <f>11200*10*3%</f>
        <v>3360</v>
      </c>
      <c r="E336" s="318"/>
      <c r="F336" s="319"/>
      <c r="G336" s="320"/>
      <c r="H336" s="321"/>
      <c r="I336" s="322"/>
      <c r="J336" s="323"/>
    </row>
    <row r="337" spans="1:11" ht="15" customHeight="1">
      <c r="A337" s="315" t="str">
        <f>IF(B337="","",IF(B336="",SUM(COUNT($A$5:A336)+1),""))</f>
        <v/>
      </c>
      <c r="B337" s="1223">
        <v>457000</v>
      </c>
      <c r="C337" s="316" t="str">
        <f>IF(B337="","",VLOOKUP(B337,'TB for financial'!A:B,2,0))</f>
        <v>DIVIDENDS TO BE PAID</v>
      </c>
      <c r="D337" s="318"/>
      <c r="E337" s="318">
        <f>+D336</f>
        <v>3360</v>
      </c>
      <c r="F337" s="319"/>
      <c r="G337" s="320"/>
      <c r="H337" s="321"/>
      <c r="I337" s="322"/>
      <c r="J337" s="323"/>
    </row>
    <row r="338" spans="1:11" ht="15" customHeight="1">
      <c r="A338" s="315" t="str">
        <f>IF(B338="","",IF(B337="",SUM(COUNT($A$5:A337)+1),""))</f>
        <v/>
      </c>
      <c r="B338" s="1223"/>
      <c r="C338" s="1385" t="s">
        <v>2746</v>
      </c>
      <c r="D338" s="317"/>
      <c r="E338" s="318"/>
      <c r="F338" s="319"/>
      <c r="G338" s="1277">
        <f>IF(H338="PL - PL",0,IF(D338="",-E338,D338))</f>
        <v>0</v>
      </c>
      <c r="H338" s="321"/>
      <c r="I338" s="322"/>
      <c r="J338" s="323"/>
    </row>
    <row r="339" spans="1:11" ht="15" customHeight="1">
      <c r="A339" s="315" t="str">
        <f>IF(B339="","",IF(B338="",SUM(COUNT($A$5:A338)+1),""))</f>
        <v/>
      </c>
      <c r="B339" s="1223"/>
      <c r="C339" s="316" t="str">
        <f>IF(B339="","",VLOOKUP(B339,'TB for financial'!A:B,2,0))</f>
        <v/>
      </c>
      <c r="D339" s="318"/>
      <c r="E339" s="318"/>
      <c r="F339" s="319"/>
      <c r="G339" s="320"/>
      <c r="H339" s="321"/>
      <c r="I339" s="322"/>
      <c r="J339" s="323"/>
    </row>
    <row r="340" spans="1:11" ht="15" customHeight="1">
      <c r="A340" s="315">
        <f>IF(B340="","",IF(B339="",SUM(COUNT($A$5:A339)+1),""))</f>
        <v>49</v>
      </c>
      <c r="B340" s="1223">
        <v>444400</v>
      </c>
      <c r="C340" s="316" t="str">
        <f>IF(B340="","",VLOOKUP(B340,'TB for financial'!A:B,2,0))</f>
        <v>US federal income tax liability</v>
      </c>
      <c r="D340" s="317">
        <v>13209712.465055401</v>
      </c>
      <c r="E340" s="318"/>
      <c r="F340" s="319"/>
      <c r="G340" s="320"/>
      <c r="H340" s="321"/>
      <c r="I340" s="322"/>
      <c r="J340" s="323"/>
    </row>
    <row r="341" spans="1:11" ht="15" customHeight="1">
      <c r="A341" s="315" t="str">
        <f>IF(B341="","",IF(B340="",SUM(COUNT($A$5:A340)+1),""))</f>
        <v/>
      </c>
      <c r="B341" s="1223">
        <v>444410</v>
      </c>
      <c r="C341" s="316" t="str">
        <f>IF(B341="","",VLOOKUP(B341,'TB for financial'!A:B,2,0))</f>
        <v>US state income tax liability</v>
      </c>
      <c r="D341" s="318"/>
      <c r="E341" s="318">
        <v>12144880.517731754</v>
      </c>
      <c r="F341" s="319"/>
      <c r="G341" s="320"/>
      <c r="H341" s="321"/>
      <c r="I341" s="322"/>
      <c r="J341" s="323"/>
    </row>
    <row r="342" spans="1:11" ht="15" customHeight="1">
      <c r="A342" s="315" t="str">
        <f>IF(B342="","",IF(B341="",SUM(COUNT($A$5:A341)+1),""))</f>
        <v/>
      </c>
      <c r="B342" s="1223">
        <v>695000</v>
      </c>
      <c r="C342" s="316" t="str">
        <f>IF(B342="","",VLOOKUP(B342,'TB for financial'!A:B,2,0))</f>
        <v>CORPORATE INCOME TAX</v>
      </c>
      <c r="D342" s="317"/>
      <c r="E342" s="318">
        <f>+D340-E341</f>
        <v>1064831.9473236464</v>
      </c>
      <c r="F342" s="319"/>
      <c r="G342" s="320"/>
      <c r="H342" s="321"/>
      <c r="I342" s="322"/>
      <c r="J342" s="323"/>
    </row>
    <row r="343" spans="1:11" ht="15" customHeight="1">
      <c r="A343" s="315" t="str">
        <f>IF(B343="","",IF(B342="",SUM(COUNT($A$5:A342)+1),""))</f>
        <v/>
      </c>
      <c r="B343" s="1223"/>
      <c r="C343" s="1385" t="s">
        <v>2796</v>
      </c>
      <c r="D343" s="318"/>
      <c r="E343" s="318"/>
      <c r="F343" s="319"/>
      <c r="G343" s="320"/>
      <c r="H343" s="321"/>
      <c r="I343" s="322"/>
      <c r="J343" s="323"/>
    </row>
    <row r="344" spans="1:11" ht="15" customHeight="1">
      <c r="A344" s="315" t="str">
        <f>IF(B344="","",IF(B343="",SUM(COUNT($A$5:A343)+1),""))</f>
        <v/>
      </c>
      <c r="B344" s="1223"/>
      <c r="C344" s="316" t="str">
        <f>IF(B344="","",VLOOKUP(B344,'TB for financial'!A:B,2,0))</f>
        <v/>
      </c>
      <c r="D344" s="317"/>
      <c r="E344" s="318"/>
      <c r="F344" s="319"/>
      <c r="G344" s="320"/>
      <c r="H344" s="321"/>
      <c r="I344" s="322"/>
      <c r="J344" s="323"/>
    </row>
    <row r="345" spans="1:11" ht="15" customHeight="1">
      <c r="A345" s="315">
        <f>IF(B345="","",IF(B344="",SUM(COUNT($A$5:A344)+1),""))</f>
        <v>50</v>
      </c>
      <c r="B345" s="1223">
        <v>467100</v>
      </c>
      <c r="C345" s="316" t="str">
        <f>IF(B345="","",VLOOKUP(B345,'TB for financial'!A:B,2,0))</f>
        <v>OTHER ACCOUNTS IN CREDIT</v>
      </c>
      <c r="D345" s="318">
        <v>100000</v>
      </c>
      <c r="E345" s="318"/>
      <c r="F345" s="319"/>
      <c r="G345" s="320"/>
      <c r="H345" s="321"/>
      <c r="I345" s="322"/>
      <c r="J345" s="323"/>
    </row>
    <row r="346" spans="1:11" ht="15" customHeight="1">
      <c r="A346" s="315" t="str">
        <f>IF(B346="","",IF(B345="",SUM(COUNT($A$5:A345)+1),""))</f>
        <v/>
      </c>
      <c r="B346" s="1223">
        <v>704670</v>
      </c>
      <c r="C346" s="316" t="str">
        <f>IF(B346="","",VLOOKUP(B346,'TB for financial'!A:B,2,0))</f>
        <v>Other Financial Income</v>
      </c>
      <c r="D346" s="317"/>
      <c r="E346" s="318">
        <v>100000</v>
      </c>
      <c r="F346" s="319"/>
      <c r="G346" s="320"/>
      <c r="H346" s="321"/>
      <c r="I346" s="322"/>
      <c r="J346" s="323"/>
      <c r="K346" s="289">
        <v>3180167</v>
      </c>
    </row>
    <row r="347" spans="1:11" ht="15" customHeight="1">
      <c r="A347" s="315" t="str">
        <f>IF(B347="","",IF(B346="",SUM(COUNT($A$5:A346)+1),""))</f>
        <v/>
      </c>
      <c r="B347" s="1223"/>
      <c r="C347" s="1385" t="s">
        <v>2797</v>
      </c>
      <c r="D347" s="318"/>
      <c r="E347" s="318"/>
      <c r="F347" s="319"/>
      <c r="G347" s="320"/>
      <c r="H347" s="321"/>
      <c r="I347" s="322"/>
      <c r="J347" s="323"/>
      <c r="K347" s="289">
        <f>+'BS Gr'!D643</f>
        <v>0</v>
      </c>
    </row>
    <row r="348" spans="1:11" ht="15" customHeight="1">
      <c r="A348" s="315" t="str">
        <f>IF(B348="","",IF(B347="",SUM(COUNT($A$5:A347)+1),""))</f>
        <v/>
      </c>
      <c r="B348" s="1223"/>
      <c r="C348" s="316" t="str">
        <f>IF(B348="","",VLOOKUP(B348,'TB for financial'!A:B,2,0))</f>
        <v/>
      </c>
      <c r="D348" s="317"/>
      <c r="E348" s="318"/>
      <c r="F348" s="319"/>
      <c r="G348" s="320"/>
      <c r="H348" s="321"/>
      <c r="I348" s="322"/>
      <c r="J348" s="323"/>
      <c r="K348" s="289">
        <f>+K346-K347</f>
        <v>3180167</v>
      </c>
    </row>
    <row r="349" spans="1:11" ht="15" customHeight="1">
      <c r="A349" s="315" t="str">
        <f>IF(B349="","",IF(B348="",SUM(COUNT($A$5:A348)+1),""))</f>
        <v/>
      </c>
      <c r="B349" s="1223"/>
      <c r="C349" s="316" t="str">
        <f>IF(B349="","",VLOOKUP(B349,'TB for financial'!A:B,2,0))</f>
        <v/>
      </c>
      <c r="D349" s="317"/>
      <c r="E349" s="318"/>
      <c r="F349" s="319"/>
      <c r="G349" s="320"/>
      <c r="H349" s="321"/>
      <c r="I349" s="322"/>
      <c r="J349" s="323"/>
    </row>
    <row r="350" spans="1:11" ht="15" customHeight="1">
      <c r="A350" s="315" t="str">
        <f>IF(B350="","",IF(B349="",SUM(COUNT($A$5:A349)+1),""))</f>
        <v/>
      </c>
      <c r="B350" s="1223"/>
      <c r="C350" s="316" t="str">
        <f>IF(B350="","",VLOOKUP(B350,'TB for financial'!A:B,2,0))</f>
        <v/>
      </c>
      <c r="D350" s="317"/>
      <c r="E350" s="318"/>
      <c r="F350" s="319"/>
      <c r="G350" s="320"/>
      <c r="H350" s="321"/>
      <c r="I350" s="322"/>
      <c r="J350" s="323"/>
    </row>
    <row r="351" spans="1:11" ht="15" customHeight="1">
      <c r="A351" s="315" t="str">
        <f>IF(B351="","",IF(B350="",SUM(COUNT($A$5:A350)+1),""))</f>
        <v/>
      </c>
      <c r="B351" s="1223"/>
      <c r="C351" s="316" t="str">
        <f>IF(B351="","",VLOOKUP(B351,'TB for financial'!A:B,2,0))</f>
        <v/>
      </c>
      <c r="D351" s="318"/>
      <c r="E351" s="318"/>
      <c r="F351" s="319"/>
      <c r="G351" s="320"/>
      <c r="H351" s="321"/>
      <c r="I351" s="322"/>
      <c r="J351" s="323"/>
    </row>
    <row r="352" spans="1:11" ht="15" customHeight="1">
      <c r="A352" s="315" t="str">
        <f>IF(B352="","",IF(B351="",SUM(COUNT($A$5:A351)+1),""))</f>
        <v/>
      </c>
      <c r="B352" s="1223"/>
      <c r="C352" s="316" t="str">
        <f>IF(B352="","",VLOOKUP(B352,'TB for financial'!A:B,2,0))</f>
        <v/>
      </c>
      <c r="D352" s="317"/>
      <c r="E352" s="318"/>
      <c r="F352" s="319"/>
      <c r="G352" s="320"/>
      <c r="H352" s="321"/>
      <c r="I352" s="322"/>
      <c r="J352" s="323"/>
    </row>
    <row r="353" spans="1:10" ht="15" customHeight="1">
      <c r="A353" s="315" t="str">
        <f>IF(B353="","",IF(B352="",SUM(COUNT($A$5:A352)+1),""))</f>
        <v/>
      </c>
      <c r="B353" s="1223"/>
      <c r="C353" s="316" t="str">
        <f>IF(B353="","",VLOOKUP(B353,'TB for financial'!A:B,2,0))</f>
        <v/>
      </c>
      <c r="D353" s="318"/>
      <c r="E353" s="318"/>
      <c r="F353" s="319"/>
      <c r="G353" s="320"/>
      <c r="H353" s="321"/>
      <c r="I353" s="322"/>
      <c r="J353" s="323"/>
    </row>
    <row r="354" spans="1:10" ht="15" customHeight="1">
      <c r="A354" s="315" t="str">
        <f>IF(B354="","",IF(B353="",SUM(COUNT($A$5:A353)+1),""))</f>
        <v/>
      </c>
      <c r="B354" s="1223"/>
      <c r="C354" s="316" t="str">
        <f>IF(B354="","",VLOOKUP(B354,'TB for financial'!A:B,2,0))</f>
        <v/>
      </c>
      <c r="D354" s="317"/>
      <c r="E354" s="318"/>
      <c r="F354" s="319"/>
      <c r="G354" s="320"/>
      <c r="H354" s="321"/>
      <c r="I354" s="322"/>
      <c r="J354" s="323"/>
    </row>
    <row r="355" spans="1:10" ht="15" customHeight="1">
      <c r="A355" s="315" t="str">
        <f>IF(B355="","",IF(B354="",SUM(COUNT($A$5:A354)+1),""))</f>
        <v/>
      </c>
      <c r="B355" s="1223"/>
      <c r="C355" s="316" t="str">
        <f>IF(B355="","",VLOOKUP(B355,'TB for financial'!A:B,2,0))</f>
        <v/>
      </c>
      <c r="D355" s="318"/>
      <c r="E355" s="318"/>
      <c r="F355" s="319"/>
      <c r="G355" s="320"/>
      <c r="H355" s="321"/>
      <c r="I355" s="322"/>
      <c r="J355" s="323"/>
    </row>
    <row r="356" spans="1:10" ht="15" customHeight="1">
      <c r="A356" s="315" t="str">
        <f>IF(B356="","",IF(B355="",SUM(COUNT($A$5:A355)+1),""))</f>
        <v/>
      </c>
      <c r="B356" s="1223"/>
      <c r="C356" s="316" t="str">
        <f>IF(B356="","",VLOOKUP(B356,'TB for financial'!A:B,2,0))</f>
        <v/>
      </c>
      <c r="D356" s="317"/>
      <c r="E356" s="318"/>
      <c r="F356" s="319"/>
      <c r="G356" s="320"/>
      <c r="H356" s="321"/>
      <c r="I356" s="322"/>
      <c r="J356" s="323"/>
    </row>
    <row r="357" spans="1:10" ht="15" customHeight="1">
      <c r="A357" s="315"/>
      <c r="B357" s="1223"/>
      <c r="C357" s="316" t="str">
        <f>IF(B357="","",VLOOKUP(B357,'TB for financial'!A:B,2,0))</f>
        <v/>
      </c>
      <c r="D357" s="318"/>
      <c r="E357" s="318"/>
      <c r="F357" s="319"/>
      <c r="G357" s="320"/>
      <c r="H357" s="321"/>
      <c r="I357" s="322"/>
      <c r="J357" s="323"/>
    </row>
    <row r="358" spans="1:10" ht="15" customHeight="1">
      <c r="A358" s="315" t="str">
        <f>IF(B358="","",IF(B356="",SUM(COUNT($A$5:A356)+1),""))</f>
        <v/>
      </c>
      <c r="B358" s="1223"/>
      <c r="C358" s="316" t="str">
        <f>IF(B358="","",VLOOKUP(B358,'TB for financial'!A:B,2,0))</f>
        <v/>
      </c>
      <c r="D358" s="317"/>
      <c r="E358" s="318"/>
      <c r="F358" s="319"/>
      <c r="G358" s="320"/>
      <c r="H358" s="321"/>
      <c r="I358" s="322"/>
      <c r="J358" s="323"/>
    </row>
    <row r="359" spans="1:10" ht="15" customHeight="1">
      <c r="A359" s="315" t="str">
        <f>IF(B359="","",IF(B358="",SUM(COUNT($A$5:A358)+1),""))</f>
        <v/>
      </c>
      <c r="B359" s="1223"/>
      <c r="C359" s="316" t="str">
        <f>IF(B359="","",VLOOKUP(B359,'TB for financial'!A:B,2,0))</f>
        <v/>
      </c>
      <c r="D359" s="318"/>
      <c r="E359" s="318"/>
      <c r="F359" s="319"/>
      <c r="G359" s="320"/>
      <c r="H359" s="321"/>
      <c r="I359" s="322"/>
      <c r="J359" s="323"/>
    </row>
    <row r="360" spans="1:10" ht="15" customHeight="1">
      <c r="A360" s="315" t="str">
        <f>IF(B360="","",IF(B359="",SUM(COUNT($A$5:A359)+1),""))</f>
        <v/>
      </c>
      <c r="B360" s="1223"/>
      <c r="C360" s="316" t="str">
        <f>IF(B360="","",VLOOKUP(B360,'TB for financial'!A:B,2,0))</f>
        <v/>
      </c>
      <c r="D360" s="317"/>
      <c r="E360" s="318"/>
      <c r="F360" s="319"/>
      <c r="G360" s="320"/>
      <c r="H360" s="321"/>
      <c r="I360" s="322"/>
      <c r="J360" s="323"/>
    </row>
    <row r="361" spans="1:10" ht="15" customHeight="1">
      <c r="A361" s="315"/>
      <c r="B361" s="1223"/>
      <c r="C361" s="316" t="str">
        <f>IF(B361="","",VLOOKUP(B361,'TB for financial'!A:B,2,0))</f>
        <v/>
      </c>
      <c r="D361" s="317"/>
      <c r="E361" s="318"/>
      <c r="F361" s="319"/>
      <c r="G361" s="320"/>
      <c r="H361" s="321"/>
      <c r="I361" s="322"/>
      <c r="J361" s="323"/>
    </row>
    <row r="362" spans="1:10" ht="15" customHeight="1">
      <c r="A362" s="315" t="str">
        <f>IF(B362="","",IF(B360="",SUM(COUNT($A$5:A360)+1),""))</f>
        <v/>
      </c>
      <c r="B362" s="1223"/>
      <c r="C362" s="316" t="str">
        <f>IF(B362="","",VLOOKUP(B362,'TB for financial'!A:B,2,0))</f>
        <v/>
      </c>
      <c r="D362" s="1222"/>
      <c r="E362" s="318"/>
      <c r="F362" s="319"/>
      <c r="G362" s="320"/>
      <c r="H362" s="321"/>
      <c r="I362" s="322"/>
      <c r="J362" s="323"/>
    </row>
    <row r="363" spans="1:10" ht="15" customHeight="1">
      <c r="A363" s="315" t="str">
        <f>IF(B363="","",IF(B362="",SUM(COUNT($A$5:A362)+1),""))</f>
        <v/>
      </c>
      <c r="B363" s="1223"/>
      <c r="C363" s="316" t="str">
        <f>IF(B363="","",VLOOKUP(B363,'TB for financial'!A:B,2,0))</f>
        <v/>
      </c>
      <c r="E363" s="1222"/>
      <c r="F363" s="319"/>
      <c r="G363" s="320"/>
      <c r="H363" s="321"/>
      <c r="I363" s="322"/>
      <c r="J363" s="323"/>
    </row>
    <row r="364" spans="1:10" ht="15" customHeight="1">
      <c r="A364" s="315" t="str">
        <f>IF(B364="","",IF(B363="",SUM(COUNT($A$5:A363)+1),""))</f>
        <v/>
      </c>
      <c r="B364" s="1223"/>
      <c r="C364" s="316" t="str">
        <f>IF(B364="","",VLOOKUP(B364,'TB for financial'!A:B,2,0))</f>
        <v/>
      </c>
      <c r="E364" s="1222"/>
      <c r="F364" s="319"/>
      <c r="G364" s="320"/>
      <c r="H364" s="321"/>
      <c r="I364" s="322"/>
      <c r="J364" s="323"/>
    </row>
    <row r="365" spans="1:10" ht="15" customHeight="1">
      <c r="A365" s="315" t="str">
        <f>IF(B365="","",IF(B364="",SUM(COUNT($A$5:A364)+1),""))</f>
        <v/>
      </c>
      <c r="B365" s="1223"/>
      <c r="C365" s="316" t="str">
        <f>IF(B365="","",VLOOKUP(B365,'TB for financial'!A:B,2,0))</f>
        <v/>
      </c>
      <c r="D365" s="1222"/>
      <c r="E365" s="1222"/>
      <c r="F365" s="319"/>
      <c r="G365" s="320"/>
      <c r="H365" s="321"/>
      <c r="I365" s="322"/>
      <c r="J365" s="323"/>
    </row>
    <row r="366" spans="1:10" ht="15" customHeight="1">
      <c r="A366" s="315" t="str">
        <f>IF(B366="","",IF(B365="",SUM(COUNT($A$5:A365)+1),""))</f>
        <v/>
      </c>
      <c r="B366" s="1223"/>
      <c r="C366" s="316" t="str">
        <f>IF(B366="","",VLOOKUP(B366,'TB for financial'!A:B,2,0))</f>
        <v/>
      </c>
      <c r="D366" s="1222"/>
      <c r="E366" s="318"/>
      <c r="F366" s="319"/>
      <c r="G366" s="320"/>
      <c r="H366" s="321"/>
      <c r="I366" s="322"/>
      <c r="J366" s="323"/>
    </row>
    <row r="367" spans="1:10" ht="15" customHeight="1">
      <c r="A367" s="315" t="str">
        <f>IF(B367="","",IF(B366="",SUM(COUNT($A$5:A366)+1),""))</f>
        <v/>
      </c>
      <c r="B367" s="1223"/>
      <c r="C367" s="316" t="str">
        <f>IF(B367="","",VLOOKUP(B367,'TB for financial'!A:B,2,0))</f>
        <v/>
      </c>
      <c r="D367" s="318"/>
      <c r="E367" s="1222"/>
      <c r="F367" s="319"/>
      <c r="G367" s="320"/>
      <c r="H367" s="321"/>
      <c r="I367" s="322"/>
      <c r="J367" s="323"/>
    </row>
    <row r="368" spans="1:10" ht="15" customHeight="1">
      <c r="A368" s="315" t="str">
        <f>IF(B368="","",IF(B367="",SUM(COUNT($A$5:A367)+1),""))</f>
        <v/>
      </c>
      <c r="B368" s="1223"/>
      <c r="C368" s="316" t="str">
        <f>IF(B368="","",VLOOKUP(B368,'TB for financial'!A:B,2,0))</f>
        <v/>
      </c>
      <c r="E368" s="318"/>
      <c r="F368" s="319"/>
      <c r="G368" s="320"/>
      <c r="H368" s="321"/>
      <c r="I368" s="322"/>
      <c r="J368" s="323"/>
    </row>
    <row r="369" spans="1:10" ht="15" customHeight="1">
      <c r="A369" s="315" t="str">
        <f>IF(B369="","",IF(B368="",SUM(COUNT($A$5:A368)+1),""))</f>
        <v/>
      </c>
      <c r="B369" s="1223"/>
      <c r="C369" s="316" t="str">
        <f>IF(B369="","",VLOOKUP(B369,'TB for financial'!A:B,2,0))</f>
        <v/>
      </c>
      <c r="D369" s="318"/>
      <c r="E369" s="1222"/>
      <c r="F369" s="319"/>
      <c r="G369" s="320"/>
      <c r="H369" s="321"/>
      <c r="I369" s="322"/>
      <c r="J369" s="323"/>
    </row>
    <row r="370" spans="1:10" ht="15" customHeight="1">
      <c r="A370" s="315"/>
      <c r="B370" s="1223"/>
      <c r="C370" s="316" t="str">
        <f>IF(B370="","",VLOOKUP(B370,'TB for financial'!A:B,2,0))</f>
        <v/>
      </c>
      <c r="E370" s="1222"/>
      <c r="F370" s="319"/>
      <c r="G370" s="320"/>
      <c r="H370" s="321"/>
      <c r="I370" s="322"/>
      <c r="J370" s="323"/>
    </row>
    <row r="371" spans="1:10" ht="15" customHeight="1">
      <c r="A371" s="315" t="str">
        <f>IF(B371="","",IF(B369="",SUM(COUNT($A$5:A369)+1),""))</f>
        <v/>
      </c>
      <c r="B371" s="1223"/>
      <c r="C371" s="316" t="str">
        <f>IF(B371="","",VLOOKUP(B371,'TB for financial'!A:B,2,0))</f>
        <v/>
      </c>
      <c r="D371" s="1222"/>
      <c r="E371" s="1222"/>
      <c r="F371" s="319"/>
      <c r="G371" s="320"/>
      <c r="H371" s="321"/>
      <c r="I371" s="322"/>
      <c r="J371" s="323"/>
    </row>
    <row r="372" spans="1:10" ht="15" customHeight="1">
      <c r="A372" s="315" t="str">
        <f>IF(B372="","",IF(B371="",SUM(COUNT($A$5:A371)+1),""))</f>
        <v/>
      </c>
      <c r="B372" s="1223"/>
      <c r="C372" s="316" t="str">
        <f>IF(B372="","",VLOOKUP(B372,'TB for financial'!A:B,2,0))</f>
        <v/>
      </c>
      <c r="E372" s="1222"/>
      <c r="F372" s="319"/>
      <c r="G372" s="320"/>
      <c r="H372" s="321"/>
      <c r="I372" s="322"/>
      <c r="J372" s="323"/>
    </row>
    <row r="373" spans="1:10" ht="15" customHeight="1">
      <c r="A373" s="315" t="str">
        <f>IF(B373="","",IF(B372="",SUM(COUNT($A$5:A372)+1),""))</f>
        <v/>
      </c>
      <c r="B373" s="1223"/>
      <c r="C373" s="316" t="str">
        <f>IF(B373="","",VLOOKUP(B373,'TB for financial'!A:B,2,0))</f>
        <v/>
      </c>
      <c r="D373" s="1222"/>
      <c r="E373" s="1222"/>
      <c r="F373" s="319"/>
      <c r="G373" s="320"/>
      <c r="H373" s="321"/>
      <c r="I373" s="322"/>
      <c r="J373" s="323"/>
    </row>
    <row r="374" spans="1:10" ht="15" customHeight="1">
      <c r="A374" s="315" t="str">
        <f>IF(B374="","",IF(B373="",SUM(COUNT($A$5:A373)+1),""))</f>
        <v/>
      </c>
      <c r="B374" s="1223"/>
      <c r="C374" s="316" t="str">
        <f>IF(B374="","",VLOOKUP(B374,'TB for financial'!A:B,2,0))</f>
        <v/>
      </c>
      <c r="E374" s="1222"/>
      <c r="F374" s="319"/>
      <c r="G374" s="320"/>
      <c r="H374" s="321"/>
      <c r="I374" s="322"/>
      <c r="J374" s="323"/>
    </row>
    <row r="375" spans="1:10" ht="15" customHeight="1">
      <c r="A375" s="315" t="str">
        <f>IF(B375="","",IF(B374="",SUM(COUNT($A$5:A374)+1),""))</f>
        <v/>
      </c>
      <c r="B375" s="1223"/>
      <c r="C375" s="316" t="str">
        <f>IF(B375="","",VLOOKUP(B375,'TB for financial'!A:B,2,0))</f>
        <v/>
      </c>
      <c r="D375" s="1222"/>
      <c r="E375" s="1222"/>
      <c r="F375" s="319"/>
      <c r="G375" s="320"/>
      <c r="H375" s="321"/>
      <c r="I375" s="322"/>
      <c r="J375" s="323"/>
    </row>
    <row r="376" spans="1:10" ht="15" customHeight="1">
      <c r="A376" s="315" t="str">
        <f>IF(B376="","",IF(B375="",SUM(COUNT($A$5:A375)+1),""))</f>
        <v/>
      </c>
      <c r="B376" s="1223"/>
      <c r="C376" s="316" t="str">
        <f>IF(B376="","",VLOOKUP(B376,'TB for financial'!A:B,2,0))</f>
        <v/>
      </c>
      <c r="E376" s="1222"/>
      <c r="F376" s="319"/>
      <c r="G376" s="320"/>
      <c r="H376" s="321"/>
      <c r="I376" s="322"/>
      <c r="J376" s="323"/>
    </row>
    <row r="377" spans="1:10" ht="15" customHeight="1">
      <c r="A377" s="315" t="str">
        <f>IF(B377="","",IF(B376="",SUM(COUNT($A$5:A376)+1),""))</f>
        <v/>
      </c>
      <c r="B377" s="1223"/>
      <c r="C377" s="316" t="str">
        <f>IF(B377="","",VLOOKUP(B377,'TB for financial'!A:B,2,0))</f>
        <v/>
      </c>
      <c r="D377" s="1222"/>
      <c r="F377" s="319"/>
      <c r="G377" s="320"/>
      <c r="H377" s="321"/>
      <c r="I377" s="322"/>
      <c r="J377" s="323"/>
    </row>
    <row r="378" spans="1:10" ht="15" customHeight="1">
      <c r="A378" s="315" t="str">
        <f>IF(B378="","",IF(B377="",SUM(COUNT($A$5:A377)+1),""))</f>
        <v/>
      </c>
      <c r="B378" s="1223"/>
      <c r="C378" s="316" t="str">
        <f>IF(B378="","",VLOOKUP(B378,'TB for financial'!A:B,2,0))</f>
        <v/>
      </c>
      <c r="D378" s="317"/>
      <c r="E378" s="1222"/>
      <c r="F378" s="319"/>
      <c r="G378" s="320"/>
      <c r="H378" s="321"/>
      <c r="I378" s="322"/>
      <c r="J378" s="323"/>
    </row>
    <row r="379" spans="1:10" ht="15" customHeight="1">
      <c r="A379" s="315" t="str">
        <f>IF(B379="","",IF(B378="",SUM(COUNT($A$5:A378)+1),""))</f>
        <v/>
      </c>
      <c r="B379" s="1223"/>
      <c r="C379" s="316" t="str">
        <f>IF(B379="","",VLOOKUP(B379,'TB for financial'!A:B,2,0))</f>
        <v/>
      </c>
      <c r="D379" s="317"/>
      <c r="E379" s="318"/>
      <c r="F379" s="319"/>
      <c r="G379" s="320"/>
      <c r="H379" s="321"/>
      <c r="I379" s="322"/>
      <c r="J379" s="323"/>
    </row>
    <row r="380" spans="1:10" ht="15" customHeight="1">
      <c r="A380" s="315" t="str">
        <f>IF(B380="","",IF(B379="",SUM(COUNT($A$5:A379)+1),""))</f>
        <v/>
      </c>
      <c r="B380" s="1223"/>
      <c r="C380" s="316" t="str">
        <f>IF(B380="","",VLOOKUP(B380,'TB for financial'!A:B,2,0))</f>
        <v/>
      </c>
      <c r="D380" s="317"/>
      <c r="E380" s="318"/>
      <c r="F380" s="319"/>
      <c r="G380" s="320"/>
      <c r="H380" s="321"/>
      <c r="I380" s="322"/>
      <c r="J380" s="323"/>
    </row>
    <row r="381" spans="1:10" ht="15" customHeight="1">
      <c r="A381" s="315" t="str">
        <f>IF(B381="","",IF(B380="",SUM(COUNT($A$5:A380)+1),""))</f>
        <v/>
      </c>
      <c r="B381" s="1223"/>
      <c r="C381" s="316" t="str">
        <f>IF(B381="","",VLOOKUP(B381,'TB for financial'!A:B,2,0))</f>
        <v/>
      </c>
      <c r="D381" s="317"/>
      <c r="E381" s="318"/>
      <c r="F381" s="319"/>
      <c r="G381" s="320"/>
      <c r="H381" s="321"/>
      <c r="I381" s="322"/>
      <c r="J381" s="323"/>
    </row>
    <row r="382" spans="1:10" ht="15" customHeight="1">
      <c r="A382" s="315" t="str">
        <f>IF(B382="","",IF(B381="",SUM(COUNT($A$5:A381)+1),""))</f>
        <v/>
      </c>
      <c r="B382" s="1223"/>
      <c r="C382" s="316" t="str">
        <f>IF(B382="","",VLOOKUP(B382,'TB for financial'!A:B,2,0))</f>
        <v/>
      </c>
      <c r="D382" s="317"/>
      <c r="E382" s="318"/>
      <c r="F382" s="319"/>
      <c r="G382" s="320"/>
      <c r="H382" s="321"/>
      <c r="I382" s="322"/>
      <c r="J382" s="323"/>
    </row>
    <row r="383" spans="1:10" ht="15" customHeight="1">
      <c r="A383" s="315" t="str">
        <f>IF(B383="","",IF(B382="",SUM(COUNT($A$5:A382)+1),""))</f>
        <v/>
      </c>
      <c r="B383" s="1223"/>
      <c r="C383" s="316" t="str">
        <f>IF(B383="","",VLOOKUP(B383,'TB for financial'!A:B,2,0))</f>
        <v/>
      </c>
      <c r="D383" s="318"/>
      <c r="E383" s="317"/>
      <c r="F383" s="319"/>
      <c r="G383" s="320"/>
      <c r="H383" s="321"/>
      <c r="I383" s="322"/>
      <c r="J383" s="323"/>
    </row>
    <row r="384" spans="1:10" ht="15" customHeight="1">
      <c r="A384" s="315" t="str">
        <f>IF(B384="","",IF(B383="",SUM(COUNT($A$5:A383)+1),""))</f>
        <v/>
      </c>
      <c r="B384" s="1223"/>
      <c r="C384" s="316" t="str">
        <f>IF(B384="","",VLOOKUP(B384,'TB for financial'!A:B,2,0))</f>
        <v/>
      </c>
      <c r="D384" s="318"/>
      <c r="E384" s="677"/>
      <c r="F384" s="319"/>
      <c r="G384" s="320"/>
      <c r="H384" s="321"/>
      <c r="I384" s="322"/>
      <c r="J384" s="323"/>
    </row>
    <row r="385" spans="1:10" ht="15" customHeight="1">
      <c r="A385" s="315" t="str">
        <f>IF(B385="","",IF(B384="",SUM(COUNT($A$5:A384)+1),""))</f>
        <v/>
      </c>
      <c r="B385" s="1223"/>
      <c r="C385" s="316" t="str">
        <f>IF(B385="","",VLOOKUP(B385,'TB for financial'!A:B,2,0))</f>
        <v/>
      </c>
      <c r="D385" s="318"/>
      <c r="E385" s="317"/>
      <c r="F385" s="319"/>
      <c r="G385" s="320"/>
      <c r="H385" s="321"/>
      <c r="I385" s="322"/>
      <c r="J385" s="323"/>
    </row>
    <row r="386" spans="1:10" ht="15" customHeight="1">
      <c r="A386" s="315" t="str">
        <f>IF(B386="","",IF(B385="",SUM(COUNT($A$5:A385)+1),""))</f>
        <v/>
      </c>
      <c r="B386" s="1223"/>
      <c r="C386" s="316" t="str">
        <f>IF(B386="","",VLOOKUP(B386,'TB for financial'!A:B,2,0))</f>
        <v/>
      </c>
      <c r="D386" s="318"/>
      <c r="E386" s="677"/>
      <c r="F386" s="319"/>
      <c r="G386" s="320"/>
      <c r="H386" s="321"/>
      <c r="I386" s="322"/>
      <c r="J386" s="323"/>
    </row>
    <row r="387" spans="1:10" ht="15" customHeight="1">
      <c r="A387" s="315" t="str">
        <f>IF(B387="","",IF(B386="",SUM(COUNT($A$5:A386)+1),""))</f>
        <v/>
      </c>
      <c r="B387" s="1223"/>
      <c r="C387" s="316" t="str">
        <f>IF(B387="","",VLOOKUP(B387,'TB for financial'!A:B,2,0))</f>
        <v/>
      </c>
      <c r="D387" s="318"/>
      <c r="E387" s="317"/>
      <c r="F387" s="319"/>
      <c r="G387" s="320"/>
      <c r="H387" s="321"/>
      <c r="I387" s="322"/>
      <c r="J387" s="323"/>
    </row>
    <row r="388" spans="1:10" ht="15" customHeight="1">
      <c r="A388" s="315" t="str">
        <f>IF(B388="","",IF(B387="",SUM(COUNT($A$5:A387)+1),""))</f>
        <v/>
      </c>
      <c r="B388" s="1223"/>
      <c r="C388" s="316" t="str">
        <f>IF(B388="","",VLOOKUP(B388,'TB for financial'!A:B,2,0))</f>
        <v/>
      </c>
      <c r="D388" s="318"/>
      <c r="E388" s="677"/>
      <c r="F388" s="319"/>
      <c r="G388" s="320"/>
      <c r="H388" s="321"/>
      <c r="I388" s="322"/>
      <c r="J388" s="323"/>
    </row>
    <row r="389" spans="1:10" ht="15" customHeight="1">
      <c r="A389" s="315" t="str">
        <f>IF(B389="","",IF(B388="",SUM(COUNT($A$5:A388)+1),""))</f>
        <v/>
      </c>
      <c r="B389" s="1223"/>
      <c r="C389" s="316" t="str">
        <f>IF(B389="","",VLOOKUP(B389,'TB for financial'!A:B,2,0))</f>
        <v/>
      </c>
      <c r="D389" s="318"/>
      <c r="E389" s="317"/>
      <c r="F389" s="319"/>
      <c r="G389" s="320"/>
      <c r="H389" s="321"/>
      <c r="I389" s="322"/>
      <c r="J389" s="323"/>
    </row>
    <row r="390" spans="1:10" ht="15" customHeight="1">
      <c r="A390" s="315" t="str">
        <f>IF(B390="","",IF(B389="",SUM(COUNT($A$5:A389)+1),""))</f>
        <v/>
      </c>
      <c r="B390" s="1223"/>
      <c r="C390" s="316" t="str">
        <f>IF(B390="","",VLOOKUP(B390,'TB for financial'!A:B,2,0))</f>
        <v/>
      </c>
      <c r="D390" s="318"/>
      <c r="E390" s="677"/>
      <c r="F390" s="319"/>
      <c r="G390" s="320"/>
      <c r="H390" s="321"/>
      <c r="I390" s="322"/>
      <c r="J390" s="323"/>
    </row>
    <row r="391" spans="1:10" ht="15" customHeight="1">
      <c r="A391" s="315" t="str">
        <f>IF(B391="","",IF(B390="",SUM(COUNT($A$5:A390)+1),""))</f>
        <v/>
      </c>
      <c r="B391" s="1223"/>
      <c r="C391" s="316" t="str">
        <f>IF(B391="","",VLOOKUP(B391,'TB for financial'!A:B,2,0))</f>
        <v/>
      </c>
      <c r="D391" s="318"/>
      <c r="E391" s="317"/>
      <c r="F391" s="319"/>
      <c r="G391" s="320"/>
      <c r="H391" s="321"/>
      <c r="I391" s="322"/>
      <c r="J391" s="323"/>
    </row>
    <row r="392" spans="1:10" ht="15" customHeight="1">
      <c r="A392" s="315" t="str">
        <f>IF(B392="","",IF(B391="",SUM(COUNT($A$5:A391)+1),""))</f>
        <v/>
      </c>
      <c r="B392" s="1223"/>
      <c r="C392" s="316" t="str">
        <f>IF(B392="","",VLOOKUP(B392,'TB for financial'!A:B,2,0))</f>
        <v/>
      </c>
      <c r="D392" s="318"/>
      <c r="E392" s="677"/>
      <c r="F392" s="319"/>
      <c r="G392" s="320"/>
      <c r="H392" s="321"/>
      <c r="I392" s="322"/>
      <c r="J392" s="323"/>
    </row>
    <row r="393" spans="1:10" ht="15" customHeight="1">
      <c r="A393" s="315" t="str">
        <f>IF(B393="","",IF(B392="",SUM(COUNT($A$5:A392)+1),""))</f>
        <v/>
      </c>
      <c r="B393" s="1223"/>
      <c r="C393" s="316" t="str">
        <f>IF(B393="","",VLOOKUP(B393,'TB for financial'!A:B,2,0))</f>
        <v/>
      </c>
      <c r="D393" s="318"/>
      <c r="E393" s="317"/>
      <c r="F393" s="319"/>
      <c r="G393" s="320"/>
      <c r="H393" s="321"/>
      <c r="I393" s="322"/>
      <c r="J393" s="323"/>
    </row>
    <row r="394" spans="1:10" ht="15" customHeight="1">
      <c r="A394" s="315" t="str">
        <f>IF(B394="","",IF(B393="",SUM(COUNT($A$5:A393)+1),""))</f>
        <v/>
      </c>
      <c r="B394" s="1223"/>
      <c r="C394" s="316" t="str">
        <f>IF(B394="","",VLOOKUP(B394,'TB for financial'!A:B,2,0))</f>
        <v/>
      </c>
      <c r="D394" s="318"/>
      <c r="E394" s="677"/>
      <c r="F394" s="319"/>
      <c r="G394" s="320"/>
      <c r="H394" s="321"/>
      <c r="I394" s="322"/>
      <c r="J394" s="323"/>
    </row>
    <row r="395" spans="1:10" ht="15" customHeight="1">
      <c r="A395" s="315" t="str">
        <f>IF(B395="","",IF(B394="",SUM(COUNT($A$5:A394)+1),""))</f>
        <v/>
      </c>
      <c r="B395" s="1223"/>
      <c r="C395" s="316" t="str">
        <f>IF(B395="","",VLOOKUP(B395,'TB for financial'!A:B,2,0))</f>
        <v/>
      </c>
      <c r="D395" s="318"/>
      <c r="E395" s="317"/>
      <c r="F395" s="319"/>
      <c r="G395" s="320"/>
      <c r="H395" s="321"/>
      <c r="I395" s="322"/>
      <c r="J395" s="323"/>
    </row>
    <row r="396" spans="1:10" ht="15" customHeight="1">
      <c r="A396" s="315" t="str">
        <f>IF(B396="","",IF(B395="",SUM(COUNT($A$5:A395)+1),""))</f>
        <v/>
      </c>
      <c r="B396" s="1223"/>
      <c r="C396" s="316" t="str">
        <f>IF(B396="","",VLOOKUP(B396,'TB for financial'!A:B,2,0))</f>
        <v/>
      </c>
      <c r="D396" s="318"/>
      <c r="E396" s="677"/>
      <c r="F396" s="319"/>
      <c r="G396" s="320"/>
      <c r="H396" s="321"/>
      <c r="I396" s="322"/>
      <c r="J396" s="323"/>
    </row>
    <row r="397" spans="1:10" ht="15" customHeight="1">
      <c r="A397" s="315" t="str">
        <f>IF(B397="","",IF(B396="",SUM(COUNT($A$5:A396)+1),""))</f>
        <v/>
      </c>
      <c r="B397" s="1223"/>
      <c r="C397" s="316" t="str">
        <f>IF(B397="","",VLOOKUP(B397,'TB for financial'!A:B,2,0))</f>
        <v/>
      </c>
      <c r="D397" s="318"/>
      <c r="E397" s="317"/>
      <c r="F397" s="319"/>
      <c r="G397" s="320"/>
      <c r="H397" s="321"/>
      <c r="I397" s="322"/>
      <c r="J397" s="323"/>
    </row>
    <row r="398" spans="1:10" ht="15" customHeight="1">
      <c r="A398" s="315" t="str">
        <f>IF(B398="","",IF(B397="",SUM(COUNT($A$5:A397)+1),""))</f>
        <v/>
      </c>
      <c r="B398" s="1223"/>
      <c r="C398" s="316" t="str">
        <f>IF(B398="","",VLOOKUP(B398,'TB for financial'!A:B,2,0))</f>
        <v/>
      </c>
      <c r="D398" s="318"/>
      <c r="E398" s="677"/>
      <c r="F398" s="319"/>
      <c r="G398" s="320"/>
      <c r="H398" s="321"/>
      <c r="I398" s="322"/>
      <c r="J398" s="323"/>
    </row>
    <row r="399" spans="1:10" ht="15" customHeight="1">
      <c r="A399" s="315" t="str">
        <f>IF(B399="","",IF(B398="",SUM(COUNT($A$5:A398)+1),""))</f>
        <v/>
      </c>
      <c r="B399" s="1223"/>
      <c r="C399" s="316" t="str">
        <f>IF(B399="","",VLOOKUP(B399,'TB for financial'!A:B,2,0))</f>
        <v/>
      </c>
      <c r="D399" s="318"/>
      <c r="E399" s="317"/>
      <c r="F399" s="319"/>
      <c r="G399" s="320"/>
      <c r="H399" s="321"/>
      <c r="I399" s="322"/>
      <c r="J399" s="323"/>
    </row>
    <row r="400" spans="1:10" ht="15" customHeight="1">
      <c r="A400" s="315" t="str">
        <f>IF(B400="","",IF(B399="",SUM(COUNT($A$5:A399)+1),""))</f>
        <v/>
      </c>
      <c r="B400" s="1223"/>
      <c r="C400" s="316" t="str">
        <f>IF(B400="","",VLOOKUP(B400,'TB for financial'!A:B,2,0))</f>
        <v/>
      </c>
      <c r="D400" s="318"/>
      <c r="E400" s="677"/>
      <c r="F400" s="319"/>
      <c r="G400" s="320"/>
      <c r="H400" s="321"/>
      <c r="I400" s="322"/>
      <c r="J400" s="323"/>
    </row>
    <row r="401" spans="1:10" ht="15" customHeight="1">
      <c r="A401" s="315" t="str">
        <f>IF(B401="","",IF(B400="",SUM(COUNT($A$5:A400)+1),""))</f>
        <v/>
      </c>
      <c r="B401" s="1223"/>
      <c r="C401" s="316" t="str">
        <f>IF(B401="","",VLOOKUP(B401,'TB for financial'!A:B,2,0))</f>
        <v/>
      </c>
      <c r="D401" s="318"/>
      <c r="E401" s="317"/>
      <c r="F401" s="319"/>
      <c r="G401" s="320"/>
      <c r="H401" s="321"/>
      <c r="I401" s="322"/>
      <c r="J401" s="323"/>
    </row>
    <row r="402" spans="1:10" ht="15" customHeight="1">
      <c r="A402" s="315" t="str">
        <f>IF(B402="","",IF(B401="",SUM(COUNT($A$5:A401)+1),""))</f>
        <v/>
      </c>
      <c r="B402" s="1223"/>
      <c r="C402" s="316" t="str">
        <f>IF(B402="","",VLOOKUP(B402,'TB for financial'!A:B,2,0))</f>
        <v/>
      </c>
      <c r="D402" s="318"/>
      <c r="E402" s="677"/>
      <c r="F402" s="319"/>
      <c r="G402" s="320"/>
      <c r="H402" s="321"/>
      <c r="I402" s="322"/>
      <c r="J402" s="323"/>
    </row>
    <row r="403" spans="1:10" ht="15" customHeight="1">
      <c r="A403" s="315" t="str">
        <f>IF(B403="","",IF(B402="",SUM(COUNT($A$5:A402)+1),""))</f>
        <v/>
      </c>
      <c r="B403" s="1223"/>
      <c r="C403" s="316" t="str">
        <f>IF(B403="","",VLOOKUP(B403,'TB for financial'!A:B,2,0))</f>
        <v/>
      </c>
      <c r="D403" s="318"/>
      <c r="E403" s="317"/>
      <c r="F403" s="319"/>
      <c r="G403" s="320"/>
      <c r="H403" s="321"/>
      <c r="I403" s="322"/>
      <c r="J403" s="323"/>
    </row>
    <row r="404" spans="1:10" ht="15" customHeight="1">
      <c r="A404" s="315" t="str">
        <f>IF(B404="","",IF(B403="",SUM(COUNT($A$5:A403)+1),""))</f>
        <v/>
      </c>
      <c r="B404" s="1223"/>
      <c r="C404" s="316" t="str">
        <f>IF(B404="","",VLOOKUP(B404,'TB for financial'!A:B,2,0))</f>
        <v/>
      </c>
      <c r="D404" s="318"/>
      <c r="E404" s="677"/>
      <c r="F404" s="319"/>
      <c r="G404" s="320"/>
      <c r="H404" s="321"/>
      <c r="I404" s="322"/>
      <c r="J404" s="323"/>
    </row>
    <row r="405" spans="1:10" ht="15" customHeight="1">
      <c r="A405" s="315" t="str">
        <f>IF(B405="","",IF(B404="",SUM(COUNT($A$5:A404)+1),""))</f>
        <v/>
      </c>
      <c r="B405" s="1223"/>
      <c r="C405" s="316" t="str">
        <f>IF(B405="","",VLOOKUP(B405,'TB for financial'!A:B,2,0))</f>
        <v/>
      </c>
      <c r="D405" s="318"/>
      <c r="E405" s="317"/>
      <c r="F405" s="319"/>
      <c r="G405" s="320"/>
      <c r="H405" s="321"/>
      <c r="I405" s="322"/>
      <c r="J405" s="323"/>
    </row>
    <row r="406" spans="1:10" ht="15" customHeight="1">
      <c r="A406" s="315" t="str">
        <f>IF(B406="","",IF(B405="",SUM(COUNT($A$5:A405)+1),""))</f>
        <v/>
      </c>
      <c r="B406" s="1223"/>
      <c r="C406" s="316" t="str">
        <f>IF(B406="","",VLOOKUP(B406,'TB for financial'!A:B,2,0))</f>
        <v/>
      </c>
      <c r="D406" s="318"/>
      <c r="E406" s="677"/>
      <c r="F406" s="319"/>
      <c r="G406" s="320"/>
      <c r="H406" s="321"/>
      <c r="I406" s="322"/>
      <c r="J406" s="323"/>
    </row>
    <row r="407" spans="1:10" ht="15" customHeight="1">
      <c r="A407" s="315" t="str">
        <f>IF(B407="","",IF(B406="",SUM(COUNT($A$5:A406)+1),""))</f>
        <v/>
      </c>
      <c r="B407" s="1223"/>
      <c r="C407" s="316" t="str">
        <f>IF(B407="","",VLOOKUP(B407,'TB for financial'!A:B,2,0))</f>
        <v/>
      </c>
      <c r="D407" s="317"/>
      <c r="E407" s="318"/>
      <c r="F407" s="319"/>
      <c r="G407" s="320"/>
      <c r="H407" s="321"/>
      <c r="I407" s="322"/>
      <c r="J407" s="323"/>
    </row>
    <row r="408" spans="1:10" ht="15" customHeight="1">
      <c r="A408" s="315" t="str">
        <f>IF(B408="","",IF(B407="",SUM(COUNT($A$5:A407)+1),""))</f>
        <v/>
      </c>
      <c r="B408" s="1223"/>
      <c r="C408" s="316" t="str">
        <f>IF(B408="","",VLOOKUP(B408,'TB for financial'!A:B,2,0))</f>
        <v/>
      </c>
      <c r="D408" s="317"/>
      <c r="E408" s="318"/>
      <c r="F408" s="319"/>
      <c r="G408" s="320"/>
      <c r="H408" s="321"/>
      <c r="I408" s="322"/>
      <c r="J408" s="323"/>
    </row>
    <row r="409" spans="1:10" ht="15" customHeight="1">
      <c r="A409" s="315" t="str">
        <f>IF(B409="","",IF(B408="",SUM(COUNT($A$5:A408)+1),""))</f>
        <v/>
      </c>
      <c r="B409" s="1223"/>
      <c r="C409" s="316" t="str">
        <f>IF(B409="","",VLOOKUP(B409,'TB for financial'!A:B,2,0))</f>
        <v/>
      </c>
      <c r="D409" s="317"/>
      <c r="E409" s="318"/>
      <c r="F409" s="319"/>
      <c r="G409" s="320"/>
      <c r="H409" s="321"/>
      <c r="I409" s="322"/>
      <c r="J409" s="323"/>
    </row>
    <row r="410" spans="1:10" ht="15" customHeight="1">
      <c r="A410" s="315" t="str">
        <f>IF(B410="","",IF(B409="",SUM(COUNT($A$5:A409)+1),""))</f>
        <v/>
      </c>
      <c r="B410" s="1223"/>
      <c r="C410" s="316" t="str">
        <f>IF(B410="","",VLOOKUP(B410,'TB for financial'!A:B,2,0))</f>
        <v/>
      </c>
      <c r="D410" s="317"/>
      <c r="E410" s="318"/>
      <c r="F410" s="319"/>
      <c r="G410" s="320"/>
      <c r="H410" s="321"/>
      <c r="I410" s="322"/>
      <c r="J410" s="323"/>
    </row>
    <row r="411" spans="1:10" ht="15" customHeight="1">
      <c r="A411" s="315" t="str">
        <f>IF(B411="","",IF(B410="",SUM(COUNT($A$5:A410)+1),""))</f>
        <v/>
      </c>
      <c r="B411" s="1223"/>
      <c r="C411" s="316" t="str">
        <f>IF(B411="","",VLOOKUP(B411,'TB for financial'!A:B,2,0))</f>
        <v/>
      </c>
      <c r="D411" s="318"/>
      <c r="E411" s="317"/>
      <c r="F411" s="319"/>
      <c r="G411" s="320"/>
      <c r="H411" s="321"/>
      <c r="I411" s="322"/>
      <c r="J411" s="323"/>
    </row>
    <row r="412" spans="1:10" ht="15" customHeight="1">
      <c r="A412" s="315" t="str">
        <f>IF(B412="","",IF(B411="",SUM(COUNT($A$5:A411)+1),""))</f>
        <v/>
      </c>
      <c r="B412" s="1223"/>
      <c r="C412" s="316" t="str">
        <f>IF(B412="","",VLOOKUP(B412,'TB for financial'!A:B,2,0))</f>
        <v/>
      </c>
      <c r="D412" s="318"/>
      <c r="E412" s="677"/>
      <c r="F412" s="319"/>
      <c r="G412" s="320"/>
      <c r="H412" s="321"/>
      <c r="I412" s="322"/>
      <c r="J412" s="323"/>
    </row>
    <row r="413" spans="1:10" ht="15" customHeight="1">
      <c r="A413" s="315" t="str">
        <f>IF(B413="","",IF(B412="",SUM(COUNT($A$5:A412)+1),""))</f>
        <v/>
      </c>
      <c r="B413" s="1223"/>
      <c r="C413" s="316" t="str">
        <f>IF(B413="","",VLOOKUP(B413,'TB for financial'!A:B,2,0))</f>
        <v/>
      </c>
      <c r="D413" s="318"/>
      <c r="E413" s="317"/>
      <c r="F413" s="319"/>
      <c r="G413" s="320"/>
      <c r="H413" s="321"/>
      <c r="I413" s="322"/>
      <c r="J413" s="323"/>
    </row>
    <row r="414" spans="1:10" ht="15" customHeight="1">
      <c r="A414" s="315" t="str">
        <f>IF(B414="","",IF(B413="",SUM(COUNT($A$5:A413)+1),""))</f>
        <v/>
      </c>
      <c r="B414" s="1223"/>
      <c r="C414" s="316" t="str">
        <f>IF(B414="","",VLOOKUP(B414,'TB for financial'!A:B,2,0))</f>
        <v/>
      </c>
      <c r="D414" s="318"/>
      <c r="E414" s="677"/>
      <c r="F414" s="319"/>
      <c r="G414" s="320"/>
      <c r="H414" s="321"/>
      <c r="I414" s="330"/>
      <c r="J414" s="323"/>
    </row>
    <row r="415" spans="1:10" ht="15" customHeight="1">
      <c r="A415" s="315" t="str">
        <f>IF(B415="","",IF(B414="",SUM(COUNT($A$5:A414)+1),""))</f>
        <v/>
      </c>
      <c r="B415" s="1223"/>
      <c r="C415" s="316" t="str">
        <f>IF(B415="","",VLOOKUP(B415,'TB for financial'!A:B,2,0))</f>
        <v/>
      </c>
      <c r="D415" s="318"/>
      <c r="E415" s="317"/>
      <c r="F415" s="319"/>
      <c r="G415" s="320"/>
      <c r="H415" s="321"/>
      <c r="I415" s="330"/>
      <c r="J415" s="323"/>
    </row>
    <row r="416" spans="1:10" ht="15" customHeight="1">
      <c r="A416" s="315" t="str">
        <f>IF(B416="","",IF(B415="",SUM(COUNT($A$5:A415)+1),""))</f>
        <v/>
      </c>
      <c r="B416" s="1223"/>
      <c r="C416" s="316" t="str">
        <f>IF(B416="","",VLOOKUP(B416,'TB for financial'!A:B,2,0))</f>
        <v/>
      </c>
      <c r="D416" s="318"/>
      <c r="E416" s="677"/>
      <c r="F416" s="319"/>
      <c r="G416" s="320"/>
      <c r="H416" s="321"/>
      <c r="I416" s="322"/>
      <c r="J416" s="323"/>
    </row>
    <row r="417" spans="1:10" ht="15" customHeight="1">
      <c r="A417" s="315" t="str">
        <f>IF(B417="","",IF(B416="",SUM(COUNT($A$5:A416)+1),""))</f>
        <v/>
      </c>
      <c r="B417" s="1223"/>
      <c r="C417" s="316" t="str">
        <f>IF(B417="","",VLOOKUP(B417,'TB for financial'!A:B,2,0))</f>
        <v/>
      </c>
      <c r="D417" s="318"/>
      <c r="E417" s="317"/>
      <c r="F417" s="319"/>
      <c r="G417" s="320"/>
      <c r="H417" s="321"/>
      <c r="I417" s="322"/>
      <c r="J417" s="323"/>
    </row>
    <row r="418" spans="1:10" ht="15" customHeight="1">
      <c r="A418" s="315" t="str">
        <f>IF(B418="","",IF(B417="",SUM(COUNT($A$5:A417)+1),""))</f>
        <v/>
      </c>
      <c r="B418" s="1223"/>
      <c r="C418" s="316" t="str">
        <f>IF(B418="","",VLOOKUP(B418,'TB for financial'!A:B,2,0))</f>
        <v/>
      </c>
      <c r="D418" s="318"/>
      <c r="E418" s="677"/>
      <c r="F418" s="319"/>
      <c r="G418" s="320"/>
      <c r="H418" s="321"/>
      <c r="I418" s="322"/>
      <c r="J418" s="323"/>
    </row>
    <row r="419" spans="1:10" ht="15" customHeight="1">
      <c r="A419" s="315" t="str">
        <f>IF(B419="","",IF(B418="",SUM(COUNT($A$5:A418)+1),""))</f>
        <v/>
      </c>
      <c r="B419" s="1223"/>
      <c r="C419" s="316" t="str">
        <f>IF(B419="","",VLOOKUP(B419,'TB for financial'!A:B,2,0))</f>
        <v/>
      </c>
      <c r="D419" s="318"/>
      <c r="E419" s="317"/>
      <c r="F419" s="319"/>
      <c r="G419" s="320"/>
      <c r="H419" s="321"/>
      <c r="I419" s="322"/>
      <c r="J419" s="323"/>
    </row>
    <row r="420" spans="1:10" ht="15" customHeight="1">
      <c r="A420" s="315" t="str">
        <f>IF(B420="","",IF(B419="",SUM(COUNT($A$5:A419)+1),""))</f>
        <v/>
      </c>
      <c r="B420" s="1223"/>
      <c r="C420" s="316" t="str">
        <f>IF(B420="","",VLOOKUP(B420,'TB for financial'!A:B,2,0))</f>
        <v/>
      </c>
      <c r="D420" s="318"/>
      <c r="E420" s="677"/>
      <c r="F420" s="319"/>
      <c r="G420" s="320"/>
      <c r="H420" s="321"/>
      <c r="I420" s="322"/>
      <c r="J420" s="323"/>
    </row>
    <row r="421" spans="1:10" ht="15" customHeight="1">
      <c r="A421" s="315" t="str">
        <f>IF(B421="","",IF(B420="",SUM(COUNT($A$5:A420)+1),""))</f>
        <v/>
      </c>
      <c r="B421" s="1223"/>
      <c r="C421" s="316" t="str">
        <f>IF(B421="","",VLOOKUP(B421,'TB for financial'!A:B,2,0))</f>
        <v/>
      </c>
      <c r="D421" s="318"/>
      <c r="E421" s="317"/>
      <c r="F421" s="319"/>
      <c r="G421" s="320"/>
      <c r="H421" s="321"/>
      <c r="I421" s="322"/>
      <c r="J421" s="323"/>
    </row>
    <row r="422" spans="1:10" ht="15" customHeight="1">
      <c r="A422" s="315" t="str">
        <f>IF(B422="","",IF(B421="",SUM(COUNT($A$5:A421)+1),""))</f>
        <v/>
      </c>
      <c r="B422" s="1223"/>
      <c r="C422" s="316" t="str">
        <f>IF(B422="","",VLOOKUP(B422,'TB for financial'!A:B,2,0))</f>
        <v/>
      </c>
      <c r="D422" s="318"/>
      <c r="E422" s="677"/>
      <c r="F422" s="319"/>
      <c r="G422" s="320"/>
      <c r="H422" s="321"/>
      <c r="I422" s="322"/>
      <c r="J422" s="323"/>
    </row>
    <row r="423" spans="1:10" ht="15" customHeight="1">
      <c r="A423" s="315" t="str">
        <f>IF(B423="","",IF(B422="",SUM(COUNT($A$5:A422)+1),""))</f>
        <v/>
      </c>
      <c r="B423" s="1223"/>
      <c r="C423" s="316" t="str">
        <f>IF(B423="","",VLOOKUP(B423,'TB for financial'!A:B,2,0))</f>
        <v/>
      </c>
      <c r="D423" s="318"/>
      <c r="E423" s="317"/>
      <c r="F423" s="319"/>
      <c r="G423" s="320"/>
      <c r="H423" s="321"/>
      <c r="I423" s="322"/>
      <c r="J423" s="323"/>
    </row>
    <row r="424" spans="1:10" ht="15" customHeight="1">
      <c r="A424" s="315" t="str">
        <f>IF(B424="","",IF(B423="",SUM(COUNT($A$5:A423)+1),""))</f>
        <v/>
      </c>
      <c r="B424" s="1223"/>
      <c r="C424" s="316" t="str">
        <f>IF(B424="","",VLOOKUP(B424,'TB for financial'!A:B,2,0))</f>
        <v/>
      </c>
      <c r="D424" s="318"/>
      <c r="E424" s="677"/>
      <c r="F424" s="319"/>
      <c r="G424" s="320"/>
      <c r="H424" s="321"/>
      <c r="I424" s="322"/>
      <c r="J424" s="323"/>
    </row>
    <row r="425" spans="1:10" ht="15" customHeight="1">
      <c r="A425" s="315" t="str">
        <f>IF(B425="","",IF(B424="",SUM(COUNT($A$5:A424)+1),""))</f>
        <v/>
      </c>
      <c r="B425" s="1223"/>
      <c r="C425" s="316" t="str">
        <f>IF(B425="","",VLOOKUP(B425,'TB for financial'!A:B,2,0))</f>
        <v/>
      </c>
      <c r="D425" s="318"/>
      <c r="E425" s="317"/>
      <c r="F425" s="319"/>
      <c r="G425" s="320"/>
      <c r="H425" s="321"/>
      <c r="I425" s="322"/>
      <c r="J425" s="323"/>
    </row>
    <row r="426" spans="1:10" ht="15" customHeight="1">
      <c r="A426" s="315" t="str">
        <f>IF(B426="","",IF(B425="",SUM(COUNT($A$5:A425)+1),""))</f>
        <v/>
      </c>
      <c r="B426" s="1223"/>
      <c r="C426" s="316" t="str">
        <f>IF(B426="","",VLOOKUP(B426,'TB for financial'!A:B,2,0))</f>
        <v/>
      </c>
      <c r="D426" s="318"/>
      <c r="E426" s="677"/>
      <c r="F426" s="319"/>
      <c r="G426" s="320"/>
      <c r="H426" s="321"/>
      <c r="I426" s="322"/>
      <c r="J426" s="323"/>
    </row>
    <row r="427" spans="1:10" ht="15" customHeight="1">
      <c r="A427" s="315" t="str">
        <f>IF(B427="","",IF(B426="",SUM(COUNT($A$5:A426)+1),""))</f>
        <v/>
      </c>
      <c r="B427" s="1223"/>
      <c r="C427" s="316" t="str">
        <f>IF(B427="","",VLOOKUP(B427,'TB for financial'!A:B,2,0))</f>
        <v/>
      </c>
      <c r="D427" s="318"/>
      <c r="E427" s="317"/>
      <c r="F427" s="319"/>
      <c r="G427" s="320"/>
      <c r="H427" s="321"/>
      <c r="I427" s="322"/>
      <c r="J427" s="323"/>
    </row>
    <row r="428" spans="1:10" ht="15" customHeight="1">
      <c r="A428" s="315" t="str">
        <f>IF(B428="","",IF(B427="",SUM(COUNT($A$5:A427)+1),""))</f>
        <v/>
      </c>
      <c r="B428" s="1223"/>
      <c r="C428" s="316" t="str">
        <f>IF(B428="","",VLOOKUP(B428,'TB for financial'!A:B,2,0))</f>
        <v/>
      </c>
      <c r="D428" s="318"/>
      <c r="E428" s="677"/>
      <c r="F428" s="319"/>
      <c r="G428" s="320"/>
      <c r="H428" s="321"/>
      <c r="I428" s="322"/>
      <c r="J428" s="323"/>
    </row>
    <row r="429" spans="1:10" ht="15" customHeight="1">
      <c r="A429" s="315" t="str">
        <f>IF(B429="","",IF(B428="",SUM(COUNT($A$5:A428)+1),""))</f>
        <v/>
      </c>
      <c r="B429" s="1223"/>
      <c r="C429" s="316" t="str">
        <f>IF(B429="","",VLOOKUP(B429,'TB for financial'!A:B,2,0))</f>
        <v/>
      </c>
      <c r="D429" s="318"/>
      <c r="E429" s="317"/>
      <c r="F429" s="319"/>
      <c r="G429" s="320"/>
      <c r="H429" s="321"/>
      <c r="I429" s="322"/>
      <c r="J429" s="323"/>
    </row>
    <row r="430" spans="1:10" ht="15" customHeight="1">
      <c r="A430" s="315" t="str">
        <f>IF(B430="","",IF(B429="",SUM(COUNT($A$5:A429)+1),""))</f>
        <v/>
      </c>
      <c r="B430" s="1223"/>
      <c r="C430" s="316" t="str">
        <f>IF(B430="","",VLOOKUP(B430,'TB for financial'!A:B,2,0))</f>
        <v/>
      </c>
      <c r="D430" s="318"/>
      <c r="E430" s="677"/>
      <c r="F430" s="319"/>
      <c r="G430" s="320"/>
      <c r="H430" s="321"/>
      <c r="I430" s="322"/>
      <c r="J430" s="323"/>
    </row>
    <row r="431" spans="1:10" ht="15" customHeight="1">
      <c r="A431" s="315" t="str">
        <f>IF(B431="","",IF(B430="",SUM(COUNT($A$5:A430)+1),""))</f>
        <v/>
      </c>
      <c r="B431" s="1223"/>
      <c r="C431" s="316" t="str">
        <f>IF(B431="","",VLOOKUP(B431,'TB for financial'!A:B,2,0))</f>
        <v/>
      </c>
      <c r="D431" s="318"/>
      <c r="E431" s="317"/>
      <c r="F431" s="319"/>
      <c r="G431" s="320"/>
      <c r="H431" s="321"/>
      <c r="I431" s="322"/>
      <c r="J431" s="323"/>
    </row>
    <row r="432" spans="1:10" ht="15" customHeight="1">
      <c r="A432" s="315" t="str">
        <f>IF(B432="","",IF(B431="",SUM(COUNT($A$5:A431)+1),""))</f>
        <v/>
      </c>
      <c r="B432" s="1223"/>
      <c r="C432" s="316" t="str">
        <f>IF(B432="","",VLOOKUP(B432,'TB for financial'!A:B,2,0))</f>
        <v/>
      </c>
      <c r="D432" s="318"/>
      <c r="E432" s="677"/>
      <c r="F432" s="319"/>
      <c r="G432" s="320">
        <f>IF(H432="PL - PL",0,IF(D432="",-E432,D432))</f>
        <v>0</v>
      </c>
      <c r="H432" s="321"/>
      <c r="I432" s="322"/>
      <c r="J432" s="323"/>
    </row>
    <row r="433" spans="1:10" ht="15" customHeight="1">
      <c r="A433" s="315" t="str">
        <f>IF(B433="","",IF(B432="",SUM(COUNT($A$5:A432)+1),""))</f>
        <v/>
      </c>
      <c r="B433" s="1223"/>
      <c r="C433" s="316" t="str">
        <f>IF(B433="","",VLOOKUP(B433,'TB for financial'!A:B,2,0))</f>
        <v/>
      </c>
      <c r="D433" s="318"/>
      <c r="E433" s="317"/>
      <c r="F433" s="319"/>
      <c r="G433" s="320"/>
      <c r="H433" s="321"/>
      <c r="I433" s="322"/>
      <c r="J433" s="323"/>
    </row>
    <row r="434" spans="1:10" ht="15" customHeight="1">
      <c r="A434" s="315" t="str">
        <f>IF(B434="","",IF(B433="",SUM(COUNT($A$5:A433)+1),""))</f>
        <v/>
      </c>
      <c r="B434" s="1223"/>
      <c r="C434" s="316" t="str">
        <f>IF(B434="","",VLOOKUP(B434,'TB for financial'!A:B,2,0))</f>
        <v/>
      </c>
      <c r="D434" s="318"/>
      <c r="E434" s="677"/>
      <c r="F434" s="319"/>
      <c r="G434" s="320"/>
      <c r="H434" s="321"/>
      <c r="I434" s="322"/>
      <c r="J434" s="323"/>
    </row>
    <row r="435" spans="1:10" ht="15" customHeight="1">
      <c r="A435" s="315" t="str">
        <f>IF(B435="","",IF(B434="",SUM(COUNT($A$5:A434)+1),""))</f>
        <v/>
      </c>
      <c r="B435" s="1223"/>
      <c r="C435" s="316" t="str">
        <f>IF(B435="","",VLOOKUP(B435,'TB for financial'!A:B,2,0))</f>
        <v/>
      </c>
      <c r="D435" s="318"/>
      <c r="E435" s="317"/>
      <c r="F435" s="319"/>
      <c r="G435" s="320"/>
      <c r="H435" s="321"/>
      <c r="I435" s="322"/>
      <c r="J435" s="323"/>
    </row>
    <row r="436" spans="1:10" ht="15" customHeight="1">
      <c r="A436" s="315" t="str">
        <f>IF(B436="","",IF(B435="",SUM(COUNT($A$5:A435)+1),""))</f>
        <v/>
      </c>
      <c r="B436" s="1223"/>
      <c r="C436" s="316" t="str">
        <f>IF(B436="","",VLOOKUP(B436,'TB for financial'!A:B,2,0))</f>
        <v/>
      </c>
      <c r="D436" s="318"/>
      <c r="E436" s="677"/>
      <c r="F436" s="319"/>
      <c r="G436" s="320"/>
      <c r="H436" s="321"/>
      <c r="I436" s="322"/>
      <c r="J436" s="323"/>
    </row>
    <row r="437" spans="1:10" ht="15" customHeight="1">
      <c r="A437" s="315" t="str">
        <f>IF(B437="","",IF(B436="",SUM(COUNT($A$5:A436)+1),""))</f>
        <v/>
      </c>
      <c r="B437" s="1223"/>
      <c r="C437" s="316" t="str">
        <f>IF(B437="","",VLOOKUP(B437,'TB for financial'!A:B,2,0))</f>
        <v/>
      </c>
      <c r="D437" s="318"/>
      <c r="E437" s="317"/>
      <c r="F437" s="319"/>
      <c r="G437" s="320"/>
      <c r="H437" s="321"/>
      <c r="I437" s="322"/>
      <c r="J437" s="323"/>
    </row>
    <row r="438" spans="1:10" ht="15" customHeight="1">
      <c r="A438" s="315" t="str">
        <f>IF(B438="","",IF(B437="",SUM(COUNT($A$5:A437)+1),""))</f>
        <v/>
      </c>
      <c r="B438" s="1223"/>
      <c r="C438" s="316" t="str">
        <f>IF(B438="","",VLOOKUP(B438,'TB for financial'!A:B,2,0))</f>
        <v/>
      </c>
      <c r="D438" s="318"/>
      <c r="E438" s="677"/>
      <c r="F438" s="319"/>
      <c r="G438" s="320"/>
      <c r="H438" s="321"/>
      <c r="I438" s="322"/>
      <c r="J438" s="323"/>
    </row>
    <row r="439" spans="1:10" ht="15" customHeight="1">
      <c r="A439" s="315" t="str">
        <f>IF(B439="","",IF(B438="",SUM(COUNT($A$5:A438)+1),""))</f>
        <v/>
      </c>
      <c r="B439" s="1223"/>
      <c r="C439" s="316" t="str">
        <f>IF(B439="","",VLOOKUP(B439,'TB for financial'!A:B,2,0))</f>
        <v/>
      </c>
      <c r="D439" s="318"/>
      <c r="E439" s="317"/>
      <c r="F439" s="319"/>
      <c r="G439" s="320"/>
      <c r="H439" s="321"/>
      <c r="I439" s="322"/>
      <c r="J439" s="323"/>
    </row>
    <row r="440" spans="1:10" ht="15" customHeight="1">
      <c r="A440" s="315" t="str">
        <f>IF(B440="","",IF(B439="",SUM(COUNT($A$5:A439)+1),""))</f>
        <v/>
      </c>
      <c r="B440" s="1223"/>
      <c r="C440" s="316" t="str">
        <f>IF(B440="","",VLOOKUP(B440,'TB for financial'!A:B,2,0))</f>
        <v/>
      </c>
      <c r="D440" s="318"/>
      <c r="E440" s="677"/>
      <c r="F440" s="319"/>
      <c r="G440" s="320"/>
      <c r="H440" s="321"/>
      <c r="I440" s="322"/>
      <c r="J440" s="323"/>
    </row>
    <row r="441" spans="1:10" ht="15" customHeight="1">
      <c r="A441" s="315" t="str">
        <f>IF(B441="","",IF(B440="",SUM(COUNT($A$5:A440)+1),""))</f>
        <v/>
      </c>
      <c r="B441" s="1223"/>
      <c r="C441" s="316" t="str">
        <f>IF(B441="","",VLOOKUP(B441,'TB for financial'!A:B,2,0))</f>
        <v/>
      </c>
      <c r="D441" s="318"/>
      <c r="E441" s="317"/>
      <c r="F441" s="319"/>
      <c r="G441" s="320"/>
      <c r="H441" s="321"/>
      <c r="I441" s="322"/>
      <c r="J441" s="323"/>
    </row>
    <row r="442" spans="1:10" ht="15" customHeight="1">
      <c r="A442" s="315" t="str">
        <f>IF(B442="","",IF(B441="",SUM(COUNT($A$5:A441)+1),""))</f>
        <v/>
      </c>
      <c r="B442" s="1223"/>
      <c r="C442" s="316" t="str">
        <f>IF(B442="","",VLOOKUP(B442,'TB for financial'!A:B,2,0))</f>
        <v/>
      </c>
      <c r="D442" s="318"/>
      <c r="E442" s="677"/>
      <c r="F442" s="319"/>
      <c r="G442" s="320"/>
      <c r="H442" s="321"/>
      <c r="I442" s="322"/>
      <c r="J442" s="323"/>
    </row>
    <row r="443" spans="1:10" ht="15" customHeight="1">
      <c r="A443" s="315" t="str">
        <f>IF(B443="","",IF(B442="",SUM(COUNT($A$5:A442)+1),""))</f>
        <v/>
      </c>
      <c r="B443" s="1223"/>
      <c r="C443" s="316" t="str">
        <f>IF(B443="","",VLOOKUP(B443,'TB for financial'!A:B,2,0))</f>
        <v/>
      </c>
      <c r="D443" s="318"/>
      <c r="E443" s="317"/>
      <c r="F443" s="319"/>
      <c r="G443" s="320"/>
      <c r="H443" s="321"/>
      <c r="I443" s="322"/>
      <c r="J443" s="323"/>
    </row>
    <row r="444" spans="1:10" ht="15" customHeight="1">
      <c r="A444" s="315" t="str">
        <f>IF(B444="","",IF(B443="",SUM(COUNT($A$5:A443)+1),""))</f>
        <v/>
      </c>
      <c r="B444" s="1223"/>
      <c r="C444" s="316" t="str">
        <f>IF(B444="","",VLOOKUP(B444,'TB for financial'!A:B,2,0))</f>
        <v/>
      </c>
      <c r="D444" s="318"/>
      <c r="E444" s="677"/>
      <c r="F444" s="319"/>
      <c r="G444" s="320"/>
      <c r="H444" s="321"/>
      <c r="I444" s="322"/>
      <c r="J444" s="323"/>
    </row>
    <row r="445" spans="1:10" ht="15" customHeight="1">
      <c r="A445" s="315" t="str">
        <f>IF(B445="","",IF(B444="",SUM(COUNT($A$5:A444)+1),""))</f>
        <v/>
      </c>
      <c r="B445" s="1223"/>
      <c r="C445" s="316" t="str">
        <f>IF(B445="","",VLOOKUP(B445,'TB for financial'!A:B,2,0))</f>
        <v/>
      </c>
      <c r="D445" s="318"/>
      <c r="E445" s="317"/>
      <c r="F445" s="319"/>
      <c r="G445" s="320"/>
      <c r="H445" s="321"/>
      <c r="I445" s="322"/>
      <c r="J445" s="323"/>
    </row>
    <row r="446" spans="1:10" ht="15" customHeight="1">
      <c r="A446" s="315" t="str">
        <f>IF(B446="","",IF(B445="",SUM(COUNT($A$5:A445)+1),""))</f>
        <v/>
      </c>
      <c r="B446" s="1223"/>
      <c r="C446" s="316" t="str">
        <f>IF(B446="","",VLOOKUP(B446,'TB for financial'!A:B,2,0))</f>
        <v/>
      </c>
      <c r="D446" s="318"/>
      <c r="E446" s="677"/>
      <c r="F446" s="319"/>
      <c r="G446" s="320"/>
      <c r="H446" s="321"/>
      <c r="I446" s="322"/>
      <c r="J446" s="323"/>
    </row>
    <row r="447" spans="1:10" ht="15" customHeight="1">
      <c r="A447" s="315" t="str">
        <f>IF(B447="","",IF(B446="",SUM(COUNT($A$5:A446)+1),""))</f>
        <v/>
      </c>
      <c r="B447" s="1223"/>
      <c r="C447" s="316" t="str">
        <f>IF(B447="","",VLOOKUP(B447,'TB for financial'!A:B,2,0))</f>
        <v/>
      </c>
      <c r="D447" s="318"/>
      <c r="E447" s="317"/>
      <c r="F447" s="319"/>
      <c r="G447" s="320"/>
      <c r="H447" s="321"/>
      <c r="I447" s="322"/>
      <c r="J447" s="323"/>
    </row>
    <row r="448" spans="1:10" ht="15" customHeight="1">
      <c r="A448" s="315" t="str">
        <f>IF(B448="","",IF(B447="",SUM(COUNT($A$5:A447)+1),""))</f>
        <v/>
      </c>
      <c r="B448" s="1223"/>
      <c r="C448" s="316" t="str">
        <f>IF(B448="","",VLOOKUP(B448,'TB for financial'!A:B,2,0))</f>
        <v/>
      </c>
      <c r="D448" s="318"/>
      <c r="E448" s="677"/>
      <c r="F448" s="319"/>
      <c r="G448" s="320"/>
      <c r="H448" s="321"/>
      <c r="I448" s="322"/>
      <c r="J448" s="323"/>
    </row>
    <row r="449" spans="1:10" ht="15" customHeight="1">
      <c r="A449" s="315" t="str">
        <f>IF(B449="","",IF(B448="",SUM(COUNT($A$5:A448)+1),""))</f>
        <v/>
      </c>
      <c r="B449" s="1223"/>
      <c r="C449" s="316" t="str">
        <f>IF(B449="","",VLOOKUP(B449,'TB for financial'!A:B,2,0))</f>
        <v/>
      </c>
      <c r="D449" s="318"/>
      <c r="E449" s="317"/>
      <c r="F449" s="319"/>
      <c r="G449" s="320"/>
      <c r="H449" s="321"/>
      <c r="I449" s="322"/>
      <c r="J449" s="323"/>
    </row>
    <row r="450" spans="1:10" ht="15" customHeight="1">
      <c r="A450" s="315" t="str">
        <f>IF(B450="","",IF(B449="",SUM(COUNT($A$5:A449)+1),""))</f>
        <v/>
      </c>
      <c r="B450" s="1223"/>
      <c r="C450" s="316" t="str">
        <f>IF(B450="","",VLOOKUP(B450,'TB for financial'!A:B,2,0))</f>
        <v/>
      </c>
      <c r="D450" s="318"/>
      <c r="E450" s="677"/>
      <c r="F450" s="319"/>
      <c r="G450" s="320"/>
      <c r="H450" s="321"/>
      <c r="I450" s="322"/>
      <c r="J450" s="323"/>
    </row>
    <row r="451" spans="1:10" ht="15" customHeight="1">
      <c r="A451" s="315" t="str">
        <f>IF(B451="","",IF(B450="",SUM(COUNT($A$5:A450)+1),""))</f>
        <v/>
      </c>
      <c r="B451" s="1223"/>
      <c r="C451" s="316" t="str">
        <f>IF(B451="","",VLOOKUP(B451,'TB for financial'!A:B,2,0))</f>
        <v/>
      </c>
      <c r="D451" s="318"/>
      <c r="E451" s="317"/>
      <c r="F451" s="319"/>
      <c r="G451" s="320"/>
      <c r="H451" s="321"/>
      <c r="I451" s="322"/>
      <c r="J451" s="323"/>
    </row>
    <row r="452" spans="1:10" ht="15" customHeight="1">
      <c r="A452" s="315" t="str">
        <f>IF(B452="","",IF(B451="",SUM(COUNT($A$5:A451)+1),""))</f>
        <v/>
      </c>
      <c r="B452" s="1223"/>
      <c r="C452" s="316" t="str">
        <f>IF(B452="","",VLOOKUP(B452,'TB for financial'!A:B,2,0))</f>
        <v/>
      </c>
      <c r="D452" s="318"/>
      <c r="E452" s="677"/>
      <c r="F452" s="319"/>
      <c r="G452" s="320"/>
      <c r="H452" s="321"/>
      <c r="I452" s="322"/>
      <c r="J452" s="323"/>
    </row>
    <row r="453" spans="1:10" ht="15" customHeight="1">
      <c r="A453" s="315" t="str">
        <f>IF(B453="","",IF(B452="",SUM(COUNT($A$5:A452)+1),""))</f>
        <v/>
      </c>
      <c r="B453" s="1223"/>
      <c r="C453" s="316" t="str">
        <f>IF(B453="","",VLOOKUP(B453,'TB for financial'!A:B,2,0))</f>
        <v/>
      </c>
      <c r="D453" s="318"/>
      <c r="E453" s="677"/>
      <c r="F453" s="319"/>
      <c r="G453" s="320"/>
      <c r="H453" s="321"/>
      <c r="I453" s="322"/>
      <c r="J453" s="323"/>
    </row>
    <row r="454" spans="1:10" ht="15" customHeight="1">
      <c r="A454" s="315" t="str">
        <f>IF(B454="","",IF(B453="",SUM(COUNT($A$5:A453)+1),""))</f>
        <v/>
      </c>
      <c r="B454" s="1223"/>
      <c r="C454" s="316" t="str">
        <f>IF(B454="","",VLOOKUP(B454,'TB for financial'!A:B,2,0))</f>
        <v/>
      </c>
      <c r="D454" s="318"/>
      <c r="E454" s="677"/>
      <c r="F454" s="319"/>
      <c r="G454" s="320"/>
      <c r="H454" s="321"/>
      <c r="I454" s="322"/>
      <c r="J454" s="323"/>
    </row>
    <row r="455" spans="1:10" ht="15" customHeight="1">
      <c r="A455" s="315" t="str">
        <f>IF(B455="","",IF(B454="",SUM(COUNT($A$5:A454)+1),""))</f>
        <v/>
      </c>
      <c r="B455" s="1223"/>
      <c r="C455" s="316" t="str">
        <f>IF(B455="","",VLOOKUP(B455,'TB for financial'!A:B,2,0))</f>
        <v/>
      </c>
      <c r="D455" s="318"/>
      <c r="E455" s="317"/>
      <c r="F455" s="319"/>
      <c r="G455" s="320"/>
      <c r="H455" s="321"/>
      <c r="I455" s="322"/>
      <c r="J455" s="323"/>
    </row>
    <row r="456" spans="1:10" ht="15" customHeight="1">
      <c r="A456" s="315" t="str">
        <f>IF(B456="","",IF(B455="",SUM(COUNT($A$5:A455)+1),""))</f>
        <v/>
      </c>
      <c r="B456" s="1223"/>
      <c r="C456" s="316" t="str">
        <f>IF(B456="","",VLOOKUP(B456,'TB for financial'!A:B,2,0))</f>
        <v/>
      </c>
      <c r="D456" s="318"/>
      <c r="E456" s="677"/>
      <c r="F456" s="319"/>
      <c r="G456" s="320">
        <f t="shared" ref="G456:G467" si="3">IF(H456="PL - PL",0,IF(D456="",-E456,D456))</f>
        <v>0</v>
      </c>
      <c r="H456" s="321"/>
      <c r="I456" s="322"/>
      <c r="J456" s="323"/>
    </row>
    <row r="457" spans="1:10" ht="15" customHeight="1">
      <c r="A457" s="315" t="str">
        <f>IF(B457="","",IF(B456="",SUM(COUNT($A$5:A456)+1),""))</f>
        <v/>
      </c>
      <c r="B457" s="1223"/>
      <c r="C457" s="316" t="str">
        <f>IF(B457="","",VLOOKUP(B457,'TB for financial'!A:B,2,0))</f>
        <v/>
      </c>
      <c r="D457" s="318"/>
      <c r="E457" s="317"/>
      <c r="F457" s="319"/>
      <c r="G457" s="320">
        <f t="shared" si="3"/>
        <v>0</v>
      </c>
      <c r="H457" s="321"/>
      <c r="I457" s="322"/>
      <c r="J457" s="323"/>
    </row>
    <row r="458" spans="1:10" ht="15" customHeight="1">
      <c r="A458" s="315" t="str">
        <f>IF(B458="","",IF(B457="",SUM(COUNT($A$5:A457)+1),""))</f>
        <v/>
      </c>
      <c r="B458" s="1223"/>
      <c r="C458" s="316" t="str">
        <f>IF(B458="","",VLOOKUP(B458,'TB for financial'!A:B,2,0))</f>
        <v/>
      </c>
      <c r="D458" s="318"/>
      <c r="E458" s="677"/>
      <c r="F458" s="319"/>
      <c r="G458" s="320">
        <f t="shared" si="3"/>
        <v>0</v>
      </c>
      <c r="H458" s="321"/>
      <c r="I458" s="322"/>
      <c r="J458" s="323"/>
    </row>
    <row r="459" spans="1:10" ht="15" customHeight="1">
      <c r="A459" s="315" t="str">
        <f>IF(B459="","",IF(B458="",SUM(COUNT($A$5:A458)+1),""))</f>
        <v/>
      </c>
      <c r="B459" s="1223"/>
      <c r="C459" s="316" t="str">
        <f>IF(B459="","",VLOOKUP(B459,'TB for financial'!A:B,2,0))</f>
        <v/>
      </c>
      <c r="D459" s="318"/>
      <c r="E459" s="317"/>
      <c r="F459" s="319"/>
      <c r="G459" s="320">
        <f t="shared" si="3"/>
        <v>0</v>
      </c>
      <c r="H459" s="321"/>
      <c r="I459" s="322"/>
      <c r="J459" s="323"/>
    </row>
    <row r="460" spans="1:10" ht="15" customHeight="1">
      <c r="A460" s="315" t="str">
        <f>IF(B460="","",IF(B459="",SUM(COUNT($A$5:A459)+1),""))</f>
        <v/>
      </c>
      <c r="B460" s="1223"/>
      <c r="C460" s="316" t="str">
        <f>IF(B460="","",VLOOKUP(B460,'TB for financial'!A:B,2,0))</f>
        <v/>
      </c>
      <c r="D460" s="318"/>
      <c r="E460" s="677"/>
      <c r="F460" s="319"/>
      <c r="G460" s="320">
        <f t="shared" si="3"/>
        <v>0</v>
      </c>
      <c r="H460" s="321"/>
      <c r="I460" s="322"/>
      <c r="J460" s="323"/>
    </row>
    <row r="461" spans="1:10" ht="15" customHeight="1">
      <c r="A461" s="315" t="str">
        <f>IF(B461="","",IF(B460="",SUM(COUNT($A$5:A460)+1),""))</f>
        <v/>
      </c>
      <c r="B461" s="1223"/>
      <c r="C461" s="316" t="str">
        <f>IF(B461="","",VLOOKUP(B461,'TB for financial'!A:B,2,0))</f>
        <v/>
      </c>
      <c r="D461" s="318"/>
      <c r="E461" s="317"/>
      <c r="F461" s="319"/>
      <c r="G461" s="320">
        <f t="shared" si="3"/>
        <v>0</v>
      </c>
      <c r="H461" s="321"/>
      <c r="I461" s="322"/>
      <c r="J461" s="323"/>
    </row>
    <row r="462" spans="1:10" ht="15" customHeight="1">
      <c r="A462" s="315" t="str">
        <f>IF(B462="","",IF(B461="",SUM(COUNT($A$5:A461)+1),""))</f>
        <v/>
      </c>
      <c r="B462" s="1223"/>
      <c r="C462" s="316" t="str">
        <f>IF(B462="","",VLOOKUP(B462,'TB for financial'!A:B,2,0))</f>
        <v/>
      </c>
      <c r="D462" s="317"/>
      <c r="E462" s="318"/>
      <c r="F462" s="319"/>
      <c r="G462" s="320">
        <f t="shared" si="3"/>
        <v>0</v>
      </c>
      <c r="H462" s="321"/>
      <c r="I462" s="322"/>
      <c r="J462" s="323"/>
    </row>
    <row r="463" spans="1:10" ht="15" customHeight="1">
      <c r="A463" s="315" t="str">
        <f>IF(B463="","",IF(B462="",SUM(COUNT($A$5:A462)+1),""))</f>
        <v/>
      </c>
      <c r="B463" s="1223"/>
      <c r="C463" s="316" t="str">
        <f>IF(B463="","",VLOOKUP(B463,'TB for financial'!A:B,2,0))</f>
        <v/>
      </c>
      <c r="D463" s="318"/>
      <c r="E463" s="317"/>
      <c r="F463" s="319"/>
      <c r="G463" s="320">
        <f t="shared" si="3"/>
        <v>0</v>
      </c>
      <c r="H463" s="321"/>
      <c r="I463" s="322"/>
      <c r="J463" s="323"/>
    </row>
    <row r="464" spans="1:10" ht="15" customHeight="1">
      <c r="A464" s="315"/>
      <c r="B464" s="1223"/>
      <c r="C464" s="316" t="str">
        <f>IF(B464="","",VLOOKUP(B464,'TB for financial'!A:B,2,0))</f>
        <v/>
      </c>
      <c r="D464" s="318"/>
      <c r="E464" s="317"/>
      <c r="F464" s="319"/>
      <c r="G464" s="320"/>
      <c r="H464" s="321"/>
      <c r="I464" s="322"/>
      <c r="J464" s="323"/>
    </row>
    <row r="465" spans="1:10" ht="15" customHeight="1">
      <c r="A465" s="315"/>
      <c r="B465" s="1223"/>
      <c r="C465" s="316" t="str">
        <f>IF(B465="","",VLOOKUP(B465,'TB for financial'!A:B,2,0))</f>
        <v/>
      </c>
      <c r="D465" s="318"/>
      <c r="E465" s="1388"/>
      <c r="F465" s="319"/>
      <c r="G465" s="320"/>
      <c r="H465" s="321"/>
      <c r="I465" s="322"/>
      <c r="J465" s="323"/>
    </row>
    <row r="466" spans="1:10" ht="15" customHeight="1">
      <c r="A466" s="315"/>
      <c r="B466" s="1223"/>
      <c r="C466" s="316" t="str">
        <f>IF(B466="","",VLOOKUP(B466,'TB for financial'!A:B,2,0))</f>
        <v/>
      </c>
      <c r="D466" s="318"/>
      <c r="E466" s="317"/>
      <c r="F466" s="319"/>
      <c r="G466" s="320"/>
      <c r="H466" s="321"/>
      <c r="I466" s="322"/>
      <c r="J466" s="323"/>
    </row>
    <row r="467" spans="1:10" ht="15" customHeight="1">
      <c r="A467" s="315" t="str">
        <f>IF(B467="","",IF(B463="",SUM(COUNT($A$5:A463)+1),""))</f>
        <v/>
      </c>
      <c r="B467" s="1223"/>
      <c r="C467" s="316" t="str">
        <f>IF(B467="","",VLOOKUP(B467,'TB for financial'!A:B,2,0))</f>
        <v/>
      </c>
      <c r="D467" s="317"/>
      <c r="E467" s="318"/>
      <c r="F467" s="319"/>
      <c r="G467" s="320">
        <f t="shared" si="3"/>
        <v>0</v>
      </c>
      <c r="H467" s="321"/>
      <c r="I467" s="322"/>
      <c r="J467" s="323"/>
    </row>
    <row r="468" spans="1:10" ht="15" customHeight="1">
      <c r="A468" s="315" t="str">
        <f>IF(B468="","",IF(B467="",SUM(COUNT($A$5:A467)+1),""))</f>
        <v/>
      </c>
      <c r="B468" s="1223"/>
      <c r="C468" s="316" t="str">
        <f>IF(B468="","",VLOOKUP(B468,'TB for financial'!A:B,2,0))</f>
        <v/>
      </c>
      <c r="D468" s="317"/>
      <c r="E468" s="318"/>
      <c r="F468" s="319"/>
      <c r="G468" s="320"/>
      <c r="H468" s="321"/>
      <c r="I468" s="322"/>
      <c r="J468" s="323"/>
    </row>
    <row r="469" spans="1:10" ht="15" customHeight="1">
      <c r="A469" s="315" t="str">
        <f>IF(B469="","",IF(B468="",SUM(COUNT($A$5:A468)+1),""))</f>
        <v/>
      </c>
      <c r="B469" s="324"/>
      <c r="C469" s="1386"/>
      <c r="D469" s="317"/>
      <c r="E469" s="318"/>
      <c r="F469" s="319"/>
      <c r="G469" s="320">
        <f>IF(H469="PL - PL",0,IF(D469="",-E469,D469))</f>
        <v>0</v>
      </c>
      <c r="H469" s="321"/>
      <c r="I469" s="322"/>
      <c r="J469" s="323"/>
    </row>
    <row r="470" spans="1:10" ht="15" customHeight="1">
      <c r="A470" s="315" t="str">
        <f>IF(B470="","",IF(B469="",SUM(COUNT($A$5:A469)+1),""))</f>
        <v/>
      </c>
      <c r="B470" s="315"/>
      <c r="C470" s="316" t="str">
        <f>IF(B470="","",VLOOKUP(B470,'TB for financial'!A:B,2,0))</f>
        <v/>
      </c>
      <c r="D470" s="318"/>
      <c r="E470" s="318"/>
      <c r="F470" s="319"/>
      <c r="G470" s="320">
        <f t="shared" ref="G470:G476" si="4">IF(H470="PL - PL",0,IF(D470="",-E470,D470))</f>
        <v>0</v>
      </c>
      <c r="H470" s="321"/>
      <c r="I470" s="322"/>
      <c r="J470" s="323"/>
    </row>
    <row r="471" spans="1:10" ht="15" customHeight="1">
      <c r="A471" s="315" t="str">
        <f>IF(B471="","",IF(B470="",SUM(COUNT($A$5:A470)+1),""))</f>
        <v/>
      </c>
      <c r="B471" s="324"/>
      <c r="C471" s="316" t="str">
        <f>IF(B471="","",VLOOKUP(B471,'TB for financial'!A:B,2,0))</f>
        <v/>
      </c>
      <c r="D471" s="318"/>
      <c r="E471" s="318"/>
      <c r="F471" s="319"/>
      <c r="G471" s="320">
        <f t="shared" si="4"/>
        <v>0</v>
      </c>
      <c r="H471" s="321"/>
      <c r="I471" s="322"/>
      <c r="J471" s="323"/>
    </row>
    <row r="472" spans="1:10" ht="15" customHeight="1">
      <c r="A472" s="315" t="str">
        <f>IF(B472="","",IF(B471="",SUM(COUNT($A$5:A471)+1),""))</f>
        <v/>
      </c>
      <c r="B472" s="327"/>
      <c r="C472" s="316" t="str">
        <f>IF(B472="","",VLOOKUP(B472,'TB for financial'!A:B,2,0))</f>
        <v/>
      </c>
      <c r="D472" s="317"/>
      <c r="E472" s="318"/>
      <c r="F472" s="319"/>
      <c r="G472" s="320">
        <f t="shared" si="4"/>
        <v>0</v>
      </c>
      <c r="H472" s="321"/>
      <c r="I472" s="322"/>
      <c r="J472" s="323"/>
    </row>
    <row r="473" spans="1:10" ht="15" customHeight="1">
      <c r="A473" s="315" t="str">
        <f>IF(B473="","",IF(B472="",SUM(COUNT($A$5:A472)+1),""))</f>
        <v/>
      </c>
      <c r="B473" s="324"/>
      <c r="C473" s="316" t="str">
        <f>IF(B473="","",VLOOKUP(B473,'TB for financial'!A:B,2,0))</f>
        <v/>
      </c>
      <c r="D473" s="1222"/>
      <c r="E473" s="1222"/>
      <c r="F473" s="319"/>
      <c r="G473" s="320">
        <f t="shared" si="4"/>
        <v>0</v>
      </c>
      <c r="H473" s="321"/>
      <c r="I473" s="322"/>
      <c r="J473" s="323"/>
    </row>
    <row r="474" spans="1:10" ht="15" customHeight="1">
      <c r="A474" s="315" t="str">
        <f>IF(B474="","",IF(B473="",SUM(COUNT($A$5:A473)+1),""))</f>
        <v/>
      </c>
      <c r="B474" s="324"/>
      <c r="C474" s="316" t="str">
        <f>IF(B474="","",VLOOKUP(B474,'TB for financial'!A:B,2,0))</f>
        <v/>
      </c>
      <c r="E474" s="1222"/>
      <c r="F474" s="319"/>
      <c r="G474" s="320">
        <f t="shared" si="4"/>
        <v>0</v>
      </c>
      <c r="H474" s="321"/>
      <c r="I474" s="322"/>
      <c r="J474" s="323"/>
    </row>
    <row r="475" spans="1:10" ht="27.75" customHeight="1">
      <c r="A475" s="315" t="str">
        <f>IF(B475="","",IF(B474="",SUM(COUNT($A$5:A474)+1),""))</f>
        <v/>
      </c>
      <c r="B475" s="324"/>
      <c r="C475" s="1385"/>
      <c r="D475" s="317"/>
      <c r="E475" s="318"/>
      <c r="F475" s="319"/>
      <c r="G475" s="320">
        <f t="shared" si="4"/>
        <v>0</v>
      </c>
      <c r="H475" s="321"/>
      <c r="I475" s="322"/>
      <c r="J475" s="323"/>
    </row>
    <row r="476" spans="1:10" ht="15" customHeight="1">
      <c r="A476" s="315" t="str">
        <f>IF(B476="","",IF(B475="",SUM(COUNT($A$5:A475)+1),""))</f>
        <v/>
      </c>
      <c r="C476" s="316" t="str">
        <f>IF(B476="","",VLOOKUP(B476,'TB for financial'!A:B,2,0))</f>
        <v/>
      </c>
      <c r="D476" s="1222"/>
      <c r="E476" s="1222"/>
      <c r="F476" s="319"/>
      <c r="G476" s="320">
        <f t="shared" si="4"/>
        <v>0</v>
      </c>
      <c r="H476" s="321"/>
      <c r="I476" s="322"/>
      <c r="J476" s="323"/>
    </row>
    <row r="477" spans="1:10" ht="15" customHeight="1">
      <c r="A477" s="315" t="str">
        <f>IF(B477="","",IF(B476="",SUM(COUNT($A$5:A476)+1),""))</f>
        <v/>
      </c>
      <c r="C477" s="316" t="str">
        <f>IF(B477="","",VLOOKUP(B477,'TB for financial'!A:B,2,0))</f>
        <v/>
      </c>
      <c r="E477" s="1222"/>
      <c r="F477" s="319"/>
      <c r="G477" s="320"/>
      <c r="H477" s="321"/>
      <c r="I477" s="322"/>
      <c r="J477" s="323"/>
    </row>
    <row r="478" spans="1:10" ht="15" customHeight="1">
      <c r="A478" s="315"/>
      <c r="C478" s="316" t="str">
        <f>IF(B478="","",VLOOKUP(B478,'TB for financial'!A:B,2,0))</f>
        <v/>
      </c>
      <c r="E478" s="1222"/>
      <c r="F478" s="319"/>
      <c r="G478" s="320"/>
      <c r="H478" s="321"/>
      <c r="I478" s="322"/>
      <c r="J478" s="323"/>
    </row>
    <row r="479" spans="1:10" ht="15" customHeight="1">
      <c r="A479" s="315" t="str">
        <f>IF(B479="","",IF(B477="",SUM(COUNT($A$5:A477)+1),""))</f>
        <v/>
      </c>
      <c r="C479" s="316" t="str">
        <f>IF(B479="","",VLOOKUP(B479,'TB for financial'!A:B,2,0))</f>
        <v/>
      </c>
      <c r="D479" s="317"/>
      <c r="E479" s="318"/>
      <c r="F479" s="319"/>
      <c r="G479" s="320">
        <f>IF(H479="PL - PL",0,IF(D479="",-E479,D479))</f>
        <v>0</v>
      </c>
      <c r="H479" s="321"/>
      <c r="I479" s="322"/>
      <c r="J479" s="323"/>
    </row>
    <row r="480" spans="1:10" ht="27" customHeight="1">
      <c r="A480" s="315" t="str">
        <f>IF(B480="","",IF(B479="",SUM(COUNT($A$5:A479)+1),""))</f>
        <v/>
      </c>
      <c r="C480" s="1385"/>
      <c r="D480" s="1222"/>
      <c r="F480" s="319"/>
      <c r="G480" s="320">
        <f>IF(H480="PL - PL",0,IF(D480="",-E480,D480))</f>
        <v>0</v>
      </c>
      <c r="H480" s="321"/>
      <c r="I480" s="322"/>
      <c r="J480" s="323"/>
    </row>
    <row r="481" spans="1:10" ht="15" customHeight="1">
      <c r="A481" s="315" t="str">
        <f>IF(B481="","",IF(B480="",SUM(COUNT($A$5:A480)+1),""))</f>
        <v/>
      </c>
      <c r="C481" s="316" t="str">
        <f>IF(B481="","",VLOOKUP(B481,'TB for financial'!A:B,2,0))</f>
        <v/>
      </c>
      <c r="D481" s="1222"/>
      <c r="E481" s="1225"/>
      <c r="F481" s="319"/>
      <c r="G481" s="320"/>
      <c r="H481" s="321"/>
      <c r="I481" s="322"/>
      <c r="J481" s="323"/>
    </row>
    <row r="482" spans="1:10" ht="15" customHeight="1">
      <c r="A482" s="315" t="str">
        <f>IF(B482="","",IF(B481="",SUM(COUNT($A$5:A481)+1),""))</f>
        <v/>
      </c>
      <c r="C482" s="316" t="str">
        <f>IF(B482="","",VLOOKUP(B482,'TB for financial'!A:B,2,0))</f>
        <v/>
      </c>
      <c r="D482" s="318"/>
      <c r="E482" s="677"/>
      <c r="F482" s="319"/>
      <c r="G482" s="320">
        <f t="shared" ref="G482:G514" si="5">IF(H482="PL - PL",0,IF(D482="",-E482,D482))</f>
        <v>0</v>
      </c>
      <c r="H482" s="321"/>
      <c r="I482" s="322"/>
      <c r="J482" s="323"/>
    </row>
    <row r="483" spans="1:10" ht="15" customHeight="1">
      <c r="A483" s="315" t="str">
        <f>IF(B483="","",IF(B482="",SUM(COUNT($A$5:A482)+1),""))</f>
        <v/>
      </c>
      <c r="C483" s="316" t="str">
        <f>IF(B483="","",VLOOKUP(B483,'TB for financial'!A:B,2,0))</f>
        <v/>
      </c>
      <c r="D483" s="1222"/>
      <c r="F483" s="319"/>
      <c r="G483" s="320">
        <f t="shared" si="5"/>
        <v>0</v>
      </c>
      <c r="H483" s="321"/>
      <c r="I483" s="322"/>
      <c r="J483" s="323"/>
    </row>
    <row r="484" spans="1:10" ht="15" customHeight="1">
      <c r="A484" s="315" t="str">
        <f>IF(B484="","",IF(B483="",SUM(COUNT($A$5:A483)+1),""))</f>
        <v/>
      </c>
      <c r="C484" s="1385"/>
      <c r="D484" s="1222"/>
      <c r="E484" s="1225"/>
      <c r="F484" s="319"/>
      <c r="G484" s="320">
        <f t="shared" si="5"/>
        <v>0</v>
      </c>
      <c r="H484" s="321"/>
      <c r="I484" s="322"/>
      <c r="J484" s="323"/>
    </row>
    <row r="485" spans="1:10" ht="15" customHeight="1">
      <c r="A485" s="315" t="str">
        <f>IF(B485="","",IF(B484="",SUM(COUNT($A$5:A484)+1),""))</f>
        <v/>
      </c>
      <c r="C485" s="316" t="str">
        <f>IF(B485="","",VLOOKUP(B485,'TB for financial'!A:B,2,0))</f>
        <v/>
      </c>
      <c r="D485" s="674"/>
      <c r="E485" s="676"/>
      <c r="F485" s="319"/>
      <c r="G485" s="320">
        <f t="shared" si="5"/>
        <v>0</v>
      </c>
      <c r="H485" s="321"/>
      <c r="I485" s="322"/>
      <c r="J485" s="323"/>
    </row>
    <row r="486" spans="1:10" ht="15" customHeight="1">
      <c r="A486" s="315" t="str">
        <f>IF(B486="","",IF(B485="",SUM(COUNT($A$5:A485)+1),""))</f>
        <v/>
      </c>
      <c r="C486" s="316" t="str">
        <f>IF(B486="","",VLOOKUP(B486,'TB for financial'!A:B,2,0))</f>
        <v/>
      </c>
      <c r="D486" s="1222"/>
      <c r="E486" s="1225"/>
      <c r="F486" s="319"/>
      <c r="G486" s="320">
        <f t="shared" si="5"/>
        <v>0</v>
      </c>
      <c r="H486" s="321"/>
      <c r="I486" s="322"/>
      <c r="J486" s="323"/>
    </row>
    <row r="487" spans="1:10" ht="15" customHeight="1">
      <c r="A487" s="315" t="str">
        <f>IF(B487="","",IF(B486="",SUM(COUNT($A$5:A486)+1),""))</f>
        <v/>
      </c>
      <c r="C487" s="316" t="str">
        <f>IF(B487="","",VLOOKUP(B487,'TB for financial'!A:B,2,0))</f>
        <v/>
      </c>
      <c r="D487" s="1222"/>
      <c r="E487" s="1225"/>
      <c r="F487" s="319"/>
      <c r="G487" s="320">
        <f t="shared" si="5"/>
        <v>0</v>
      </c>
      <c r="H487" s="321"/>
      <c r="I487" s="322"/>
      <c r="J487" s="323"/>
    </row>
    <row r="488" spans="1:10" ht="15" customHeight="1">
      <c r="A488" s="315" t="str">
        <f>IF(B488="","",IF(B487="",SUM(COUNT($A$5:A487)+1),""))</f>
        <v/>
      </c>
      <c r="C488" s="1385"/>
      <c r="D488" s="1222"/>
      <c r="E488" s="1225"/>
      <c r="F488" s="319"/>
      <c r="G488" s="320">
        <f t="shared" si="5"/>
        <v>0</v>
      </c>
      <c r="H488" s="321"/>
      <c r="I488" s="322"/>
      <c r="J488" s="323"/>
    </row>
    <row r="489" spans="1:10" ht="15" customHeight="1">
      <c r="A489" s="315" t="str">
        <f>IF(B489="","",IF(B488="",SUM(COUNT($A$5:A488)+1),""))</f>
        <v/>
      </c>
      <c r="C489" s="316" t="str">
        <f>IF(B489="","",VLOOKUP(B489,'TB for financial'!A:B,2,0))</f>
        <v/>
      </c>
      <c r="D489" s="1222"/>
      <c r="E489" s="1225"/>
      <c r="F489" s="319"/>
      <c r="G489" s="320">
        <f t="shared" si="5"/>
        <v>0</v>
      </c>
      <c r="H489" s="321"/>
      <c r="I489" s="322"/>
      <c r="J489" s="323"/>
    </row>
    <row r="490" spans="1:10" ht="15" customHeight="1">
      <c r="A490" s="315" t="str">
        <f>IF(B490="","",IF(B489="",SUM(COUNT($A$5:A489)+1),""))</f>
        <v/>
      </c>
      <c r="C490" s="316" t="str">
        <f>IF(B490="","",VLOOKUP(B490,'TB for financial'!A:B,2,0))</f>
        <v/>
      </c>
      <c r="D490" s="674"/>
      <c r="E490" s="676"/>
      <c r="F490" s="319"/>
      <c r="G490" s="320">
        <f t="shared" si="5"/>
        <v>0</v>
      </c>
      <c r="H490" s="321"/>
      <c r="I490" s="322"/>
      <c r="J490" s="323"/>
    </row>
    <row r="491" spans="1:10" ht="15" customHeight="1">
      <c r="A491" s="315" t="str">
        <f>IF(B491="","",IF(B490="",SUM(COUNT($A$5:A490)+1),""))</f>
        <v/>
      </c>
      <c r="C491" s="316" t="str">
        <f>IF(B491="","",VLOOKUP(B491,'TB for financial'!A:B,2,0))</f>
        <v/>
      </c>
      <c r="D491" s="1222"/>
      <c r="F491" s="319"/>
      <c r="G491" s="320">
        <f t="shared" si="5"/>
        <v>0</v>
      </c>
      <c r="H491" s="321"/>
      <c r="I491" s="322"/>
      <c r="J491" s="323"/>
    </row>
    <row r="492" spans="1:10" ht="15" customHeight="1">
      <c r="A492" s="315" t="str">
        <f>IF(B492="","",IF(B491="",SUM(COUNT($A$5:A491)+1),""))</f>
        <v/>
      </c>
      <c r="C492" s="1385"/>
      <c r="D492" s="1222"/>
      <c r="E492" s="1225"/>
      <c r="F492" s="319"/>
      <c r="G492" s="320">
        <f t="shared" si="5"/>
        <v>0</v>
      </c>
      <c r="H492" s="321"/>
      <c r="I492" s="322"/>
      <c r="J492" s="323"/>
    </row>
    <row r="493" spans="1:10" ht="15" customHeight="1">
      <c r="A493" s="315" t="str">
        <f>IF(B493="","",IF(B492="",SUM(COUNT($A$5:A492)+1),""))</f>
        <v/>
      </c>
      <c r="C493" s="316" t="str">
        <f>IF(B493="","",VLOOKUP(B493,'TB for financial'!A:B,2,0))</f>
        <v/>
      </c>
      <c r="D493" s="1222"/>
      <c r="E493" s="1225"/>
      <c r="F493" s="319"/>
      <c r="G493" s="320">
        <f t="shared" si="5"/>
        <v>0</v>
      </c>
      <c r="H493" s="321"/>
      <c r="I493" s="322"/>
      <c r="J493" s="323"/>
    </row>
    <row r="494" spans="1:10" ht="15" customHeight="1">
      <c r="A494" s="315" t="str">
        <f>IF(B494="","",IF(B493="",SUM(COUNT($A$5:A493)+1),""))</f>
        <v/>
      </c>
      <c r="C494" s="316" t="str">
        <f>IF(B494="","",VLOOKUP(B494,'TB for financial'!A:B,2,0))</f>
        <v/>
      </c>
      <c r="D494" s="318"/>
      <c r="E494" s="317"/>
      <c r="F494" s="319"/>
      <c r="G494" s="320">
        <f t="shared" si="5"/>
        <v>0</v>
      </c>
      <c r="H494" s="321"/>
      <c r="I494" s="322"/>
      <c r="J494" s="323"/>
    </row>
    <row r="495" spans="1:10" ht="15" customHeight="1">
      <c r="A495" s="315" t="str">
        <f>IF(B495="","",IF(B494="",SUM(COUNT($A$5:A494)+1),""))</f>
        <v/>
      </c>
      <c r="C495" s="316" t="str">
        <f>IF(B495="","",VLOOKUP(B495,'TB for financial'!A:B,2,0))</f>
        <v/>
      </c>
      <c r="D495" s="1222"/>
      <c r="E495" s="1225"/>
      <c r="F495" s="319"/>
      <c r="G495" s="320">
        <f t="shared" si="5"/>
        <v>0</v>
      </c>
      <c r="H495" s="321"/>
      <c r="I495" s="322"/>
      <c r="J495" s="323"/>
    </row>
    <row r="496" spans="1:10" ht="15" customHeight="1">
      <c r="A496" s="315" t="str">
        <f>IF(B496="","",IF(B495="",SUM(COUNT($A$5:A495)+1),""))</f>
        <v/>
      </c>
      <c r="C496" s="1385"/>
      <c r="D496" s="1222"/>
      <c r="E496" s="1225"/>
      <c r="F496" s="319"/>
      <c r="G496" s="320">
        <f t="shared" si="5"/>
        <v>0</v>
      </c>
      <c r="H496" s="321"/>
      <c r="I496" s="322"/>
      <c r="J496" s="323"/>
    </row>
    <row r="497" spans="1:10" ht="15" customHeight="1">
      <c r="A497" s="315" t="str">
        <f>IF(B497="","",IF(B496="",SUM(COUNT($A$5:A496)+1),""))</f>
        <v/>
      </c>
      <c r="C497" s="316" t="str">
        <f>IF(B497="","",VLOOKUP(B497,'TB for financial'!A:B,2,0))</f>
        <v/>
      </c>
      <c r="D497" s="318"/>
      <c r="E497" s="677"/>
      <c r="F497" s="319"/>
      <c r="G497" s="320">
        <f t="shared" si="5"/>
        <v>0</v>
      </c>
      <c r="H497" s="321"/>
      <c r="I497" s="322"/>
      <c r="J497" s="323"/>
    </row>
    <row r="498" spans="1:10" ht="15" customHeight="1">
      <c r="A498" s="315" t="str">
        <f>IF(B498="","",IF(B497="",SUM(COUNT($A$5:A497)+1),""))</f>
        <v/>
      </c>
      <c r="C498" s="316" t="str">
        <f>IF(B498="","",VLOOKUP(B498,'TB for financial'!A:B,2,0))</f>
        <v/>
      </c>
      <c r="D498" s="1222"/>
      <c r="F498" s="319"/>
      <c r="G498" s="320">
        <f t="shared" si="5"/>
        <v>0</v>
      </c>
      <c r="H498" s="321"/>
      <c r="I498" s="322"/>
      <c r="J498" s="323"/>
    </row>
    <row r="499" spans="1:10" ht="15" customHeight="1">
      <c r="A499" s="315" t="str">
        <f>IF(B499="","",IF(B498="",SUM(COUNT($A$5:A498)+1),""))</f>
        <v/>
      </c>
      <c r="C499" s="316" t="str">
        <f>IF(B499="","",VLOOKUP(B499,'TB for financial'!A:B,2,0))</f>
        <v/>
      </c>
      <c r="D499" s="1222"/>
      <c r="E499" s="1225"/>
      <c r="F499" s="319"/>
      <c r="G499" s="320">
        <f t="shared" si="5"/>
        <v>0</v>
      </c>
      <c r="H499" s="321"/>
      <c r="I499" s="322"/>
      <c r="J499" s="323"/>
    </row>
    <row r="500" spans="1:10" ht="15" customHeight="1">
      <c r="A500" s="315" t="str">
        <f>IF(B500="","",IF(B499="",SUM(COUNT($A$5:A499)+1),""))</f>
        <v/>
      </c>
      <c r="C500" s="1385"/>
      <c r="D500" s="318"/>
      <c r="E500" s="317"/>
      <c r="F500" s="319"/>
      <c r="G500" s="320">
        <f t="shared" si="5"/>
        <v>0</v>
      </c>
      <c r="H500" s="321"/>
      <c r="I500" s="322"/>
      <c r="J500" s="323"/>
    </row>
    <row r="501" spans="1:10" ht="15" customHeight="1">
      <c r="A501" s="315" t="str">
        <f>IF(B501="","",IF(B500="",SUM(COUNT($A$5:A500)+1),""))</f>
        <v/>
      </c>
      <c r="C501" s="316" t="str">
        <f>IF(B501="","",VLOOKUP(B501,'TB for financial'!A:B,2,0))</f>
        <v/>
      </c>
      <c r="D501" s="318"/>
      <c r="E501" s="677"/>
      <c r="F501" s="319"/>
      <c r="G501" s="320">
        <f t="shared" si="5"/>
        <v>0</v>
      </c>
      <c r="H501" s="321"/>
      <c r="I501" s="322"/>
      <c r="J501" s="323"/>
    </row>
    <row r="502" spans="1:10" ht="15" customHeight="1">
      <c r="A502" s="315" t="str">
        <f>IF(B502="","",IF(B501="",SUM(COUNT($A$5:A501)+1),""))</f>
        <v/>
      </c>
      <c r="C502" s="316" t="str">
        <f>IF(B502="","",VLOOKUP(B502,'TB for financial'!A:B,2,0))</f>
        <v/>
      </c>
      <c r="D502" s="674"/>
      <c r="E502" s="676"/>
      <c r="F502" s="319"/>
      <c r="G502" s="320">
        <f t="shared" si="5"/>
        <v>0</v>
      </c>
      <c r="H502" s="321"/>
      <c r="I502" s="322"/>
      <c r="J502" s="323"/>
    </row>
    <row r="503" spans="1:10" ht="15" customHeight="1">
      <c r="A503" s="315" t="str">
        <f>IF(B503="","",IF(B502="",SUM(COUNT($A$5:A502)+1),""))</f>
        <v/>
      </c>
      <c r="C503" s="316" t="str">
        <f>IF(B503="","",VLOOKUP(B503,'TB for financial'!A:B,2,0))</f>
        <v/>
      </c>
      <c r="D503" s="674"/>
      <c r="E503" s="676"/>
      <c r="F503" s="319"/>
      <c r="G503" s="320">
        <f t="shared" si="5"/>
        <v>0</v>
      </c>
      <c r="H503" s="321"/>
      <c r="I503" s="322"/>
      <c r="J503" s="323"/>
    </row>
    <row r="504" spans="1:10" ht="15" customHeight="1">
      <c r="A504" s="315" t="str">
        <f>IF(B504="","",IF(B503="",SUM(COUNT($A$5:A503)+1),""))</f>
        <v/>
      </c>
      <c r="C504" s="316" t="str">
        <f>IF(B504="","",VLOOKUP(B504,'TB for financial'!A:B,2,0))</f>
        <v/>
      </c>
      <c r="D504" s="674"/>
      <c r="E504" s="676"/>
      <c r="F504" s="319"/>
      <c r="G504" s="320">
        <f t="shared" si="5"/>
        <v>0</v>
      </c>
      <c r="H504" s="321"/>
      <c r="I504" s="322"/>
      <c r="J504" s="323"/>
    </row>
    <row r="505" spans="1:10" ht="15" customHeight="1">
      <c r="A505" s="315" t="str">
        <f>IF(B505="","",IF(B504="",SUM(COUNT($A$5:A504)+1),""))</f>
        <v/>
      </c>
      <c r="C505" s="316" t="str">
        <f>IF(B505="","",VLOOKUP(B505,'TB for financial'!A:B,2,0))</f>
        <v/>
      </c>
      <c r="D505" s="674"/>
      <c r="E505" s="676"/>
      <c r="F505" s="319"/>
      <c r="G505" s="320">
        <f t="shared" si="5"/>
        <v>0</v>
      </c>
      <c r="H505" s="321"/>
      <c r="I505" s="322"/>
      <c r="J505" s="323"/>
    </row>
    <row r="506" spans="1:10" ht="15" customHeight="1">
      <c r="A506" s="315" t="str">
        <f>IF(B506="","",IF(B505="",SUM(COUNT($A$5:A505)+1),""))</f>
        <v/>
      </c>
      <c r="C506" s="316" t="str">
        <f>IF(B506="","",VLOOKUP(B506,'TB for financial'!A:B,2,0))</f>
        <v/>
      </c>
      <c r="D506" s="674"/>
      <c r="E506" s="676"/>
      <c r="F506" s="319"/>
      <c r="G506" s="320">
        <f t="shared" si="5"/>
        <v>0</v>
      </c>
      <c r="H506" s="321"/>
      <c r="I506" s="322"/>
      <c r="J506" s="323"/>
    </row>
    <row r="507" spans="1:10" ht="15" customHeight="1">
      <c r="A507" s="315" t="str">
        <f>IF(B507="","",IF(B506="",SUM(COUNT($A$5:A506)+1),""))</f>
        <v/>
      </c>
      <c r="C507" s="316" t="str">
        <f>IF(B507="","",VLOOKUP(B507,'TB for financial'!A:B,2,0))</f>
        <v/>
      </c>
      <c r="D507" s="674"/>
      <c r="E507" s="676"/>
      <c r="F507" s="319"/>
      <c r="G507" s="320">
        <f t="shared" si="5"/>
        <v>0</v>
      </c>
      <c r="H507" s="321"/>
      <c r="I507" s="322"/>
      <c r="J507" s="323"/>
    </row>
    <row r="508" spans="1:10" ht="15" customHeight="1">
      <c r="A508" s="315" t="str">
        <f>IF(B508="","",IF(B507="",SUM(COUNT($A$5:A507)+1),""))</f>
        <v/>
      </c>
      <c r="C508" s="316" t="str">
        <f>IF(B508="","",VLOOKUP(B508,'TB for financial'!A:B,2,0))</f>
        <v/>
      </c>
      <c r="D508" s="674"/>
      <c r="E508" s="676"/>
      <c r="F508" s="319"/>
      <c r="G508" s="320">
        <f t="shared" si="5"/>
        <v>0</v>
      </c>
      <c r="H508" s="321"/>
      <c r="I508" s="322"/>
      <c r="J508" s="323"/>
    </row>
    <row r="509" spans="1:10" ht="15" customHeight="1">
      <c r="A509" s="315" t="str">
        <f>IF(B509="","",IF(B508="",SUM(COUNT($A$5:A508)+1),""))</f>
        <v/>
      </c>
      <c r="C509" s="316" t="str">
        <f>IF(B509="","",VLOOKUP(B509,'TB for financial'!A:B,2,0))</f>
        <v/>
      </c>
      <c r="D509" s="674"/>
      <c r="E509" s="676"/>
      <c r="F509" s="319"/>
      <c r="G509" s="320">
        <f t="shared" si="5"/>
        <v>0</v>
      </c>
      <c r="H509" s="321"/>
      <c r="I509" s="322"/>
      <c r="J509" s="323"/>
    </row>
    <row r="510" spans="1:10" ht="15" customHeight="1">
      <c r="A510" s="315" t="str">
        <f>IF(B510="","",IF(B509="",SUM(COUNT($A$5:A509)+1),""))</f>
        <v/>
      </c>
      <c r="C510" s="1385"/>
      <c r="D510" s="674"/>
      <c r="E510" s="676"/>
      <c r="F510" s="319"/>
      <c r="G510" s="320">
        <f t="shared" si="5"/>
        <v>0</v>
      </c>
      <c r="H510" s="321"/>
      <c r="I510" s="322"/>
      <c r="J510" s="323"/>
    </row>
    <row r="511" spans="1:10" ht="15" customHeight="1">
      <c r="A511" s="315" t="str">
        <f>IF(B511="","",IF(B510="",SUM(COUNT($A$5:A510)+1),""))</f>
        <v/>
      </c>
      <c r="C511" s="316" t="str">
        <f>IF(B511="","",VLOOKUP(B511,'TB for financial'!A:B,2,0))</f>
        <v/>
      </c>
      <c r="D511" s="674"/>
      <c r="E511" s="676"/>
      <c r="F511" s="319"/>
      <c r="G511" s="320">
        <f t="shared" si="5"/>
        <v>0</v>
      </c>
      <c r="H511" s="321"/>
      <c r="I511" s="322"/>
      <c r="J511" s="323"/>
    </row>
    <row r="512" spans="1:10" ht="15" customHeight="1">
      <c r="A512" s="315" t="str">
        <f>IF(B512="","",IF(B511="",SUM(COUNT($A$5:A511)+1),""))</f>
        <v/>
      </c>
      <c r="C512" s="316" t="str">
        <f>IF(B512="","",VLOOKUP(B512,'TB for financial'!A:B,2,0))</f>
        <v/>
      </c>
      <c r="D512" s="674"/>
      <c r="E512" s="676"/>
      <c r="F512" s="319"/>
      <c r="G512" s="320">
        <f t="shared" si="5"/>
        <v>0</v>
      </c>
      <c r="H512" s="321"/>
      <c r="I512" s="322"/>
      <c r="J512" s="323"/>
    </row>
    <row r="513" spans="1:10" ht="15" customHeight="1">
      <c r="A513" s="315" t="str">
        <f>IF(B513="","",IF(B512="",SUM(COUNT($A$5:A512)+1),""))</f>
        <v/>
      </c>
      <c r="C513" s="316" t="str">
        <f>IF(B513="","",VLOOKUP(B513,'TB for financial'!A:B,2,0))</f>
        <v/>
      </c>
      <c r="D513" s="674"/>
      <c r="E513" s="676"/>
      <c r="F513" s="319"/>
      <c r="G513" s="320">
        <f t="shared" si="5"/>
        <v>0</v>
      </c>
      <c r="H513" s="321"/>
      <c r="I513" s="322"/>
      <c r="J513" s="323"/>
    </row>
    <row r="514" spans="1:10" ht="15" customHeight="1">
      <c r="A514" s="315" t="str">
        <f>IF(B514="","",IF(B513="",SUM(COUNT($A$5:A513)+1),""))</f>
        <v/>
      </c>
      <c r="C514" s="316" t="str">
        <f>IF(B514="","",VLOOKUP(B514,'TB for financial'!A:B,2,0))</f>
        <v/>
      </c>
      <c r="D514" s="674"/>
      <c r="E514" s="676"/>
      <c r="F514" s="319"/>
      <c r="G514" s="320">
        <f t="shared" si="5"/>
        <v>0</v>
      </c>
      <c r="H514" s="321"/>
      <c r="I514" s="322"/>
      <c r="J514" s="323"/>
    </row>
    <row r="515" spans="1:10" ht="15" customHeight="1">
      <c r="A515" s="315" t="str">
        <f>IF(B515="","",IF(B514="",SUM(COUNT($A$5:A514)+1),""))</f>
        <v/>
      </c>
      <c r="C515" s="316" t="str">
        <f>IF(B515="","",VLOOKUP(B515,'TB for financial'!A:B,2,0))</f>
        <v/>
      </c>
      <c r="D515" s="318"/>
      <c r="E515" s="317"/>
      <c r="F515" s="319"/>
      <c r="G515" s="320"/>
      <c r="H515" s="321"/>
      <c r="I515" s="322"/>
      <c r="J515" s="323"/>
    </row>
    <row r="516" spans="1:10" ht="15" customHeight="1">
      <c r="A516" s="315" t="str">
        <f>IF(B516="","",IF(B515="",SUM(COUNT($A$5:A515)+1),""))</f>
        <v/>
      </c>
      <c r="B516" s="327"/>
      <c r="C516" s="316" t="str">
        <f>IF(B516="","",VLOOKUP(B516,'TB for financial'!A:B,2,0))</f>
        <v/>
      </c>
      <c r="D516" s="674"/>
      <c r="E516" s="676"/>
      <c r="F516" s="319"/>
      <c r="G516" s="320">
        <f>IF(H516="PL - PL",0,IF(D516="",-E516,D516))</f>
        <v>0</v>
      </c>
      <c r="H516" s="321"/>
      <c r="I516" s="322"/>
      <c r="J516" s="323"/>
    </row>
    <row r="517" spans="1:10" ht="15" customHeight="1">
      <c r="A517" s="315" t="str">
        <f>IF(B517="","",IF(B516="",SUM(COUNT($A$5:A516)+1),""))</f>
        <v/>
      </c>
      <c r="B517" s="327"/>
      <c r="C517" s="316" t="str">
        <f>IF(B517="","",VLOOKUP(B517,'TB for financial'!A:B,2,0))</f>
        <v/>
      </c>
      <c r="D517" s="674"/>
      <c r="E517" s="676"/>
      <c r="F517" s="319"/>
      <c r="G517" s="320">
        <f>IF(H517="PL - PL",0,IF(D517="",-E517,D517))</f>
        <v>0</v>
      </c>
      <c r="H517" s="321"/>
      <c r="I517" s="322"/>
      <c r="J517" s="323"/>
    </row>
    <row r="518" spans="1:10" ht="15" customHeight="1">
      <c r="A518" s="315" t="str">
        <f>IF(B518="","",IF(B517="",SUM(COUNT($A$5:A517)+1),""))</f>
        <v/>
      </c>
      <c r="B518" s="327"/>
      <c r="C518" s="316" t="str">
        <f>IF(B518="","",VLOOKUP(B518,'TB for financial'!A:B,2,0))</f>
        <v/>
      </c>
      <c r="D518" s="674"/>
      <c r="E518" s="676"/>
      <c r="F518" s="319"/>
      <c r="G518" s="320">
        <f>IF(H518="PL - PL",0,IF(D518="",-E518,D518))</f>
        <v>0</v>
      </c>
      <c r="H518" s="321"/>
      <c r="I518" s="322"/>
      <c r="J518" s="323"/>
    </row>
    <row r="519" spans="1:10" ht="15" customHeight="1">
      <c r="A519" s="315" t="str">
        <f>IF(B519="","",IF(B518="",SUM(COUNT($A$5:A518)+1),""))</f>
        <v/>
      </c>
      <c r="B519" s="327"/>
      <c r="C519" s="316" t="str">
        <f>IF(B519="","",VLOOKUP(B519,'TB for financial'!A:B,2,0))</f>
        <v/>
      </c>
      <c r="D519" s="673"/>
      <c r="E519" s="674"/>
      <c r="F519" s="319"/>
      <c r="G519" s="320">
        <f>IF(H519="PL - PL",0,IF(D519="",-E519,D519))</f>
        <v>0</v>
      </c>
      <c r="H519" s="321"/>
      <c r="I519" s="322"/>
      <c r="J519" s="323"/>
    </row>
    <row r="520" spans="1:10" ht="15" customHeight="1">
      <c r="A520" s="315" t="str">
        <f>IF(B520="","",IF(B519="",SUM(COUNT($A$5:A519)+1),""))</f>
        <v/>
      </c>
      <c r="B520" s="327"/>
      <c r="C520" s="316" t="str">
        <f>IF(B520="","",VLOOKUP(B520,'TB for financial'!A:B,2,0))</f>
        <v/>
      </c>
      <c r="D520" s="318"/>
      <c r="E520" s="317"/>
      <c r="F520" s="319"/>
      <c r="G520" s="320"/>
      <c r="H520" s="321"/>
      <c r="I520" s="322"/>
      <c r="J520" s="323"/>
    </row>
    <row r="521" spans="1:10" ht="15" customHeight="1">
      <c r="A521" s="315" t="str">
        <f>IF(B521="","",IF(B520="",SUM(COUNT($A$5:A520)+1),""))</f>
        <v/>
      </c>
      <c r="B521" s="327"/>
      <c r="C521" s="316" t="str">
        <f>IF(B521="","",VLOOKUP(B521,'TB for financial'!A:B,2,0))</f>
        <v/>
      </c>
      <c r="D521" s="318"/>
      <c r="E521" s="317"/>
      <c r="F521" s="319"/>
      <c r="G521" s="320"/>
      <c r="H521" s="321"/>
      <c r="I521" s="322"/>
      <c r="J521" s="323"/>
    </row>
    <row r="522" spans="1:10" ht="15" customHeight="1">
      <c r="A522" s="315" t="str">
        <f>IF(B522="","",IF(B521="",SUM(COUNT($A$5:A521)+1),""))</f>
        <v/>
      </c>
      <c r="B522" s="327"/>
      <c r="C522" s="316" t="str">
        <f>IF(B522="","",VLOOKUP(B522,'TB for financial'!A:B,2,0))</f>
        <v/>
      </c>
      <c r="D522" s="674"/>
      <c r="E522" s="674"/>
      <c r="F522" s="319"/>
      <c r="G522" s="320">
        <f>IF(H522="PL - PL",0,IF(D522="",-E522,D522))</f>
        <v>0</v>
      </c>
      <c r="H522" s="321"/>
      <c r="I522" s="322"/>
      <c r="J522" s="323"/>
    </row>
    <row r="523" spans="1:10" ht="15" customHeight="1">
      <c r="A523" s="315" t="str">
        <f>IF(B523="","",IF(B522="",SUM(COUNT($A$5:A522)+1),""))</f>
        <v/>
      </c>
      <c r="B523" s="327"/>
      <c r="C523" s="1385"/>
      <c r="D523" s="673"/>
      <c r="E523" s="674"/>
      <c r="F523" s="319"/>
      <c r="G523" s="320">
        <f>IF(H523="PL - PL",0,IF(D523="",-E523,D523))</f>
        <v>0</v>
      </c>
      <c r="H523" s="321"/>
      <c r="I523" s="322"/>
      <c r="J523" s="323"/>
    </row>
    <row r="524" spans="1:10" ht="15" customHeight="1">
      <c r="A524" s="315" t="str">
        <f>IF(B524="","",IF(B523="",SUM(COUNT($A$5:A523)+1),""))</f>
        <v/>
      </c>
      <c r="B524" s="327"/>
      <c r="C524" s="316" t="str">
        <f>IF(B524="","",VLOOKUP(B524,'TB for financial'!A:B,2,0))</f>
        <v/>
      </c>
      <c r="D524" s="674"/>
      <c r="E524" s="675"/>
      <c r="F524" s="319"/>
      <c r="G524" s="320"/>
      <c r="H524" s="321"/>
      <c r="I524" s="322"/>
      <c r="J524" s="323"/>
    </row>
    <row r="525" spans="1:10" ht="15" customHeight="1">
      <c r="A525" s="315" t="str">
        <f>IF(B525="","",IF(B524="",SUM(COUNT($A$5:A524)+1),""))</f>
        <v/>
      </c>
      <c r="B525" s="327"/>
      <c r="C525" s="316" t="str">
        <f>IF(B525="","",VLOOKUP(B525,'TB for financial'!A:B,2,0))</f>
        <v/>
      </c>
      <c r="D525" s="674"/>
      <c r="E525" s="675"/>
      <c r="F525" s="319"/>
      <c r="G525" s="320"/>
      <c r="H525" s="321"/>
      <c r="I525" s="322"/>
      <c r="J525" s="323"/>
    </row>
    <row r="526" spans="1:10" ht="15" customHeight="1">
      <c r="A526" s="315" t="str">
        <f>IF(B526="","",IF(B525="",SUM(COUNT($A$5:A525)+1),""))</f>
        <v/>
      </c>
      <c r="B526" s="327"/>
      <c r="C526" s="316" t="str">
        <f>IF(B526="","",VLOOKUP(B526,'TB for financial'!A:B,2,0))</f>
        <v/>
      </c>
      <c r="D526" s="674"/>
      <c r="E526" s="675"/>
      <c r="F526" s="319"/>
      <c r="G526" s="320"/>
      <c r="H526" s="321"/>
      <c r="I526" s="322"/>
      <c r="J526" s="323"/>
    </row>
    <row r="527" spans="1:10" ht="15" customHeight="1">
      <c r="A527" s="315" t="str">
        <f>IF(B527="","",IF(B526="",SUM(COUNT($A$5:A526)+1),""))</f>
        <v/>
      </c>
      <c r="B527" s="327"/>
      <c r="C527" s="316" t="str">
        <f>IF(B527="","",VLOOKUP(B527,'TB for financial'!A:B,2,0))</f>
        <v/>
      </c>
      <c r="D527" s="674"/>
      <c r="E527" s="675"/>
      <c r="F527" s="319"/>
      <c r="G527" s="320"/>
      <c r="H527" s="321"/>
      <c r="I527" s="322"/>
      <c r="J527" s="323"/>
    </row>
    <row r="528" spans="1:10" ht="15" customHeight="1">
      <c r="A528" s="315" t="str">
        <f>IF(B528="","",IF(B527="",SUM(COUNT($A$5:A527)+1),""))</f>
        <v/>
      </c>
      <c r="B528" s="327"/>
      <c r="C528" s="316" t="str">
        <f>IF(B528="","",VLOOKUP(B528,'TB for financial'!A:B,2,0))</f>
        <v/>
      </c>
      <c r="D528" s="674"/>
      <c r="E528" s="675"/>
      <c r="F528" s="319"/>
      <c r="G528" s="320"/>
      <c r="H528" s="321"/>
      <c r="I528" s="322"/>
      <c r="J528" s="323"/>
    </row>
    <row r="529" spans="1:10" ht="15" customHeight="1">
      <c r="A529" s="315" t="str">
        <f>IF(B529="","",IF(B528="",SUM(COUNT($A$5:A528)+1),""))</f>
        <v/>
      </c>
      <c r="B529" s="327"/>
      <c r="C529" s="1385"/>
      <c r="D529" s="674"/>
      <c r="E529" s="675"/>
      <c r="F529" s="319"/>
      <c r="G529" s="320"/>
      <c r="H529" s="321"/>
      <c r="I529" s="322"/>
      <c r="J529" s="323"/>
    </row>
    <row r="530" spans="1:10" ht="15" customHeight="1">
      <c r="A530" s="315" t="str">
        <f>IF(B530="","",IF(B529="",SUM(COUNT($A$5:A529)+1),""))</f>
        <v/>
      </c>
      <c r="B530" s="327"/>
      <c r="C530" s="316" t="str">
        <f>IF(B530="","",VLOOKUP(B530,'TB for financial'!A:B,2,0))</f>
        <v/>
      </c>
      <c r="D530" s="674"/>
      <c r="E530" s="675"/>
      <c r="F530" s="319"/>
      <c r="G530" s="320"/>
      <c r="H530" s="321"/>
      <c r="I530" s="322"/>
      <c r="J530" s="323"/>
    </row>
    <row r="531" spans="1:10" ht="15" customHeight="1">
      <c r="A531" s="315" t="str">
        <f>IF(B531="","",IF(B530="",SUM(COUNT($A$5:A530)+1),""))</f>
        <v/>
      </c>
      <c r="B531" s="327"/>
      <c r="C531" s="316" t="str">
        <f>IF(B531="","",VLOOKUP(B531,'TB for financial'!A:B,2,0))</f>
        <v/>
      </c>
      <c r="D531" s="674"/>
      <c r="E531" s="675"/>
      <c r="F531" s="319"/>
      <c r="G531" s="320"/>
      <c r="H531" s="321"/>
      <c r="I531" s="322"/>
      <c r="J531" s="323"/>
    </row>
    <row r="532" spans="1:10" ht="15" customHeight="1">
      <c r="A532" s="315" t="str">
        <f>IF(B532="","",IF(B531="",SUM(COUNT($A$5:A531)+1),""))</f>
        <v/>
      </c>
      <c r="B532" s="327"/>
      <c r="C532" s="316" t="str">
        <f>IF(B532="","",VLOOKUP(B532,'TB for financial'!A:B,2,0))</f>
        <v/>
      </c>
      <c r="D532" s="674"/>
      <c r="E532" s="675"/>
      <c r="F532" s="319"/>
      <c r="G532" s="320"/>
      <c r="H532" s="321"/>
      <c r="I532" s="322"/>
      <c r="J532" s="323"/>
    </row>
    <row r="533" spans="1:10" ht="15" customHeight="1">
      <c r="A533" s="315" t="str">
        <f>IF(B533="","",IF(B532="",SUM(COUNT($A$5:A532)+1),""))</f>
        <v/>
      </c>
      <c r="B533" s="327"/>
      <c r="C533" s="316" t="str">
        <f>IF(B533="","",VLOOKUP(B533,'TB for financial'!A:B,2,0))</f>
        <v/>
      </c>
      <c r="D533" s="674"/>
      <c r="E533" s="675"/>
      <c r="F533" s="319"/>
      <c r="G533" s="320"/>
      <c r="H533" s="321"/>
      <c r="I533" s="322"/>
      <c r="J533" s="323"/>
    </row>
    <row r="534" spans="1:10" ht="15" customHeight="1">
      <c r="A534" s="315" t="str">
        <f>IF(B534="","",IF(B533="",SUM(COUNT($A$5:A533)+1),""))</f>
        <v/>
      </c>
      <c r="B534" s="327"/>
      <c r="C534" s="1385"/>
      <c r="D534" s="674"/>
      <c r="E534" s="675"/>
      <c r="F534" s="319"/>
      <c r="G534" s="320"/>
      <c r="H534" s="321"/>
      <c r="I534" s="322"/>
      <c r="J534" s="323"/>
    </row>
    <row r="535" spans="1:10" ht="15" customHeight="1">
      <c r="A535" s="315" t="str">
        <f>IF(B535="","",IF(B534="",SUM(COUNT($A$5:A534)+1),""))</f>
        <v/>
      </c>
      <c r="B535" s="327"/>
      <c r="C535" s="316" t="str">
        <f>IF(B535="","",VLOOKUP(B535,'TB for financial'!A:B,2,0))</f>
        <v/>
      </c>
      <c r="D535" s="674"/>
      <c r="E535" s="675"/>
      <c r="F535" s="319"/>
      <c r="G535" s="320"/>
      <c r="H535" s="321"/>
      <c r="I535" s="322"/>
      <c r="J535" s="323"/>
    </row>
    <row r="536" spans="1:10" ht="15" customHeight="1">
      <c r="A536" s="315" t="str">
        <f>IF(B536="","",IF(B535="",SUM(COUNT($A$5:A535)+1),""))</f>
        <v/>
      </c>
      <c r="B536" s="327"/>
      <c r="C536" s="316" t="str">
        <f>IF(B536="","",VLOOKUP(B536,'TB for financial'!A:B,2,0))</f>
        <v/>
      </c>
      <c r="D536" s="674"/>
      <c r="E536" s="675"/>
      <c r="F536" s="319"/>
      <c r="G536" s="320"/>
      <c r="H536" s="321"/>
      <c r="I536" s="322"/>
      <c r="J536" s="323"/>
    </row>
    <row r="537" spans="1:10" ht="15" customHeight="1">
      <c r="A537" s="315" t="str">
        <f>IF(B537="","",IF(B536="",SUM(COUNT($A$5:A536)+1),""))</f>
        <v/>
      </c>
      <c r="B537" s="327"/>
      <c r="C537" s="316" t="str">
        <f>IF(B537="","",VLOOKUP(B537,'TB for financial'!A:B,2,0))</f>
        <v/>
      </c>
      <c r="D537" s="674"/>
      <c r="E537" s="675"/>
      <c r="F537" s="319"/>
      <c r="G537" s="320"/>
      <c r="H537" s="321"/>
      <c r="I537" s="322"/>
      <c r="J537" s="323"/>
    </row>
    <row r="538" spans="1:10" ht="15" customHeight="1">
      <c r="A538" s="315" t="str">
        <f>IF(B538="","",IF(B537="",SUM(COUNT($A$5:A537)+1),""))</f>
        <v/>
      </c>
      <c r="B538" s="327"/>
      <c r="C538" s="1385"/>
      <c r="D538" s="674"/>
      <c r="E538" s="675"/>
      <c r="F538" s="319"/>
      <c r="G538" s="320"/>
      <c r="H538" s="321"/>
      <c r="I538" s="322"/>
      <c r="J538" s="323"/>
    </row>
    <row r="539" spans="1:10" ht="15" customHeight="1">
      <c r="A539" s="315" t="str">
        <f>IF(B539="","",IF(B538="",SUM(COUNT($A$5:A538)+1),""))</f>
        <v/>
      </c>
      <c r="B539" s="327"/>
      <c r="C539" s="316" t="str">
        <f>IF(B539="","",VLOOKUP(B539,'TB for financial'!A:B,2,0))</f>
        <v/>
      </c>
      <c r="D539" s="674"/>
      <c r="E539" s="675"/>
      <c r="F539" s="319"/>
      <c r="G539" s="320"/>
      <c r="H539" s="321"/>
      <c r="I539" s="322"/>
      <c r="J539" s="323"/>
    </row>
    <row r="540" spans="1:10" ht="15" customHeight="1">
      <c r="A540" s="315" t="str">
        <f>IF(B540="","",IF(B539="",SUM(COUNT($A$5:A539)+1),""))</f>
        <v/>
      </c>
      <c r="B540" s="327"/>
      <c r="C540" s="316" t="str">
        <f>IF(B540="","",VLOOKUP(B540,'TB for financial'!A:B,2,0))</f>
        <v/>
      </c>
      <c r="D540" s="674"/>
      <c r="E540" s="674"/>
      <c r="F540" s="319"/>
      <c r="G540" s="320">
        <f t="shared" ref="G540:G545" si="6">IF(H540="PL - PL",0,IF(D540="",-E540,D540))</f>
        <v>0</v>
      </c>
      <c r="H540" s="321"/>
      <c r="I540" s="322"/>
      <c r="J540" s="323"/>
    </row>
    <row r="541" spans="1:10" ht="15" customHeight="1">
      <c r="A541" s="315" t="str">
        <f>IF(B541="","",IF(B540="",SUM(COUNT($A$5:A540)+1),""))</f>
        <v/>
      </c>
      <c r="B541" s="327"/>
      <c r="C541" s="316" t="str">
        <f>IF(B541="","",VLOOKUP(B541,'TB for financial'!A:B,2,0))</f>
        <v/>
      </c>
      <c r="D541" s="674"/>
      <c r="E541" s="675"/>
      <c r="F541" s="319"/>
      <c r="G541" s="320">
        <f t="shared" si="6"/>
        <v>0</v>
      </c>
      <c r="H541" s="321"/>
      <c r="I541" s="322"/>
      <c r="J541" s="323"/>
    </row>
    <row r="542" spans="1:10" ht="15" customHeight="1">
      <c r="A542" s="315" t="str">
        <f>IF(B542="","",IF(B541="",SUM(COUNT($A$5:A541)+1),""))</f>
        <v/>
      </c>
      <c r="B542" s="327"/>
      <c r="C542" s="316" t="str">
        <f>IF(B542="","",VLOOKUP(B542,'TB for financial'!A:B,2,0))</f>
        <v/>
      </c>
      <c r="D542" s="674"/>
      <c r="E542" s="674"/>
      <c r="F542" s="319"/>
      <c r="G542" s="320">
        <f t="shared" si="6"/>
        <v>0</v>
      </c>
      <c r="H542" s="321"/>
      <c r="I542" s="322"/>
      <c r="J542" s="323"/>
    </row>
    <row r="543" spans="1:10" ht="15" customHeight="1">
      <c r="A543" s="315" t="str">
        <f>IF(B543="","",IF(B542="",SUM(COUNT($A$5:A542)+1),""))</f>
        <v/>
      </c>
      <c r="B543" s="327"/>
      <c r="C543" s="316" t="str">
        <f>IF(B543="","",VLOOKUP(B543,'TB for financial'!A:B,2,0))</f>
        <v/>
      </c>
      <c r="D543" s="674"/>
      <c r="E543" s="675"/>
      <c r="F543" s="319"/>
      <c r="G543" s="320">
        <f t="shared" si="6"/>
        <v>0</v>
      </c>
      <c r="H543" s="321"/>
      <c r="I543" s="322"/>
      <c r="J543" s="323"/>
    </row>
    <row r="544" spans="1:10" ht="15" customHeight="1">
      <c r="A544" s="315" t="str">
        <f>IF(B544="","",IF(B543="",SUM(COUNT($A$5:A543)+1),""))</f>
        <v/>
      </c>
      <c r="B544" s="327"/>
      <c r="C544" s="316" t="str">
        <f>IF(B544="","",VLOOKUP(B544,'TB for financial'!A:B,2,0))</f>
        <v/>
      </c>
      <c r="D544" s="674"/>
      <c r="E544" s="675"/>
      <c r="F544" s="319"/>
      <c r="G544" s="320">
        <f t="shared" si="6"/>
        <v>0</v>
      </c>
      <c r="H544" s="321"/>
      <c r="I544" s="322"/>
      <c r="J544" s="323"/>
    </row>
    <row r="545" spans="1:10" ht="15" customHeight="1">
      <c r="A545" s="315" t="str">
        <f>IF(B545="","",IF(B544="",SUM(COUNT($A$5:A544)+1),""))</f>
        <v/>
      </c>
      <c r="B545" s="327"/>
      <c r="C545" s="316" t="str">
        <f>IF(B545="","",VLOOKUP(B545,'TB for financial'!A:B,2,0))</f>
        <v/>
      </c>
      <c r="D545" s="674"/>
      <c r="E545" s="675"/>
      <c r="F545" s="319"/>
      <c r="G545" s="320">
        <f t="shared" si="6"/>
        <v>0</v>
      </c>
      <c r="H545" s="321"/>
      <c r="I545" s="322"/>
      <c r="J545" s="323"/>
    </row>
    <row r="546" spans="1:10" ht="15" customHeight="1">
      <c r="A546" s="315"/>
      <c r="B546" s="327"/>
      <c r="C546" s="1385"/>
      <c r="D546" s="674"/>
      <c r="E546" s="675"/>
      <c r="F546" s="319"/>
      <c r="G546" s="320"/>
      <c r="H546" s="321"/>
      <c r="I546" s="322"/>
      <c r="J546" s="323"/>
    </row>
    <row r="547" spans="1:10" ht="15" customHeight="1">
      <c r="A547" s="315" t="str">
        <f>IF(B547="","",IF(B545="",SUM(COUNT($A$5:A545)+1),""))</f>
        <v/>
      </c>
      <c r="B547" s="327"/>
      <c r="C547" s="316" t="str">
        <f>IF(B547="","",VLOOKUP(B547,'TB for financial'!A:B,2,0))</f>
        <v/>
      </c>
      <c r="D547" s="674"/>
      <c r="E547" s="675"/>
      <c r="F547" s="319"/>
      <c r="G547" s="320"/>
      <c r="H547" s="321"/>
      <c r="I547" s="322"/>
      <c r="J547" s="323"/>
    </row>
    <row r="548" spans="1:10" ht="15" customHeight="1">
      <c r="A548" s="315" t="str">
        <f>IF(B548="","",IF(B547="",SUM(COUNT($A$5:A547)+1),""))</f>
        <v/>
      </c>
      <c r="B548" s="327"/>
      <c r="C548" s="316" t="str">
        <f>IF(B548="","",VLOOKUP(B548,'TB for financial'!A:B,2,0))</f>
        <v/>
      </c>
      <c r="D548" s="674"/>
      <c r="E548" s="675"/>
      <c r="F548" s="319"/>
      <c r="G548" s="320">
        <f>IF(H548="PL - PL",0,IF(D548="",-E548,D548))</f>
        <v>0</v>
      </c>
      <c r="H548" s="321"/>
      <c r="I548" s="322"/>
      <c r="J548" s="323"/>
    </row>
    <row r="549" spans="1:10" ht="15" customHeight="1">
      <c r="A549" s="315" t="str">
        <f>IF(B549="","",IF(B548="",SUM(COUNT($A$5:A548)+1),""))</f>
        <v/>
      </c>
      <c r="B549" s="327"/>
      <c r="C549" s="316" t="str">
        <f>IF(B549="","",VLOOKUP(B549,'TB for financial'!A:B,2,0))</f>
        <v/>
      </c>
      <c r="D549" s="674"/>
      <c r="E549" s="675"/>
      <c r="F549" s="319"/>
      <c r="G549" s="320">
        <f>IF(H549="PL - PL",0,IF(D549="",-E549,D549))</f>
        <v>0</v>
      </c>
      <c r="H549" s="321"/>
      <c r="I549" s="322"/>
      <c r="J549" s="323"/>
    </row>
    <row r="550" spans="1:10" ht="15" customHeight="1">
      <c r="A550" s="315" t="str">
        <f>IF(B550="","",IF(B549="",SUM(COUNT($A$5:A549)+1),""))</f>
        <v/>
      </c>
      <c r="B550" s="327"/>
      <c r="C550" s="316" t="str">
        <f>IF(B550="","",VLOOKUP(B550,'TB for financial'!A:B,2,0))</f>
        <v/>
      </c>
      <c r="D550" s="673"/>
      <c r="E550" s="674"/>
      <c r="F550" s="319"/>
      <c r="G550" s="320"/>
      <c r="H550" s="321"/>
      <c r="I550" s="322"/>
      <c r="J550" s="323"/>
    </row>
    <row r="551" spans="1:10" ht="15" customHeight="1">
      <c r="A551" s="315" t="str">
        <f>IF(B551="","",IF(B550="",SUM(COUNT($A$5:A550)+1),""))</f>
        <v/>
      </c>
      <c r="B551" s="327"/>
      <c r="C551" s="316" t="str">
        <f>IF(B551="","",VLOOKUP(B551,'TB for financial'!A:B,2,0))</f>
        <v/>
      </c>
      <c r="D551" s="673"/>
      <c r="E551" s="674"/>
      <c r="F551" s="319"/>
      <c r="G551" s="320"/>
      <c r="H551" s="321"/>
      <c r="I551" s="322"/>
      <c r="J551" s="323"/>
    </row>
    <row r="552" spans="1:10" ht="15" customHeight="1">
      <c r="A552" s="315" t="str">
        <f>IF(B552="","",IF(B551="",SUM(COUNT($A$5:A551)+1),""))</f>
        <v/>
      </c>
      <c r="B552" s="327"/>
      <c r="C552" s="316" t="str">
        <f>IF(B552="","",VLOOKUP(B552,'TB for financial'!A:B,2,0))</f>
        <v/>
      </c>
      <c r="D552" s="673"/>
      <c r="E552" s="673"/>
      <c r="F552" s="319"/>
      <c r="G552" s="320">
        <f>IF(H552="PL - PL",0,IF(D552="",-E552,D552))</f>
        <v>0</v>
      </c>
      <c r="H552" s="321"/>
      <c r="I552" s="322"/>
      <c r="J552" s="323"/>
    </row>
    <row r="553" spans="1:10" ht="15" customHeight="1">
      <c r="A553" s="315" t="str">
        <f>IF(B553="","",IF(B552="",SUM(COUNT($A$5:A552)+1),""))</f>
        <v/>
      </c>
      <c r="B553" s="327"/>
      <c r="C553" s="316" t="str">
        <f>IF(B553="","",VLOOKUP(B553,'TB for financial'!A:B,2,0))</f>
        <v/>
      </c>
      <c r="D553" s="673"/>
      <c r="E553" s="674"/>
      <c r="F553" s="319"/>
      <c r="G553" s="320">
        <f>IF(H553="PL - PL",0,IF(D553="",-E553,D553))</f>
        <v>0</v>
      </c>
      <c r="H553" s="321"/>
      <c r="I553" s="322"/>
      <c r="J553" s="323"/>
    </row>
    <row r="554" spans="1:10" ht="15" customHeight="1">
      <c r="A554" s="315" t="str">
        <f>IF(B554="","",IF(B553="",SUM(COUNT($A$5:A553)+1),""))</f>
        <v/>
      </c>
      <c r="B554" s="327"/>
      <c r="C554" s="316" t="str">
        <f>IF(B554="","",VLOOKUP(B554,'TB for financial'!A:B,2,0))</f>
        <v/>
      </c>
      <c r="D554" s="674"/>
      <c r="E554" s="674"/>
      <c r="F554" s="319"/>
      <c r="G554" s="320"/>
      <c r="H554" s="321"/>
      <c r="I554" s="322"/>
      <c r="J554" s="323"/>
    </row>
    <row r="555" spans="1:10" ht="15" customHeight="1">
      <c r="A555" s="315" t="str">
        <f>IF(B555="","",IF(B554="",SUM(COUNT($A$5:A554)+1),""))</f>
        <v/>
      </c>
      <c r="B555" s="327"/>
      <c r="C555" s="316" t="str">
        <f>IF(B555="","",VLOOKUP(B555,'TB for financial'!A:B,2,0))</f>
        <v/>
      </c>
      <c r="D555" s="674"/>
      <c r="E555" s="675"/>
      <c r="F555" s="319"/>
      <c r="G555" s="320"/>
      <c r="H555" s="321"/>
      <c r="I555" s="322"/>
      <c r="J555" s="323"/>
    </row>
    <row r="556" spans="1:10" ht="15" customHeight="1">
      <c r="A556" s="315" t="str">
        <f>IF(B556="","",IF(B555="",SUM(COUNT($A$5:A555)+1),""))</f>
        <v/>
      </c>
      <c r="B556" s="327"/>
      <c r="C556" s="316" t="str">
        <f>IF(B556="","",VLOOKUP(B556,'TB for financial'!A:B,2,0))</f>
        <v/>
      </c>
      <c r="D556" s="674"/>
      <c r="E556" s="675"/>
      <c r="F556" s="319"/>
      <c r="G556" s="320">
        <f>IF(H556="PL - PL",0,IF(D556="",-E556,D556))</f>
        <v>0</v>
      </c>
      <c r="H556" s="321"/>
      <c r="I556" s="322"/>
      <c r="J556" s="323"/>
    </row>
    <row r="557" spans="1:10" ht="15" customHeight="1">
      <c r="A557" s="315" t="str">
        <f>IF(B557="","",IF(B556="",SUM(COUNT($A$5:A556)+1),""))</f>
        <v/>
      </c>
      <c r="B557" s="327"/>
      <c r="C557" s="316" t="str">
        <f>IF(B557="","",VLOOKUP(B557,'TB for financial'!A:B,2,0))</f>
        <v/>
      </c>
      <c r="D557" s="674"/>
      <c r="E557" s="675"/>
      <c r="F557" s="319"/>
      <c r="G557" s="320">
        <f>IF(H557="PL - PL",0,IF(D557="",-E557,D557))</f>
        <v>0</v>
      </c>
      <c r="H557" s="321"/>
      <c r="I557" s="322"/>
      <c r="J557" s="323"/>
    </row>
    <row r="558" spans="1:10" ht="15" customHeight="1">
      <c r="A558" s="315" t="str">
        <f>IF(B558="","",IF(B557="",SUM(COUNT($A$5:A557)+1),""))</f>
        <v/>
      </c>
      <c r="B558" s="327"/>
      <c r="C558" s="1385"/>
      <c r="D558" s="674"/>
      <c r="E558" s="675"/>
      <c r="F558" s="319"/>
      <c r="G558" s="320">
        <f>IF(H558="PL - PL",0,IF(D558="",-E558,D558))</f>
        <v>0</v>
      </c>
      <c r="H558" s="321"/>
      <c r="I558" s="322"/>
      <c r="J558" s="323"/>
    </row>
    <row r="559" spans="1:10" ht="15" customHeight="1">
      <c r="A559" s="315" t="str">
        <f>IF(B559="","",IF(B558="",SUM(COUNT($A$5:A558)+1),""))</f>
        <v/>
      </c>
      <c r="B559" s="327"/>
      <c r="C559" s="316" t="str">
        <f>IF(B559="","",VLOOKUP(B559,'TB for financial'!A:B,2,0))</f>
        <v/>
      </c>
      <c r="D559" s="674"/>
      <c r="E559" s="676"/>
      <c r="F559" s="319"/>
      <c r="G559" s="320">
        <f>IF(H559="PL - PL",0,IF(D559="",-E559,D559))</f>
        <v>0</v>
      </c>
      <c r="H559" s="321"/>
      <c r="I559" s="322"/>
      <c r="J559" s="323"/>
    </row>
    <row r="560" spans="1:10" ht="15" customHeight="1">
      <c r="A560" s="315" t="str">
        <f>IF(B560="","",IF(B559="",SUM(COUNT($A$5:A559)+1),""))</f>
        <v/>
      </c>
      <c r="B560" s="327"/>
      <c r="C560" s="316" t="str">
        <f>IF(B560="","",VLOOKUP(B560,'TB for financial'!A:B,2,0))</f>
        <v/>
      </c>
      <c r="D560" s="674"/>
      <c r="E560" s="674"/>
      <c r="F560" s="319"/>
      <c r="G560" s="320"/>
      <c r="H560" s="321"/>
      <c r="I560" s="322"/>
      <c r="J560" s="323"/>
    </row>
    <row r="561" spans="1:10" ht="15" customHeight="1">
      <c r="A561" s="315" t="str">
        <f>IF(B561="","",IF(B560="",SUM(COUNT($A$5:A560)+1),""))</f>
        <v/>
      </c>
      <c r="B561" s="327"/>
      <c r="C561" s="316" t="str">
        <f>IF(B561="","",VLOOKUP(B561,'TB for financial'!A:B,2,0))</f>
        <v/>
      </c>
      <c r="D561" s="674"/>
      <c r="E561" s="676"/>
      <c r="F561" s="319"/>
      <c r="G561" s="320">
        <f>IF(H561="PL - PL",0,IF(D561="",-E561,D561))</f>
        <v>0</v>
      </c>
      <c r="H561" s="321"/>
      <c r="I561" s="322"/>
      <c r="J561" s="323"/>
    </row>
    <row r="562" spans="1:10" ht="15" customHeight="1">
      <c r="A562" s="315" t="str">
        <f>IF(B562="","",IF(B561="",SUM(COUNT($A$5:A561)+1),""))</f>
        <v/>
      </c>
      <c r="B562" s="327"/>
      <c r="C562" s="316" t="str">
        <f>IF(B562="","",VLOOKUP(B562,'TB for financial'!A:B,2,0))</f>
        <v/>
      </c>
      <c r="D562" s="674"/>
      <c r="E562" s="674"/>
      <c r="F562" s="319"/>
      <c r="G562" s="320">
        <f>IF(H562="PL - PL",0,IF(D562="",-E562,D562))</f>
        <v>0</v>
      </c>
      <c r="H562" s="321"/>
      <c r="I562" s="322"/>
      <c r="J562" s="323"/>
    </row>
    <row r="563" spans="1:10" ht="15" customHeight="1">
      <c r="A563" s="315" t="str">
        <f>IF(B563="","",IF(B562="",SUM(COUNT($A$5:A562)+1),""))</f>
        <v/>
      </c>
      <c r="B563" s="327"/>
      <c r="C563" s="316" t="str">
        <f>IF(B563="","",VLOOKUP(B563,'TB for financial'!A:B,2,0))</f>
        <v/>
      </c>
      <c r="D563" s="674"/>
      <c r="E563" s="675"/>
      <c r="F563" s="319"/>
      <c r="G563" s="320"/>
      <c r="H563" s="321"/>
      <c r="I563" s="322"/>
      <c r="J563" s="323"/>
    </row>
    <row r="564" spans="1:10" ht="15" customHeight="1">
      <c r="A564" s="315" t="str">
        <f>IF(B564="","",IF(B563="",SUM(COUNT($A$5:A563)+1),""))</f>
        <v/>
      </c>
      <c r="B564" s="327"/>
      <c r="C564" s="1385"/>
      <c r="D564" s="674"/>
      <c r="E564" s="675"/>
      <c r="F564" s="319"/>
      <c r="G564" s="320">
        <f>IF(H564="PL - PL",0,IF(D564="",-E564,D564))</f>
        <v>0</v>
      </c>
      <c r="H564" s="321"/>
      <c r="I564" s="322"/>
      <c r="J564" s="323"/>
    </row>
    <row r="565" spans="1:10" ht="15" customHeight="1">
      <c r="A565" s="315" t="str">
        <f>IF(B565="","",IF(B564="",SUM(COUNT($A$5:A564)+1),""))</f>
        <v/>
      </c>
      <c r="B565" s="327"/>
      <c r="C565" s="316" t="str">
        <f>IF(B565="","",VLOOKUP(B565,'TB for financial'!A:B,2,0))</f>
        <v/>
      </c>
      <c r="D565" s="674"/>
      <c r="E565" s="675"/>
      <c r="F565" s="319"/>
      <c r="G565" s="320">
        <f>IF(H565="PL - PL",0,IF(D565="",-E565,D565))</f>
        <v>0</v>
      </c>
      <c r="H565" s="321"/>
      <c r="I565" s="322"/>
      <c r="J565" s="323"/>
    </row>
    <row r="566" spans="1:10" ht="15" customHeight="1">
      <c r="A566" s="315" t="str">
        <f>IF(B566="","",IF(B565="",SUM(COUNT($A$5:A565)+1),""))</f>
        <v/>
      </c>
      <c r="B566" s="327"/>
      <c r="C566" s="316" t="str">
        <f>IF(B566="","",VLOOKUP(B566,'TB for financial'!A:B,2,0))</f>
        <v/>
      </c>
      <c r="D566" s="674"/>
      <c r="E566" s="675"/>
      <c r="F566" s="319"/>
      <c r="G566" s="320"/>
      <c r="H566" s="321"/>
      <c r="I566" s="322"/>
      <c r="J566" s="323"/>
    </row>
    <row r="567" spans="1:10" ht="15" customHeight="1">
      <c r="A567" s="315" t="str">
        <f>IF(B567="","",IF(B566="",SUM(COUNT($A$5:A566)+1),""))</f>
        <v/>
      </c>
      <c r="B567" s="327"/>
      <c r="C567" s="316" t="str">
        <f>IF(B567="","",VLOOKUP(B567,'TB for financial'!A:B,2,0))</f>
        <v/>
      </c>
      <c r="D567" s="674"/>
      <c r="E567" s="675"/>
      <c r="F567" s="319"/>
      <c r="G567" s="320"/>
      <c r="H567" s="321"/>
      <c r="I567" s="322"/>
      <c r="J567" s="323"/>
    </row>
    <row r="568" spans="1:10" ht="15" customHeight="1">
      <c r="A568" s="315" t="str">
        <f>IF(B568="","",IF(B567="",SUM(COUNT($A$5:A567)+1),""))</f>
        <v/>
      </c>
      <c r="B568" s="327"/>
      <c r="C568" s="1385"/>
      <c r="D568" s="674"/>
      <c r="E568" s="675"/>
      <c r="F568" s="319"/>
      <c r="G568" s="320"/>
      <c r="H568" s="321"/>
      <c r="I568" s="322"/>
      <c r="J568" s="323"/>
    </row>
    <row r="569" spans="1:10" ht="15" customHeight="1">
      <c r="A569" s="315" t="str">
        <f>IF(B569="","",IF(B568="",SUM(COUNT($A$5:A568)+1),""))</f>
        <v/>
      </c>
      <c r="B569" s="327"/>
      <c r="C569" s="316" t="str">
        <f>IF(B569="","",VLOOKUP(B569,'TB for financial'!A:B,2,0))</f>
        <v/>
      </c>
      <c r="D569" s="674"/>
      <c r="E569" s="675"/>
      <c r="F569" s="319"/>
      <c r="G569" s="320"/>
      <c r="H569" s="321"/>
      <c r="I569" s="322"/>
      <c r="J569" s="323"/>
    </row>
    <row r="570" spans="1:10" ht="15" customHeight="1">
      <c r="A570" s="315" t="str">
        <f>IF(B570="","",IF(B569="",SUM(COUNT($A$5:A569)+1),""))</f>
        <v/>
      </c>
      <c r="B570" s="327"/>
      <c r="C570" s="316" t="str">
        <f>IF(B570="","",VLOOKUP(B570,'TB for financial'!A:B,2,0))</f>
        <v/>
      </c>
      <c r="D570" s="674"/>
      <c r="E570" s="675"/>
      <c r="F570" s="319"/>
      <c r="G570" s="320">
        <f>IF(H570="PL - PL",0,IF(D570="",-E570,D570))</f>
        <v>0</v>
      </c>
      <c r="H570" s="321"/>
      <c r="I570" s="322"/>
      <c r="J570" s="323"/>
    </row>
    <row r="571" spans="1:10" ht="15" customHeight="1">
      <c r="A571" s="315" t="str">
        <f>IF(B571="","",IF(B570="",SUM(COUNT($A$5:A570)+1),""))</f>
        <v/>
      </c>
      <c r="B571" s="327"/>
      <c r="C571" s="316" t="str">
        <f>IF(B571="","",VLOOKUP(B571,'TB for financial'!A:B,2,0))</f>
        <v/>
      </c>
      <c r="D571" s="674"/>
      <c r="E571" s="676"/>
      <c r="F571" s="319"/>
      <c r="G571" s="320">
        <f>IF(H571="PL - PL",0,IF(D571="",-E571,D571))</f>
        <v>0</v>
      </c>
      <c r="H571" s="321"/>
      <c r="I571" s="322"/>
      <c r="J571" s="323"/>
    </row>
    <row r="572" spans="1:10" ht="15" customHeight="1">
      <c r="A572" s="315" t="str">
        <f>IF(B572="","",IF(B571="",SUM(COUNT($A$5:A571)+1),""))</f>
        <v/>
      </c>
      <c r="B572" s="327"/>
      <c r="C572" s="1385"/>
      <c r="D572" s="673"/>
      <c r="E572" s="674"/>
      <c r="F572" s="319"/>
      <c r="G572" s="320"/>
      <c r="H572" s="321"/>
      <c r="I572" s="322"/>
      <c r="J572" s="323"/>
    </row>
    <row r="573" spans="1:10" ht="15" customHeight="1">
      <c r="A573" s="315" t="str">
        <f>IF(B573="","",IF(B572="",SUM(COUNT($A$5:A572)+1),""))</f>
        <v/>
      </c>
      <c r="B573" s="327"/>
      <c r="C573" s="316" t="str">
        <f>IF(B573="","",VLOOKUP(B573,'TB for financial'!A:B,2,0))</f>
        <v/>
      </c>
      <c r="D573" s="674"/>
      <c r="E573" s="676"/>
      <c r="F573" s="319"/>
      <c r="G573" s="320">
        <f>IF(H573="PL - PL",0,IF(D573="",-E573,D573))</f>
        <v>0</v>
      </c>
      <c r="H573" s="321"/>
      <c r="I573" s="322"/>
      <c r="J573" s="323"/>
    </row>
    <row r="574" spans="1:10" ht="15" customHeight="1">
      <c r="A574" s="315" t="str">
        <f>IF(B574="","",IF(B573="",SUM(COUNT($A$5:A573)+1),""))</f>
        <v/>
      </c>
      <c r="B574" s="327"/>
      <c r="C574" s="316" t="str">
        <f>IF(B574="","",VLOOKUP(B574,'TB for financial'!A:B,2,0))</f>
        <v/>
      </c>
      <c r="D574" s="674"/>
      <c r="E574" s="676"/>
      <c r="F574" s="319"/>
      <c r="G574" s="320">
        <f>IF(H574="PL - PL",0,IF(D574="",-E574,D574))</f>
        <v>0</v>
      </c>
      <c r="H574" s="321"/>
      <c r="I574" s="322"/>
      <c r="J574" s="323"/>
    </row>
    <row r="575" spans="1:10" ht="15" customHeight="1">
      <c r="A575" s="315" t="str">
        <f>IF(B575="","",IF(B574="",SUM(COUNT($A$5:A574)+1),""))</f>
        <v/>
      </c>
      <c r="B575" s="327"/>
      <c r="C575" s="316" t="str">
        <f>IF(B575="","",VLOOKUP(B575,'TB for financial'!A:B,2,0))</f>
        <v/>
      </c>
      <c r="D575" s="318"/>
      <c r="E575" s="317"/>
      <c r="F575" s="319"/>
      <c r="G575" s="320">
        <f t="shared" ref="G575:G580" si="7">IF(H575="PL - PL",0,IF(D575="",-E575,D575))</f>
        <v>0</v>
      </c>
      <c r="H575" s="321"/>
      <c r="I575" s="322"/>
      <c r="J575" s="323"/>
    </row>
    <row r="576" spans="1:10" ht="15" customHeight="1">
      <c r="A576" s="315" t="str">
        <f>IF(B576="","",IF(B575="",SUM(COUNT($A$5:A575)+1),""))</f>
        <v/>
      </c>
      <c r="C576" s="1385"/>
      <c r="D576" s="318"/>
      <c r="E576" s="677"/>
      <c r="F576" s="319"/>
      <c r="G576" s="320">
        <f t="shared" si="7"/>
        <v>0</v>
      </c>
      <c r="H576" s="321"/>
      <c r="I576" s="322"/>
      <c r="J576" s="323"/>
    </row>
    <row r="577" spans="1:10" ht="15" customHeight="1">
      <c r="A577" s="315" t="str">
        <f>IF(B577="","",IF(B576="",SUM(COUNT($A$5:A576)+1),""))</f>
        <v/>
      </c>
      <c r="C577" s="316" t="str">
        <f>IF(B577="","",VLOOKUP(B577,'TB for financial'!A:B,2,0))</f>
        <v/>
      </c>
      <c r="D577" s="318"/>
      <c r="E577" s="677"/>
      <c r="F577" s="319"/>
      <c r="G577" s="320">
        <f t="shared" si="7"/>
        <v>0</v>
      </c>
      <c r="H577" s="321"/>
      <c r="I577" s="322"/>
      <c r="J577" s="323"/>
    </row>
    <row r="578" spans="1:10" ht="15" customHeight="1">
      <c r="A578" s="315" t="str">
        <f>IF(B578="","",IF(B577="",SUM(COUNT($A$5:A577)+1),""))</f>
        <v/>
      </c>
      <c r="B578" s="327"/>
      <c r="C578" s="316" t="str">
        <f>IF(B578="","",VLOOKUP(B578,'TB for financial'!A:B,2,0))</f>
        <v/>
      </c>
      <c r="D578" s="318"/>
      <c r="E578" s="317"/>
      <c r="F578" s="319"/>
      <c r="G578" s="320">
        <f t="shared" si="7"/>
        <v>0</v>
      </c>
      <c r="H578" s="321"/>
      <c r="I578" s="322"/>
      <c r="J578" s="323"/>
    </row>
    <row r="579" spans="1:10" ht="15" customHeight="1">
      <c r="A579" s="315" t="str">
        <f>IF(B579="","",IF(B578="",SUM(COUNT($A$5:A578)+1),""))</f>
        <v/>
      </c>
      <c r="C579" s="316" t="str">
        <f>IF(B579="","",VLOOKUP(B579,'TB for financial'!A:B,2,0))</f>
        <v/>
      </c>
      <c r="D579" s="318"/>
      <c r="E579" s="677"/>
      <c r="F579" s="319"/>
      <c r="G579" s="320">
        <f t="shared" si="7"/>
        <v>0</v>
      </c>
      <c r="H579" s="321"/>
      <c r="I579" s="322"/>
      <c r="J579" s="323"/>
    </row>
    <row r="580" spans="1:10" ht="15" customHeight="1">
      <c r="A580" s="315" t="str">
        <f>IF(B580="","",IF(B579="",SUM(COUNT($A$5:A579)+1),""))</f>
        <v/>
      </c>
      <c r="C580" s="316" t="str">
        <f>IF(B580="","",VLOOKUP(B580,'TB for financial'!A:B,2,0))</f>
        <v/>
      </c>
      <c r="D580" s="318"/>
      <c r="E580" s="677"/>
      <c r="F580" s="319"/>
      <c r="G580" s="320">
        <f t="shared" si="7"/>
        <v>0</v>
      </c>
      <c r="H580" s="321"/>
      <c r="I580" s="322"/>
      <c r="J580" s="323"/>
    </row>
    <row r="581" spans="1:10" ht="15" customHeight="1">
      <c r="A581" s="315" t="str">
        <f>IF(B581="","",IF(B580="",SUM(COUNT($A$5:A580)+1),""))</f>
        <v/>
      </c>
      <c r="B581" s="327"/>
      <c r="C581" s="316" t="str">
        <f>IF(B581="","",VLOOKUP(B581,'TB for financial'!A:B,2,0))</f>
        <v/>
      </c>
      <c r="D581" s="318"/>
      <c r="E581" s="317"/>
      <c r="F581" s="319"/>
      <c r="G581" s="320"/>
      <c r="H581" s="321"/>
      <c r="I581" s="322"/>
      <c r="J581" s="323"/>
    </row>
    <row r="582" spans="1:10" ht="15" customHeight="1">
      <c r="A582" s="315" t="str">
        <f>IF(B582="","",IF(B581="",SUM(COUNT($A$5:A581)+1),""))</f>
        <v/>
      </c>
      <c r="B582" s="327"/>
      <c r="C582" s="316" t="str">
        <f>IF(B582="","",VLOOKUP(B582,'TB for financial'!A:B,2,0))</f>
        <v/>
      </c>
      <c r="D582" s="674"/>
      <c r="E582" s="676"/>
      <c r="F582" s="319"/>
      <c r="G582" s="320"/>
      <c r="H582" s="321"/>
      <c r="I582" s="322"/>
      <c r="J582" s="323"/>
    </row>
    <row r="583" spans="1:10" ht="15" customHeight="1">
      <c r="A583" s="315" t="str">
        <f>IF(B583="","",IF(B582="",SUM(COUNT($A$5:A582)+1),""))</f>
        <v/>
      </c>
      <c r="B583" s="327"/>
      <c r="C583" s="316" t="str">
        <f>IF(B583="","",VLOOKUP(B583,'TB for financial'!A:B,2,0))</f>
        <v/>
      </c>
      <c r="D583" s="674"/>
      <c r="E583" s="676"/>
      <c r="F583" s="319"/>
      <c r="G583" s="320"/>
      <c r="H583" s="321"/>
      <c r="I583" s="322"/>
      <c r="J583" s="323"/>
    </row>
    <row r="584" spans="1:10" ht="15" customHeight="1">
      <c r="A584" s="315" t="str">
        <f>IF(B584="","",IF(B583="",SUM(COUNT($A$5:A583)+1),""))</f>
        <v/>
      </c>
      <c r="B584" s="327"/>
      <c r="C584" s="316" t="str">
        <f>IF(B584="","",VLOOKUP(B584,'TB for financial'!A:B,2,0))</f>
        <v/>
      </c>
      <c r="D584" s="674"/>
      <c r="E584" s="676"/>
      <c r="F584" s="319"/>
      <c r="G584" s="320"/>
      <c r="H584" s="321"/>
      <c r="I584" s="322"/>
      <c r="J584" s="323"/>
    </row>
    <row r="585" spans="1:10" ht="15" customHeight="1">
      <c r="A585" s="315" t="str">
        <f>IF(B585="","",IF(B584="",SUM(COUNT($A$5:A584)+1),""))</f>
        <v/>
      </c>
      <c r="B585" s="327"/>
      <c r="C585" s="316" t="str">
        <f>IF(B585="","",VLOOKUP(B585,'TB for financial'!A:B,2,0))</f>
        <v/>
      </c>
      <c r="D585" s="674"/>
      <c r="E585" s="676"/>
      <c r="F585" s="319"/>
      <c r="G585" s="320"/>
      <c r="H585" s="321"/>
      <c r="I585" s="322"/>
      <c r="J585" s="323"/>
    </row>
    <row r="586" spans="1:10" ht="15" customHeight="1">
      <c r="A586" s="315" t="str">
        <f>IF(B586="","",IF(B585="",SUM(COUNT($A$5:A585)+1),""))</f>
        <v/>
      </c>
      <c r="B586" s="327"/>
      <c r="C586" s="316" t="str">
        <f>IF(B586="","",VLOOKUP(B586,'TB for financial'!A:B,2,0))</f>
        <v/>
      </c>
      <c r="D586" s="674"/>
      <c r="E586" s="676"/>
      <c r="F586" s="319"/>
      <c r="G586" s="320"/>
      <c r="H586" s="321"/>
      <c r="I586" s="322"/>
      <c r="J586" s="323"/>
    </row>
    <row r="587" spans="1:10" ht="15" customHeight="1">
      <c r="A587" s="315" t="str">
        <f>IF(B587="","",IF(B586="",SUM(COUNT($A$5:A586)+1),""))</f>
        <v/>
      </c>
      <c r="B587" s="327"/>
      <c r="C587" s="1385"/>
      <c r="D587" s="674"/>
      <c r="E587" s="676"/>
      <c r="F587" s="319"/>
      <c r="G587" s="320"/>
      <c r="H587" s="321"/>
      <c r="I587" s="322"/>
      <c r="J587" s="323"/>
    </row>
    <row r="588" spans="1:10" ht="15" customHeight="1">
      <c r="A588" s="315" t="str">
        <f>IF(B588="","",IF(B587="",SUM(COUNT($A$5:A587)+1),""))</f>
        <v/>
      </c>
      <c r="B588" s="327"/>
      <c r="C588" s="316" t="str">
        <f>IF(B588="","",VLOOKUP(B588,'TB for financial'!A:B,2,0))</f>
        <v/>
      </c>
      <c r="D588" s="674"/>
      <c r="E588" s="676"/>
      <c r="F588" s="319"/>
      <c r="G588" s="320"/>
      <c r="H588" s="321"/>
      <c r="I588" s="322"/>
      <c r="J588" s="323"/>
    </row>
    <row r="589" spans="1:10" ht="15" customHeight="1">
      <c r="A589" s="315" t="str">
        <f>IF(B589="","",IF(B588="",SUM(COUNT($A$5:A588)+1),""))</f>
        <v/>
      </c>
      <c r="B589" s="327"/>
      <c r="C589" s="316" t="str">
        <f>IF(B589="","",VLOOKUP(B589,'TB for financial'!A:B,2,0))</f>
        <v/>
      </c>
      <c r="D589" s="674"/>
      <c r="E589" s="675"/>
      <c r="F589" s="319"/>
      <c r="G589" s="320"/>
      <c r="H589" s="321"/>
      <c r="I589" s="322"/>
      <c r="J589" s="323"/>
    </row>
    <row r="590" spans="1:10" ht="15" customHeight="1">
      <c r="A590" s="315" t="str">
        <f>IF(B590="","",IF(B589="",SUM(COUNT($A$5:A589)+1),""))</f>
        <v/>
      </c>
      <c r="B590" s="327"/>
      <c r="C590" s="316" t="str">
        <f>IF(B590="","",VLOOKUP(B590,'TB for financial'!A:B,2,0))</f>
        <v/>
      </c>
      <c r="D590" s="318"/>
      <c r="E590" s="317"/>
      <c r="F590" s="319"/>
      <c r="G590" s="320"/>
      <c r="H590" s="321"/>
      <c r="I590" s="322"/>
      <c r="J590" s="323"/>
    </row>
    <row r="591" spans="1:10" ht="15" customHeight="1">
      <c r="A591" s="315" t="str">
        <f>IF(B591="","",IF(B590="",SUM(COUNT($A$5:A590)+1),""))</f>
        <v/>
      </c>
      <c r="B591" s="327"/>
      <c r="C591" s="316" t="str">
        <f>IF(B591="","",VLOOKUP(B591,'TB for financial'!A:B,2,0))</f>
        <v/>
      </c>
      <c r="D591" s="318"/>
      <c r="E591" s="317"/>
      <c r="F591" s="319"/>
      <c r="G591" s="320"/>
      <c r="H591" s="321"/>
      <c r="I591" s="322"/>
      <c r="J591" s="323"/>
    </row>
    <row r="592" spans="1:10" ht="15" customHeight="1">
      <c r="A592" s="315" t="str">
        <f>IF(B592="","",IF(B591="",SUM(COUNT($A$5:A591)+1),""))</f>
        <v/>
      </c>
      <c r="C592" s="316" t="str">
        <f>IF(B592="","",VLOOKUP(B592,'TB for financial'!A:B,2,0))</f>
        <v/>
      </c>
      <c r="D592" s="318"/>
      <c r="E592" s="317"/>
      <c r="F592" s="319"/>
      <c r="G592" s="320"/>
      <c r="H592" s="321"/>
      <c r="I592" s="322"/>
      <c r="J592" s="323"/>
    </row>
    <row r="593" spans="1:10" ht="15" customHeight="1">
      <c r="A593" s="315" t="str">
        <f>IF(B593="","",IF(B592="",SUM(COUNT($A$5:A592)+1),""))</f>
        <v/>
      </c>
      <c r="C593" s="1385"/>
      <c r="D593" s="318"/>
      <c r="E593" s="317"/>
      <c r="F593" s="319"/>
      <c r="G593" s="320"/>
      <c r="H593" s="321"/>
      <c r="I593" s="322"/>
      <c r="J593" s="323"/>
    </row>
    <row r="594" spans="1:10" ht="15" customHeight="1">
      <c r="A594" s="315" t="str">
        <f>IF(B594="","",IF(B593="",SUM(COUNT($A$5:A593)+1),""))</f>
        <v/>
      </c>
      <c r="B594" s="327"/>
      <c r="C594" s="316" t="str">
        <f>IF(B594="","",VLOOKUP(B594,'TB for financial'!A:B,2,0))</f>
        <v/>
      </c>
      <c r="D594" s="318"/>
      <c r="E594" s="317"/>
      <c r="F594" s="319"/>
      <c r="G594" s="320"/>
      <c r="H594" s="321"/>
      <c r="I594" s="322"/>
      <c r="J594" s="323"/>
    </row>
    <row r="595" spans="1:10" ht="15" customHeight="1">
      <c r="A595" s="315" t="str">
        <f>IF(B595="","",IF(B594="",SUM(COUNT($A$5:A594)+1),""))</f>
        <v/>
      </c>
      <c r="C595" s="316" t="str">
        <f>IF(B595="","",VLOOKUP(B595,'TB for financial'!A:B,2,0))</f>
        <v/>
      </c>
      <c r="D595" s="318"/>
      <c r="E595" s="677"/>
      <c r="F595" s="319"/>
      <c r="G595" s="320"/>
      <c r="H595" s="321"/>
      <c r="I595" s="322"/>
      <c r="J595" s="323"/>
    </row>
    <row r="596" spans="1:10" ht="15" customHeight="1">
      <c r="A596" s="315" t="str">
        <f>IF(B596="","",IF(B595="",SUM(COUNT($A$5:A595)+1),""))</f>
        <v/>
      </c>
      <c r="C596" s="316" t="str">
        <f>IF(B596="","",VLOOKUP(B596,'TB for financial'!A:B,2,0))</f>
        <v/>
      </c>
      <c r="D596" s="318"/>
      <c r="E596" s="677"/>
      <c r="F596" s="319"/>
      <c r="G596" s="320"/>
      <c r="H596" s="321"/>
      <c r="I596" s="322"/>
      <c r="J596" s="323"/>
    </row>
    <row r="597" spans="1:10" ht="15" customHeight="1">
      <c r="A597" s="315" t="str">
        <f>IF(B597="","",IF(B596="",SUM(COUNT($A$5:A596)+1),""))</f>
        <v/>
      </c>
      <c r="C597" s="316" t="str">
        <f>IF(B597="","",VLOOKUP(B597,'TB for financial'!A:B,2,0))</f>
        <v/>
      </c>
      <c r="D597" s="318"/>
      <c r="E597" s="677"/>
      <c r="F597" s="319"/>
      <c r="G597" s="320"/>
      <c r="H597" s="321"/>
      <c r="I597" s="322"/>
      <c r="J597" s="323"/>
    </row>
    <row r="598" spans="1:10" ht="15" customHeight="1">
      <c r="A598" s="315" t="str">
        <f>IF(B598="","",IF(B597="",SUM(COUNT($A$5:A597)+1),""))</f>
        <v/>
      </c>
      <c r="C598" s="1385"/>
      <c r="D598" s="318"/>
      <c r="E598" s="677"/>
      <c r="F598" s="319"/>
      <c r="G598" s="320"/>
      <c r="H598" s="321"/>
      <c r="I598" s="322"/>
      <c r="J598" s="323"/>
    </row>
    <row r="599" spans="1:10">
      <c r="A599" s="315" t="str">
        <f>IF(B599="","",IF(B598="",SUM(COUNT($A$5:A598)+1),""))</f>
        <v/>
      </c>
      <c r="B599" s="327"/>
      <c r="C599" s="316" t="str">
        <f>IF(B599="","",VLOOKUP(B599,'TB for financial'!A:B,2,0))</f>
        <v/>
      </c>
      <c r="D599" s="318"/>
      <c r="E599" s="317"/>
      <c r="F599" s="319"/>
      <c r="G599" s="320"/>
      <c r="H599" s="321"/>
      <c r="I599" s="322"/>
      <c r="J599" s="323"/>
    </row>
    <row r="600" spans="1:10" ht="15" customHeight="1">
      <c r="A600" s="315" t="str">
        <f>IF(B600="","",IF(B599="",SUM(COUNT($A$5:A599)+1),""))</f>
        <v/>
      </c>
      <c r="B600" s="327"/>
      <c r="C600" s="316" t="str">
        <f>IF(B600="","",VLOOKUP(B600,'TB for financial'!A:B,2,0))</f>
        <v/>
      </c>
      <c r="D600" s="318"/>
      <c r="E600" s="317"/>
      <c r="F600" s="319"/>
      <c r="G600" s="320"/>
      <c r="H600" s="321"/>
      <c r="I600" s="322"/>
      <c r="J600" s="323"/>
    </row>
    <row r="601" spans="1:10" ht="15" customHeight="1">
      <c r="A601" s="315" t="str">
        <f>IF(B601="","",IF(B600="",SUM(COUNT($A$5:A600)+1),""))</f>
        <v/>
      </c>
      <c r="B601" s="327"/>
      <c r="C601" s="316" t="str">
        <f>IF(B601="","",VLOOKUP(B601,'TB for financial'!A:B,2,0))</f>
        <v/>
      </c>
      <c r="D601" s="317"/>
      <c r="E601" s="318"/>
      <c r="F601" s="319"/>
      <c r="G601" s="320">
        <f>IF(H601="PL - PL",0,IF(D601="",-E601,D601))</f>
        <v>0</v>
      </c>
      <c r="H601" s="321"/>
      <c r="I601" s="322"/>
      <c r="J601" s="323"/>
    </row>
    <row r="602" spans="1:10" ht="15" customHeight="1">
      <c r="A602" s="315" t="str">
        <f>IF(B602="","",IF(B601="",SUM(COUNT($A$5:A601)+1),""))</f>
        <v/>
      </c>
      <c r="B602" s="327"/>
      <c r="C602" s="1385"/>
      <c r="D602" s="317"/>
      <c r="E602" s="318"/>
      <c r="F602" s="319"/>
      <c r="G602" s="320"/>
      <c r="H602" s="321"/>
      <c r="I602" s="322"/>
      <c r="J602" s="323"/>
    </row>
    <row r="603" spans="1:10" ht="15" customHeight="1">
      <c r="A603" s="315" t="str">
        <f>IF(B603="","",IF(B602="",SUM(COUNT($A$5:A602)+1),""))</f>
        <v/>
      </c>
      <c r="B603" s="327"/>
      <c r="C603" s="316" t="str">
        <f>IF(B603="","",VLOOKUP(B603,'TB for financial'!A:B,2,0))</f>
        <v/>
      </c>
      <c r="D603" s="317"/>
      <c r="E603" s="318"/>
      <c r="F603" s="319"/>
      <c r="G603" s="320">
        <f>IF(H603="PL - PL",0,IF(D603="",-E603,D603))</f>
        <v>0</v>
      </c>
      <c r="H603" s="321"/>
      <c r="I603" s="322"/>
      <c r="J603" s="323"/>
    </row>
    <row r="604" spans="1:10" ht="15" customHeight="1">
      <c r="A604" s="315" t="str">
        <f>IF(B604="","",IF(B603="",SUM(COUNT($A$5:A603)+1),""))</f>
        <v/>
      </c>
      <c r="B604" s="327"/>
      <c r="C604" s="316" t="str">
        <f>IF(B604="","",VLOOKUP(B604,'TB for financial'!A:B,2,0))</f>
        <v/>
      </c>
      <c r="D604" s="317"/>
      <c r="E604" s="318"/>
      <c r="F604" s="319"/>
      <c r="G604" s="320"/>
      <c r="H604" s="321"/>
      <c r="I604" s="322"/>
      <c r="J604" s="323"/>
    </row>
    <row r="605" spans="1:10" ht="15" customHeight="1">
      <c r="A605" s="315" t="str">
        <f>IF(B605="","",IF(B604="",SUM(COUNT($A$5:A604)+1),""))</f>
        <v/>
      </c>
      <c r="B605" s="327"/>
      <c r="C605" s="316" t="str">
        <f>IF(B605="","",VLOOKUP(B605,'TB for financial'!A:B,2,0))</f>
        <v/>
      </c>
      <c r="D605" s="318"/>
      <c r="E605" s="317"/>
      <c r="F605" s="319"/>
      <c r="G605" s="320"/>
      <c r="H605" s="321"/>
      <c r="I605" s="322"/>
      <c r="J605" s="323"/>
    </row>
    <row r="606" spans="1:10" ht="15" customHeight="1">
      <c r="A606" s="315" t="str">
        <f>IF(B606="","",IF(B605="",SUM(COUNT($A$5:A605)+1),""))</f>
        <v/>
      </c>
      <c r="C606" s="316" t="str">
        <f>IF(B606="","",VLOOKUP(B606,'TB for financial'!A:B,2,0))</f>
        <v/>
      </c>
      <c r="D606" s="318"/>
      <c r="E606" s="317"/>
      <c r="F606" s="319"/>
      <c r="G606" s="320">
        <f>IF(H606="PL - PL",0,IF(D606="",-E606,D606))</f>
        <v>0</v>
      </c>
      <c r="H606" s="321"/>
      <c r="I606" s="322"/>
      <c r="J606" s="323"/>
    </row>
    <row r="607" spans="1:10" ht="15" customHeight="1">
      <c r="A607" s="315" t="str">
        <f>IF(B607="","",IF(B606="",SUM(COUNT($A$5:A606)+1),""))</f>
        <v/>
      </c>
      <c r="C607" s="316" t="str">
        <f>IF(B607="","",VLOOKUP(B607,'TB for financial'!A:B,2,0))</f>
        <v/>
      </c>
      <c r="D607" s="317"/>
      <c r="E607" s="318"/>
      <c r="F607" s="319"/>
      <c r="G607" s="320"/>
      <c r="H607" s="321"/>
      <c r="I607" s="322"/>
      <c r="J607" s="323"/>
    </row>
    <row r="608" spans="1:10">
      <c r="A608" s="315" t="str">
        <f>IF(B608="","",IF(B607="",SUM(COUNT($A$5:A607)+1),""))</f>
        <v/>
      </c>
      <c r="B608" s="327"/>
      <c r="C608" s="316" t="str">
        <f>IF(B608="","",VLOOKUP(B608,'TB for financial'!A:B,2,0))</f>
        <v/>
      </c>
      <c r="D608" s="318"/>
      <c r="E608" s="317"/>
      <c r="F608" s="319"/>
      <c r="G608" s="320"/>
      <c r="H608" s="321"/>
      <c r="I608" s="322"/>
      <c r="J608" s="323"/>
    </row>
    <row r="609" spans="1:10" ht="15" customHeight="1">
      <c r="A609" s="315" t="str">
        <f>IF(B609="","",IF(B608="",SUM(COUNT($A$5:A608)+1),""))</f>
        <v/>
      </c>
      <c r="B609" s="327"/>
      <c r="C609" s="316" t="str">
        <f>IF(B609="","",VLOOKUP(B609,'TB for financial'!A:B,2,0))</f>
        <v/>
      </c>
      <c r="D609" s="318"/>
      <c r="E609" s="317"/>
      <c r="F609" s="319"/>
      <c r="G609" s="320"/>
      <c r="H609" s="321"/>
      <c r="I609" s="322"/>
      <c r="J609" s="323"/>
    </row>
    <row r="610" spans="1:10" ht="15" customHeight="1">
      <c r="A610" s="315" t="str">
        <f>IF(B610="","",IF(B609="",SUM(COUNT($A$5:A609)+1),""))</f>
        <v/>
      </c>
      <c r="C610" s="316" t="str">
        <f>IF(B610="","",VLOOKUP(B610,'TB for financial'!A:B,2,0))</f>
        <v/>
      </c>
      <c r="D610" s="318"/>
      <c r="E610" s="318"/>
      <c r="F610" s="319"/>
      <c r="G610" s="320">
        <f>IF(H610="PL - PL",0,IF(D610="",-E610,D610))</f>
        <v>0</v>
      </c>
      <c r="H610" s="321"/>
      <c r="I610" s="322"/>
      <c r="J610" s="323"/>
    </row>
    <row r="611" spans="1:10" ht="15" customHeight="1">
      <c r="A611" s="315" t="str">
        <f>IF(B611="","",IF(B610="",SUM(COUNT($A$5:A610)+1),""))</f>
        <v/>
      </c>
      <c r="C611" s="316" t="str">
        <f>IF(B611="","",VLOOKUP(B611,'TB for financial'!A:B,2,0))</f>
        <v/>
      </c>
      <c r="D611" s="317"/>
      <c r="E611" s="318"/>
      <c r="F611" s="319"/>
      <c r="G611" s="320"/>
      <c r="H611" s="321"/>
      <c r="I611" s="322"/>
      <c r="J611" s="323"/>
    </row>
    <row r="612" spans="1:10">
      <c r="A612" s="315" t="str">
        <f>IF(B612="","",IF(B611="",SUM(COUNT($A$5:A611)+1),""))</f>
        <v/>
      </c>
      <c r="B612" s="327"/>
      <c r="C612" s="316" t="str">
        <f>IF(B612="","",VLOOKUP(B612,'TB for financial'!A:B,2,0))</f>
        <v/>
      </c>
      <c r="D612" s="318"/>
      <c r="E612" s="317"/>
      <c r="F612" s="319"/>
      <c r="G612" s="320"/>
      <c r="H612" s="321"/>
      <c r="I612" s="322"/>
      <c r="J612" s="323"/>
    </row>
    <row r="613" spans="1:10" ht="15" customHeight="1">
      <c r="A613" s="315" t="str">
        <f>IF(B613="","",IF(B612="",SUM(COUNT($A$5:A612)+1),""))</f>
        <v/>
      </c>
      <c r="B613" s="327"/>
      <c r="C613" s="316" t="str">
        <f>IF(B613="","",VLOOKUP(B613,'TB for financial'!A:B,2,0))</f>
        <v/>
      </c>
      <c r="D613" s="318"/>
      <c r="E613" s="318"/>
      <c r="F613" s="319"/>
      <c r="G613" s="320"/>
      <c r="H613" s="321"/>
      <c r="I613" s="322"/>
      <c r="J613" s="323"/>
    </row>
    <row r="614" spans="1:10" ht="15" customHeight="1">
      <c r="A614" s="315" t="str">
        <f>IF(B614="","",IF(B613="",SUM(COUNT($A$5:A613)+1),""))</f>
        <v/>
      </c>
      <c r="C614" s="316" t="str">
        <f>IF(B614="","",VLOOKUP(B614,'TB for financial'!A:B,2,0))</f>
        <v/>
      </c>
      <c r="D614" s="318"/>
      <c r="E614" s="317"/>
      <c r="F614" s="319"/>
      <c r="G614" s="320">
        <f>IF(H614="PL - PL",0,IF(D614="",-E614,D614))</f>
        <v>0</v>
      </c>
      <c r="H614" s="321"/>
      <c r="I614" s="322"/>
      <c r="J614" s="323"/>
    </row>
    <row r="615" spans="1:10" ht="15" customHeight="1">
      <c r="A615" s="315" t="str">
        <f>IF(B615="","",IF(B614="",SUM(COUNT($A$5:A614)+1),""))</f>
        <v/>
      </c>
      <c r="C615" s="316" t="str">
        <f>IF(B615="","",VLOOKUP(B615,'TB for financial'!A:B,2,0))</f>
        <v/>
      </c>
      <c r="D615" s="318"/>
      <c r="E615" s="318"/>
      <c r="F615" s="319"/>
      <c r="G615" s="320"/>
      <c r="H615" s="321"/>
      <c r="I615" s="322"/>
      <c r="J615" s="323"/>
    </row>
    <row r="616" spans="1:10">
      <c r="A616" s="315" t="str">
        <f>IF(B616="","",IF(B615="",SUM(COUNT($A$5:A615)+1),""))</f>
        <v/>
      </c>
      <c r="B616" s="327"/>
      <c r="C616" s="316" t="str">
        <f>IF(B616="","",VLOOKUP(B616,'TB for financial'!A:B,2,0))</f>
        <v/>
      </c>
      <c r="D616" s="318"/>
      <c r="E616" s="317"/>
      <c r="F616" s="319"/>
      <c r="G616" s="320"/>
      <c r="H616" s="321"/>
      <c r="I616" s="322"/>
      <c r="J616" s="323"/>
    </row>
    <row r="617" spans="1:10" ht="15" customHeight="1">
      <c r="A617" s="315" t="str">
        <f>IF(B617="","",IF(B616="",SUM(COUNT($A$5:A616)+1),""))</f>
        <v/>
      </c>
      <c r="B617" s="327"/>
      <c r="C617" s="316" t="str">
        <f>IF(B617="","",VLOOKUP(B617,'TB for financial'!A:B,2,0))</f>
        <v/>
      </c>
      <c r="D617" s="318"/>
      <c r="E617" s="317"/>
      <c r="F617" s="319"/>
      <c r="G617" s="320"/>
      <c r="H617" s="321"/>
      <c r="I617" s="322"/>
      <c r="J617" s="323"/>
    </row>
    <row r="618" spans="1:10" ht="15" customHeight="1">
      <c r="A618" s="315" t="str">
        <f>IF(B618="","",IF(B617="",SUM(COUNT($A$5:A617)+1),""))</f>
        <v/>
      </c>
      <c r="C618" s="316" t="str">
        <f>IF(B618="","",VLOOKUP(B618,'TB for financial'!A:B,2,0))</f>
        <v/>
      </c>
      <c r="D618" s="318"/>
      <c r="E618" s="317"/>
      <c r="F618" s="319"/>
      <c r="G618" s="320">
        <f>IF(H618="PL - PL",0,IF(D618="",-E618,D618))</f>
        <v>0</v>
      </c>
      <c r="H618" s="321"/>
      <c r="I618" s="322"/>
      <c r="J618" s="323"/>
    </row>
    <row r="619" spans="1:10" ht="15" customHeight="1">
      <c r="A619" s="315" t="str">
        <f>IF(B619="","",IF(B618="",SUM(COUNT($A$5:A618)+1),""))</f>
        <v/>
      </c>
      <c r="C619" s="316" t="str">
        <f>IF(B619="","",VLOOKUP(B619,'TB for financial'!A:B,2,0))</f>
        <v/>
      </c>
      <c r="D619" s="318"/>
      <c r="E619" s="318"/>
      <c r="F619" s="319"/>
      <c r="G619" s="320"/>
      <c r="H619" s="321"/>
      <c r="I619" s="322"/>
      <c r="J619" s="323"/>
    </row>
    <row r="620" spans="1:10">
      <c r="A620" s="315" t="str">
        <f>IF(B620="","",IF(B619="",SUM(COUNT($A$5:A619)+1),""))</f>
        <v/>
      </c>
      <c r="B620" s="327"/>
      <c r="C620" s="316" t="str">
        <f>IF(B620="","",VLOOKUP(B620,'TB for financial'!A:B,2,0))</f>
        <v/>
      </c>
      <c r="D620" s="318"/>
      <c r="E620" s="317"/>
      <c r="F620" s="319"/>
      <c r="G620" s="320"/>
      <c r="H620" s="321"/>
      <c r="I620" s="322"/>
      <c r="J620" s="323"/>
    </row>
    <row r="621" spans="1:10" ht="15" customHeight="1">
      <c r="A621" s="315" t="str">
        <f>IF(B621="","",IF(B620="",SUM(COUNT($A$5:A620)+1),""))</f>
        <v/>
      </c>
      <c r="B621" s="327"/>
      <c r="C621" s="316" t="str">
        <f>IF(B621="","",VLOOKUP(B621,'TB for financial'!A:B,2,0))</f>
        <v/>
      </c>
      <c r="D621" s="318"/>
      <c r="E621" s="317"/>
      <c r="F621" s="319"/>
      <c r="G621" s="320"/>
      <c r="H621" s="321"/>
      <c r="I621" s="322"/>
      <c r="J621" s="323"/>
    </row>
    <row r="622" spans="1:10" ht="15" customHeight="1">
      <c r="A622" s="315" t="str">
        <f>IF(B622="","",IF(B621="",SUM(COUNT($A$5:A621)+1),""))</f>
        <v/>
      </c>
      <c r="B622" s="327"/>
      <c r="C622" s="316" t="str">
        <f>IF(B622="","",VLOOKUP(B622,'TB for financial'!A:B,2,0))</f>
        <v/>
      </c>
      <c r="D622" s="318"/>
      <c r="E622" s="317"/>
      <c r="F622" s="319"/>
      <c r="G622" s="320"/>
      <c r="H622" s="321"/>
      <c r="I622" s="322"/>
      <c r="J622" s="323"/>
    </row>
    <row r="623" spans="1:10" ht="15" customHeight="1">
      <c r="A623" s="315" t="str">
        <f>IF(B623="","",IF(B622="",SUM(COUNT($A$5:A622)+1),""))</f>
        <v/>
      </c>
      <c r="B623" s="327"/>
      <c r="C623" s="316" t="str">
        <f>IF(B623="","",VLOOKUP(B623,'TB for financial'!A:B,2,0))</f>
        <v/>
      </c>
      <c r="D623" s="318"/>
      <c r="E623" s="317"/>
      <c r="F623" s="319"/>
      <c r="G623" s="320"/>
      <c r="H623" s="321"/>
      <c r="I623" s="322"/>
      <c r="J623" s="323"/>
    </row>
    <row r="624" spans="1:10" ht="15" customHeight="1">
      <c r="A624" s="315" t="str">
        <f>IF(B624="","",IF(B623="",SUM(COUNT($A$5:A623)+1),""))</f>
        <v/>
      </c>
      <c r="B624" s="327"/>
      <c r="C624" s="316" t="str">
        <f>IF(B624="","",VLOOKUP(B624,'TB for financial'!A:B,2,0))</f>
        <v/>
      </c>
      <c r="D624" s="318"/>
      <c r="E624" s="317"/>
      <c r="F624" s="319"/>
      <c r="G624" s="320"/>
      <c r="H624" s="321"/>
      <c r="I624" s="322"/>
      <c r="J624" s="323"/>
    </row>
    <row r="625" spans="1:10" ht="15" customHeight="1">
      <c r="A625" s="315" t="str">
        <f>IF(B625="","",IF(B624="",SUM(COUNT($A$5:A624)+1),""))</f>
        <v/>
      </c>
      <c r="B625" s="327"/>
      <c r="C625" s="316" t="str">
        <f>IF(B625="","",VLOOKUP(B625,'TB for financial'!A:B,2,0))</f>
        <v/>
      </c>
      <c r="D625" s="1222"/>
      <c r="E625" s="1222"/>
      <c r="F625" s="319"/>
      <c r="G625" s="320"/>
      <c r="H625" s="321"/>
      <c r="I625" s="322"/>
      <c r="J625" s="323"/>
    </row>
    <row r="626" spans="1:10" ht="15" customHeight="1">
      <c r="A626" s="315" t="str">
        <f>IF(B626="","",IF(B625="",SUM(COUNT($A$5:A625)+1),""))</f>
        <v/>
      </c>
      <c r="B626" s="327"/>
      <c r="C626" s="316" t="str">
        <f>IF(B626="","",VLOOKUP(B626,'TB for financial'!A:B,2,0))</f>
        <v/>
      </c>
      <c r="D626" s="1222"/>
      <c r="E626" s="1225"/>
      <c r="F626" s="319"/>
      <c r="G626" s="320"/>
      <c r="H626" s="321"/>
      <c r="I626" s="322"/>
      <c r="J626" s="323"/>
    </row>
    <row r="627" spans="1:10" ht="15" customHeight="1">
      <c r="A627" s="315" t="str">
        <f>IF(B627="","",IF(B626="",SUM(COUNT($A$5:A626)+1),""))</f>
        <v/>
      </c>
      <c r="B627" s="327"/>
      <c r="C627" s="1385"/>
      <c r="D627" s="1222"/>
      <c r="E627" s="1225"/>
      <c r="F627" s="319"/>
      <c r="G627" s="320"/>
      <c r="H627" s="321"/>
      <c r="I627" s="322"/>
      <c r="J627" s="323"/>
    </row>
    <row r="628" spans="1:10" ht="15" customHeight="1">
      <c r="A628" s="315" t="str">
        <f>IF(B628="","",IF(B627="",SUM(COUNT($A$5:A627)+1),""))</f>
        <v/>
      </c>
      <c r="B628" s="327"/>
      <c r="C628" s="316" t="str">
        <f>IF(B628="","",VLOOKUP(B628,'TB for financial'!A:B,2,0))</f>
        <v/>
      </c>
      <c r="D628" s="1222"/>
      <c r="E628" s="1225"/>
      <c r="F628" s="319"/>
      <c r="G628" s="320"/>
      <c r="H628" s="321"/>
      <c r="I628" s="322"/>
      <c r="J628" s="323"/>
    </row>
    <row r="629" spans="1:10" ht="15" customHeight="1">
      <c r="A629" s="315" t="str">
        <f>IF(B629="","",IF(B628="",SUM(COUNT($A$5:A628)+1),""))</f>
        <v/>
      </c>
      <c r="B629" s="327"/>
      <c r="C629" s="316" t="str">
        <f>IF(B629="","",VLOOKUP(B629,'TB for financial'!A:B,2,0))</f>
        <v/>
      </c>
      <c r="D629" s="318"/>
      <c r="E629" s="317"/>
      <c r="F629" s="319"/>
      <c r="G629" s="320"/>
      <c r="H629" s="321"/>
      <c r="I629" s="322"/>
      <c r="J629" s="323"/>
    </row>
    <row r="630" spans="1:10" ht="29.25" customHeight="1">
      <c r="A630" s="315" t="str">
        <f>IF(B630="","",IF(B629="",SUM(COUNT($A$5:A629)+1),""))</f>
        <v/>
      </c>
      <c r="B630" s="327"/>
      <c r="C630" s="316" t="str">
        <f>IF(B630="","",VLOOKUP(B630,'TB for financial'!A:B,2,0))</f>
        <v/>
      </c>
      <c r="D630" s="318"/>
      <c r="E630" s="317"/>
      <c r="F630" s="319"/>
      <c r="G630" s="320"/>
      <c r="H630" s="321"/>
      <c r="I630" s="1438"/>
      <c r="J630" s="323"/>
    </row>
    <row r="631" spans="1:10" ht="15" customHeight="1">
      <c r="A631" s="315" t="str">
        <f>IF(B631="","",IF(B630="",SUM(COUNT($A$5:A630)+1),""))</f>
        <v/>
      </c>
      <c r="B631" s="1224"/>
      <c r="C631" s="316" t="str">
        <f>IF(B631="","",VLOOKUP(B631,'TB for financial'!A:B,2,0))</f>
        <v/>
      </c>
      <c r="E631" s="1222"/>
      <c r="F631" s="319"/>
      <c r="G631" s="320"/>
      <c r="H631" s="321"/>
      <c r="I631" s="322"/>
      <c r="J631" s="323"/>
    </row>
    <row r="632" spans="1:10" ht="15" customHeight="1">
      <c r="A632" s="315" t="str">
        <f>IF(B632="","",IF(B631="",SUM(COUNT($A$5:A631)+1),""))</f>
        <v/>
      </c>
      <c r="B632" s="1224"/>
      <c r="C632" s="1385"/>
      <c r="E632" s="318"/>
      <c r="F632" s="319"/>
      <c r="G632" s="320"/>
      <c r="H632" s="321"/>
      <c r="I632" s="322"/>
      <c r="J632" s="323"/>
    </row>
    <row r="633" spans="1:10" ht="15" customHeight="1">
      <c r="A633" s="315" t="str">
        <f>IF(B633="","",IF(B632="",SUM(COUNT($A$5:A632)+1),""))</f>
        <v/>
      </c>
      <c r="B633" s="1224"/>
      <c r="C633" s="316" t="str">
        <f>IF(B633="","",VLOOKUP(B633,'TB for financial'!A:B,2,0))</f>
        <v/>
      </c>
      <c r="E633" s="1222"/>
      <c r="F633" s="319"/>
      <c r="G633" s="320"/>
      <c r="H633" s="321"/>
      <c r="I633" s="322"/>
      <c r="J633" s="323"/>
    </row>
    <row r="634" spans="1:10" ht="15" customHeight="1">
      <c r="A634" s="315" t="str">
        <f>IF(B634="","",IF(B633="",SUM(COUNT($A$5:A633)+1),""))</f>
        <v/>
      </c>
      <c r="B634" s="1224"/>
      <c r="C634" s="316" t="str">
        <f>IF(B634="","",VLOOKUP(B634,'TB for financial'!A:B,2,0))</f>
        <v/>
      </c>
      <c r="D634" s="317"/>
      <c r="E634" s="318"/>
      <c r="F634" s="319"/>
      <c r="G634" s="320"/>
      <c r="H634" s="321"/>
      <c r="I634" s="322"/>
      <c r="J634" s="323"/>
    </row>
    <row r="635" spans="1:10" ht="15" customHeight="1">
      <c r="A635" s="315" t="str">
        <f>IF(B635="","",IF(B634="",SUM(COUNT($A$5:A634)+1),""))</f>
        <v/>
      </c>
      <c r="B635" s="1224"/>
      <c r="C635" s="316" t="str">
        <f>IF(B635="","",VLOOKUP(B635,'TB for financial'!A:B,2,0))</f>
        <v/>
      </c>
      <c r="D635" s="1222"/>
      <c r="F635" s="319"/>
      <c r="G635" s="320"/>
      <c r="H635" s="321"/>
      <c r="I635" s="322"/>
      <c r="J635" s="323"/>
    </row>
    <row r="636" spans="1:10" ht="15" customHeight="1">
      <c r="A636" s="315" t="str">
        <f>IF(B636="","",IF(B635="",SUM(COUNT($A$5:A635)+1),""))</f>
        <v/>
      </c>
      <c r="C636" s="316" t="str">
        <f>IF(B636="","",VLOOKUP(B636,'TB for financial'!A:B,2,0))</f>
        <v/>
      </c>
      <c r="D636" s="1222"/>
      <c r="F636" s="319"/>
      <c r="G636" s="320"/>
      <c r="H636" s="321"/>
      <c r="I636" s="322"/>
      <c r="J636" s="323"/>
    </row>
    <row r="637" spans="1:10" ht="15" customHeight="1">
      <c r="A637" s="315" t="str">
        <f>IF(B637="","",IF(B636="",SUM(COUNT($A$5:A636)+1),""))</f>
        <v/>
      </c>
      <c r="C637" s="316" t="str">
        <f>IF(B637="","",VLOOKUP(B637,'TB for financial'!A:B,2,0))</f>
        <v/>
      </c>
      <c r="D637" s="317"/>
      <c r="E637" s="318"/>
      <c r="F637" s="319"/>
      <c r="G637" s="320"/>
      <c r="H637" s="321"/>
      <c r="I637" s="322"/>
      <c r="J637" s="323"/>
    </row>
    <row r="638" spans="1:10" ht="15" customHeight="1">
      <c r="A638" s="315" t="str">
        <f>IF(B638="","",IF(B637="",SUM(COUNT($A$5:A637)+1),""))</f>
        <v/>
      </c>
      <c r="B638" s="1224"/>
      <c r="C638" s="316" t="str">
        <f>IF(B638="","",VLOOKUP(B638,'TB for financial'!A:B,2,0))</f>
        <v/>
      </c>
      <c r="D638" s="1222"/>
      <c r="F638" s="319"/>
      <c r="G638" s="320"/>
      <c r="H638" s="321"/>
      <c r="I638" s="322"/>
      <c r="J638" s="323"/>
    </row>
    <row r="639" spans="1:10" ht="15" customHeight="1">
      <c r="A639" s="315" t="str">
        <f>IF(B639="","",IF(B638="",SUM(COUNT($A$5:A638)+1),""))</f>
        <v/>
      </c>
      <c r="B639" s="1224"/>
      <c r="C639" s="1385"/>
      <c r="D639" s="1222"/>
      <c r="F639" s="319"/>
      <c r="G639" s="320"/>
      <c r="H639" s="321"/>
      <c r="I639" s="322"/>
      <c r="J639" s="323"/>
    </row>
    <row r="640" spans="1:10" ht="15" customHeight="1">
      <c r="A640" s="315" t="str">
        <f>IF(B640="","",IF(B639="",SUM(COUNT($A$5:A639)+1),""))</f>
        <v/>
      </c>
      <c r="C640" s="316" t="str">
        <f>IF(B640="","",VLOOKUP(B640,'TB for financial'!A:B,2,0))</f>
        <v/>
      </c>
      <c r="D640" s="1222"/>
      <c r="E640" s="1222"/>
      <c r="F640" s="319"/>
      <c r="G640" s="320"/>
      <c r="H640" s="321"/>
      <c r="I640" s="322"/>
      <c r="J640" s="323"/>
    </row>
    <row r="641" spans="1:10" ht="15" customHeight="1">
      <c r="A641" s="315" t="str">
        <f>IF(B641="","",IF(B640="",SUM(COUNT($A$5:A640)+1),""))</f>
        <v/>
      </c>
      <c r="C641" s="316" t="str">
        <f>IF(B641="","",VLOOKUP(B641,'TB for financial'!A:B,2,0))</f>
        <v/>
      </c>
      <c r="E641" s="318"/>
      <c r="F641" s="319"/>
      <c r="G641" s="320"/>
      <c r="H641" s="321"/>
      <c r="I641" s="322"/>
      <c r="J641" s="323"/>
    </row>
    <row r="642" spans="1:10" ht="15" customHeight="1">
      <c r="A642" s="315" t="str">
        <f>IF(B642="","",IF(B641="",SUM(COUNT($A$5:A641)+1),""))</f>
        <v/>
      </c>
      <c r="C642" s="316" t="str">
        <f>IF(B642="","",VLOOKUP(B642,'TB for financial'!A:B,2,0))</f>
        <v/>
      </c>
      <c r="D642" s="317"/>
      <c r="E642" s="318"/>
      <c r="F642" s="319"/>
      <c r="G642" s="320"/>
      <c r="H642" s="321"/>
      <c r="I642" s="322"/>
      <c r="J642" s="323"/>
    </row>
    <row r="643" spans="1:10" ht="15" customHeight="1">
      <c r="A643" s="315" t="str">
        <f>IF(B643="","",IF(B642="",SUM(COUNT($A$5:A642)+1),""))</f>
        <v/>
      </c>
      <c r="C643" s="316" t="str">
        <f>IF(B643="","",VLOOKUP(B643,'TB for financial'!A:B,2,0))</f>
        <v/>
      </c>
      <c r="D643" s="317"/>
      <c r="E643" s="318"/>
      <c r="F643" s="319"/>
      <c r="G643" s="320"/>
      <c r="H643" s="321"/>
      <c r="I643" s="322"/>
      <c r="J643" s="323"/>
    </row>
    <row r="644" spans="1:10" ht="15" customHeight="1">
      <c r="A644" s="315" t="str">
        <f>IF(B644="","",IF(B643="",SUM(COUNT($A$5:A643)+1),""))</f>
        <v/>
      </c>
      <c r="C644" s="316" t="str">
        <f>IF(B644="","",VLOOKUP(B644,'TB for financial'!A:B,2,0))</f>
        <v/>
      </c>
      <c r="D644" s="317"/>
      <c r="E644" s="318"/>
      <c r="F644" s="319"/>
      <c r="G644" s="320"/>
      <c r="H644" s="321"/>
      <c r="I644" s="322"/>
      <c r="J644" s="323"/>
    </row>
    <row r="645" spans="1:10" ht="15" customHeight="1">
      <c r="A645" s="315" t="str">
        <f>IF(B645="","",IF(B644="",SUM(COUNT($A$5:A644)+1),""))</f>
        <v/>
      </c>
      <c r="C645" s="316" t="str">
        <f>IF(B645="","",VLOOKUP(B645,'TB for financial'!A:B,2,0))</f>
        <v/>
      </c>
      <c r="D645" s="317"/>
      <c r="E645" s="318"/>
      <c r="F645" s="319"/>
      <c r="G645" s="320"/>
      <c r="H645" s="321"/>
      <c r="I645" s="322"/>
      <c r="J645" s="323"/>
    </row>
    <row r="646" spans="1:10" ht="15" customHeight="1">
      <c r="A646" s="315" t="str">
        <f>IF(B646="","",IF(B645="",SUM(COUNT($A$5:A645)+1),""))</f>
        <v/>
      </c>
      <c r="C646" s="316" t="str">
        <f>IF(B646="","",VLOOKUP(B646,'TB for financial'!A:B,2,0))</f>
        <v/>
      </c>
      <c r="D646" s="317"/>
      <c r="E646" s="318"/>
      <c r="F646" s="319"/>
      <c r="G646" s="320"/>
      <c r="H646" s="321"/>
      <c r="I646" s="322"/>
      <c r="J646" s="323"/>
    </row>
    <row r="647" spans="1:10" ht="15" customHeight="1">
      <c r="A647" s="315" t="str">
        <f>IF(B647="","",IF(B646="",SUM(COUNT($A$5:A646)+1),""))</f>
        <v/>
      </c>
      <c r="B647" s="1224"/>
      <c r="C647" s="1385"/>
      <c r="D647" s="317"/>
      <c r="E647" s="318"/>
      <c r="F647" s="319"/>
      <c r="G647" s="320"/>
      <c r="H647" s="321"/>
      <c r="I647" s="322"/>
      <c r="J647" s="323"/>
    </row>
    <row r="648" spans="1:10" ht="15" customHeight="1">
      <c r="A648" s="315" t="str">
        <f>IF(B648="","",IF(B647="",SUM(COUNT($A$5:A647)+1),""))</f>
        <v/>
      </c>
      <c r="C648" s="316" t="str">
        <f>IF(B648="","",VLOOKUP(B648,'TB for financial'!A:B,2,0))</f>
        <v/>
      </c>
      <c r="D648" s="317"/>
      <c r="E648" s="318"/>
      <c r="F648" s="319"/>
      <c r="G648" s="320"/>
      <c r="H648" s="321"/>
      <c r="I648" s="322"/>
      <c r="J648" s="323"/>
    </row>
    <row r="649" spans="1:10" ht="15" customHeight="1">
      <c r="A649" s="315" t="str">
        <f>IF(B649="","",IF(B648="",SUM(COUNT($A$5:A648)+1),""))</f>
        <v/>
      </c>
      <c r="C649" s="316" t="str">
        <f>IF(B649="","",VLOOKUP(B649,'TB for financial'!A:B,2,0))</f>
        <v/>
      </c>
      <c r="D649" s="317"/>
      <c r="E649" s="318"/>
      <c r="F649" s="319"/>
      <c r="G649" s="320"/>
      <c r="H649" s="321"/>
      <c r="I649" s="322"/>
      <c r="J649" s="323"/>
    </row>
    <row r="650" spans="1:10" ht="15" customHeight="1">
      <c r="A650" s="315" t="str">
        <f>IF(B650="","",IF(B649="",SUM(COUNT($A$5:A649)+1),""))</f>
        <v/>
      </c>
      <c r="B650" s="1224"/>
      <c r="C650" s="316" t="str">
        <f>IF(B650="","",VLOOKUP(B650,'TB for financial'!A:B,2,0))</f>
        <v/>
      </c>
      <c r="D650" s="317"/>
      <c r="E650" s="318"/>
      <c r="F650" s="319"/>
      <c r="G650" s="320"/>
      <c r="H650" s="321"/>
      <c r="I650" s="322"/>
      <c r="J650" s="323"/>
    </row>
    <row r="651" spans="1:10" ht="15" customHeight="1">
      <c r="A651" s="315" t="str">
        <f>IF(B651="","",IF(B650="",SUM(COUNT($A$5:A650)+1),""))</f>
        <v/>
      </c>
      <c r="B651" s="1224"/>
      <c r="C651" s="316" t="str">
        <f>IF(B651="","",VLOOKUP(B651,'TB for financial'!A:B,2,0))</f>
        <v/>
      </c>
      <c r="D651" s="317"/>
      <c r="E651" s="318"/>
      <c r="F651" s="319"/>
      <c r="G651" s="320"/>
      <c r="H651" s="321"/>
      <c r="I651" s="322"/>
      <c r="J651" s="323"/>
    </row>
    <row r="652" spans="1:10" ht="15" customHeight="1">
      <c r="A652" s="315" t="str">
        <f>IF(B652="","",IF(B651="",SUM(COUNT($A$5:A651)+1),""))</f>
        <v/>
      </c>
      <c r="B652" s="327"/>
      <c r="C652" s="316" t="str">
        <f>IF(B652="","",VLOOKUP(B652,'TB for financial'!A:B,2,0))</f>
        <v/>
      </c>
      <c r="D652" s="317"/>
      <c r="E652" s="318"/>
      <c r="F652" s="319"/>
      <c r="G652" s="320"/>
      <c r="H652" s="321"/>
      <c r="I652" s="322"/>
      <c r="J652" s="323"/>
    </row>
    <row r="653" spans="1:10" ht="15" customHeight="1">
      <c r="A653" s="315" t="str">
        <f>IF(B653="","",IF(B652="",SUM(COUNT($A$5:A652)+1),""))</f>
        <v/>
      </c>
      <c r="B653" s="327"/>
      <c r="C653" s="316" t="str">
        <f>IF(B653="","",VLOOKUP(B653,'TB for financial'!A:B,2,0))</f>
        <v/>
      </c>
      <c r="D653" s="317"/>
      <c r="E653" s="318"/>
      <c r="F653" s="319"/>
      <c r="G653" s="320"/>
      <c r="H653" s="321"/>
      <c r="I653" s="322"/>
      <c r="J653" s="323"/>
    </row>
    <row r="654" spans="1:10" ht="15" customHeight="1">
      <c r="A654" s="315" t="str">
        <f>IF(B654="","",IF(B653="",SUM(COUNT($A$5:A653)+1),""))</f>
        <v/>
      </c>
      <c r="B654" s="327"/>
      <c r="C654" s="316" t="str">
        <f>IF(B654="","",VLOOKUP(B654,'TB for financial'!A:B,2,0))</f>
        <v/>
      </c>
      <c r="D654" s="317"/>
      <c r="E654" s="318"/>
      <c r="F654" s="319"/>
      <c r="G654" s="320"/>
      <c r="H654" s="321"/>
      <c r="I654" s="322"/>
      <c r="J654" s="323"/>
    </row>
    <row r="655" spans="1:10" ht="15" customHeight="1">
      <c r="A655" s="315" t="str">
        <f>IF(B655="","",IF(B654="",SUM(COUNT($A$5:A654)+1),""))</f>
        <v/>
      </c>
      <c r="B655" s="327"/>
      <c r="C655" s="316" t="str">
        <f>IF(B655="","",VLOOKUP(B655,'TB for financial'!A:B,2,0))</f>
        <v/>
      </c>
      <c r="D655" s="317"/>
      <c r="E655" s="318"/>
      <c r="F655" s="319"/>
      <c r="G655" s="320"/>
      <c r="H655" s="321"/>
      <c r="I655" s="322"/>
      <c r="J655" s="323"/>
    </row>
    <row r="656" spans="1:10" ht="15" customHeight="1">
      <c r="A656" s="315" t="str">
        <f>IF(B656="","",IF(B655="",SUM(COUNT($A$5:A655)+1),""))</f>
        <v/>
      </c>
      <c r="B656" s="327"/>
      <c r="C656" s="316" t="str">
        <f>IF(B656="","",VLOOKUP(B656,'TB for financial'!A:B,2,0))</f>
        <v/>
      </c>
      <c r="D656" s="317"/>
      <c r="E656" s="318"/>
      <c r="F656" s="319"/>
      <c r="G656" s="320"/>
      <c r="H656" s="321"/>
      <c r="I656" s="322"/>
      <c r="J656" s="323"/>
    </row>
    <row r="657" spans="1:10" ht="15" customHeight="1">
      <c r="A657" s="315" t="str">
        <f>IF(B657="","",IF(B656="",SUM(COUNT($A$5:A656)+1),""))</f>
        <v/>
      </c>
      <c r="B657" s="1224"/>
      <c r="C657" s="316" t="str">
        <f>IF(B657="","",VLOOKUP(B657,'TB for financial'!A:B,2,0))</f>
        <v/>
      </c>
      <c r="D657" s="317"/>
      <c r="E657" s="318"/>
      <c r="F657" s="319"/>
      <c r="G657" s="320"/>
      <c r="H657" s="321"/>
      <c r="I657" s="322"/>
      <c r="J657" s="323"/>
    </row>
    <row r="658" spans="1:10" ht="15" customHeight="1">
      <c r="A658" s="315" t="str">
        <f>IF(B658="","",IF(B657="",SUM(COUNT($A$5:A657)+1),""))</f>
        <v/>
      </c>
      <c r="B658" s="327"/>
      <c r="C658" s="316" t="str">
        <f>IF(B658="","",VLOOKUP(B658,'TB for financial'!A:B,2,0))</f>
        <v/>
      </c>
      <c r="D658" s="317"/>
      <c r="E658" s="317"/>
      <c r="F658" s="319"/>
      <c r="G658" s="320"/>
      <c r="H658" s="321"/>
      <c r="I658" s="322"/>
      <c r="J658" s="323"/>
    </row>
    <row r="659" spans="1:10" ht="15" customHeight="1">
      <c r="A659" s="315" t="str">
        <f>IF(B659="","",IF(B658="",SUM(COUNT($A$5:A658)+1),""))</f>
        <v/>
      </c>
      <c r="B659" s="327"/>
      <c r="C659" s="316" t="str">
        <f>IF(B659="","",VLOOKUP(B659,'TB for financial'!A:B,2,0))</f>
        <v/>
      </c>
      <c r="D659" s="317"/>
      <c r="E659" s="317"/>
      <c r="F659" s="319"/>
      <c r="G659" s="320"/>
      <c r="H659" s="321"/>
      <c r="I659" s="322"/>
      <c r="J659" s="323"/>
    </row>
    <row r="660" spans="1:10" ht="15" customHeight="1">
      <c r="A660" s="315" t="str">
        <f>IF(B660="","",IF(B659="",SUM(COUNT($A$5:A659)+1),""))</f>
        <v/>
      </c>
      <c r="B660" s="1224"/>
      <c r="C660" s="316" t="str">
        <f>IF(B660="","",VLOOKUP(B660,'TB for financial'!A:B,2,0))</f>
        <v/>
      </c>
      <c r="D660" s="317"/>
      <c r="E660" s="318"/>
      <c r="F660" s="319"/>
      <c r="G660" s="320"/>
      <c r="H660" s="321"/>
      <c r="I660" s="322"/>
      <c r="J660" s="323"/>
    </row>
    <row r="661" spans="1:10" ht="15" customHeight="1">
      <c r="A661" s="315" t="str">
        <f>IF(B661="","",IF(B660="",SUM(COUNT($A$5:A660)+1),""))</f>
        <v/>
      </c>
      <c r="B661" s="1224"/>
      <c r="C661" s="316" t="str">
        <f>IF(B661="","",VLOOKUP(B661,'TB for financial'!A:B,2,0))</f>
        <v/>
      </c>
      <c r="D661" s="318"/>
      <c r="E661" s="318"/>
      <c r="F661" s="319"/>
      <c r="G661" s="320"/>
      <c r="H661" s="321"/>
      <c r="I661" s="322"/>
      <c r="J661" s="323"/>
    </row>
    <row r="662" spans="1:10" ht="15" customHeight="1">
      <c r="A662" s="315" t="str">
        <f>IF(B662="","",IF(B661="",SUM(COUNT($A$5:A661)+1),""))</f>
        <v/>
      </c>
      <c r="B662" s="1224"/>
      <c r="C662" s="316" t="str">
        <f>IF(B662="","",VLOOKUP(B662,'TB for financial'!A:B,2,0))</f>
        <v/>
      </c>
      <c r="D662" s="317"/>
      <c r="E662" s="318"/>
      <c r="F662" s="319"/>
      <c r="G662" s="320"/>
      <c r="H662" s="321"/>
      <c r="I662" s="322"/>
      <c r="J662" s="323"/>
    </row>
    <row r="663" spans="1:10" ht="15" customHeight="1">
      <c r="A663" s="315" t="str">
        <f>IF(B663="","",IF(B662="",SUM(COUNT($A$5:A662)+1),""))</f>
        <v/>
      </c>
      <c r="B663" s="1224"/>
      <c r="C663" s="316" t="str">
        <f>IF(B663="","",VLOOKUP(B663,'TB for financial'!A:B,2,0))</f>
        <v/>
      </c>
      <c r="D663" s="317"/>
      <c r="E663" s="317"/>
      <c r="F663" s="319"/>
      <c r="G663" s="320"/>
      <c r="H663" s="321"/>
      <c r="I663" s="322"/>
      <c r="J663" s="323"/>
    </row>
    <row r="664" spans="1:10" ht="15" customHeight="1">
      <c r="A664" s="315" t="str">
        <f>IF(B664="","",IF(B663="",SUM(COUNT($A$5:A663)+1),""))</f>
        <v/>
      </c>
      <c r="B664" s="1224"/>
      <c r="C664" s="316" t="str">
        <f>IF(B664="","",VLOOKUP(B664,'TB for financial'!A:B,2,0))</f>
        <v/>
      </c>
      <c r="D664" s="317"/>
      <c r="E664" s="318"/>
      <c r="F664" s="319"/>
      <c r="G664" s="320"/>
      <c r="H664" s="321"/>
      <c r="I664" s="322"/>
      <c r="J664" s="323"/>
    </row>
    <row r="665" spans="1:10" ht="15" customHeight="1">
      <c r="A665" s="315" t="str">
        <f>IF(B665="","",IF(B664="",SUM(COUNT($A$5:A664)+1),""))</f>
        <v/>
      </c>
      <c r="B665" s="1224"/>
      <c r="C665" s="316" t="str">
        <f>IF(B665="","",VLOOKUP(B665,'TB for financial'!A:B,2,0))</f>
        <v/>
      </c>
      <c r="D665" s="317"/>
      <c r="E665" s="318"/>
      <c r="F665" s="319"/>
      <c r="G665" s="320"/>
      <c r="H665" s="321"/>
      <c r="I665" s="322"/>
      <c r="J665" s="323"/>
    </row>
    <row r="666" spans="1:10" ht="15" customHeight="1">
      <c r="A666" s="315" t="str">
        <f>IF(B666="","",IF(B665="",SUM(COUNT($A$5:A665)+1),""))</f>
        <v/>
      </c>
      <c r="B666" s="1224"/>
      <c r="C666" s="316" t="str">
        <f>IF(B666="","",VLOOKUP(B666,'TB for financial'!A:B,2,0))</f>
        <v/>
      </c>
      <c r="D666" s="317"/>
      <c r="E666" s="318"/>
      <c r="F666" s="319"/>
      <c r="G666" s="320"/>
      <c r="H666" s="321"/>
      <c r="I666" s="322"/>
      <c r="J666" s="323"/>
    </row>
    <row r="667" spans="1:10" ht="15" customHeight="1">
      <c r="A667" s="315" t="str">
        <f>IF(B667="","",IF(B666="",SUM(COUNT($A$5:A666)+1),""))</f>
        <v/>
      </c>
      <c r="B667" s="1224"/>
      <c r="C667" s="316" t="str">
        <f>IF(B667="","",VLOOKUP(B667,'TB for financial'!A:B,2,0))</f>
        <v/>
      </c>
      <c r="D667" s="317"/>
      <c r="E667" s="318"/>
      <c r="F667" s="319"/>
      <c r="G667" s="320"/>
      <c r="H667" s="321"/>
      <c r="I667" s="322"/>
      <c r="J667" s="323"/>
    </row>
    <row r="668" spans="1:10" ht="15" customHeight="1">
      <c r="A668" s="315" t="str">
        <f>IF(B668="","",IF(B664="",SUM(COUNT($A$5:A664)+1),""))</f>
        <v/>
      </c>
      <c r="B668" s="1224"/>
      <c r="C668" s="316" t="str">
        <f>IF(B668="","",VLOOKUP(B668,'TB for financial'!A:B,2,0))</f>
        <v/>
      </c>
      <c r="D668" s="317"/>
      <c r="E668" s="318"/>
      <c r="F668" s="319"/>
      <c r="G668" s="320"/>
      <c r="H668" s="321"/>
      <c r="I668" s="322"/>
      <c r="J668" s="323"/>
    </row>
    <row r="669" spans="1:10" ht="15" customHeight="1">
      <c r="A669" s="315" t="str">
        <f>IF(B669="","",IF(B668="",SUM(COUNT($A$5:A668)+1),""))</f>
        <v/>
      </c>
      <c r="B669" s="1224"/>
      <c r="C669" s="316" t="str">
        <f>IF(B669="","",VLOOKUP(B669,'TB for financial'!A:B,2,0))</f>
        <v/>
      </c>
      <c r="D669" s="317"/>
      <c r="E669" s="318"/>
      <c r="F669" s="319"/>
      <c r="G669" s="320"/>
      <c r="H669" s="321"/>
      <c r="I669" s="322"/>
      <c r="J669" s="323"/>
    </row>
    <row r="670" spans="1:10" ht="15" customHeight="1">
      <c r="A670" s="315" t="str">
        <f>IF(B670="","",IF(B669="",SUM(COUNT($A$5:A669)+1),""))</f>
        <v/>
      </c>
      <c r="B670" s="1224"/>
      <c r="C670" s="316" t="str">
        <f>IF(B670="","",VLOOKUP(B670,'TB for financial'!A:B,2,0))</f>
        <v/>
      </c>
      <c r="D670" s="317"/>
      <c r="E670" s="318"/>
      <c r="F670" s="319"/>
      <c r="G670" s="320"/>
      <c r="H670" s="321"/>
      <c r="I670" s="322"/>
      <c r="J670" s="323"/>
    </row>
    <row r="671" spans="1:10" ht="15" customHeight="1">
      <c r="A671" s="315" t="str">
        <f>IF(B671="","",IF(B670="",SUM(COUNT($A$5:A670)+1),""))</f>
        <v/>
      </c>
      <c r="B671" s="1224"/>
      <c r="C671" s="316" t="str">
        <f>IF(B671="","",VLOOKUP(B671,'TB for financial'!A:B,2,0))</f>
        <v/>
      </c>
      <c r="D671" s="317"/>
      <c r="E671" s="318"/>
      <c r="F671" s="319"/>
      <c r="G671" s="320"/>
      <c r="H671" s="321"/>
      <c r="I671" s="322"/>
      <c r="J671" s="323"/>
    </row>
    <row r="672" spans="1:10" ht="15" customHeight="1">
      <c r="A672" s="315" t="str">
        <f>IF(B672="","",IF(B671="",SUM(COUNT($A$5:A671)+1),""))</f>
        <v/>
      </c>
      <c r="B672" s="1224"/>
      <c r="C672" s="316" t="str">
        <f>IF(B672="","",VLOOKUP(B672,'TB for financial'!A:B,2,0))</f>
        <v/>
      </c>
      <c r="D672" s="317"/>
      <c r="E672" s="318"/>
      <c r="F672" s="319"/>
      <c r="G672" s="320"/>
      <c r="H672" s="321"/>
      <c r="I672" s="322"/>
      <c r="J672" s="323"/>
    </row>
    <row r="673" spans="1:10" ht="15" customHeight="1">
      <c r="A673" s="315" t="str">
        <f>IF(B673="","",IF(B672="",SUM(COUNT($A$5:A672)+1),""))</f>
        <v/>
      </c>
      <c r="B673" s="1224"/>
      <c r="C673" s="316" t="str">
        <f>IF(B673="","",VLOOKUP(B673,'TB for financial'!A:B,2,0))</f>
        <v/>
      </c>
      <c r="D673" s="317"/>
      <c r="E673" s="318"/>
      <c r="F673" s="319"/>
      <c r="G673" s="320"/>
      <c r="H673" s="321"/>
      <c r="I673" s="322"/>
      <c r="J673" s="323"/>
    </row>
    <row r="674" spans="1:10" ht="15" customHeight="1">
      <c r="A674" s="315" t="str">
        <f>IF(B674="","",IF(B673="",SUM(COUNT($A$5:A673)+1),""))</f>
        <v/>
      </c>
      <c r="B674" s="1224"/>
      <c r="C674" s="316" t="str">
        <f>IF(B674="","",VLOOKUP(B674,'TB for financial'!A:B,2,0))</f>
        <v/>
      </c>
      <c r="D674" s="317"/>
      <c r="E674" s="318"/>
      <c r="F674" s="319"/>
      <c r="G674" s="320"/>
      <c r="H674" s="321"/>
      <c r="I674" s="322"/>
      <c r="J674" s="323"/>
    </row>
    <row r="675" spans="1:10" ht="15" customHeight="1">
      <c r="A675" s="315" t="str">
        <f>IF(B675="","",IF(B674="",SUM(COUNT($A$5:A674)+1),""))</f>
        <v/>
      </c>
      <c r="B675" s="1224"/>
      <c r="C675" s="316" t="str">
        <f>IF(B675="","",VLOOKUP(B675,'TB for financial'!A:B,2,0))</f>
        <v/>
      </c>
      <c r="D675" s="317"/>
      <c r="E675" s="318"/>
      <c r="F675" s="319"/>
      <c r="G675" s="320"/>
      <c r="H675" s="321"/>
      <c r="I675" s="322"/>
      <c r="J675" s="323"/>
    </row>
    <row r="676" spans="1:10" ht="15" customHeight="1">
      <c r="A676" s="315" t="str">
        <f>IF(B676="","",IF(B675="",SUM(COUNT($A$5:A675)+1),""))</f>
        <v/>
      </c>
      <c r="B676" s="327"/>
      <c r="C676" s="316" t="str">
        <f>IF(B676="","",VLOOKUP(B676,'TB for financial'!A:B,2,0))</f>
        <v/>
      </c>
      <c r="D676" s="317"/>
      <c r="E676" s="318"/>
      <c r="F676" s="319"/>
      <c r="G676" s="320"/>
      <c r="H676" s="321"/>
      <c r="I676" s="322"/>
      <c r="J676" s="323"/>
    </row>
    <row r="677" spans="1:10" ht="15" customHeight="1">
      <c r="A677" s="315" t="str">
        <f>IF(B677="","",IF(B676="",SUM(COUNT($A$5:A676)+1),""))</f>
        <v/>
      </c>
      <c r="B677" s="327"/>
      <c r="C677" s="316" t="str">
        <f>IF(B677="","",VLOOKUP(B677,'TB for financial'!A:B,2,0))</f>
        <v/>
      </c>
      <c r="D677" s="317"/>
      <c r="E677" s="318"/>
      <c r="F677" s="319"/>
      <c r="G677" s="320"/>
      <c r="H677" s="321"/>
      <c r="I677" s="322"/>
      <c r="J677" s="323"/>
    </row>
    <row r="678" spans="1:10" ht="15" customHeight="1">
      <c r="A678" s="315" t="str">
        <f>IF(B678="","",IF(B677="",SUM(COUNT($A$5:A677)+1),""))</f>
        <v/>
      </c>
      <c r="B678" s="327"/>
      <c r="C678" s="316" t="str">
        <f>IF(B678="","",VLOOKUP(B678,'TB for financial'!A:B,2,0))</f>
        <v/>
      </c>
      <c r="D678" s="317"/>
      <c r="E678" s="318"/>
      <c r="F678" s="319"/>
      <c r="G678" s="320"/>
      <c r="H678" s="321"/>
      <c r="I678" s="322"/>
      <c r="J678" s="323"/>
    </row>
    <row r="679" spans="1:10" ht="15" customHeight="1">
      <c r="A679" s="315" t="str">
        <f>IF(B679="","",IF(B678="",SUM(COUNT($A$5:A678)+1),""))</f>
        <v/>
      </c>
      <c r="B679" s="327"/>
      <c r="C679" s="316" t="str">
        <f>IF(B679="","",VLOOKUP(B679,'TB for financial'!A:B,2,0))</f>
        <v/>
      </c>
      <c r="D679" s="317"/>
      <c r="E679" s="318"/>
      <c r="F679" s="319"/>
      <c r="G679" s="320"/>
      <c r="H679" s="321"/>
      <c r="I679" s="322"/>
      <c r="J679" s="323"/>
    </row>
    <row r="680" spans="1:10" ht="15" customHeight="1">
      <c r="A680" s="315" t="str">
        <f>IF(B680="","",IF(B679="",SUM(COUNT($A$5:A679)+1),""))</f>
        <v/>
      </c>
      <c r="B680" s="327"/>
      <c r="C680" s="316" t="str">
        <f>IF(B680="","",VLOOKUP(B680,'TB for financial'!A:B,2,0))</f>
        <v/>
      </c>
      <c r="D680" s="317"/>
      <c r="E680" s="318"/>
      <c r="F680" s="319"/>
      <c r="G680" s="320"/>
      <c r="H680" s="321"/>
      <c r="I680" s="322"/>
      <c r="J680" s="323"/>
    </row>
    <row r="681" spans="1:10" ht="15" customHeight="1">
      <c r="A681" s="315" t="str">
        <f>IF(B681="","",IF(B680="",SUM(COUNT($A$5:A680)+1),""))</f>
        <v/>
      </c>
      <c r="B681" s="327"/>
      <c r="C681" s="316" t="str">
        <f>IF(B681="","",VLOOKUP(B681,'TB for financial'!A:B,2,0))</f>
        <v/>
      </c>
      <c r="D681" s="317"/>
      <c r="E681" s="318"/>
      <c r="F681" s="319"/>
      <c r="G681" s="320"/>
      <c r="H681" s="321"/>
      <c r="I681" s="322"/>
      <c r="J681" s="323"/>
    </row>
    <row r="682" spans="1:10" ht="15" customHeight="1">
      <c r="A682" s="315" t="str">
        <f>IF(B682="","",IF(B681="",SUM(COUNT($A$5:A681)+1),""))</f>
        <v/>
      </c>
      <c r="B682" s="327"/>
      <c r="C682" s="316" t="str">
        <f>IF(B682="","",VLOOKUP(B682,'TB for financial'!A:B,2,0))</f>
        <v/>
      </c>
      <c r="D682" s="317"/>
      <c r="E682" s="318"/>
      <c r="F682" s="319"/>
      <c r="G682" s="320"/>
      <c r="H682" s="321"/>
      <c r="I682" s="322"/>
      <c r="J682" s="323"/>
    </row>
    <row r="683" spans="1:10" ht="15" customHeight="1">
      <c r="A683" s="315" t="str">
        <f>IF(B683="","",IF(B682="",SUM(COUNT($A$5:A682)+1),""))</f>
        <v/>
      </c>
      <c r="B683" s="327"/>
      <c r="C683" s="316" t="str">
        <f>IF(B683="","",VLOOKUP(B683,'TB for financial'!A:B,2,0))</f>
        <v/>
      </c>
      <c r="D683" s="317"/>
      <c r="E683" s="318"/>
      <c r="F683" s="319"/>
      <c r="G683" s="320"/>
      <c r="H683" s="321"/>
      <c r="I683" s="322"/>
      <c r="J683" s="323"/>
    </row>
    <row r="684" spans="1:10" ht="15" customHeight="1">
      <c r="A684" s="315" t="str">
        <f>IF(B684="","",IF(B683="",SUM(COUNT($A$5:A683)+1),""))</f>
        <v/>
      </c>
      <c r="B684" s="327"/>
      <c r="C684" s="316" t="str">
        <f>IF(B684="","",VLOOKUP(B684,'TB for financial'!A:B,2,0))</f>
        <v/>
      </c>
      <c r="D684" s="317"/>
      <c r="E684" s="318"/>
      <c r="F684" s="319"/>
      <c r="G684" s="320"/>
      <c r="H684" s="321"/>
      <c r="I684" s="322"/>
      <c r="J684" s="323"/>
    </row>
    <row r="685" spans="1:10" ht="15" customHeight="1">
      <c r="A685" s="315" t="str">
        <f>IF(B685="","",IF(B684="",SUM(COUNT($A$5:A684)+1),""))</f>
        <v/>
      </c>
      <c r="B685" s="327"/>
      <c r="C685" s="316" t="str">
        <f>IF(B685="","",VLOOKUP(B685,'TB for financial'!A:B,2,0))</f>
        <v/>
      </c>
      <c r="D685" s="317"/>
      <c r="E685" s="318"/>
      <c r="F685" s="319"/>
      <c r="G685" s="320"/>
      <c r="H685" s="321"/>
      <c r="I685" s="322"/>
      <c r="J685" s="323"/>
    </row>
    <row r="686" spans="1:10" ht="15" customHeight="1">
      <c r="A686" s="315" t="str">
        <f>IF(B686="","",IF(B685="",SUM(COUNT($A$5:A685)+1),""))</f>
        <v/>
      </c>
      <c r="B686" s="327"/>
      <c r="C686" s="316" t="str">
        <f>IF(B686="","",VLOOKUP(B686,'TB for financial'!A:B,2,0))</f>
        <v/>
      </c>
      <c r="D686" s="317"/>
      <c r="E686" s="318"/>
      <c r="F686" s="319"/>
      <c r="G686" s="320"/>
      <c r="H686" s="321"/>
      <c r="I686" s="322"/>
      <c r="J686" s="323"/>
    </row>
    <row r="687" spans="1:10" ht="15" customHeight="1">
      <c r="A687" s="315" t="str">
        <f>IF(B687="","",IF(B686="",SUM(COUNT($A$5:A686)+1),""))</f>
        <v/>
      </c>
      <c r="B687" s="327"/>
      <c r="C687" s="316" t="str">
        <f>IF(B687="","",VLOOKUP(B687,'TB for financial'!A:B,2,0))</f>
        <v/>
      </c>
      <c r="D687" s="317"/>
      <c r="E687" s="318"/>
      <c r="F687" s="319"/>
      <c r="G687" s="320"/>
      <c r="H687" s="321"/>
      <c r="I687" s="322"/>
      <c r="J687" s="323"/>
    </row>
    <row r="688" spans="1:10" ht="15" customHeight="1">
      <c r="A688" s="315" t="str">
        <f>IF(B688="","",IF(B687="",SUM(COUNT($A$5:A687)+1),""))</f>
        <v/>
      </c>
      <c r="B688" s="327"/>
      <c r="C688" s="316" t="str">
        <f>IF(B688="","",VLOOKUP(B688,'TB for financial'!A:B,2,0))</f>
        <v/>
      </c>
      <c r="D688" s="317"/>
      <c r="E688" s="318"/>
      <c r="F688" s="319"/>
      <c r="G688" s="320"/>
      <c r="H688" s="321"/>
      <c r="I688" s="322"/>
      <c r="J688" s="323"/>
    </row>
    <row r="689" spans="1:10" ht="15" customHeight="1">
      <c r="A689" s="315" t="str">
        <f>IF(B689="","",IF(B688="",SUM(COUNT($A$5:A688)+1),""))</f>
        <v/>
      </c>
      <c r="B689" s="327"/>
      <c r="C689" s="316" t="str">
        <f>IF(B689="","",VLOOKUP(B689,'TB for financial'!A:B,2,0))</f>
        <v/>
      </c>
      <c r="D689" s="317"/>
      <c r="E689" s="318"/>
      <c r="F689" s="319"/>
      <c r="G689" s="320"/>
      <c r="H689" s="321"/>
      <c r="I689" s="322"/>
      <c r="J689" s="323"/>
    </row>
    <row r="690" spans="1:10" ht="15" customHeight="1">
      <c r="A690" s="315" t="str">
        <f>IF(B690="","",IF(B689="",SUM(COUNT($A$5:A689)+1),""))</f>
        <v/>
      </c>
      <c r="B690" s="327"/>
      <c r="C690" s="316" t="str">
        <f>IF(B690="","",VLOOKUP(B690,'TB for financial'!A:B,2,0))</f>
        <v/>
      </c>
      <c r="D690" s="317"/>
      <c r="E690" s="318"/>
      <c r="F690" s="319"/>
      <c r="G690" s="320"/>
      <c r="H690" s="321"/>
      <c r="I690" s="322"/>
      <c r="J690" s="323"/>
    </row>
    <row r="691" spans="1:10" ht="15" customHeight="1">
      <c r="A691" s="315" t="str">
        <f>IF(B691="","",IF(B690="",SUM(COUNT($A$5:A690)+1),""))</f>
        <v/>
      </c>
      <c r="B691" s="327"/>
      <c r="C691" s="316" t="str">
        <f>IF(B691="","",VLOOKUP(B691,'TB for financial'!A:B,2,0))</f>
        <v/>
      </c>
      <c r="D691" s="317"/>
      <c r="E691" s="318"/>
      <c r="F691" s="319"/>
      <c r="G691" s="320"/>
      <c r="H691" s="321"/>
      <c r="I691" s="322"/>
      <c r="J691" s="323"/>
    </row>
    <row r="692" spans="1:10" ht="15" customHeight="1">
      <c r="A692" s="315" t="str">
        <f>IF(B692="","",IF(B691="",SUM(COUNT($A$5:A691)+1),""))</f>
        <v/>
      </c>
      <c r="B692" s="327"/>
      <c r="C692" s="316" t="str">
        <f>IF(B692="","",VLOOKUP(B692,'TB for financial'!A:B,2,0))</f>
        <v/>
      </c>
      <c r="D692" s="317"/>
      <c r="E692" s="318"/>
      <c r="F692" s="319"/>
      <c r="G692" s="320"/>
      <c r="H692" s="321"/>
      <c r="I692" s="322"/>
      <c r="J692" s="323"/>
    </row>
    <row r="693" spans="1:10" ht="15" customHeight="1">
      <c r="A693" s="315" t="str">
        <f>IF(B693="","",IF(B692="",SUM(COUNT($A$5:A692)+1),""))</f>
        <v/>
      </c>
      <c r="B693" s="327"/>
      <c r="C693" s="316" t="str">
        <f>IF(B693="","",VLOOKUP(B693,'TB for financial'!A:B,2,0))</f>
        <v/>
      </c>
      <c r="D693" s="317"/>
      <c r="E693" s="318"/>
      <c r="F693" s="319"/>
      <c r="G693" s="320"/>
      <c r="H693" s="321"/>
      <c r="I693" s="322"/>
      <c r="J693" s="323"/>
    </row>
    <row r="694" spans="1:10" ht="15" customHeight="1">
      <c r="A694" s="315" t="str">
        <f>IF(B694="","",IF(B693="",SUM(COUNT($A$5:A693)+1),""))</f>
        <v/>
      </c>
      <c r="B694" s="327"/>
      <c r="C694" s="316" t="str">
        <f>IF(B694="","",VLOOKUP(B694,'TB for financial'!A:B,2,0))</f>
        <v/>
      </c>
      <c r="D694" s="317"/>
      <c r="E694" s="318"/>
      <c r="F694" s="319"/>
      <c r="G694" s="320"/>
      <c r="H694" s="321"/>
      <c r="I694" s="322"/>
      <c r="J694" s="323"/>
    </row>
    <row r="695" spans="1:10" ht="15" customHeight="1">
      <c r="A695" s="315" t="str">
        <f>IF(B695="","",IF(B694="",SUM(COUNT($A$5:A694)+1),""))</f>
        <v/>
      </c>
      <c r="B695" s="327"/>
      <c r="C695" s="316" t="str">
        <f>IF(B695="","",VLOOKUP(B695,'TB for financial'!A:B,2,0))</f>
        <v/>
      </c>
      <c r="D695" s="317"/>
      <c r="E695" s="318"/>
      <c r="F695" s="319"/>
      <c r="G695" s="320"/>
      <c r="H695" s="321"/>
      <c r="I695" s="322"/>
      <c r="J695" s="323"/>
    </row>
    <row r="696" spans="1:10" ht="15" customHeight="1">
      <c r="A696" s="315" t="str">
        <f>IF(B696="","",IF(B695="",SUM(COUNT($A$5:A695)+1),""))</f>
        <v/>
      </c>
      <c r="B696" s="327"/>
      <c r="C696" s="316" t="str">
        <f>IF(B696="","",VLOOKUP(B696,'TB for financial'!A:B,2,0))</f>
        <v/>
      </c>
      <c r="D696" s="317"/>
      <c r="E696" s="318"/>
      <c r="F696" s="319"/>
      <c r="G696" s="320"/>
      <c r="H696" s="321"/>
      <c r="I696" s="322"/>
      <c r="J696" s="323"/>
    </row>
    <row r="697" spans="1:10" ht="15" customHeight="1">
      <c r="A697" s="315" t="str">
        <f>IF(B697="","",IF(B696="",SUM(COUNT($A$5:A696)+1),""))</f>
        <v/>
      </c>
      <c r="B697" s="327"/>
      <c r="C697" s="316" t="str">
        <f>IF(B697="","",VLOOKUP(B697,'TB for financial'!A:B,2,0))</f>
        <v/>
      </c>
      <c r="D697" s="317"/>
      <c r="E697" s="318"/>
      <c r="F697" s="319"/>
      <c r="G697" s="320"/>
      <c r="H697" s="321"/>
      <c r="I697" s="322"/>
      <c r="J697" s="323"/>
    </row>
    <row r="698" spans="1:10" ht="15" customHeight="1">
      <c r="A698" s="315" t="str">
        <f>IF(B698="","",IF(B697="",SUM(COUNT($A$5:A697)+1),""))</f>
        <v/>
      </c>
      <c r="B698" s="327"/>
      <c r="C698" s="316" t="str">
        <f>IF(B698="","",VLOOKUP(B698,'TB for financial'!A:B,2,0))</f>
        <v/>
      </c>
      <c r="D698" s="317"/>
      <c r="E698" s="318"/>
      <c r="F698" s="319"/>
      <c r="G698" s="320"/>
      <c r="H698" s="321"/>
      <c r="I698" s="322"/>
      <c r="J698" s="323"/>
    </row>
    <row r="699" spans="1:10" ht="15" customHeight="1">
      <c r="A699" s="315" t="str">
        <f>IF(B699="","",IF(B698="",SUM(COUNT($A$5:A698)+1),""))</f>
        <v/>
      </c>
      <c r="B699" s="327"/>
      <c r="C699" s="316" t="str">
        <f>IF(B699="","",VLOOKUP(B699,'TB for financial'!A:B,2,0))</f>
        <v/>
      </c>
      <c r="D699" s="317"/>
      <c r="E699" s="318"/>
      <c r="F699" s="319"/>
      <c r="G699" s="320"/>
      <c r="H699" s="321"/>
      <c r="I699" s="322"/>
      <c r="J699" s="323"/>
    </row>
    <row r="700" spans="1:10" ht="15" customHeight="1">
      <c r="A700" s="315" t="str">
        <f>IF(B700="","",IF(B699="",SUM(COUNT($A$5:A699)+1),""))</f>
        <v/>
      </c>
      <c r="B700" s="327"/>
      <c r="C700" s="316" t="str">
        <f>IF(B700="","",VLOOKUP(B700,'TB for financial'!A:B,2,0))</f>
        <v/>
      </c>
      <c r="D700" s="317"/>
      <c r="E700" s="318"/>
      <c r="F700" s="319"/>
      <c r="G700" s="320"/>
      <c r="H700" s="321"/>
      <c r="I700" s="322"/>
      <c r="J700" s="323"/>
    </row>
    <row r="701" spans="1:10" ht="15" customHeight="1">
      <c r="A701" s="315" t="str">
        <f>IF(B701="","",IF(B700="",SUM(COUNT($A$5:A700)+1),""))</f>
        <v/>
      </c>
      <c r="B701" s="327"/>
      <c r="C701" s="316" t="str">
        <f>IF(B701="","",VLOOKUP(B701,'TB for financial'!A:B,2,0))</f>
        <v/>
      </c>
      <c r="D701" s="317"/>
      <c r="E701" s="318"/>
      <c r="F701" s="319"/>
      <c r="G701" s="320"/>
      <c r="H701" s="321"/>
      <c r="I701" s="322"/>
      <c r="J701" s="323"/>
    </row>
    <row r="702" spans="1:10" ht="15" customHeight="1">
      <c r="A702" s="315" t="str">
        <f>IF(B702="","",IF(B701="",SUM(COUNT($A$5:A701)+1),""))</f>
        <v/>
      </c>
      <c r="B702" s="327"/>
      <c r="C702" s="316" t="str">
        <f>IF(B702="","",VLOOKUP(B702,'TB for financial'!A:B,2,0))</f>
        <v/>
      </c>
      <c r="D702" s="317"/>
      <c r="E702" s="318"/>
      <c r="F702" s="319"/>
      <c r="G702" s="320"/>
      <c r="H702" s="321"/>
      <c r="I702" s="322"/>
      <c r="J702" s="323"/>
    </row>
    <row r="703" spans="1:10" ht="15" customHeight="1">
      <c r="A703" s="315" t="str">
        <f>IF(B703="","",IF(B702="",SUM(COUNT($A$5:A702)+1),""))</f>
        <v/>
      </c>
      <c r="B703" s="327"/>
      <c r="C703" s="316" t="str">
        <f>IF(B703="","",VLOOKUP(B703,'TB for financial'!A:B,2,0))</f>
        <v/>
      </c>
      <c r="D703" s="317"/>
      <c r="E703" s="318"/>
      <c r="F703" s="319"/>
      <c r="G703" s="320"/>
      <c r="H703" s="321"/>
      <c r="I703" s="322"/>
      <c r="J703" s="323"/>
    </row>
    <row r="704" spans="1:10" ht="15" customHeight="1">
      <c r="A704" s="315" t="str">
        <f>IF(B704="","",IF(B703="",SUM(COUNT($A$5:A703)+1),""))</f>
        <v/>
      </c>
      <c r="B704" s="327"/>
      <c r="C704" s="316" t="str">
        <f>IF(B704="","",VLOOKUP(B704,'TB for financial'!A:B,2,0))</f>
        <v/>
      </c>
      <c r="D704" s="317"/>
      <c r="E704" s="318"/>
      <c r="F704" s="319"/>
      <c r="G704" s="320"/>
      <c r="H704" s="321"/>
      <c r="I704" s="322"/>
      <c r="J704" s="323"/>
    </row>
    <row r="705" spans="1:10" ht="15" customHeight="1">
      <c r="A705" s="315" t="str">
        <f>IF(B705="","",IF(B704="",SUM(COUNT($A$5:A704)+1),""))</f>
        <v/>
      </c>
      <c r="B705" s="327"/>
      <c r="C705" s="316" t="str">
        <f>IF(B705="","",VLOOKUP(B705,'TB for financial'!A:B,2,0))</f>
        <v/>
      </c>
      <c r="D705" s="317"/>
      <c r="E705" s="318"/>
      <c r="F705" s="319"/>
      <c r="G705" s="320"/>
      <c r="H705" s="321"/>
      <c r="I705" s="322"/>
      <c r="J705" s="323"/>
    </row>
    <row r="706" spans="1:10" ht="15" customHeight="1">
      <c r="A706" s="315" t="str">
        <f>IF(B706="","",IF(B705="",SUM(COUNT($A$5:A705)+1),""))</f>
        <v/>
      </c>
      <c r="B706" s="327"/>
      <c r="C706" s="316" t="str">
        <f>IF(B706="","",VLOOKUP(B706,'TB for financial'!A:B,2,0))</f>
        <v/>
      </c>
      <c r="D706" s="317"/>
      <c r="E706" s="318"/>
      <c r="F706" s="319"/>
      <c r="G706" s="320"/>
      <c r="H706" s="321"/>
      <c r="I706" s="322"/>
      <c r="J706" s="323"/>
    </row>
    <row r="707" spans="1:10" ht="15" customHeight="1">
      <c r="A707" s="315" t="str">
        <f>IF(B707="","",IF(B706="",SUM(COUNT($A$5:A706)+1),""))</f>
        <v/>
      </c>
      <c r="B707" s="327"/>
      <c r="C707" s="316" t="str">
        <f>IF(B707="","",VLOOKUP(B707,'TB for financial'!A:B,2,0))</f>
        <v/>
      </c>
      <c r="D707" s="317"/>
      <c r="E707" s="318"/>
      <c r="F707" s="319"/>
      <c r="G707" s="320"/>
      <c r="H707" s="321"/>
      <c r="I707" s="322"/>
      <c r="J707" s="323"/>
    </row>
    <row r="708" spans="1:10" ht="15" customHeight="1">
      <c r="A708" s="315" t="str">
        <f>IF(B708="","",IF(B707="",SUM(COUNT($A$5:A707)+1),""))</f>
        <v/>
      </c>
      <c r="B708" s="327"/>
      <c r="C708" s="316" t="str">
        <f>IF(B708="","",VLOOKUP(B708,'TB for financial'!A:B,2,0))</f>
        <v/>
      </c>
      <c r="D708" s="317"/>
      <c r="E708" s="318"/>
      <c r="F708" s="319"/>
      <c r="G708" s="320"/>
      <c r="H708" s="321"/>
      <c r="I708" s="322"/>
      <c r="J708" s="323"/>
    </row>
    <row r="709" spans="1:10" ht="15" customHeight="1">
      <c r="A709" s="315" t="str">
        <f>IF(B709="","",IF(B645="",SUM(COUNT($A$5:A645)+1),""))</f>
        <v/>
      </c>
      <c r="B709" s="327"/>
      <c r="C709" s="316" t="str">
        <f>IF(B709="","",VLOOKUP(B709,'TB for financial'!A:B,2,0))</f>
        <v/>
      </c>
      <c r="D709" s="317"/>
      <c r="E709" s="318"/>
      <c r="F709" s="319"/>
      <c r="G709" s="320"/>
      <c r="H709" s="321"/>
      <c r="I709" s="322"/>
      <c r="J709" s="323"/>
    </row>
    <row r="710" spans="1:10">
      <c r="A710" s="315" t="str">
        <f>IF(B710="","",IF(B709="",SUM(COUNT($A$5:A709)+1),""))</f>
        <v/>
      </c>
      <c r="B710" s="327"/>
      <c r="C710" s="316" t="str">
        <f>IF(B710="","",VLOOKUP(B710,'TB for financial'!A:B,2,0))</f>
        <v/>
      </c>
      <c r="D710" s="317"/>
      <c r="E710" s="318"/>
      <c r="F710" s="325"/>
      <c r="G710" s="320">
        <f>IF(H710="PL - PL",0,IF(D710="",-E710,D710))</f>
        <v>0</v>
      </c>
      <c r="H710" s="321"/>
      <c r="I710" s="322"/>
      <c r="J710" s="323"/>
    </row>
    <row r="711" spans="1:10">
      <c r="A711" s="315" t="str">
        <f>IF(B711="","",IF(B710="",SUM(COUNT($A$5:A710)+1),""))</f>
        <v/>
      </c>
      <c r="B711" s="327"/>
      <c r="C711" s="316" t="str">
        <f>IF(B711="","",VLOOKUP(B711,'TB for financial'!A:B,2,0))</f>
        <v/>
      </c>
      <c r="D711" s="317"/>
      <c r="E711" s="318"/>
      <c r="F711" s="325"/>
      <c r="G711" s="320">
        <f>IF(H711="PL - PL",0,IF(D711="",-E711,D711))</f>
        <v>0</v>
      </c>
      <c r="H711" s="321"/>
      <c r="I711" s="322"/>
      <c r="J711" s="323"/>
    </row>
    <row r="712" spans="1:10">
      <c r="A712" s="315" t="str">
        <f>IF(B712="","",IF(B711="",SUM(COUNT($A$5:A711)+1),""))</f>
        <v/>
      </c>
      <c r="B712" s="327"/>
      <c r="C712" s="316" t="str">
        <f>IF(B712="","",VLOOKUP(B712,'TB for financial'!A:B,2,0))</f>
        <v/>
      </c>
      <c r="D712" s="317"/>
      <c r="E712" s="318"/>
      <c r="F712" s="319"/>
      <c r="G712" s="320"/>
      <c r="H712" s="321"/>
      <c r="I712" s="322"/>
      <c r="J712" s="323"/>
    </row>
    <row r="713" spans="1:10" ht="15" customHeight="1">
      <c r="A713" s="315" t="str">
        <f>IF(B713="","",IF(B712="",SUM(COUNT($A$5:A712)+1),""))</f>
        <v/>
      </c>
      <c r="B713" s="327"/>
      <c r="C713" s="316" t="str">
        <f>IF(B713="","",VLOOKUP(B713,'TB for financial'!A:B,2,0))</f>
        <v/>
      </c>
      <c r="D713" s="317"/>
      <c r="E713" s="318"/>
      <c r="F713" s="319"/>
      <c r="G713" s="320"/>
      <c r="H713" s="321"/>
      <c r="I713" s="322"/>
      <c r="J713" s="323"/>
    </row>
    <row r="714" spans="1:10">
      <c r="A714" s="315" t="str">
        <f>IF(B714="","",IF(B713="",SUM(COUNT($A$5:A713)+1),""))</f>
        <v/>
      </c>
      <c r="B714" s="327"/>
      <c r="C714" s="316" t="str">
        <f>IF(B714="","",VLOOKUP(B714,'TB for financial'!A:B,2,0))</f>
        <v/>
      </c>
      <c r="D714" s="317"/>
      <c r="E714" s="318"/>
      <c r="F714" s="325"/>
      <c r="G714" s="320">
        <f>IF(H714="PL - PL",0,IF(D714="",-E714,D714))</f>
        <v>0</v>
      </c>
      <c r="H714" s="321"/>
      <c r="I714" s="322"/>
      <c r="J714" s="323"/>
    </row>
    <row r="715" spans="1:10" ht="15" customHeight="1">
      <c r="A715" s="315" t="str">
        <f>IF(B715="","",IF(B714="",SUM(COUNT($A$5:A714)+1),""))</f>
        <v/>
      </c>
      <c r="B715" s="327"/>
      <c r="C715" s="316" t="str">
        <f>IF(B715="","",VLOOKUP(B715,'TB for financial'!A:B,2,0))</f>
        <v/>
      </c>
      <c r="D715" s="317"/>
      <c r="E715" s="318"/>
      <c r="F715" s="325"/>
      <c r="G715" s="320">
        <f>IF(H715="PL - PL",0,IF(D715="",-E715,D715))</f>
        <v>0</v>
      </c>
      <c r="H715" s="321"/>
      <c r="I715" s="322"/>
      <c r="J715" s="323"/>
    </row>
    <row r="716" spans="1:10" ht="15" customHeight="1">
      <c r="A716" s="315" t="str">
        <f>IF(B716="","",IF(B715="",SUM(COUNT($A$5:A715)+1),""))</f>
        <v/>
      </c>
      <c r="B716" s="327"/>
      <c r="C716" s="316" t="str">
        <f>IF(B716="","",VLOOKUP(B716,'TB for financial'!A:B,2,0))</f>
        <v/>
      </c>
      <c r="D716" s="317"/>
      <c r="E716" s="318"/>
      <c r="F716" s="325"/>
      <c r="G716" s="320">
        <f>IF(H716="PL - PL",0,IF(D716="",-E716,D716))</f>
        <v>0</v>
      </c>
      <c r="H716" s="321"/>
      <c r="I716" s="322"/>
      <c r="J716" s="323"/>
    </row>
    <row r="717" spans="1:10" ht="15" customHeight="1">
      <c r="A717" s="315" t="str">
        <f>IF(B717="","",IF(B716="",SUM(COUNT($A$5:A716)+1),""))</f>
        <v/>
      </c>
      <c r="B717" s="327"/>
      <c r="C717" s="316" t="str">
        <f>IF(B717="","",VLOOKUP(B717,'TB for financial'!A:B,2,0))</f>
        <v/>
      </c>
      <c r="D717" s="317"/>
      <c r="E717" s="318"/>
      <c r="F717" s="325"/>
      <c r="G717" s="320">
        <f>IF(H717="PL - PL",0,IF(D717="",-E717,D717))</f>
        <v>0</v>
      </c>
      <c r="H717" s="321"/>
      <c r="I717" s="322"/>
      <c r="J717" s="323"/>
    </row>
    <row r="718" spans="1:10" ht="15" customHeight="1">
      <c r="A718" s="315" t="str">
        <f>IF(B718="","",IF(B717="",SUM(COUNT($A$5:A717)+1),""))</f>
        <v/>
      </c>
      <c r="B718" s="327"/>
      <c r="C718" s="316" t="str">
        <f>IF(B718="","",VLOOKUP(B718,'TB for financial'!A:B,2,0))</f>
        <v/>
      </c>
      <c r="D718" s="317"/>
      <c r="E718" s="318"/>
      <c r="F718" s="325"/>
      <c r="G718" s="320">
        <f>IF(H718="PL - PL",0,IF(D718="",-E718,D718))</f>
        <v>0</v>
      </c>
      <c r="H718" s="321"/>
      <c r="I718" s="322"/>
      <c r="J718" s="323"/>
    </row>
    <row r="719" spans="1:10" ht="15" customHeight="1">
      <c r="A719" s="315" t="str">
        <f>IF(B719="","",IF(B718="",SUM(COUNT($A$5:A718)+1),""))</f>
        <v/>
      </c>
      <c r="B719" s="327"/>
      <c r="C719" s="316" t="str">
        <f>IF(B719="","",VLOOKUP(B719,'TB for financial'!A:B,2,0))</f>
        <v/>
      </c>
      <c r="D719" s="317"/>
      <c r="E719" s="318"/>
      <c r="F719" s="319"/>
      <c r="G719" s="320"/>
      <c r="H719" s="321"/>
      <c r="I719" s="322"/>
      <c r="J719" s="323"/>
    </row>
    <row r="720" spans="1:10" ht="15" customHeight="1">
      <c r="A720" s="315" t="str">
        <f>IF(B720="","",IF(B719="",SUM(COUNT($A$5:A719)+1),""))</f>
        <v/>
      </c>
      <c r="B720" s="327"/>
      <c r="C720" s="316" t="str">
        <f>IF(B720="","",VLOOKUP(B720,'TB for financial'!A:B,2,0))</f>
        <v/>
      </c>
      <c r="D720" s="317"/>
      <c r="E720" s="318"/>
      <c r="F720" s="325"/>
      <c r="G720" s="320">
        <f>IF(H720="PL - PL",0,IF(D720="",-E720,D720))</f>
        <v>0</v>
      </c>
      <c r="H720" s="321"/>
      <c r="I720" s="322"/>
      <c r="J720" s="323"/>
    </row>
    <row r="721" spans="1:10" ht="15" customHeight="1">
      <c r="A721" s="315" t="str">
        <f>IF(B721="","",IF(B720="",SUM(COUNT($A$5:A720)+1),""))</f>
        <v/>
      </c>
      <c r="B721" s="327"/>
      <c r="C721" s="316" t="str">
        <f>IF(B721="","",VLOOKUP(B721,'TB for financial'!A:B,2,0))</f>
        <v/>
      </c>
      <c r="D721" s="317"/>
      <c r="E721" s="318"/>
      <c r="F721" s="325"/>
      <c r="G721" s="320">
        <f>IF(H721="PL - PL",0,IF(D721="",-E721,D721))</f>
        <v>0</v>
      </c>
      <c r="H721" s="321"/>
      <c r="I721" s="322"/>
      <c r="J721" s="323"/>
    </row>
    <row r="722" spans="1:10">
      <c r="A722" s="315" t="str">
        <f>IF(B722="","",IF(B721="",SUM(COUNT($A$5:A721)+1),""))</f>
        <v/>
      </c>
      <c r="B722" s="327"/>
      <c r="C722" s="316" t="str">
        <f>IF(B722="","",VLOOKUP(B722,'TB for financial'!A:B,2,0))</f>
        <v/>
      </c>
      <c r="D722" s="317"/>
      <c r="E722" s="318"/>
      <c r="F722" s="319"/>
      <c r="G722" s="320"/>
      <c r="H722" s="321"/>
      <c r="I722" s="322"/>
      <c r="J722" s="323"/>
    </row>
    <row r="723" spans="1:10" ht="15" customHeight="1">
      <c r="A723" s="315" t="str">
        <f>IF(B723="","",IF(B722="",SUM(COUNT($A$5:A722)+1),""))</f>
        <v/>
      </c>
      <c r="B723" s="327"/>
      <c r="C723" s="316" t="str">
        <f>IF(B723="","",VLOOKUP(B723,'TB for financial'!A:B,2,0))</f>
        <v/>
      </c>
      <c r="D723" s="317"/>
      <c r="E723" s="318"/>
      <c r="F723" s="319"/>
      <c r="G723" s="320">
        <f>IF(H723="PL - PL",0,IF(D723="",-E723,D723))</f>
        <v>0</v>
      </c>
      <c r="H723" s="321"/>
      <c r="I723" s="322"/>
      <c r="J723" s="323"/>
    </row>
    <row r="724" spans="1:10" ht="15" customHeight="1">
      <c r="A724" s="315" t="str">
        <f>IF(B724="","",IF(B723="",SUM(COUNT($A$5:A723)+1),""))</f>
        <v/>
      </c>
      <c r="B724" s="327"/>
      <c r="C724" s="316" t="str">
        <f>IF(B724="","",VLOOKUP(B724,'TB for financial'!A:B,2,0))</f>
        <v/>
      </c>
      <c r="D724" s="317"/>
      <c r="E724" s="318"/>
      <c r="F724" s="319"/>
      <c r="G724" s="320">
        <f>IF(H724="PL - PL",0,IF(D724="",-E724,D724))</f>
        <v>0</v>
      </c>
      <c r="H724" s="321"/>
      <c r="I724" s="322"/>
      <c r="J724" s="323"/>
    </row>
    <row r="725" spans="1:10">
      <c r="A725" s="315" t="str">
        <f>IF(B725="","",IF(B724="",SUM(COUNT($A$5:A724)+1),""))</f>
        <v/>
      </c>
      <c r="B725" s="327"/>
      <c r="C725" s="316" t="str">
        <f>IF(B725="","",VLOOKUP(B725,'TB for financial'!A:B,2,0))</f>
        <v/>
      </c>
      <c r="D725" s="317"/>
      <c r="E725" s="318"/>
      <c r="F725" s="319"/>
      <c r="G725" s="320"/>
      <c r="H725" s="321"/>
      <c r="I725" s="322"/>
      <c r="J725" s="323"/>
    </row>
    <row r="726" spans="1:10" ht="15" customHeight="1">
      <c r="A726" s="315" t="str">
        <f>IF(B726="","",IF(B725="",SUM(COUNT($A$5:A725)+1),""))</f>
        <v/>
      </c>
      <c r="C726" s="316" t="str">
        <f>IF(B726="","",VLOOKUP(B726,'TB for financial'!A:B,2,0))</f>
        <v/>
      </c>
      <c r="D726" s="317"/>
      <c r="E726" s="318"/>
      <c r="F726" s="319"/>
      <c r="G726" s="320"/>
      <c r="H726" s="321"/>
      <c r="I726" s="322"/>
      <c r="J726" s="323"/>
    </row>
    <row r="727" spans="1:10">
      <c r="A727" s="315" t="str">
        <f>IF(B727="","",IF(B726="",SUM(COUNT($A$5:A726)+1),""))</f>
        <v/>
      </c>
      <c r="C727" s="316" t="str">
        <f>IF(B727="","",VLOOKUP(B727,'TB for financial'!A:B,2,0))</f>
        <v/>
      </c>
      <c r="D727" s="317"/>
      <c r="E727" s="318"/>
      <c r="F727" s="319"/>
      <c r="G727" s="320">
        <f>IF(H727="PL - PL",0,IF(D727="",-E727,D727))</f>
        <v>0</v>
      </c>
      <c r="H727" s="321"/>
      <c r="I727" s="322"/>
      <c r="J727" s="323"/>
    </row>
    <row r="728" spans="1:10" ht="15" customHeight="1">
      <c r="A728" s="315" t="str">
        <f>IF(B728="","",IF(B727="",SUM(COUNT($A$5:A727)+1),""))</f>
        <v/>
      </c>
      <c r="C728" s="316" t="str">
        <f>IF(B728="","",VLOOKUP(B728,'TB for financial'!A:B,2,0))</f>
        <v/>
      </c>
      <c r="D728" s="317"/>
      <c r="E728" s="318"/>
      <c r="F728" s="319"/>
      <c r="G728" s="320">
        <f>IF(H728="PL - PL",0,IF(D728="",-E728,D728))</f>
        <v>0</v>
      </c>
      <c r="H728" s="321"/>
      <c r="I728" s="322"/>
      <c r="J728" s="323"/>
    </row>
    <row r="729" spans="1:10" ht="15" customHeight="1">
      <c r="A729" s="315"/>
      <c r="C729" s="316" t="str">
        <f>IF(B729="","",VLOOKUP(B729,'TB for financial'!A:B,2,0))</f>
        <v/>
      </c>
      <c r="D729" s="317"/>
      <c r="E729" s="318"/>
      <c r="F729" s="319"/>
      <c r="G729" s="320"/>
      <c r="H729" s="321"/>
      <c r="I729" s="322"/>
      <c r="J729" s="323"/>
    </row>
    <row r="730" spans="1:10" ht="15" customHeight="1">
      <c r="A730" s="315"/>
      <c r="C730" s="316" t="str">
        <f>IF(B730="","",VLOOKUP(B730,'TB for financial'!A:B,2,0))</f>
        <v/>
      </c>
      <c r="D730" s="317"/>
      <c r="E730" s="318"/>
      <c r="F730" s="319"/>
      <c r="G730" s="320"/>
      <c r="H730" s="321"/>
      <c r="I730" s="322"/>
      <c r="J730" s="323"/>
    </row>
    <row r="731" spans="1:10">
      <c r="A731" s="315"/>
      <c r="C731" s="316" t="str">
        <f>IF(B731="","",VLOOKUP(B731,'TB for financial'!A:B,2,0))</f>
        <v/>
      </c>
      <c r="D731" s="317"/>
      <c r="E731" s="318"/>
      <c r="F731" s="319"/>
      <c r="G731" s="320"/>
      <c r="H731" s="321"/>
      <c r="I731" s="322"/>
      <c r="J731" s="323"/>
    </row>
    <row r="732" spans="1:10" ht="15" customHeight="1">
      <c r="A732" s="315"/>
      <c r="C732" s="316" t="str">
        <f>IF(B732="","",VLOOKUP(B732,'TB for financial'!A:B,2,0))</f>
        <v/>
      </c>
      <c r="D732" s="317"/>
      <c r="E732" s="318"/>
      <c r="F732" s="319"/>
      <c r="G732" s="320"/>
      <c r="H732" s="321"/>
      <c r="I732" s="322"/>
      <c r="J732" s="323"/>
    </row>
    <row r="733" spans="1:10" ht="15" customHeight="1">
      <c r="A733" s="315"/>
      <c r="C733" s="316" t="str">
        <f>IF(B733="","",VLOOKUP(B733,'TB for financial'!A:B,2,0))</f>
        <v/>
      </c>
      <c r="D733" s="317"/>
      <c r="E733" s="318"/>
      <c r="F733" s="319"/>
      <c r="G733" s="320"/>
      <c r="H733" s="321"/>
      <c r="I733" s="322"/>
      <c r="J733" s="323"/>
    </row>
    <row r="734" spans="1:10" ht="15" customHeight="1">
      <c r="A734" s="315"/>
      <c r="C734" s="316" t="str">
        <f>IF(B734="","",VLOOKUP(B734,'TB for financial'!A:B,2,0))</f>
        <v/>
      </c>
      <c r="D734" s="317"/>
      <c r="E734" s="318"/>
      <c r="F734" s="319"/>
      <c r="G734" s="320"/>
      <c r="H734" s="321"/>
      <c r="I734" s="322"/>
      <c r="J734" s="323"/>
    </row>
    <row r="735" spans="1:10" ht="15" customHeight="1">
      <c r="A735" s="315"/>
      <c r="C735" s="316" t="str">
        <f>IF(B735="","",VLOOKUP(B735,'TB for financial'!A:B,2,0))</f>
        <v/>
      </c>
      <c r="D735" s="317"/>
      <c r="E735" s="318"/>
      <c r="F735" s="319"/>
      <c r="G735" s="320"/>
      <c r="H735" s="321"/>
      <c r="I735" s="322"/>
      <c r="J735" s="323"/>
    </row>
    <row r="736" spans="1:10">
      <c r="A736" s="315" t="str">
        <f>IF(B736="","",IF(B728="",SUM(COUNT($A$5:A728)+1),""))</f>
        <v/>
      </c>
      <c r="C736" s="316" t="str">
        <f>IF(B736="","",VLOOKUP(B736,'TB for financial'!A:B,2,0))</f>
        <v/>
      </c>
      <c r="D736" s="317"/>
      <c r="E736" s="318"/>
      <c r="F736" s="325"/>
      <c r="G736" s="320"/>
      <c r="H736" s="321"/>
      <c r="I736" s="322"/>
      <c r="J736" s="323"/>
    </row>
    <row r="737" spans="1:10" ht="15" customHeight="1">
      <c r="A737" s="315" t="str">
        <f>IF(B737="","",IF(B736="",SUM(COUNT($A$5:A736)+1),""))</f>
        <v/>
      </c>
      <c r="C737" s="316" t="str">
        <f>IF(B737="","",VLOOKUP(B737,'TB for financial'!A:B,2,0))</f>
        <v/>
      </c>
      <c r="D737" s="317"/>
      <c r="E737" s="318"/>
      <c r="F737" s="325"/>
      <c r="G737" s="320"/>
      <c r="H737" s="321"/>
      <c r="I737" s="322"/>
      <c r="J737" s="323"/>
    </row>
    <row r="738" spans="1:10" ht="15" customHeight="1">
      <c r="A738" s="315" t="str">
        <f>IF(B738="","",IF(B737="",SUM(COUNT($A$5:A737)+1),""))</f>
        <v/>
      </c>
      <c r="C738" s="316" t="str">
        <f>IF(B738="","",VLOOKUP(B738,'TB for financial'!A:B,2,0))</f>
        <v/>
      </c>
      <c r="D738" s="317"/>
      <c r="E738" s="318"/>
      <c r="F738" s="325"/>
      <c r="G738" s="320">
        <f>IF(H738="PL - PL",0,IF(D738="",-E738,D738))</f>
        <v>0</v>
      </c>
      <c r="H738" s="321"/>
      <c r="I738" s="322"/>
      <c r="J738" s="323"/>
    </row>
    <row r="739" spans="1:10">
      <c r="A739" s="315" t="str">
        <f>IF(B739="","",IF(B738="",SUM(COUNT($A$5:A738)+1),""))</f>
        <v/>
      </c>
      <c r="C739" s="316" t="str">
        <f>IF(B739="","",VLOOKUP(B739,'TB for financial'!A:B,2,0))</f>
        <v/>
      </c>
      <c r="D739" s="317"/>
      <c r="E739" s="318"/>
      <c r="F739" s="319"/>
      <c r="G739" s="320">
        <f>IF(H739="PL - PL",0,IF(D739="",-E739,D739))</f>
        <v>0</v>
      </c>
      <c r="H739" s="321"/>
      <c r="I739" s="322"/>
      <c r="J739" s="323"/>
    </row>
    <row r="740" spans="1:10">
      <c r="A740" s="315" t="str">
        <f>IF(B740="","",IF(B739="",SUM(COUNT($A$5:A739)+1),""))</f>
        <v/>
      </c>
      <c r="C740" s="316" t="str">
        <f>IF(B740="","",VLOOKUP(B740,'TB for financial'!A:B,2,0))</f>
        <v/>
      </c>
      <c r="D740" s="317"/>
      <c r="E740" s="318"/>
      <c r="F740" s="319"/>
      <c r="G740" s="320"/>
      <c r="H740" s="321"/>
      <c r="I740" s="322"/>
      <c r="J740" s="323"/>
    </row>
    <row r="741" spans="1:10" ht="15" customHeight="1">
      <c r="A741" s="315" t="str">
        <f>IF(B741="","",IF(B740="",SUM(COUNT($A$5:A740)+1),""))</f>
        <v/>
      </c>
      <c r="C741" s="316" t="str">
        <f>IF(B741="","",VLOOKUP(B741,'TB for financial'!A:B,2,0))</f>
        <v/>
      </c>
      <c r="D741" s="317"/>
      <c r="E741" s="318"/>
      <c r="F741" s="319"/>
      <c r="G741" s="320"/>
      <c r="H741" s="321"/>
      <c r="I741" s="322"/>
      <c r="J741" s="323"/>
    </row>
    <row r="742" spans="1:10" ht="15" customHeight="1">
      <c r="A742" s="315"/>
      <c r="C742" s="316" t="str">
        <f>IF(B742="","",VLOOKUP(B742,'TB for financial'!A:B,2,0))</f>
        <v/>
      </c>
      <c r="D742" s="317"/>
      <c r="E742" s="318"/>
      <c r="F742" s="319"/>
      <c r="G742" s="320">
        <f>IF(H742="PL - PL",0,IF(D742="",-E742,D742))</f>
        <v>0</v>
      </c>
      <c r="H742" s="321"/>
      <c r="I742" s="322"/>
      <c r="J742" s="323"/>
    </row>
    <row r="743" spans="1:10" ht="15" customHeight="1">
      <c r="A743" s="315"/>
      <c r="C743" s="316" t="str">
        <f>IF(B743="","",VLOOKUP(B743,'TB for financial'!A:B,2,0))</f>
        <v/>
      </c>
      <c r="D743" s="317"/>
      <c r="E743" s="318"/>
      <c r="F743" s="319"/>
      <c r="G743" s="320">
        <f>IF(H743="PL - PL",0,IF(D743="",-E743,D743))</f>
        <v>0</v>
      </c>
      <c r="H743" s="321"/>
      <c r="I743" s="322"/>
      <c r="J743" s="323"/>
    </row>
    <row r="744" spans="1:10" ht="15" customHeight="1">
      <c r="A744" s="315"/>
      <c r="C744" s="316" t="str">
        <f>IF(B744="","",VLOOKUP(B744,'TB for financial'!A:B,2,0))</f>
        <v/>
      </c>
      <c r="D744" s="317"/>
      <c r="E744" s="318"/>
      <c r="F744" s="319"/>
      <c r="G744" s="320"/>
      <c r="H744" s="321"/>
      <c r="I744" s="322"/>
      <c r="J744" s="323"/>
    </row>
    <row r="745" spans="1:10" ht="15" customHeight="1">
      <c r="A745" s="315"/>
      <c r="C745" s="316" t="str">
        <f>IF(B745="","",VLOOKUP(B745,'TB for financial'!A:B,2,0))</f>
        <v/>
      </c>
      <c r="D745" s="317"/>
      <c r="E745" s="318"/>
      <c r="F745" s="319"/>
      <c r="G745" s="320"/>
      <c r="H745" s="321"/>
      <c r="I745" s="322"/>
      <c r="J745" s="323"/>
    </row>
    <row r="746" spans="1:10">
      <c r="A746" s="315" t="str">
        <f>IF(B746="","",IF(B741="",SUM(COUNT($A$5:A741)+1),""))</f>
        <v/>
      </c>
      <c r="C746" s="316" t="str">
        <f>IF(B746="","",VLOOKUP(B746,'TB for financial'!A:B,2,0))</f>
        <v/>
      </c>
      <c r="D746" s="317"/>
      <c r="E746" s="318"/>
      <c r="F746" s="319"/>
      <c r="G746" s="320">
        <f>IF(H746="PL - PL",0,IF(D746="",-E746,D746))</f>
        <v>0</v>
      </c>
      <c r="H746" s="321"/>
      <c r="I746" s="322"/>
      <c r="J746" s="323"/>
    </row>
    <row r="747" spans="1:10" ht="15" customHeight="1">
      <c r="A747" s="315" t="str">
        <f>IF(B747="","",IF(B746="",SUM(COUNT($A$5:A746)+1),""))</f>
        <v/>
      </c>
      <c r="C747" s="316" t="str">
        <f>IF(B747="","",VLOOKUP(B747,'TB for financial'!A:B,2,0))</f>
        <v/>
      </c>
      <c r="D747" s="317"/>
      <c r="E747" s="318"/>
      <c r="F747" s="319"/>
      <c r="G747" s="320">
        <f>IF(H747="PL - PL",0,IF(D747="",-E747,D747))</f>
        <v>0</v>
      </c>
      <c r="H747" s="321"/>
      <c r="I747" s="322"/>
      <c r="J747" s="323"/>
    </row>
    <row r="748" spans="1:10">
      <c r="A748" s="315" t="str">
        <f>IF(B748="","",IF(B747="",SUM(COUNT($A$5:A747)+1),""))</f>
        <v/>
      </c>
      <c r="C748" s="316" t="str">
        <f>IF(B748="","",VLOOKUP(B748,'TB for financial'!A:B,2,0))</f>
        <v/>
      </c>
      <c r="D748" s="317"/>
      <c r="E748" s="317"/>
      <c r="F748" s="319"/>
      <c r="G748" s="320"/>
      <c r="H748" s="321"/>
      <c r="I748" s="322"/>
      <c r="J748" s="323"/>
    </row>
    <row r="749" spans="1:10">
      <c r="A749" s="315"/>
      <c r="C749" s="316" t="str">
        <f>IF(B749="","",VLOOKUP(B749,'TB for financial'!A:B,2,0))</f>
        <v/>
      </c>
      <c r="D749" s="317"/>
      <c r="E749" s="318"/>
      <c r="F749" s="319"/>
      <c r="G749" s="320">
        <f>IF(H749="PL - PL",0,IF(D749="",-E749,D749))</f>
        <v>0</v>
      </c>
      <c r="H749" s="321"/>
      <c r="I749" s="322"/>
      <c r="J749" s="323"/>
    </row>
    <row r="750" spans="1:10">
      <c r="A750" s="315"/>
      <c r="C750" s="316" t="str">
        <f>IF(B750="","",VLOOKUP(B750,'TB for financial'!A:B,2,0))</f>
        <v/>
      </c>
      <c r="D750" s="317"/>
      <c r="E750" s="318"/>
      <c r="F750" s="319"/>
      <c r="G750" s="320">
        <f>IF(H750="PL - PL",0,IF(D750="",-E750,D750))</f>
        <v>0</v>
      </c>
      <c r="H750" s="321"/>
      <c r="I750" s="322"/>
      <c r="J750" s="323"/>
    </row>
    <row r="751" spans="1:10" ht="15" customHeight="1">
      <c r="A751" s="315" t="str">
        <f>IF(B751="","",IF(B748="",SUM(COUNT($A$5:A748)+1),""))</f>
        <v/>
      </c>
      <c r="C751" s="316" t="str">
        <f>IF(B751="","",VLOOKUP(B751,'TB for financial'!A:B,2,0))</f>
        <v/>
      </c>
      <c r="D751" s="317"/>
      <c r="E751" s="318"/>
      <c r="F751" s="319"/>
      <c r="G751" s="320"/>
      <c r="H751" s="321"/>
      <c r="I751" s="322"/>
      <c r="J751" s="323"/>
    </row>
    <row r="752" spans="1:10" ht="15" customHeight="1">
      <c r="A752" s="315" t="str">
        <f>IF(B752="","",IF(B751="",SUM(COUNT($A$5:A751)+1),""))</f>
        <v/>
      </c>
      <c r="C752" s="316" t="str">
        <f>IF(B752="","",VLOOKUP(B752,'TB for financial'!A:B,2,0))</f>
        <v/>
      </c>
      <c r="D752" s="318"/>
      <c r="E752" s="317"/>
      <c r="F752" s="319"/>
      <c r="G752" s="320">
        <f>IF(H752="PL - PL",0,IF(D752="",-E752,D752))</f>
        <v>0</v>
      </c>
      <c r="H752" s="321"/>
      <c r="I752" s="322"/>
      <c r="J752" s="323"/>
    </row>
    <row r="753" spans="1:10" ht="15" customHeight="1">
      <c r="A753" s="315" t="str">
        <f>IF(B753="","",IF(B752="",SUM(COUNT($A$5:A752)+1),""))</f>
        <v/>
      </c>
      <c r="C753" s="316" t="str">
        <f>IF(B753="","",VLOOKUP(B753,'TB for financial'!A:B,2,0))</f>
        <v/>
      </c>
      <c r="D753" s="317"/>
      <c r="E753" s="318"/>
      <c r="F753" s="319"/>
      <c r="G753" s="320">
        <f>IF(H753="PL - PL",0,IF(D753="",-E753,D753))</f>
        <v>0</v>
      </c>
      <c r="H753" s="321"/>
      <c r="I753" s="322"/>
      <c r="J753" s="323"/>
    </row>
    <row r="754" spans="1:10">
      <c r="A754" s="315" t="str">
        <f>IF(B754="","",IF(B753="",SUM(COUNT($A$5:A753)+1),""))</f>
        <v/>
      </c>
      <c r="C754" s="316" t="str">
        <f>IF(B754="","",VLOOKUP(B754,'TB for financial'!A:B,2,0))</f>
        <v/>
      </c>
      <c r="D754" s="317"/>
      <c r="E754" s="318"/>
      <c r="F754" s="319"/>
      <c r="G754" s="320"/>
      <c r="H754" s="321"/>
      <c r="I754" s="322"/>
      <c r="J754" s="323"/>
    </row>
    <row r="755" spans="1:10" ht="15" customHeight="1">
      <c r="A755" s="315" t="str">
        <f>IF(B755="","",IF(B754="",SUM(COUNT($A$5:A754)+1),""))</f>
        <v/>
      </c>
      <c r="C755" s="316" t="str">
        <f>IF(B755="","",VLOOKUP(B755,'TB for financial'!A:B,2,0))</f>
        <v/>
      </c>
      <c r="D755" s="317"/>
      <c r="E755" s="318"/>
      <c r="F755" s="319"/>
      <c r="G755" s="320">
        <f>IF(H755="PL - PL",0,IF(D755="",-E755,D755))</f>
        <v>0</v>
      </c>
      <c r="H755" s="321"/>
      <c r="I755" s="322"/>
      <c r="J755" s="323"/>
    </row>
    <row r="756" spans="1:10" ht="15" customHeight="1">
      <c r="A756" s="315" t="str">
        <f>IF(B756="","",IF(B755="",SUM(COUNT($A$5:A755)+1),""))</f>
        <v/>
      </c>
      <c r="C756" s="316" t="str">
        <f>IF(B756="","",VLOOKUP(B756,'TB for financial'!A:B,2,0))</f>
        <v/>
      </c>
      <c r="D756" s="317"/>
      <c r="E756" s="318"/>
      <c r="F756" s="319"/>
      <c r="G756" s="320">
        <f>IF(H756="PL - PL",0,IF(D756="",-E756,D756))</f>
        <v>0</v>
      </c>
      <c r="H756" s="321"/>
      <c r="I756" s="322"/>
      <c r="J756" s="323"/>
    </row>
    <row r="757" spans="1:10" ht="15" customHeight="1">
      <c r="A757" s="315" t="str">
        <f>IF(B757="","",IF(B756="",SUM(COUNT($A$5:A756)+1),""))</f>
        <v/>
      </c>
      <c r="C757" s="316" t="str">
        <f>IF(B757="","",VLOOKUP(B757,'TB for financial'!A:B,2,0))</f>
        <v/>
      </c>
      <c r="D757" s="317"/>
      <c r="E757" s="318"/>
      <c r="F757" s="319"/>
      <c r="G757" s="320"/>
      <c r="H757" s="321"/>
      <c r="I757" s="322"/>
      <c r="J757" s="323"/>
    </row>
    <row r="758" spans="1:10" ht="15" customHeight="1">
      <c r="A758" s="315" t="str">
        <f>IF(B758="","",IF(B757="",SUM(COUNT($A$5:A757)+1),""))</f>
        <v/>
      </c>
      <c r="C758" s="316" t="str">
        <f>IF(B758="","",VLOOKUP(B758,'TB for financial'!A:B,2,0))</f>
        <v/>
      </c>
      <c r="D758" s="318"/>
      <c r="E758" s="318"/>
      <c r="F758" s="319"/>
      <c r="G758" s="320">
        <f t="shared" ref="G758:G764" si="8">IF(H758="PL - PL",0,IF(D758="",-E758,D758))</f>
        <v>0</v>
      </c>
      <c r="H758" s="321"/>
      <c r="I758" s="322"/>
      <c r="J758" s="323"/>
    </row>
    <row r="759" spans="1:10" ht="15" customHeight="1">
      <c r="A759" s="315" t="str">
        <f>IF(B759="","",IF(B758="",SUM(COUNT($A$5:A758)+1),""))</f>
        <v/>
      </c>
      <c r="C759" s="316" t="str">
        <f>IF(B759="","",VLOOKUP(B759,'TB for financial'!A:B,2,0))</f>
        <v/>
      </c>
      <c r="D759" s="317"/>
      <c r="E759" s="318"/>
      <c r="F759" s="319"/>
      <c r="G759" s="320">
        <f t="shared" si="8"/>
        <v>0</v>
      </c>
      <c r="H759" s="321"/>
      <c r="I759" s="322"/>
      <c r="J759" s="323"/>
    </row>
    <row r="760" spans="1:10">
      <c r="A760" s="315" t="str">
        <f>IF(B760="","",IF(B759="",SUM(COUNT($A$5:A759)+1),""))</f>
        <v/>
      </c>
      <c r="C760" s="316" t="str">
        <f>IF(B760="","",VLOOKUP(B760,'TB for financial'!A:B,2,0))</f>
        <v/>
      </c>
      <c r="D760" s="317"/>
      <c r="E760" s="318"/>
      <c r="F760" s="319"/>
      <c r="G760" s="320">
        <f t="shared" si="8"/>
        <v>0</v>
      </c>
      <c r="H760" s="321"/>
      <c r="I760" s="322"/>
      <c r="J760" s="323"/>
    </row>
    <row r="761" spans="1:10" ht="15" customHeight="1">
      <c r="A761" s="315" t="str">
        <f>IF(B761="","",IF(B760="",SUM(COUNT($A$5:A760)+1),""))</f>
        <v/>
      </c>
      <c r="C761" s="316" t="str">
        <f>IF(B761="","",VLOOKUP(B761,'TB for financial'!A:B,2,0))</f>
        <v/>
      </c>
      <c r="D761" s="317"/>
      <c r="E761" s="318"/>
      <c r="F761" s="319"/>
      <c r="G761" s="320">
        <f t="shared" si="8"/>
        <v>0</v>
      </c>
      <c r="H761" s="321"/>
      <c r="I761" s="322"/>
      <c r="J761" s="323"/>
    </row>
    <row r="762" spans="1:10" ht="15" customHeight="1">
      <c r="A762" s="315" t="str">
        <f>IF(B762="","",IF(B761="",SUM(COUNT($A$5:A761)+1),""))</f>
        <v/>
      </c>
      <c r="C762" s="316" t="str">
        <f>IF(B762="","",VLOOKUP(B762,'TB for financial'!A:B,2,0))</f>
        <v/>
      </c>
      <c r="D762" s="317"/>
      <c r="E762" s="318"/>
      <c r="F762" s="319"/>
      <c r="G762" s="320"/>
      <c r="H762" s="321"/>
      <c r="I762" s="322"/>
      <c r="J762" s="323"/>
    </row>
    <row r="763" spans="1:10" ht="15" customHeight="1">
      <c r="A763" s="315" t="str">
        <f>IF(B763="","",IF(B762="",SUM(COUNT($A$5:A762)+1),""))</f>
        <v/>
      </c>
      <c r="C763" s="316" t="str">
        <f>IF(B763="","",VLOOKUP(B763,'TB for financial'!A:B,2,0))</f>
        <v/>
      </c>
      <c r="D763" s="318"/>
      <c r="E763" s="318"/>
      <c r="F763" s="319"/>
      <c r="G763" s="320">
        <f t="shared" si="8"/>
        <v>0</v>
      </c>
      <c r="H763" s="321"/>
      <c r="I763" s="322"/>
      <c r="J763" s="323"/>
    </row>
    <row r="764" spans="1:10" ht="15" customHeight="1">
      <c r="A764" s="315" t="str">
        <f>IF(B764="","",IF(B763="",SUM(COUNT($A$5:A763)+1),""))</f>
        <v/>
      </c>
      <c r="C764" s="316" t="str">
        <f>IF(B764="","",VLOOKUP(B764,'TB for financial'!A:B,2,0))</f>
        <v/>
      </c>
      <c r="D764" s="317"/>
      <c r="E764" s="318"/>
      <c r="F764" s="319"/>
      <c r="G764" s="320">
        <f t="shared" si="8"/>
        <v>0</v>
      </c>
      <c r="H764" s="321"/>
      <c r="I764" s="322"/>
      <c r="J764" s="323"/>
    </row>
    <row r="765" spans="1:10">
      <c r="A765" s="315" t="str">
        <f>IF(B765="","",IF(B764="",SUM(COUNT($A$5:A764)+1),""))</f>
        <v/>
      </c>
      <c r="C765" s="316" t="str">
        <f>IF(B765="","",VLOOKUP(B765,'TB for financial'!A:B,2,0))</f>
        <v/>
      </c>
      <c r="D765" s="317"/>
      <c r="E765" s="318"/>
      <c r="F765" s="319"/>
      <c r="G765" s="320"/>
      <c r="H765" s="321"/>
      <c r="I765" s="322"/>
      <c r="J765" s="323"/>
    </row>
    <row r="766" spans="1:10" ht="15" customHeight="1">
      <c r="A766" s="315" t="str">
        <f>IF(B766="","",IF(B765="",SUM(COUNT($A$5:A765)+1),""))</f>
        <v/>
      </c>
      <c r="C766" s="316" t="str">
        <f>IF(B766="","",VLOOKUP(B766,'TB for financial'!A:B,2,0))</f>
        <v/>
      </c>
      <c r="D766" s="318"/>
      <c r="E766" s="318"/>
      <c r="F766" s="319"/>
      <c r="G766" s="320"/>
      <c r="H766" s="321"/>
      <c r="I766" s="322"/>
      <c r="J766" s="323"/>
    </row>
    <row r="767" spans="1:10" ht="15" customHeight="1">
      <c r="A767" s="315"/>
      <c r="C767" s="316" t="str">
        <f>IF(B767="","",VLOOKUP(B767,'TB for financial'!A:B,2,0))</f>
        <v/>
      </c>
      <c r="D767" s="318"/>
      <c r="E767" s="318"/>
      <c r="F767" s="319"/>
      <c r="G767" s="320"/>
      <c r="H767" s="321"/>
      <c r="I767" s="322"/>
      <c r="J767" s="323"/>
    </row>
    <row r="768" spans="1:10" ht="15" customHeight="1">
      <c r="A768" s="315" t="str">
        <f>IF(B768="","",IF(B766="",SUM(COUNT($A$5:A766)+1),""))</f>
        <v/>
      </c>
      <c r="C768" s="316" t="str">
        <f>IF(B768="","",VLOOKUP(B768,'TB for financial'!A:B,2,0))</f>
        <v/>
      </c>
      <c r="D768" s="317"/>
      <c r="E768" s="318"/>
      <c r="F768" s="319"/>
      <c r="G768" s="320">
        <f>IF(H768="PL - PL",0,IF(D768="",-E768,D768))</f>
        <v>0</v>
      </c>
      <c r="H768" s="321"/>
      <c r="I768" s="322"/>
      <c r="J768" s="323"/>
    </row>
    <row r="769" spans="1:10" ht="15" customHeight="1">
      <c r="A769" s="315" t="str">
        <f>IF(B769="","",IF(B768="",SUM(COUNT($A$5:A768)+1),""))</f>
        <v/>
      </c>
      <c r="C769" s="316" t="str">
        <f>IF(B769="","",VLOOKUP(B769,'TB for financial'!A:B,2,0))</f>
        <v/>
      </c>
      <c r="D769" s="317"/>
      <c r="E769" s="318"/>
      <c r="F769" s="319"/>
      <c r="G769" s="320">
        <f>IF(H769="PL - PL",0,IF(D769="",-E769,D769))</f>
        <v>0</v>
      </c>
      <c r="H769" s="321"/>
      <c r="I769" s="322"/>
      <c r="J769" s="323"/>
    </row>
    <row r="770" spans="1:10">
      <c r="A770" s="315" t="str">
        <f>IF(B770="","",IF(B769="",SUM(COUNT($A$5:A769)+1),""))</f>
        <v/>
      </c>
      <c r="C770" s="316" t="str">
        <f>IF(B770="","",VLOOKUP(B770,'TB for financial'!A:B,2,0))</f>
        <v/>
      </c>
      <c r="D770" s="317"/>
      <c r="E770" s="318"/>
      <c r="F770" s="319"/>
      <c r="G770" s="320"/>
      <c r="H770" s="321"/>
      <c r="I770" s="322"/>
      <c r="J770" s="323"/>
    </row>
    <row r="771" spans="1:10" ht="15" customHeight="1">
      <c r="A771" s="315" t="str">
        <f>IF(B771="","",IF(B770="",SUM(COUNT($A$5:A770)+1),""))</f>
        <v/>
      </c>
      <c r="C771" s="316" t="str">
        <f>IF(B771="","",VLOOKUP(B771,'TB for financial'!A:B,2,0))</f>
        <v/>
      </c>
      <c r="D771" s="317"/>
      <c r="E771" s="318"/>
      <c r="F771" s="319"/>
      <c r="G771" s="320"/>
      <c r="H771" s="321"/>
      <c r="I771" s="322"/>
      <c r="J771" s="323"/>
    </row>
    <row r="772" spans="1:10" ht="15" customHeight="1">
      <c r="A772" s="315" t="str">
        <f>IF(B772="","",IF(B771="",SUM(COUNT($A$5:A771)+1),""))</f>
        <v/>
      </c>
      <c r="C772" s="316" t="str">
        <f>IF(B772="","",VLOOKUP(B772,'TB for financial'!A:B,2,0))</f>
        <v/>
      </c>
      <c r="D772" s="317"/>
      <c r="E772" s="318"/>
      <c r="F772" s="319"/>
      <c r="G772" s="320"/>
      <c r="H772" s="321"/>
      <c r="I772" s="322"/>
      <c r="J772" s="323"/>
    </row>
    <row r="773" spans="1:10" ht="15" customHeight="1">
      <c r="A773" s="315" t="str">
        <f>IF(B773="","",IF(B772="",SUM(COUNT($A$5:A772)+1),""))</f>
        <v/>
      </c>
      <c r="C773" s="316" t="str">
        <f>IF(B773="","",VLOOKUP(B773,'TB for financial'!A:B,2,0))</f>
        <v/>
      </c>
      <c r="D773" s="317"/>
      <c r="E773" s="318"/>
      <c r="F773" s="319"/>
      <c r="G773" s="320"/>
      <c r="H773" s="321"/>
      <c r="I773" s="322"/>
      <c r="J773" s="323"/>
    </row>
    <row r="774" spans="1:10" ht="15" customHeight="1">
      <c r="A774" s="315" t="str">
        <f>IF(B774="","",IF(B773="",SUM(COUNT($A$5:A773)+1),""))</f>
        <v/>
      </c>
      <c r="C774" s="316" t="str">
        <f>IF(B774="","",VLOOKUP(B774,'TB for financial'!A:B,2,0))</f>
        <v/>
      </c>
      <c r="D774" s="317"/>
      <c r="E774" s="318"/>
      <c r="F774" s="319"/>
      <c r="G774" s="320"/>
      <c r="H774" s="321"/>
      <c r="I774" s="322"/>
      <c r="J774" s="323"/>
    </row>
    <row r="775" spans="1:10" ht="15" customHeight="1">
      <c r="A775" s="315" t="str">
        <f>IF(B775="","",IF(B774="",SUM(COUNT($A$5:A774)+1),""))</f>
        <v/>
      </c>
      <c r="C775" s="316" t="str">
        <f>IF(B775="","",VLOOKUP(B775,'TB for financial'!A:B,2,0))</f>
        <v/>
      </c>
      <c r="D775" s="317"/>
      <c r="E775" s="318"/>
      <c r="F775" s="319"/>
      <c r="G775" s="320"/>
      <c r="H775" s="321"/>
      <c r="I775" s="322"/>
      <c r="J775" s="323"/>
    </row>
    <row r="776" spans="1:10">
      <c r="A776" s="315" t="str">
        <f>IF(B776="","",IF(B775="",SUM(COUNT($A$5:A775)+1),""))</f>
        <v/>
      </c>
      <c r="C776" s="316" t="str">
        <f>IF(B776="","",VLOOKUP(B776,'TB for financial'!A:B,2,0))</f>
        <v/>
      </c>
      <c r="D776" s="317"/>
      <c r="E776" s="318"/>
      <c r="F776" s="319"/>
      <c r="G776" s="320"/>
      <c r="H776" s="321"/>
      <c r="I776" s="322"/>
      <c r="J776" s="323"/>
    </row>
    <row r="777" spans="1:10" ht="15" customHeight="1">
      <c r="A777" s="315" t="str">
        <f>IF(B777="","",IF(B776="",SUM(COUNT($A$5:A776)+1),""))</f>
        <v/>
      </c>
      <c r="C777" s="316" t="str">
        <f>IF(B777="","",VLOOKUP(B777,'TB for financial'!A:B,2,0))</f>
        <v/>
      </c>
      <c r="D777" s="317"/>
      <c r="E777" s="318"/>
      <c r="F777" s="319"/>
      <c r="G777" s="320"/>
      <c r="H777" s="321"/>
      <c r="I777" s="322"/>
      <c r="J777" s="323"/>
    </row>
    <row r="778" spans="1:10">
      <c r="A778" s="315" t="str">
        <f>IF(B778="","",IF(B777="",SUM(COUNT($A$5:A777)+1),""))</f>
        <v/>
      </c>
      <c r="C778" s="316" t="str">
        <f>IF(B778="","",VLOOKUP(B778,'TB for financial'!A:B,2,0))</f>
        <v/>
      </c>
      <c r="D778" s="317"/>
      <c r="E778" s="318"/>
      <c r="F778" s="319"/>
      <c r="G778" s="320"/>
      <c r="H778" s="321"/>
      <c r="I778" s="322"/>
      <c r="J778" s="323"/>
    </row>
    <row r="779" spans="1:10" ht="15" customHeight="1">
      <c r="A779" s="315" t="str">
        <f>IF(B779="","",IF(B778="",SUM(COUNT($A$5:A778)+1),""))</f>
        <v/>
      </c>
      <c r="C779" s="316" t="str">
        <f>IF(B779="","",VLOOKUP(B779,'TB for financial'!A:B,2,0))</f>
        <v/>
      </c>
      <c r="D779" s="317"/>
      <c r="E779" s="318"/>
      <c r="F779" s="319"/>
      <c r="G779" s="320"/>
      <c r="H779" s="321"/>
      <c r="I779" s="322"/>
      <c r="J779" s="323"/>
    </row>
    <row r="780" spans="1:10">
      <c r="A780" s="315" t="str">
        <f>IF(B780="","",IF(B779="",SUM(COUNT($A$5:A779)+1),""))</f>
        <v/>
      </c>
      <c r="C780" s="316" t="str">
        <f>IF(B780="","",VLOOKUP(B780,'TB for financial'!A:B,2,0))</f>
        <v/>
      </c>
      <c r="D780" s="317"/>
      <c r="E780" s="318"/>
      <c r="F780" s="319"/>
      <c r="G780" s="320"/>
      <c r="H780" s="321"/>
      <c r="I780" s="322"/>
      <c r="J780" s="323"/>
    </row>
    <row r="781" spans="1:10" ht="15" customHeight="1">
      <c r="A781" s="315" t="str">
        <f>IF(B781="","",IF(B780="",SUM(COUNT($A$5:A780)+1),""))</f>
        <v/>
      </c>
      <c r="C781" s="316" t="str">
        <f>IF(B781="","",VLOOKUP(B781,'TB for financial'!A:B,2,0))</f>
        <v/>
      </c>
      <c r="D781" s="317"/>
      <c r="E781" s="318"/>
      <c r="F781" s="319"/>
      <c r="G781" s="320"/>
      <c r="H781" s="321"/>
      <c r="I781" s="322"/>
      <c r="J781" s="323"/>
    </row>
    <row r="782" spans="1:10">
      <c r="A782" s="315" t="str">
        <f>IF(B782="","",IF(B781="",SUM(COUNT($A$5:A781)+1),""))</f>
        <v/>
      </c>
      <c r="C782" s="316" t="str">
        <f>IF(B782="","",VLOOKUP(B782,'TB for financial'!A:B,2,0))</f>
        <v/>
      </c>
      <c r="D782" s="317"/>
      <c r="E782" s="318"/>
      <c r="F782" s="319"/>
      <c r="G782" s="320"/>
      <c r="H782" s="321"/>
      <c r="I782" s="679"/>
      <c r="J782" s="323"/>
    </row>
    <row r="783" spans="1:10">
      <c r="A783" s="315" t="str">
        <f>IF(B783="","",IF(B782="",SUM(COUNT($A$5:A782)+1),""))</f>
        <v/>
      </c>
      <c r="C783" s="316" t="str">
        <f>IF(B783="","",VLOOKUP(B783,'TB for financial'!A:B,2,0))</f>
        <v/>
      </c>
      <c r="D783" s="317"/>
      <c r="E783" s="318"/>
      <c r="F783" s="319"/>
      <c r="G783" s="320"/>
      <c r="H783" s="321"/>
      <c r="I783" s="679"/>
      <c r="J783" s="323"/>
    </row>
    <row r="784" spans="1:10">
      <c r="A784" s="315" t="str">
        <f>IF(B784="","",IF(B783="",SUM(COUNT($A$5:A783)+1),""))</f>
        <v/>
      </c>
      <c r="C784" s="316" t="str">
        <f>IF(B784="","",VLOOKUP(B784,'TB for financial'!A:B,2,0))</f>
        <v/>
      </c>
      <c r="D784" s="318"/>
      <c r="E784" s="318"/>
      <c r="F784" s="319"/>
      <c r="G784" s="320"/>
      <c r="H784" s="321"/>
      <c r="I784" s="679"/>
      <c r="J784" s="323"/>
    </row>
    <row r="785" spans="1:10" ht="15" customHeight="1">
      <c r="A785" s="315" t="str">
        <f>IF(B785="","",IF(B784="",SUM(COUNT($A$5:A784)+1),""))</f>
        <v/>
      </c>
      <c r="C785" s="316" t="str">
        <f>IF(B785="","",VLOOKUP(B785,'TB for financial'!A:B,2,0))</f>
        <v/>
      </c>
      <c r="D785" s="318"/>
      <c r="E785" s="318"/>
      <c r="F785" s="319"/>
      <c r="G785" s="320"/>
      <c r="H785" s="321"/>
      <c r="I785" s="322"/>
      <c r="J785" s="323"/>
    </row>
    <row r="786" spans="1:10" ht="15" customHeight="1">
      <c r="A786" s="315" t="str">
        <f>IF(B786="","",IF(B785="",SUM(COUNT($A$5:A785)+1),""))</f>
        <v/>
      </c>
      <c r="C786" s="316" t="str">
        <f>IF(B786="","",VLOOKUP(B786,'TB for financial'!A:B,2,0))</f>
        <v/>
      </c>
      <c r="D786" s="317"/>
      <c r="E786" s="318"/>
      <c r="F786" s="319"/>
      <c r="G786" s="320"/>
      <c r="H786" s="321"/>
      <c r="I786" s="322"/>
      <c r="J786" s="323"/>
    </row>
    <row r="787" spans="1:10" ht="15" customHeight="1">
      <c r="A787" s="315" t="str">
        <f>IF(B787="","",IF(B786="",SUM(COUNT($A$5:A786)+1),""))</f>
        <v/>
      </c>
      <c r="C787" s="316" t="str">
        <f>IF(B787="","",VLOOKUP(B787,'TB for financial'!A:B,2,0))</f>
        <v/>
      </c>
      <c r="D787" s="317"/>
      <c r="E787" s="318"/>
      <c r="F787" s="319"/>
      <c r="G787" s="320"/>
      <c r="H787" s="321"/>
      <c r="I787" s="322"/>
      <c r="J787" s="323"/>
    </row>
    <row r="788" spans="1:10" ht="15" customHeight="1">
      <c r="A788" s="315" t="str">
        <f>IF(B788="","",IF(B787="",SUM(COUNT($A$5:A787)+1),""))</f>
        <v/>
      </c>
      <c r="C788" s="316" t="str">
        <f>IF(B788="","",VLOOKUP(B788,'TB for financial'!A:B,2,0))</f>
        <v/>
      </c>
      <c r="D788" s="317"/>
      <c r="E788" s="318"/>
      <c r="F788" s="319"/>
      <c r="G788" s="320"/>
      <c r="H788" s="321"/>
      <c r="I788" s="322"/>
      <c r="J788" s="323"/>
    </row>
    <row r="789" spans="1:10" ht="15" customHeight="1">
      <c r="A789" s="315"/>
      <c r="C789" s="316" t="str">
        <f>IF(B789="","",VLOOKUP(B789,'TB for financial'!A:B,2,0))</f>
        <v/>
      </c>
      <c r="D789" s="317"/>
      <c r="E789" s="318"/>
      <c r="F789" s="319"/>
      <c r="G789" s="320"/>
      <c r="H789" s="321"/>
      <c r="I789" s="322"/>
      <c r="J789" s="323"/>
    </row>
    <row r="790" spans="1:10">
      <c r="A790" s="315" t="str">
        <f>IF(B790="","",IF(B788="",SUM(COUNT($A$5:A788)+1),""))</f>
        <v/>
      </c>
      <c r="C790" s="316" t="str">
        <f>IF(B790="","",VLOOKUP(B790,'TB for financial'!A:B,2,0))</f>
        <v/>
      </c>
      <c r="D790" s="317"/>
      <c r="E790" s="318"/>
      <c r="F790" s="319"/>
      <c r="G790" s="320"/>
      <c r="H790" s="321"/>
      <c r="I790" s="322"/>
      <c r="J790" s="323"/>
    </row>
    <row r="791" spans="1:10">
      <c r="A791" s="315" t="str">
        <f>IF(B791="","",IF(B790="",SUM(COUNT($A$5:A790)+1),""))</f>
        <v/>
      </c>
      <c r="C791" s="316" t="str">
        <f>IF(B791="","",VLOOKUP(B791,'TB for financial'!A:B,2,0))</f>
        <v/>
      </c>
      <c r="D791" s="317"/>
      <c r="E791" s="318"/>
      <c r="F791" s="319"/>
      <c r="G791" s="320"/>
      <c r="H791" s="321"/>
      <c r="I791" s="322"/>
      <c r="J791" s="323"/>
    </row>
    <row r="792" spans="1:10" ht="15" customHeight="1">
      <c r="A792" s="315" t="str">
        <f>IF(B792="","",IF(B791="",SUM(COUNT($A$5:A791)+1),""))</f>
        <v/>
      </c>
      <c r="C792" s="316" t="str">
        <f>IF(B792="","",VLOOKUP(B792,'TB for financial'!A:B,2,0))</f>
        <v/>
      </c>
      <c r="D792" s="317"/>
      <c r="E792" s="318"/>
      <c r="F792" s="319"/>
      <c r="G792" s="320"/>
      <c r="H792" s="321"/>
      <c r="I792" s="679"/>
      <c r="J792" s="323"/>
    </row>
    <row r="793" spans="1:10" ht="15" customHeight="1">
      <c r="A793" s="315" t="str">
        <f>IF(B793="","",IF(B792="",SUM(COUNT($A$5:A792)+1),""))</f>
        <v/>
      </c>
      <c r="C793" s="316" t="str">
        <f>IF(B793="","",VLOOKUP(B793,'TB for financial'!A:B,2,0))</f>
        <v/>
      </c>
      <c r="D793" s="317"/>
      <c r="E793" s="318"/>
      <c r="F793" s="319"/>
      <c r="G793" s="320"/>
      <c r="H793" s="321"/>
      <c r="I793" s="679"/>
      <c r="J793" s="323"/>
    </row>
    <row r="794" spans="1:10" ht="15" customHeight="1">
      <c r="A794" s="315" t="str">
        <f>IF(B794="","",IF(B793="",SUM(COUNT($A$5:A793)+1),""))</f>
        <v/>
      </c>
      <c r="C794" s="316" t="str">
        <f>IF(B794="","",VLOOKUP(B794,'TB for financial'!A:B,2,0))</f>
        <v/>
      </c>
      <c r="D794" s="317"/>
      <c r="E794" s="318"/>
      <c r="F794" s="319"/>
      <c r="G794" s="320"/>
      <c r="H794" s="321"/>
      <c r="I794" s="679"/>
      <c r="J794" s="323"/>
    </row>
    <row r="795" spans="1:10" ht="15" customHeight="1">
      <c r="A795" s="315" t="str">
        <f>IF(B795="","",IF(B794="",SUM(COUNT($A$5:A794)+1),""))</f>
        <v/>
      </c>
      <c r="C795" s="316" t="str">
        <f>IF(B795="","",VLOOKUP(B795,'TB for financial'!A:B,2,0))</f>
        <v/>
      </c>
      <c r="D795" s="317"/>
      <c r="E795" s="318"/>
      <c r="F795" s="319"/>
      <c r="G795" s="320"/>
      <c r="H795" s="321"/>
      <c r="I795" s="679"/>
      <c r="J795" s="323"/>
    </row>
    <row r="796" spans="1:10" ht="15" customHeight="1">
      <c r="A796" s="315" t="str">
        <f>IF(B796="","",IF(B795="",SUM(COUNT($A$5:A795)+1),""))</f>
        <v/>
      </c>
      <c r="C796" s="316" t="str">
        <f>IF(B796="","",VLOOKUP(B796,'TB for financial'!A:B,2,0))</f>
        <v/>
      </c>
      <c r="D796" s="317"/>
      <c r="E796" s="318"/>
      <c r="F796" s="325"/>
      <c r="G796" s="320"/>
      <c r="H796" s="321"/>
      <c r="I796" s="679"/>
      <c r="J796" s="323"/>
    </row>
    <row r="797" spans="1:10">
      <c r="A797" s="315" t="str">
        <f>IF(B797="","",IF(B796="",SUM(COUNT($A$5:A796)+1),""))</f>
        <v/>
      </c>
      <c r="C797" s="316" t="str">
        <f>IF(B797="","",VLOOKUP(B797,'TB for financial'!A:B,2,0))</f>
        <v/>
      </c>
      <c r="D797" s="317"/>
      <c r="E797" s="318"/>
      <c r="F797" s="319"/>
      <c r="G797" s="320"/>
      <c r="H797" s="321"/>
      <c r="I797" s="322"/>
      <c r="J797" s="323"/>
    </row>
    <row r="798" spans="1:10">
      <c r="A798" s="315" t="str">
        <f>IF(B798="","",IF(B797="",SUM(COUNT($A$5:A797)+1),""))</f>
        <v/>
      </c>
      <c r="C798" s="316" t="str">
        <f>IF(B798="","",VLOOKUP(B798,'TB for financial'!A:B,2,0))</f>
        <v/>
      </c>
      <c r="D798" s="317"/>
      <c r="E798" s="318"/>
      <c r="F798" s="319"/>
      <c r="G798" s="320"/>
      <c r="H798" s="321"/>
      <c r="I798" s="322"/>
      <c r="J798" s="323"/>
    </row>
    <row r="799" spans="1:10" ht="30.75" customHeight="1">
      <c r="A799" s="315" t="str">
        <f>IF(B799="","",IF(B798="",SUM(COUNT($A$5:A798)+1),""))</f>
        <v/>
      </c>
      <c r="C799" s="316" t="str">
        <f>IF(B799="","",VLOOKUP(B799,'TB for financial'!A:B,2,0))</f>
        <v/>
      </c>
      <c r="D799" s="317"/>
      <c r="E799" s="318"/>
      <c r="F799" s="325"/>
      <c r="G799" s="320"/>
      <c r="H799" s="321"/>
      <c r="I799" s="322"/>
      <c r="J799" s="323"/>
    </row>
    <row r="800" spans="1:10" ht="15" customHeight="1">
      <c r="A800" s="315" t="str">
        <f>IF(B800="","",IF(B799="",SUM(COUNT($A$5:A799)+1),""))</f>
        <v/>
      </c>
      <c r="C800" s="316" t="str">
        <f>IF(B800="","",VLOOKUP(B800,'TB for financial'!A:B,2,0))</f>
        <v/>
      </c>
      <c r="D800" s="317"/>
      <c r="E800" s="318"/>
      <c r="F800" s="319"/>
      <c r="G800" s="320"/>
      <c r="H800" s="321"/>
      <c r="I800" s="322"/>
      <c r="J800" s="323"/>
    </row>
    <row r="801" spans="1:10">
      <c r="A801" s="315" t="str">
        <f>IF(B801="","",IF(B800="",SUM(COUNT($A$5:A800)+1),""))</f>
        <v/>
      </c>
      <c r="C801" s="316" t="str">
        <f>IF(B801="","",VLOOKUP(B801,'TB for financial'!A:B,2,0))</f>
        <v/>
      </c>
      <c r="D801" s="317"/>
      <c r="E801" s="318"/>
      <c r="F801" s="319"/>
      <c r="G801" s="320"/>
      <c r="H801" s="321"/>
      <c r="I801" s="322"/>
      <c r="J801" s="323"/>
    </row>
    <row r="802" spans="1:10" ht="15" customHeight="1">
      <c r="A802" s="315" t="str">
        <f>IF(B802="","",IF(B801="",SUM(COUNT($A$5:A801)+1),""))</f>
        <v/>
      </c>
      <c r="C802" s="316" t="str">
        <f>IF(B802="","",VLOOKUP(B802,'TB for financial'!A:B,2,0))</f>
        <v/>
      </c>
      <c r="D802" s="317"/>
      <c r="E802" s="318"/>
      <c r="F802" s="319"/>
      <c r="G802" s="320"/>
      <c r="H802" s="321"/>
      <c r="I802" s="322"/>
      <c r="J802" s="323"/>
    </row>
    <row r="803" spans="1:10" ht="30" customHeight="1">
      <c r="A803" s="315" t="str">
        <f>IF(B803="","",IF(B802="",SUM(COUNT($A$5:A802)+1),""))</f>
        <v/>
      </c>
      <c r="C803" s="316" t="str">
        <f>IF(B803="","",VLOOKUP(B803,'TB for financial'!A:B,2,0))</f>
        <v/>
      </c>
      <c r="D803" s="317"/>
      <c r="E803" s="318"/>
      <c r="F803" s="325"/>
      <c r="G803" s="320"/>
      <c r="H803" s="321"/>
      <c r="I803" s="322"/>
      <c r="J803" s="323"/>
    </row>
    <row r="804" spans="1:10">
      <c r="A804" s="315" t="str">
        <f>IF(B804="","",IF(B803="",SUM(COUNT($A$5:A803)+1),""))</f>
        <v/>
      </c>
      <c r="C804" s="316" t="str">
        <f>IF(B804="","",VLOOKUP(B804,'TB for financial'!A:B,2,0))</f>
        <v/>
      </c>
      <c r="D804" s="317"/>
      <c r="E804" s="318"/>
      <c r="F804" s="325"/>
      <c r="G804" s="320"/>
      <c r="H804" s="321"/>
      <c r="I804" s="322"/>
      <c r="J804" s="323"/>
    </row>
    <row r="805" spans="1:10">
      <c r="A805" s="315" t="str">
        <f>IF(B805="","",IF(B804="",SUM(COUNT($A$5:A804)+1),""))</f>
        <v/>
      </c>
      <c r="C805" s="316" t="str">
        <f>IF(B805="","",VLOOKUP(B805,'TB for financial'!A:B,2,0))</f>
        <v/>
      </c>
      <c r="D805" s="317"/>
      <c r="E805" s="318"/>
      <c r="F805" s="325"/>
      <c r="G805" s="320"/>
      <c r="H805" s="321"/>
      <c r="I805" s="322"/>
      <c r="J805" s="323"/>
    </row>
    <row r="806" spans="1:10">
      <c r="A806" s="315" t="str">
        <f>IF(B806="","",IF(B805="",SUM(COUNT($A$5:A805)+1),""))</f>
        <v/>
      </c>
      <c r="C806" s="316" t="str">
        <f>IF(B806="","",VLOOKUP(B806,'TB for financial'!A:B,2,0))</f>
        <v/>
      </c>
      <c r="D806" s="317"/>
      <c r="E806" s="318"/>
      <c r="F806" s="325"/>
      <c r="G806" s="320"/>
      <c r="H806" s="321"/>
      <c r="I806" s="322"/>
      <c r="J806" s="323"/>
    </row>
    <row r="807" spans="1:10">
      <c r="A807" s="315" t="str">
        <f>IF(B807="","",IF(B806="",SUM(COUNT($A$5:A806)+1),""))</f>
        <v/>
      </c>
      <c r="C807" s="316" t="str">
        <f>IF(B807="","",VLOOKUP(B807,'TB for financial'!A:B,2,0))</f>
        <v/>
      </c>
      <c r="D807" s="317"/>
      <c r="E807" s="318"/>
      <c r="F807" s="325"/>
      <c r="G807" s="320"/>
      <c r="H807" s="321"/>
      <c r="I807" s="322"/>
      <c r="J807" s="323"/>
    </row>
    <row r="808" spans="1:10">
      <c r="A808" s="315" t="str">
        <f>IF(B808="","",IF(B807="",SUM(COUNT($A$5:A807)+1),""))</f>
        <v/>
      </c>
      <c r="C808" s="316" t="str">
        <f>IF(B808="","",VLOOKUP(B808,'TB for financial'!A:B,2,0))</f>
        <v/>
      </c>
      <c r="D808" s="317"/>
      <c r="E808" s="318"/>
      <c r="F808" s="325"/>
      <c r="G808" s="320"/>
      <c r="H808" s="321"/>
      <c r="I808" s="322"/>
      <c r="J808" s="323"/>
    </row>
    <row r="809" spans="1:10">
      <c r="A809" s="315" t="str">
        <f>IF(B809="","",IF(B808="",SUM(COUNT($A$5:A808)+1),""))</f>
        <v/>
      </c>
      <c r="C809" s="316" t="str">
        <f>IF(B809="","",VLOOKUP(B809,'TB for financial'!A:B,2,0))</f>
        <v/>
      </c>
      <c r="D809" s="317"/>
      <c r="E809" s="318"/>
      <c r="F809" s="325"/>
      <c r="G809" s="320"/>
      <c r="H809" s="321"/>
      <c r="I809" s="322"/>
      <c r="J809" s="323"/>
    </row>
    <row r="810" spans="1:10">
      <c r="A810" s="315" t="str">
        <f>IF(B810="","",IF(B809="",SUM(COUNT($A$5:A809)+1),""))</f>
        <v/>
      </c>
      <c r="C810" s="316" t="str">
        <f>IF(B810="","",VLOOKUP(B810,'TB for financial'!A:B,2,0))</f>
        <v/>
      </c>
      <c r="D810" s="317"/>
      <c r="E810" s="318"/>
      <c r="F810" s="325"/>
      <c r="G810" s="320"/>
      <c r="H810" s="321"/>
      <c r="I810" s="322"/>
      <c r="J810" s="323"/>
    </row>
    <row r="811" spans="1:10" ht="15" customHeight="1">
      <c r="A811" s="315" t="str">
        <f>IF(B811="","",IF(B810="",SUM(COUNT($A$5:A810)+1),""))</f>
        <v/>
      </c>
      <c r="C811" s="316" t="str">
        <f>IF(B811="","",VLOOKUP(B811,'TB for financial'!A:B,2,0))</f>
        <v/>
      </c>
      <c r="D811" s="317"/>
      <c r="E811" s="318"/>
      <c r="F811" s="319"/>
      <c r="G811" s="320"/>
      <c r="H811" s="321"/>
      <c r="I811" s="322"/>
      <c r="J811" s="323"/>
    </row>
    <row r="812" spans="1:10" ht="15" customHeight="1">
      <c r="A812" s="315" t="str">
        <f>IF(B812="","",IF(B811="",SUM(COUNT($A$5:A811)+1),""))</f>
        <v/>
      </c>
      <c r="C812" s="316" t="str">
        <f>IF(B812="","",VLOOKUP(B812,'TB for financial'!A:B,2,0))</f>
        <v/>
      </c>
      <c r="D812" s="317"/>
      <c r="E812" s="318"/>
      <c r="F812" s="319"/>
      <c r="G812" s="320"/>
      <c r="H812" s="321"/>
      <c r="I812" s="322"/>
      <c r="J812" s="323"/>
    </row>
    <row r="813" spans="1:10">
      <c r="A813" s="315" t="str">
        <f>IF(B813="","",IF(B812="",SUM(COUNT($A$5:A812)+1),""))</f>
        <v/>
      </c>
      <c r="C813" s="316" t="str">
        <f>IF(B813="","",VLOOKUP(B813,'TB for financial'!A:B,2,0))</f>
        <v/>
      </c>
      <c r="D813" s="317"/>
      <c r="E813" s="318"/>
      <c r="F813" s="319"/>
      <c r="G813" s="320"/>
      <c r="H813" s="321"/>
      <c r="I813" s="322"/>
      <c r="J813" s="323"/>
    </row>
    <row r="814" spans="1:10" ht="15" customHeight="1">
      <c r="A814" s="315" t="str">
        <f>IF(B814="","",IF(B813="",SUM(COUNT($A$5:A813)+1),""))</f>
        <v/>
      </c>
      <c r="C814" s="316" t="str">
        <f>IF(B814="","",VLOOKUP(B814,'TB for financial'!A:B,2,0))</f>
        <v/>
      </c>
      <c r="D814" s="317"/>
      <c r="E814" s="318"/>
      <c r="F814" s="319"/>
      <c r="G814" s="320"/>
      <c r="H814" s="321"/>
      <c r="I814" s="322"/>
      <c r="J814" s="323"/>
    </row>
    <row r="815" spans="1:10" ht="15" customHeight="1">
      <c r="A815" s="315"/>
      <c r="C815" s="316" t="str">
        <f>IF(B815="","",VLOOKUP(B815,'TB for financial'!A:B,2,0))</f>
        <v/>
      </c>
      <c r="D815" s="317"/>
      <c r="E815" s="318"/>
      <c r="F815" s="319"/>
      <c r="G815" s="320"/>
      <c r="H815" s="321"/>
      <c r="I815" s="322"/>
      <c r="J815" s="323"/>
    </row>
    <row r="816" spans="1:10" ht="15" customHeight="1">
      <c r="A816" s="315"/>
      <c r="C816" s="316" t="str">
        <f>IF(B816="","",VLOOKUP(B816,'TB for financial'!A:B,2,0))</f>
        <v/>
      </c>
      <c r="D816" s="317"/>
      <c r="E816" s="318"/>
      <c r="F816" s="319"/>
      <c r="G816" s="320"/>
      <c r="H816" s="321"/>
      <c r="I816" s="322"/>
      <c r="J816" s="323"/>
    </row>
    <row r="817" spans="1:10" ht="31.5" customHeight="1">
      <c r="A817" s="315"/>
      <c r="C817" s="316" t="str">
        <f>IF(B817="","",VLOOKUP(B817,'TB for financial'!A:B,2,0))</f>
        <v/>
      </c>
      <c r="D817" s="317"/>
      <c r="E817" s="318"/>
      <c r="F817" s="319"/>
      <c r="G817" s="320"/>
      <c r="H817" s="321"/>
      <c r="I817" s="322"/>
      <c r="J817" s="323"/>
    </row>
    <row r="818" spans="1:10" ht="15" customHeight="1">
      <c r="A818" s="315"/>
      <c r="C818" s="316" t="str">
        <f>IF(B818="","",VLOOKUP(B818,'TB for financial'!A:B,2,0))</f>
        <v/>
      </c>
      <c r="D818" s="317"/>
      <c r="E818" s="318"/>
      <c r="F818" s="319"/>
      <c r="G818" s="320"/>
      <c r="H818" s="321"/>
      <c r="I818" s="322"/>
      <c r="J818" s="323"/>
    </row>
    <row r="819" spans="1:10" ht="15" customHeight="1">
      <c r="A819" s="315" t="str">
        <f>IF(B819="","",IF(B814="",SUM(COUNT($A$5:A814)+1),""))</f>
        <v/>
      </c>
      <c r="C819" s="316" t="str">
        <f>IF(B819="","",VLOOKUP(B819,'TB for financial'!A:B,2,0))</f>
        <v/>
      </c>
      <c r="D819" s="317"/>
      <c r="E819" s="318"/>
      <c r="F819" s="319"/>
      <c r="G819" s="320"/>
      <c r="H819" s="321"/>
      <c r="I819" s="322"/>
      <c r="J819" s="323"/>
    </row>
    <row r="820" spans="1:10" ht="15" customHeight="1">
      <c r="A820" s="315" t="str">
        <f>IF(B820="","",IF(B819="",SUM(COUNT($A$5:A819)+1),""))</f>
        <v/>
      </c>
      <c r="C820" s="316" t="str">
        <f>IF(B820="","",VLOOKUP(B820,'TB for financial'!A:B,2,0))</f>
        <v/>
      </c>
      <c r="D820" s="317"/>
      <c r="E820" s="318"/>
      <c r="F820" s="319"/>
      <c r="G820" s="320"/>
      <c r="H820" s="321"/>
      <c r="I820" s="322"/>
      <c r="J820" s="323"/>
    </row>
    <row r="821" spans="1:10" ht="15" customHeight="1">
      <c r="A821" s="315" t="str">
        <f>IF(B821="","",IF(B820="",SUM(COUNT($A$5:A820)+1),""))</f>
        <v/>
      </c>
      <c r="C821" s="316" t="str">
        <f>IF(B821="","",VLOOKUP(B821,'TB for financial'!A:B,2,0))</f>
        <v/>
      </c>
      <c r="D821" s="317"/>
      <c r="E821" s="318"/>
      <c r="F821" s="319"/>
      <c r="G821" s="320"/>
      <c r="H821" s="321"/>
      <c r="I821" s="322"/>
      <c r="J821" s="323"/>
    </row>
    <row r="822" spans="1:10" ht="15" customHeight="1">
      <c r="A822" s="315" t="str">
        <f>IF(B822="","",IF(B821="",SUM(COUNT($A$5:A821)+1),""))</f>
        <v/>
      </c>
      <c r="C822" s="316" t="str">
        <f>IF(B822="","",VLOOKUP(B822,'TB for financial'!A:B,2,0))</f>
        <v/>
      </c>
      <c r="D822" s="317"/>
      <c r="E822" s="318"/>
      <c r="F822" s="319"/>
      <c r="G822" s="320"/>
      <c r="H822" s="321"/>
      <c r="I822" s="322"/>
      <c r="J822" s="323"/>
    </row>
    <row r="823" spans="1:10" ht="15" customHeight="1">
      <c r="A823" s="315" t="str">
        <f>IF(B823="","",IF(B822="",SUM(COUNT($A$5:A822)+1),""))</f>
        <v/>
      </c>
      <c r="C823" s="316" t="str">
        <f>IF(B823="","",VLOOKUP(B823,'TB for financial'!A:B,2,0))</f>
        <v/>
      </c>
      <c r="D823" s="317"/>
      <c r="E823" s="318"/>
      <c r="F823" s="319"/>
      <c r="G823" s="320"/>
      <c r="H823" s="321"/>
      <c r="I823" s="322"/>
      <c r="J823" s="323"/>
    </row>
    <row r="824" spans="1:10" ht="15" customHeight="1">
      <c r="A824" s="315" t="str">
        <f>IF(B824="","",IF(B823="",SUM(COUNT($A$5:A823)+1),""))</f>
        <v/>
      </c>
      <c r="C824" s="316" t="str">
        <f>IF(B824="","",VLOOKUP(B824,'TB for financial'!A:B,2,0))</f>
        <v/>
      </c>
      <c r="D824" s="317"/>
      <c r="E824" s="318"/>
      <c r="F824" s="325"/>
      <c r="G824" s="320">
        <f>IF(H824="PL - PL",0,IF(D824="",-E824,D824))</f>
        <v>0</v>
      </c>
      <c r="H824" s="321"/>
      <c r="I824" s="322"/>
      <c r="J824" s="323"/>
    </row>
    <row r="825" spans="1:10" ht="15" customHeight="1">
      <c r="A825" s="315" t="str">
        <f>IF(B825="","",IF(B824="",SUM(COUNT($A$5:A824)+1),""))</f>
        <v/>
      </c>
      <c r="C825" s="316" t="str">
        <f>IF(B825="","",VLOOKUP(B825,'TB for financial'!A:B,2,0))</f>
        <v/>
      </c>
      <c r="D825" s="317"/>
      <c r="E825" s="318"/>
      <c r="F825" s="319"/>
      <c r="G825" s="320"/>
      <c r="H825" s="321"/>
      <c r="I825" s="328"/>
      <c r="J825" s="323"/>
    </row>
    <row r="826" spans="1:10" ht="30.75" customHeight="1">
      <c r="A826" s="315" t="str">
        <f>IF(B826="","",IF(B825="",SUM(COUNT($A$5:A825)+1),""))</f>
        <v/>
      </c>
      <c r="C826" s="316" t="str">
        <f>IF(B826="","",VLOOKUP(B826,'TB for financial'!A:B,2,0))</f>
        <v/>
      </c>
      <c r="D826" s="317"/>
      <c r="E826" s="318"/>
      <c r="F826" s="319"/>
      <c r="G826" s="320"/>
      <c r="H826" s="321"/>
      <c r="I826" s="322"/>
      <c r="J826" s="323"/>
    </row>
    <row r="827" spans="1:10" ht="15" customHeight="1">
      <c r="A827" s="315" t="str">
        <f>IF(B827="","",IF(B826="",SUM(COUNT($A$5:A826)+1),""))</f>
        <v/>
      </c>
      <c r="B827" s="329"/>
      <c r="C827" s="316" t="str">
        <f>IF(B827="","",VLOOKUP(B827,'TB for financial'!A:B,2,0))</f>
        <v/>
      </c>
      <c r="D827" s="317"/>
      <c r="E827" s="318"/>
      <c r="F827" s="319"/>
      <c r="G827" s="320"/>
      <c r="H827" s="321"/>
      <c r="I827" s="322"/>
      <c r="J827" s="323"/>
    </row>
    <row r="828" spans="1:10" ht="15" customHeight="1">
      <c r="A828" s="315" t="str">
        <f>IF(B828="","",IF(B827="",SUM(COUNT($A$5:A827)+1),""))</f>
        <v/>
      </c>
      <c r="C828" s="316" t="str">
        <f>IF(B828="","",VLOOKUP(B828,'TB for financial'!A:B,2,0))</f>
        <v/>
      </c>
      <c r="D828" s="317"/>
      <c r="E828" s="318"/>
      <c r="F828" s="319"/>
      <c r="G828" s="320"/>
      <c r="H828" s="321"/>
      <c r="I828" s="322"/>
      <c r="J828" s="323"/>
    </row>
    <row r="829" spans="1:10" ht="15" customHeight="1">
      <c r="A829" s="315" t="str">
        <f>IF(B829="","",IF(B828="",SUM(COUNT($A$5:A828)+1),""))</f>
        <v/>
      </c>
      <c r="C829" s="316" t="str">
        <f>IF(B829="","",VLOOKUP(B829,'TB for financial'!A:B,2,0))</f>
        <v/>
      </c>
      <c r="D829" s="317"/>
      <c r="E829" s="318"/>
      <c r="F829" s="319"/>
      <c r="G829" s="320"/>
      <c r="H829" s="321"/>
      <c r="I829" s="322"/>
      <c r="J829" s="323"/>
    </row>
    <row r="830" spans="1:10" ht="15" customHeight="1">
      <c r="A830" s="315"/>
      <c r="C830" s="316" t="str">
        <f>IF(B830="","",VLOOKUP(B830,'TB for financial'!A:B,2,0))</f>
        <v/>
      </c>
      <c r="D830" s="317"/>
      <c r="E830" s="318"/>
      <c r="F830" s="319"/>
      <c r="G830" s="320"/>
      <c r="H830" s="321"/>
      <c r="I830" s="322"/>
      <c r="J830" s="323"/>
    </row>
    <row r="831" spans="1:10" ht="15" customHeight="1">
      <c r="A831" s="315"/>
      <c r="C831" s="316" t="str">
        <f>IF(B831="","",VLOOKUP(B831,'TB for financial'!A:B,2,0))</f>
        <v/>
      </c>
      <c r="D831" s="317"/>
      <c r="E831" s="318"/>
      <c r="F831" s="319"/>
      <c r="G831" s="320"/>
      <c r="H831" s="321"/>
      <c r="I831" s="322"/>
      <c r="J831" s="323"/>
    </row>
    <row r="832" spans="1:10" ht="29.25" customHeight="1">
      <c r="A832" s="315" t="str">
        <f>IF(B832="","",IF(B829="",SUM(COUNT($A$5:A829)+1),""))</f>
        <v/>
      </c>
      <c r="C832" s="316" t="str">
        <f>IF(B832="","",VLOOKUP(B832,'TB for financial'!A:B,2,0))</f>
        <v/>
      </c>
      <c r="D832" s="317"/>
      <c r="E832" s="318"/>
      <c r="F832" s="319"/>
      <c r="G832" s="320"/>
      <c r="H832" s="321"/>
      <c r="I832" s="322"/>
      <c r="J832" s="323"/>
    </row>
    <row r="833" spans="1:10">
      <c r="A833" s="315" t="str">
        <f>IF(B833="","",IF(B832="",SUM(COUNT($A$5:A832)+1),""))</f>
        <v/>
      </c>
      <c r="C833" s="316" t="str">
        <f>IF(B833="","",VLOOKUP(B833,'TB for financial'!A:B,2,0))</f>
        <v/>
      </c>
      <c r="D833" s="317"/>
      <c r="E833" s="318"/>
      <c r="F833" s="319"/>
      <c r="G833" s="320"/>
      <c r="H833" s="321"/>
      <c r="I833" s="322"/>
      <c r="J833" s="323"/>
    </row>
    <row r="834" spans="1:10" ht="15" customHeight="1">
      <c r="A834" s="315" t="str">
        <f>IF(B834="","",IF(B833="",SUM(COUNT($A$5:A833)+1),""))</f>
        <v/>
      </c>
      <c r="C834" s="316" t="str">
        <f>IF(B834="","",VLOOKUP(B834,'TB for financial'!A:B,2,0))</f>
        <v/>
      </c>
      <c r="D834" s="317"/>
      <c r="E834" s="318"/>
      <c r="F834" s="319"/>
      <c r="G834" s="320">
        <f>IF(H834="PL - PL",0,IF(D834="",-E834,D834))</f>
        <v>0</v>
      </c>
      <c r="H834" s="321"/>
      <c r="I834" s="322"/>
      <c r="J834" s="323"/>
    </row>
    <row r="835" spans="1:10" ht="15" customHeight="1">
      <c r="A835" s="315" t="str">
        <f>IF(B835="","",IF(B834="",SUM(COUNT($A$5:A834)+1),""))</f>
        <v/>
      </c>
      <c r="C835" s="316" t="str">
        <f>IF(B835="","",VLOOKUP(B835,'TB for financial'!A:B,2,0))</f>
        <v/>
      </c>
      <c r="D835" s="317"/>
      <c r="E835" s="318"/>
      <c r="F835" s="319"/>
      <c r="G835" s="320">
        <f>IF(H835="PL - PL",0,IF(D835="",-E835,D835))</f>
        <v>0</v>
      </c>
      <c r="H835" s="321"/>
      <c r="I835" s="322"/>
      <c r="J835" s="323"/>
    </row>
    <row r="836" spans="1:10" ht="30.75" customHeight="1">
      <c r="A836" s="315" t="str">
        <f>IF(B836="","",IF(B835="",SUM(COUNT($A$5:A835)+1),""))</f>
        <v/>
      </c>
      <c r="C836" s="316" t="str">
        <f>IF(B836="","",VLOOKUP(B836,'TB for financial'!A:B,2,0))</f>
        <v/>
      </c>
      <c r="D836" s="317"/>
      <c r="E836" s="318"/>
      <c r="F836" s="319"/>
      <c r="G836" s="320"/>
      <c r="H836" s="321"/>
      <c r="I836" s="322"/>
      <c r="J836" s="323"/>
    </row>
    <row r="837" spans="1:10">
      <c r="A837" s="315" t="str">
        <f>IF(B837="","",IF(B836="",SUM(COUNT($A$5:A836)+1),""))</f>
        <v/>
      </c>
      <c r="C837" s="316" t="str">
        <f>IF(B837="","",VLOOKUP(B837,'TB for financial'!A:B,2,0))</f>
        <v/>
      </c>
      <c r="D837" s="317"/>
      <c r="E837" s="318"/>
      <c r="F837" s="319"/>
      <c r="G837" s="320"/>
      <c r="H837" s="321"/>
      <c r="I837" s="322"/>
      <c r="J837" s="323"/>
    </row>
    <row r="838" spans="1:10" ht="15" customHeight="1">
      <c r="A838" s="315" t="str">
        <f>IF(B838="","",IF(B837="",SUM(COUNT($A$5:A837)+1),""))</f>
        <v/>
      </c>
      <c r="C838" s="316" t="str">
        <f>IF(B838="","",VLOOKUP(B838,'TB for financial'!A:B,2,0))</f>
        <v/>
      </c>
      <c r="D838" s="317"/>
      <c r="E838" s="318"/>
      <c r="F838" s="319"/>
      <c r="G838" s="320"/>
      <c r="H838" s="321"/>
      <c r="I838" s="322"/>
      <c r="J838" s="323"/>
    </row>
    <row r="839" spans="1:10" ht="15" customHeight="1">
      <c r="A839" s="315" t="str">
        <f>IF(B839="","",IF(B838="",SUM(COUNT($A$5:A838)+1),""))</f>
        <v/>
      </c>
      <c r="C839" s="316" t="str">
        <f>IF(B839="","",VLOOKUP(B839,'TB for financial'!A:B,2,0))</f>
        <v/>
      </c>
      <c r="D839" s="317"/>
      <c r="E839" s="318"/>
      <c r="F839" s="319"/>
      <c r="G839" s="320"/>
      <c r="H839" s="321"/>
      <c r="I839" s="322"/>
      <c r="J839" s="323"/>
    </row>
    <row r="840" spans="1:10" ht="15" customHeight="1">
      <c r="A840" s="315" t="str">
        <f>IF(B840="","",IF(B839="",SUM(COUNT($A$5:A839)+1),""))</f>
        <v/>
      </c>
      <c r="C840" s="316" t="str">
        <f>IF(B840="","",VLOOKUP(B840,'TB for financial'!A:B,2,0))</f>
        <v/>
      </c>
      <c r="D840" s="317"/>
      <c r="E840" s="318"/>
      <c r="F840" s="319"/>
      <c r="G840" s="320"/>
      <c r="H840" s="321"/>
      <c r="I840" s="322"/>
      <c r="J840" s="323"/>
    </row>
    <row r="841" spans="1:10" ht="15" customHeight="1">
      <c r="A841" s="315" t="str">
        <f>IF(B841="","",IF(B840="",SUM(COUNT($A$5:A840)+1),""))</f>
        <v/>
      </c>
      <c r="C841" s="316" t="str">
        <f>IF(B841="","",VLOOKUP(B841,'TB for financial'!A:B,2,0))</f>
        <v/>
      </c>
      <c r="D841" s="317"/>
      <c r="E841" s="318"/>
      <c r="F841" s="319"/>
      <c r="G841" s="320"/>
      <c r="H841" s="321"/>
      <c r="I841" s="330"/>
      <c r="J841" s="323"/>
    </row>
    <row r="842" spans="1:10" ht="15" customHeight="1">
      <c r="A842" s="315" t="str">
        <f>IF(B842="","",IF(B841="",SUM(COUNT($A$5:A841)+1),""))</f>
        <v/>
      </c>
      <c r="C842" s="316" t="str">
        <f>IF(B842="","",VLOOKUP(B842,'TB for financial'!A:B,2,0))</f>
        <v/>
      </c>
      <c r="D842" s="317"/>
      <c r="E842" s="318"/>
      <c r="F842" s="319"/>
      <c r="G842" s="320"/>
      <c r="H842" s="321"/>
      <c r="I842" s="322"/>
      <c r="J842" s="323"/>
    </row>
    <row r="843" spans="1:10" ht="15" customHeight="1">
      <c r="A843" s="315" t="str">
        <f>IF(B843="","",IF(B842="",SUM(COUNT($A$5:A842)+1),""))</f>
        <v/>
      </c>
      <c r="C843" s="316" t="str">
        <f>IF(B843="","",VLOOKUP(B843,'TB for financial'!A:B,2,0))</f>
        <v/>
      </c>
      <c r="D843" s="317"/>
      <c r="E843" s="318"/>
      <c r="F843" s="319"/>
      <c r="G843" s="320"/>
      <c r="H843" s="321"/>
      <c r="I843" s="322"/>
      <c r="J843" s="323"/>
    </row>
    <row r="844" spans="1:10" ht="15" customHeight="1">
      <c r="A844" s="315" t="str">
        <f>IF(B844="","",IF(B843="",SUM(COUNT($A$5:A843)+1),""))</f>
        <v/>
      </c>
      <c r="C844" s="316" t="str">
        <f>IF(B844="","",VLOOKUP(B844,'TB for financial'!A:B,2,0))</f>
        <v/>
      </c>
      <c r="D844" s="317"/>
      <c r="E844" s="318"/>
      <c r="F844" s="319"/>
      <c r="G844" s="320"/>
      <c r="H844" s="321"/>
      <c r="I844" s="322"/>
      <c r="J844" s="323"/>
    </row>
    <row r="845" spans="1:10">
      <c r="A845" s="315" t="str">
        <f>IF(B845="","",IF(B844="",SUM(COUNT($A$5:A844)+1),""))</f>
        <v/>
      </c>
      <c r="C845" s="316" t="str">
        <f>IF(B845="","",VLOOKUP(B845,'TB for financial'!A:B,2,0))</f>
        <v/>
      </c>
      <c r="D845" s="317"/>
      <c r="E845" s="318"/>
      <c r="F845" s="319"/>
      <c r="G845" s="320"/>
      <c r="H845" s="321"/>
      <c r="I845" s="322"/>
      <c r="J845" s="323"/>
    </row>
    <row r="846" spans="1:10" ht="15" customHeight="1">
      <c r="A846" s="315" t="str">
        <f>IF(B846="","",IF(B845="",SUM(COUNT($A$5:A845)+1),""))</f>
        <v/>
      </c>
      <c r="C846" s="316" t="str">
        <f>IF(B846="","",VLOOKUP(B846,'TB for financial'!A:B,2,0))</f>
        <v/>
      </c>
      <c r="D846" s="317"/>
      <c r="E846" s="318"/>
      <c r="F846" s="319"/>
      <c r="G846" s="320"/>
      <c r="H846" s="321"/>
      <c r="I846" s="330"/>
      <c r="J846" s="323"/>
    </row>
    <row r="847" spans="1:10" ht="15" customHeight="1">
      <c r="A847" s="315"/>
      <c r="C847" s="316" t="str">
        <f>IF(B847="","",VLOOKUP(B847,'TB for financial'!A:B,2,0))</f>
        <v/>
      </c>
      <c r="D847" s="317"/>
      <c r="E847" s="318"/>
      <c r="F847" s="319"/>
      <c r="G847" s="320"/>
      <c r="H847" s="321"/>
      <c r="I847" s="322"/>
      <c r="J847" s="323"/>
    </row>
    <row r="848" spans="1:10" ht="28.5" customHeight="1">
      <c r="A848" s="315"/>
      <c r="C848" s="316" t="str">
        <f>IF(B848="","",VLOOKUP(B848,'TB for financial'!A:B,2,0))</f>
        <v/>
      </c>
      <c r="D848" s="317"/>
      <c r="E848" s="318"/>
      <c r="F848" s="319"/>
      <c r="G848" s="320"/>
      <c r="H848" s="321"/>
      <c r="I848" s="322"/>
      <c r="J848" s="323"/>
    </row>
    <row r="849" spans="1:10" ht="30.75" customHeight="1">
      <c r="A849" s="315"/>
      <c r="C849" s="316" t="str">
        <f>IF(B849="","",VLOOKUP(B849,'TB for financial'!A:B,2,0))</f>
        <v/>
      </c>
      <c r="D849" s="317"/>
      <c r="E849" s="318"/>
      <c r="F849" s="319"/>
      <c r="G849" s="320"/>
      <c r="H849" s="321"/>
      <c r="I849" s="322"/>
      <c r="J849" s="323"/>
    </row>
    <row r="850" spans="1:10" ht="15" customHeight="1">
      <c r="A850" s="315"/>
      <c r="C850" s="316" t="str">
        <f>IF(B850="","",VLOOKUP(B850,'TB for financial'!A:B,2,0))</f>
        <v/>
      </c>
      <c r="D850" s="317"/>
      <c r="E850" s="318"/>
      <c r="F850" s="319"/>
      <c r="G850" s="320"/>
      <c r="H850" s="321"/>
      <c r="I850" s="322"/>
      <c r="J850" s="323"/>
    </row>
    <row r="851" spans="1:10" ht="15" customHeight="1">
      <c r="A851" s="315" t="str">
        <f>IF(B851="","",IF(B846="",SUM(COUNT($A$5:A846)+1),""))</f>
        <v/>
      </c>
      <c r="C851" s="316" t="str">
        <f>IF(B851="","",VLOOKUP(B851,'TB for financial'!A:B,2,0))</f>
        <v/>
      </c>
      <c r="D851" s="317"/>
      <c r="E851" s="318"/>
      <c r="F851" s="331"/>
      <c r="G851" s="320"/>
      <c r="H851" s="321"/>
      <c r="I851" s="322"/>
      <c r="J851" s="323"/>
    </row>
    <row r="852" spans="1:10">
      <c r="A852" s="315" t="str">
        <f>IF(B852="","",IF(B851="",SUM(COUNT($A$5:A851)+1),""))</f>
        <v/>
      </c>
      <c r="B852" s="1215"/>
      <c r="C852" s="316" t="str">
        <f>IF(B852="","",VLOOKUP(B852,'TB for financial'!A:B,2,0))</f>
        <v/>
      </c>
      <c r="D852" s="317"/>
      <c r="E852" s="318"/>
      <c r="F852" s="319"/>
      <c r="G852" s="320"/>
      <c r="H852" s="321"/>
      <c r="I852" s="322"/>
      <c r="J852" s="323"/>
    </row>
    <row r="853" spans="1:10" ht="15" customHeight="1">
      <c r="A853" s="315" t="str">
        <f>IF(B853="","",IF(B852="",SUM(COUNT($A$5:A852)+1),""))</f>
        <v/>
      </c>
      <c r="C853" s="316" t="str">
        <f>IF(B853="","",VLOOKUP(B853,'TB for financial'!A:B,2,0))</f>
        <v/>
      </c>
      <c r="D853" s="317"/>
      <c r="E853" s="318"/>
      <c r="F853" s="319"/>
      <c r="G853" s="320"/>
      <c r="H853" s="321"/>
      <c r="I853" s="322"/>
      <c r="J853" s="323"/>
    </row>
    <row r="854" spans="1:10" ht="15" customHeight="1">
      <c r="A854" s="315" t="str">
        <f>IF(B854="","",IF(B853="",SUM(COUNT($A$5:A853)+1),""))</f>
        <v/>
      </c>
      <c r="C854" s="316" t="str">
        <f>IF(B854="","",VLOOKUP(B854,'TB for financial'!A:B,2,0))</f>
        <v/>
      </c>
      <c r="D854" s="317"/>
      <c r="E854" s="318"/>
      <c r="F854" s="319"/>
      <c r="G854" s="320"/>
      <c r="H854" s="321"/>
      <c r="I854" s="322"/>
      <c r="J854" s="323"/>
    </row>
    <row r="855" spans="1:10">
      <c r="A855" s="315" t="str">
        <f>IF(B855="","",IF(B854="",SUM(COUNT($A$5:A854)+1),""))</f>
        <v/>
      </c>
      <c r="C855" s="316" t="str">
        <f>IF(B855="","",VLOOKUP(B855,'TB for financial'!A:B,2,0))</f>
        <v/>
      </c>
      <c r="D855" s="317"/>
      <c r="E855" s="318"/>
      <c r="F855" s="319"/>
      <c r="G855" s="320"/>
      <c r="H855" s="321"/>
      <c r="I855" s="322"/>
      <c r="J855" s="323"/>
    </row>
    <row r="856" spans="1:10" ht="15" customHeight="1">
      <c r="A856" s="315" t="str">
        <f>IF(B856="","",IF(B855="",SUM(COUNT($A$5:A855)+1),""))</f>
        <v/>
      </c>
      <c r="C856" s="316" t="str">
        <f>IF(B856="","",VLOOKUP(B856,'TB for financial'!A:B,2,0))</f>
        <v/>
      </c>
      <c r="D856" s="317"/>
      <c r="E856" s="318"/>
      <c r="F856" s="319"/>
      <c r="G856" s="320"/>
      <c r="H856" s="321"/>
      <c r="I856" s="322"/>
      <c r="J856" s="323"/>
    </row>
    <row r="857" spans="1:10" ht="15" customHeight="1">
      <c r="A857" s="315" t="str">
        <f>IF(B857="","",IF(B856="",SUM(COUNT($A$5:A856)+1),""))</f>
        <v/>
      </c>
      <c r="C857" s="316" t="str">
        <f>IF(B857="","",VLOOKUP(B857,'TB for financial'!A:B,2,0))</f>
        <v/>
      </c>
      <c r="D857" s="317"/>
      <c r="E857" s="318"/>
      <c r="F857" s="319"/>
      <c r="G857" s="320"/>
      <c r="H857" s="321"/>
      <c r="I857" s="322"/>
      <c r="J857" s="323"/>
    </row>
    <row r="858" spans="1:10" ht="15" customHeight="1">
      <c r="A858" s="315" t="str">
        <f>IF(B858="","",IF(B857="",SUM(COUNT($A$5:A857)+1),""))</f>
        <v/>
      </c>
      <c r="C858" s="316" t="str">
        <f>IF(B858="","",VLOOKUP(B858,'TB for financial'!A:B,2,0))</f>
        <v/>
      </c>
      <c r="D858" s="317"/>
      <c r="E858" s="318"/>
      <c r="F858" s="319"/>
      <c r="G858" s="320"/>
      <c r="H858" s="321"/>
      <c r="I858" s="322"/>
      <c r="J858" s="323"/>
    </row>
    <row r="859" spans="1:10">
      <c r="A859" s="315" t="str">
        <f>IF(B859="","",IF(B858="",SUM(COUNT($A$5:A858)+1),""))</f>
        <v/>
      </c>
      <c r="C859" s="316" t="str">
        <f>IF(B859="","",VLOOKUP(B859,'TB for financial'!A:B,2,0))</f>
        <v/>
      </c>
      <c r="D859" s="317"/>
      <c r="E859" s="318"/>
      <c r="F859" s="319"/>
      <c r="G859" s="320"/>
      <c r="H859" s="321"/>
      <c r="I859" s="322"/>
      <c r="J859" s="323"/>
    </row>
    <row r="860" spans="1:10" ht="15" customHeight="1">
      <c r="A860" s="315" t="str">
        <f>IF(B860="","",IF(B859="",SUM(COUNT($A$5:A859)+1),""))</f>
        <v/>
      </c>
      <c r="C860" s="316" t="str">
        <f>IF(B860="","",VLOOKUP(B860,'TB for financial'!A:B,2,0))</f>
        <v/>
      </c>
      <c r="D860" s="317"/>
      <c r="E860" s="318"/>
      <c r="F860" s="319"/>
      <c r="G860" s="320"/>
      <c r="H860" s="321"/>
      <c r="I860" s="322"/>
      <c r="J860" s="323"/>
    </row>
    <row r="861" spans="1:10">
      <c r="A861" s="315" t="str">
        <f>IF(B861="","",IF(B860="",SUM(COUNT($A$5:A860)+1),""))</f>
        <v/>
      </c>
      <c r="C861" s="316" t="str">
        <f>IF(B861="","",VLOOKUP(B861,'TB for financial'!A:B,2,0))</f>
        <v/>
      </c>
      <c r="D861" s="317"/>
      <c r="E861" s="318"/>
      <c r="F861" s="331"/>
      <c r="G861" s="320"/>
      <c r="H861" s="321"/>
      <c r="I861" s="322"/>
      <c r="J861" s="323"/>
    </row>
    <row r="862" spans="1:10" ht="15" customHeight="1">
      <c r="A862" s="315" t="str">
        <f>IF(B862="","",IF(B861="",SUM(COUNT($A$5:A861)+1),""))</f>
        <v/>
      </c>
      <c r="C862" s="316" t="str">
        <f>IF(B862="","",VLOOKUP(B862,'TB for financial'!A:B,2,0))</f>
        <v/>
      </c>
      <c r="D862" s="317"/>
      <c r="E862" s="318"/>
      <c r="F862" s="319"/>
      <c r="G862" s="320"/>
      <c r="H862" s="321"/>
      <c r="I862" s="322"/>
      <c r="J862" s="323"/>
    </row>
    <row r="863" spans="1:10">
      <c r="A863" s="315" t="str">
        <f>IF(B863="","",IF(B862="",SUM(COUNT($A$5:A862)+1),""))</f>
        <v/>
      </c>
      <c r="C863" s="316" t="str">
        <f>IF(B863="","",VLOOKUP(B863,'TB for financial'!A:B,2,0))</f>
        <v/>
      </c>
      <c r="D863" s="317"/>
      <c r="E863" s="318"/>
      <c r="F863" s="319"/>
      <c r="G863" s="320"/>
      <c r="H863" s="321"/>
      <c r="I863" s="322"/>
      <c r="J863" s="323"/>
    </row>
    <row r="864" spans="1:10" ht="15" customHeight="1">
      <c r="A864" s="315" t="str">
        <f>IF(B864="","",IF(B863="",SUM(COUNT($A$5:A863)+1),""))</f>
        <v/>
      </c>
      <c r="C864" s="316" t="str">
        <f>IF(B864="","",VLOOKUP(B864,'TB for financial'!A:B,2,0))</f>
        <v/>
      </c>
      <c r="D864" s="317"/>
      <c r="E864" s="318"/>
      <c r="F864" s="319"/>
      <c r="G864" s="320"/>
      <c r="H864" s="321"/>
      <c r="I864" s="322"/>
      <c r="J864" s="323"/>
    </row>
    <row r="865" spans="1:10">
      <c r="A865" s="315" t="str">
        <f>IF(B865="","",IF(B864="",SUM(COUNT($A$5:A864)+1),""))</f>
        <v/>
      </c>
      <c r="C865" s="316" t="str">
        <f>IF(B865="","",VLOOKUP(B865,'TB for financial'!A:B,2,0))</f>
        <v/>
      </c>
      <c r="D865" s="317"/>
      <c r="E865" s="318"/>
      <c r="F865" s="319"/>
      <c r="G865" s="320"/>
      <c r="H865" s="321"/>
      <c r="I865" s="322"/>
      <c r="J865" s="323"/>
    </row>
    <row r="866" spans="1:10">
      <c r="A866" s="315" t="str">
        <f>IF(B866="","",IF(B865="",SUM(COUNT($A$5:A865)+1),""))</f>
        <v/>
      </c>
      <c r="C866" s="316" t="str">
        <f>IF(B866="","",VLOOKUP(B866,'TB for financial'!A:B,2,0))</f>
        <v/>
      </c>
      <c r="D866" s="317"/>
      <c r="E866" s="318"/>
      <c r="F866" s="319"/>
      <c r="G866" s="320"/>
      <c r="H866" s="321"/>
      <c r="I866" s="322"/>
      <c r="J866" s="323"/>
    </row>
    <row r="867" spans="1:10">
      <c r="A867" s="315" t="str">
        <f>IF(B867="","",IF(B866="",SUM(COUNT($A$5:A866)+1),""))</f>
        <v/>
      </c>
      <c r="C867" s="316" t="str">
        <f>IF(B867="","",VLOOKUP(B867,'TB for financial'!A:B,2,0))</f>
        <v/>
      </c>
      <c r="D867" s="317"/>
      <c r="E867" s="318"/>
      <c r="F867" s="319"/>
      <c r="G867" s="320"/>
      <c r="H867" s="321"/>
      <c r="I867" s="322"/>
      <c r="J867" s="323"/>
    </row>
    <row r="868" spans="1:10">
      <c r="A868" s="315" t="str">
        <f>IF(B868="","",IF(B867="",SUM(COUNT($A$5:A867)+1),""))</f>
        <v/>
      </c>
      <c r="C868" s="316" t="str">
        <f>IF(B868="","",VLOOKUP(B868,'TB for financial'!A:B,2,0))</f>
        <v/>
      </c>
      <c r="D868" s="317"/>
      <c r="E868" s="318"/>
      <c r="F868" s="319"/>
      <c r="G868" s="320"/>
      <c r="H868" s="321"/>
      <c r="I868" s="322"/>
      <c r="J868" s="323"/>
    </row>
    <row r="869" spans="1:10">
      <c r="A869" s="315" t="str">
        <f>IF(B869="","",IF(B868="",SUM(COUNT($A$5:A868)+1),""))</f>
        <v/>
      </c>
      <c r="C869" s="316" t="str">
        <f>IF(B869="","",VLOOKUP(B869,'TB for financial'!A:B,2,0))</f>
        <v/>
      </c>
      <c r="D869" s="317"/>
      <c r="E869" s="318"/>
      <c r="F869" s="319"/>
      <c r="G869" s="320"/>
      <c r="H869" s="321"/>
      <c r="I869" s="322"/>
      <c r="J869" s="323"/>
    </row>
    <row r="870" spans="1:10">
      <c r="A870" s="315" t="str">
        <f>IF(B870="","",IF(B869="",SUM(COUNT($A$5:A869)+1),""))</f>
        <v/>
      </c>
      <c r="C870" s="316" t="str">
        <f>IF(B870="","",VLOOKUP(B870,'TB for financial'!A:B,2,0))</f>
        <v/>
      </c>
      <c r="D870" s="317"/>
      <c r="E870" s="318"/>
      <c r="F870" s="319"/>
      <c r="G870" s="320"/>
      <c r="H870" s="321"/>
      <c r="I870" s="322"/>
      <c r="J870" s="323"/>
    </row>
    <row r="871" spans="1:10">
      <c r="A871" s="315" t="str">
        <f>IF(B871="","",IF(B870="",SUM(COUNT($A$5:A870)+1),""))</f>
        <v/>
      </c>
      <c r="C871" s="316" t="str">
        <f>IF(B871="","",VLOOKUP(B871,'TB for financial'!A:B,2,0))</f>
        <v/>
      </c>
      <c r="D871" s="317"/>
      <c r="E871" s="318"/>
      <c r="F871" s="319"/>
      <c r="G871" s="320"/>
      <c r="H871" s="321"/>
      <c r="I871" s="322"/>
      <c r="J871" s="323"/>
    </row>
    <row r="872" spans="1:10" ht="15" customHeight="1">
      <c r="A872" s="315" t="str">
        <f>IF(B872="","",IF(B871="",SUM(COUNT($A$5:A871)+1),""))</f>
        <v/>
      </c>
      <c r="C872" s="316" t="str">
        <f>IF(B872="","",VLOOKUP(B872,'TB for financial'!A:B,2,0))</f>
        <v/>
      </c>
      <c r="D872" s="317"/>
      <c r="E872" s="318"/>
      <c r="F872" s="331"/>
      <c r="G872" s="320"/>
      <c r="H872" s="321"/>
      <c r="I872" s="322"/>
      <c r="J872" s="323"/>
    </row>
    <row r="873" spans="1:10" ht="15" customHeight="1">
      <c r="A873" s="315" t="str">
        <f>IF(B873="","",IF(B872="",SUM(COUNT($A$5:A872)+1),""))</f>
        <v/>
      </c>
      <c r="C873" s="316" t="str">
        <f>IF(B873="","",VLOOKUP(B873,'TB for financial'!A:B,2,0))</f>
        <v/>
      </c>
      <c r="D873" s="317"/>
      <c r="E873" s="318"/>
      <c r="F873" s="331"/>
      <c r="G873" s="320"/>
      <c r="H873" s="321"/>
      <c r="I873" s="322"/>
      <c r="J873" s="323"/>
    </row>
    <row r="874" spans="1:10" ht="15" customHeight="1">
      <c r="A874" s="315" t="str">
        <f>IF(B874="","",IF(B873="",SUM(COUNT($A$5:A873)+1),""))</f>
        <v/>
      </c>
      <c r="C874" s="316" t="str">
        <f>IF(B874="","",VLOOKUP(B874,'TB for financial'!A:B,2,0))</f>
        <v/>
      </c>
      <c r="D874" s="317"/>
      <c r="E874" s="318"/>
      <c r="F874" s="331"/>
      <c r="G874" s="320"/>
      <c r="H874" s="321"/>
      <c r="I874" s="322"/>
      <c r="J874" s="323"/>
    </row>
    <row r="875" spans="1:10">
      <c r="A875" s="315" t="str">
        <f>IF(B875="","",IF(B874="",SUM(COUNT($A$5:A874)+1),""))</f>
        <v/>
      </c>
      <c r="C875" s="316" t="str">
        <f>IF(B875="","",VLOOKUP(B875,'TB for financial'!A:B,2,0))</f>
        <v/>
      </c>
      <c r="D875" s="317"/>
      <c r="E875" s="318"/>
      <c r="F875" s="331"/>
      <c r="G875" s="320"/>
      <c r="H875" s="321"/>
      <c r="I875" s="322"/>
      <c r="J875" s="323"/>
    </row>
    <row r="876" spans="1:10" ht="15" customHeight="1">
      <c r="A876" s="315" t="str">
        <f>IF(B876="","",IF(B875="",SUM(COUNT($A$5:A875)+1),""))</f>
        <v/>
      </c>
      <c r="C876" s="316" t="str">
        <f>IF(B876="","",VLOOKUP(B876,'TB for financial'!A:B,2,0))</f>
        <v/>
      </c>
      <c r="D876" s="317"/>
      <c r="E876" s="318"/>
      <c r="F876" s="331"/>
      <c r="G876" s="320"/>
      <c r="H876" s="321"/>
      <c r="I876" s="322"/>
      <c r="J876" s="323"/>
    </row>
    <row r="877" spans="1:10" ht="15" customHeight="1">
      <c r="A877" s="315" t="str">
        <f>IF(B877="","",IF(B876="",SUM(COUNT($A$5:A876)+1),""))</f>
        <v/>
      </c>
      <c r="C877" s="316" t="str">
        <f>IF(B877="","",VLOOKUP(B877,'TB for financial'!A:B,2,0))</f>
        <v/>
      </c>
      <c r="D877" s="317"/>
      <c r="E877" s="318"/>
      <c r="F877" s="331"/>
      <c r="G877" s="320"/>
      <c r="H877" s="321"/>
      <c r="I877" s="322"/>
      <c r="J877" s="323"/>
    </row>
    <row r="878" spans="1:10" ht="15" customHeight="1">
      <c r="A878" s="315" t="str">
        <f>IF(B878="","",IF(B877="",SUM(COUNT($A$5:A877)+1),""))</f>
        <v/>
      </c>
      <c r="C878" s="316" t="str">
        <f>IF(B878="","",VLOOKUP(B878,'TB for financial'!A:B,2,0))</f>
        <v/>
      </c>
      <c r="D878" s="317"/>
      <c r="E878" s="318"/>
      <c r="F878" s="331"/>
      <c r="G878" s="320"/>
      <c r="H878" s="321"/>
      <c r="I878" s="322"/>
      <c r="J878" s="323"/>
    </row>
    <row r="879" spans="1:10">
      <c r="A879" s="315" t="str">
        <f>IF(B879="","",IF(B878="",SUM(COUNT($A$5:A878)+1),""))</f>
        <v/>
      </c>
      <c r="C879" s="316" t="str">
        <f>IF(B879="","",VLOOKUP(B879,'TB for financial'!A:B,2,0))</f>
        <v/>
      </c>
      <c r="D879" s="317"/>
      <c r="E879" s="318"/>
      <c r="F879" s="331"/>
      <c r="G879" s="320"/>
      <c r="H879" s="321"/>
      <c r="I879" s="322"/>
      <c r="J879" s="323"/>
    </row>
    <row r="880" spans="1:10" ht="15" customHeight="1">
      <c r="A880" s="315" t="str">
        <f>IF(B880="","",IF(B879="",SUM(COUNT($A$5:A879)+1),""))</f>
        <v/>
      </c>
      <c r="C880" s="316" t="str">
        <f>IF(B880="","",VLOOKUP(B880,'TB for financial'!A:B,2,0))</f>
        <v/>
      </c>
      <c r="D880" s="317"/>
      <c r="E880" s="318"/>
      <c r="F880" s="331"/>
      <c r="G880" s="320"/>
      <c r="H880" s="321"/>
      <c r="I880" s="322"/>
      <c r="J880" s="323"/>
    </row>
    <row r="881" spans="1:10" ht="15" customHeight="1">
      <c r="A881" s="315" t="str">
        <f>IF(B881="","",IF(B880="",SUM(COUNT($A$5:A880)+1),""))</f>
        <v/>
      </c>
      <c r="C881" s="316" t="str">
        <f>IF(B881="","",VLOOKUP(B881,'TB for financial'!A:B,2,0))</f>
        <v/>
      </c>
      <c r="D881" s="317"/>
      <c r="E881" s="318"/>
      <c r="F881" s="319"/>
      <c r="G881" s="320"/>
      <c r="H881" s="321"/>
      <c r="I881" s="332"/>
      <c r="J881" s="323"/>
    </row>
    <row r="882" spans="1:10" ht="15" customHeight="1">
      <c r="A882" s="315" t="str">
        <f>IF(B882="","",IF(B881="",SUM(COUNT($A$5:A881)+1),""))</f>
        <v/>
      </c>
      <c r="C882" s="316" t="str">
        <f>IF(B882="","",VLOOKUP(B882,'TB for financial'!A:B,2,0))</f>
        <v/>
      </c>
      <c r="D882" s="317"/>
      <c r="E882" s="318"/>
      <c r="F882" s="319"/>
      <c r="G882" s="320"/>
      <c r="H882" s="321"/>
      <c r="I882" s="332"/>
      <c r="J882" s="323"/>
    </row>
    <row r="883" spans="1:10" ht="15" customHeight="1">
      <c r="A883" s="315" t="str">
        <f>IF(B883="","",IF(B882="",SUM(COUNT($A$5:A882)+1),""))</f>
        <v/>
      </c>
      <c r="C883" s="316" t="str">
        <f>IF(B883="","",VLOOKUP(B883,'TB for financial'!A:B,2,0))</f>
        <v/>
      </c>
      <c r="D883" s="317"/>
      <c r="E883" s="318"/>
      <c r="F883" s="319"/>
      <c r="G883" s="320"/>
      <c r="H883" s="321"/>
      <c r="I883" s="322"/>
      <c r="J883" s="323"/>
    </row>
    <row r="884" spans="1:10" ht="15" customHeight="1">
      <c r="A884" s="315" t="str">
        <f>IF(B884="","",IF(B883="",SUM(COUNT($A$5:A883)+1),""))</f>
        <v/>
      </c>
      <c r="C884" s="316" t="str">
        <f>IF(B884="","",VLOOKUP(B884,'TB for financial'!A:B,2,0))</f>
        <v/>
      </c>
      <c r="D884" s="317"/>
      <c r="E884" s="318"/>
      <c r="F884" s="331"/>
      <c r="G884" s="320"/>
      <c r="H884" s="321"/>
      <c r="I884" s="322"/>
      <c r="J884" s="323"/>
    </row>
    <row r="885" spans="1:10">
      <c r="A885" s="315"/>
      <c r="C885" s="316" t="str">
        <f>IF(B885="","",VLOOKUP(B885,'TB for financial'!A:B,2,0))</f>
        <v/>
      </c>
      <c r="D885" s="317"/>
      <c r="E885" s="318"/>
      <c r="F885" s="331"/>
      <c r="G885" s="320"/>
      <c r="H885" s="321"/>
      <c r="I885" s="322"/>
      <c r="J885" s="323"/>
    </row>
    <row r="886" spans="1:10" ht="15" customHeight="1">
      <c r="A886" s="315"/>
      <c r="C886" s="316" t="str">
        <f>IF(B886="","",VLOOKUP(B886,'TB for financial'!A:B,2,0))</f>
        <v/>
      </c>
      <c r="D886" s="317"/>
      <c r="E886" s="318"/>
      <c r="F886" s="331"/>
      <c r="G886" s="320"/>
      <c r="H886" s="321"/>
      <c r="I886" s="322"/>
      <c r="J886" s="323"/>
    </row>
    <row r="887" spans="1:10">
      <c r="A887" s="315" t="str">
        <f>IF(B887="","",IF(B884="",SUM(COUNT($A$5:A884)+1),""))</f>
        <v/>
      </c>
      <c r="C887" s="316" t="str">
        <f>IF(B887="","",VLOOKUP(B887,'TB for financial'!A:B,2,0))</f>
        <v/>
      </c>
      <c r="D887" s="317"/>
      <c r="E887" s="318"/>
      <c r="F887" s="319"/>
      <c r="G887" s="320"/>
      <c r="H887" s="321"/>
      <c r="I887" s="322"/>
      <c r="J887" s="323"/>
    </row>
    <row r="888" spans="1:10">
      <c r="A888" s="315" t="str">
        <f>IF(B888="","",IF(B887="",SUM(COUNT($A$5:A887)+1),""))</f>
        <v/>
      </c>
      <c r="C888" s="316" t="str">
        <f>IF(B888="","",VLOOKUP(B888,'TB for financial'!A:B,2,0))</f>
        <v/>
      </c>
      <c r="D888" s="317"/>
      <c r="E888" s="318"/>
      <c r="F888" s="319"/>
      <c r="G888" s="320"/>
      <c r="H888" s="321"/>
      <c r="I888" s="322"/>
      <c r="J888" s="323"/>
    </row>
    <row r="889" spans="1:10" ht="15" customHeight="1">
      <c r="A889" s="315" t="str">
        <f>IF(B889="","",IF(B888="",SUM(COUNT($A$5:A888)+1),""))</f>
        <v/>
      </c>
      <c r="C889" s="316" t="str">
        <f>IF(B889="","",VLOOKUP(B889,'TB for financial'!A:B,2,0))</f>
        <v/>
      </c>
      <c r="D889" s="317"/>
      <c r="E889" s="318"/>
      <c r="F889" s="319"/>
      <c r="G889" s="320"/>
      <c r="H889" s="321"/>
      <c r="I889" s="322"/>
      <c r="J889" s="323"/>
    </row>
    <row r="890" spans="1:10" ht="15" customHeight="1">
      <c r="A890" s="315" t="str">
        <f>IF(B890="","",IF(B889="",SUM(COUNT($A$5:A889)+1),""))</f>
        <v/>
      </c>
      <c r="C890" s="316" t="str">
        <f>IF(B890="","",VLOOKUP(B890,'TB for financial'!A:B,2,0))</f>
        <v/>
      </c>
      <c r="D890" s="317"/>
      <c r="E890" s="318"/>
      <c r="F890" s="331"/>
      <c r="G890" s="320"/>
      <c r="H890" s="321"/>
      <c r="I890" s="322"/>
      <c r="J890" s="323"/>
    </row>
    <row r="891" spans="1:10" ht="15" customHeight="1">
      <c r="A891" s="315" t="str">
        <f>IF(B891="","",IF(B890="",SUM(COUNT($A$5:A890)+1),""))</f>
        <v/>
      </c>
      <c r="C891" s="316" t="str">
        <f>IF(B891="","",VLOOKUP(B891,'TB for financial'!A:B,2,0))</f>
        <v/>
      </c>
      <c r="D891" s="317"/>
      <c r="E891" s="318"/>
      <c r="F891" s="319"/>
      <c r="G891" s="320"/>
      <c r="H891" s="321"/>
      <c r="I891" s="322"/>
      <c r="J891" s="323"/>
    </row>
    <row r="892" spans="1:10">
      <c r="A892" s="315" t="str">
        <f>IF(B892="","",IF(B891="",SUM(COUNT($A$5:A891)+1),""))</f>
        <v/>
      </c>
      <c r="C892" s="316" t="str">
        <f>IF(B892="","",VLOOKUP(B892,'TB for financial'!A:B,2,0))</f>
        <v/>
      </c>
      <c r="D892" s="317"/>
      <c r="E892" s="318"/>
      <c r="F892" s="319"/>
      <c r="G892" s="320"/>
      <c r="H892" s="321"/>
      <c r="I892" s="322"/>
      <c r="J892" s="323"/>
    </row>
    <row r="893" spans="1:10">
      <c r="A893" s="315" t="str">
        <f>IF(B893="","",IF(B892="",SUM(COUNT($A$5:A892)+1),""))</f>
        <v/>
      </c>
      <c r="C893" s="316" t="str">
        <f>IF(B893="","",VLOOKUP(B893,'TB for financial'!A:B,2,0))</f>
        <v/>
      </c>
      <c r="D893" s="317"/>
      <c r="E893" s="318"/>
      <c r="F893" s="319"/>
      <c r="G893" s="320"/>
      <c r="H893" s="321"/>
      <c r="I893" s="322"/>
      <c r="J893" s="323"/>
    </row>
    <row r="894" spans="1:10" ht="15" customHeight="1">
      <c r="A894" s="315" t="str">
        <f>IF(B894="","",IF(B893="",SUM(COUNT($A$5:A893)+1),""))</f>
        <v/>
      </c>
      <c r="C894" s="316" t="str">
        <f>IF(B894="","",VLOOKUP(B894,'TB for financial'!A:B,2,0))</f>
        <v/>
      </c>
      <c r="D894" s="317"/>
      <c r="E894" s="318"/>
      <c r="F894" s="331"/>
      <c r="G894" s="320"/>
      <c r="H894" s="321"/>
      <c r="I894" s="322"/>
      <c r="J894" s="323"/>
    </row>
    <row r="895" spans="1:10" ht="15" customHeight="1">
      <c r="A895" s="315" t="str">
        <f>IF(B895="","",IF(B894="",SUM(COUNT($A$5:A894)+1),""))</f>
        <v/>
      </c>
      <c r="C895" s="316" t="str">
        <f>IF(B895="","",VLOOKUP(B895,'TB for financial'!A:B,2,0))</f>
        <v/>
      </c>
      <c r="D895" s="317"/>
      <c r="E895" s="318"/>
      <c r="F895" s="319"/>
      <c r="G895" s="320"/>
      <c r="H895" s="321"/>
      <c r="I895" s="322"/>
      <c r="J895" s="323"/>
    </row>
    <row r="896" spans="1:10" ht="37.5" customHeight="1">
      <c r="A896" s="315" t="str">
        <f>IF(B896="","",IF(B895="",SUM(COUNT($A$5:A895)+1),""))</f>
        <v/>
      </c>
      <c r="C896" s="316" t="str">
        <f>IF(B896="","",VLOOKUP(B896,'TB for financial'!A:B,2,0))</f>
        <v/>
      </c>
      <c r="D896" s="317"/>
      <c r="E896" s="318"/>
      <c r="F896" s="319"/>
      <c r="G896" s="320"/>
      <c r="H896" s="321"/>
      <c r="I896" s="322"/>
      <c r="J896" s="323"/>
    </row>
    <row r="897" spans="1:10" ht="15" customHeight="1">
      <c r="A897" s="315" t="str">
        <f>IF(B897="","",IF(B896="",SUM(COUNT($A$5:A896)+1),""))</f>
        <v/>
      </c>
      <c r="C897" s="316" t="str">
        <f>IF(B897="","",VLOOKUP(B897,'TB for financial'!A:B,2,0))</f>
        <v/>
      </c>
      <c r="D897" s="317"/>
      <c r="E897" s="318"/>
      <c r="F897" s="319"/>
      <c r="G897" s="320"/>
      <c r="H897" s="321"/>
      <c r="I897" s="322"/>
      <c r="J897" s="323"/>
    </row>
    <row r="898" spans="1:10" ht="15" customHeight="1">
      <c r="A898" s="315" t="str">
        <f>IF(B898="","",IF(B897="",SUM(COUNT($A$5:A897)+1),""))</f>
        <v/>
      </c>
      <c r="C898" s="316" t="str">
        <f>IF(B898="","",VLOOKUP(B898,'TB for financial'!A:B,2,0))</f>
        <v/>
      </c>
      <c r="D898" s="317"/>
      <c r="E898" s="318"/>
      <c r="F898" s="319"/>
      <c r="G898" s="320"/>
      <c r="H898" s="321"/>
      <c r="I898" s="322"/>
      <c r="J898" s="323"/>
    </row>
    <row r="899" spans="1:10" ht="30.75" customHeight="1">
      <c r="A899" s="315" t="str">
        <f>IF(B899="","",IF(B898="",SUM(COUNT($A$5:A898)+1),""))</f>
        <v/>
      </c>
      <c r="C899" s="316" t="str">
        <f>IF(B899="","",VLOOKUP(B899,'TB for financial'!A:B,2,0))</f>
        <v/>
      </c>
      <c r="D899" s="317"/>
      <c r="E899" s="318"/>
      <c r="F899" s="331"/>
      <c r="G899" s="320"/>
      <c r="H899" s="321"/>
      <c r="I899" s="328"/>
      <c r="J899" s="323"/>
    </row>
    <row r="900" spans="1:10">
      <c r="A900" s="315"/>
      <c r="C900" s="316" t="str">
        <f>IF(B900="","",VLOOKUP(B900,'TB for financial'!A:B,2,0))</f>
        <v/>
      </c>
      <c r="D900" s="317"/>
      <c r="E900" s="318"/>
      <c r="F900" s="331"/>
      <c r="G900" s="320"/>
      <c r="H900" s="321"/>
      <c r="I900" s="328"/>
      <c r="J900" s="323"/>
    </row>
    <row r="901" spans="1:10" ht="15" customHeight="1">
      <c r="A901" s="315" t="str">
        <f>IF(B901="","",IF(B899="",SUM(COUNT($A$5:A899)+1),""))</f>
        <v/>
      </c>
      <c r="C901" s="316" t="str">
        <f>IF(B901="","",VLOOKUP(B901,'TB for financial'!A:B,2,0))</f>
        <v/>
      </c>
      <c r="D901" s="317"/>
      <c r="E901" s="318"/>
      <c r="F901" s="319"/>
      <c r="G901" s="320"/>
      <c r="H901" s="321"/>
      <c r="I901" s="322"/>
      <c r="J901" s="323"/>
    </row>
    <row r="902" spans="1:10" ht="15" customHeight="1">
      <c r="A902" s="315"/>
      <c r="C902" s="316" t="str">
        <f>IF(B902="","",VLOOKUP(B902,'TB for financial'!A:B,2,0))</f>
        <v/>
      </c>
      <c r="D902" s="317"/>
      <c r="E902" s="318"/>
      <c r="F902" s="319"/>
      <c r="G902" s="320"/>
      <c r="H902" s="321"/>
      <c r="I902" s="322"/>
      <c r="J902" s="323"/>
    </row>
    <row r="903" spans="1:10" ht="15" customHeight="1">
      <c r="A903" s="315" t="str">
        <f>IF(B903="","",IF(B901="",SUM(COUNT($A$5:A901)+1),""))</f>
        <v/>
      </c>
      <c r="C903" s="316" t="str">
        <f>IF(B903="","",VLOOKUP(B903,'TB for financial'!A:B,2,0))</f>
        <v/>
      </c>
      <c r="D903" s="317"/>
      <c r="E903" s="318"/>
      <c r="F903" s="319"/>
      <c r="G903" s="320"/>
      <c r="H903" s="321"/>
      <c r="I903" s="322"/>
      <c r="J903" s="323"/>
    </row>
    <row r="904" spans="1:10" ht="15" customHeight="1">
      <c r="A904" s="315" t="str">
        <f>IF(B904="","",IF(B903="",SUM(COUNT($A$5:A903)+1),""))</f>
        <v/>
      </c>
      <c r="C904" s="316" t="str">
        <f>IF(B904="","",VLOOKUP(B904,'TB for financial'!A:B,2,0))</f>
        <v/>
      </c>
      <c r="D904" s="317"/>
      <c r="E904" s="318"/>
      <c r="F904" s="319"/>
      <c r="G904" s="320"/>
      <c r="H904" s="321"/>
      <c r="I904" s="322"/>
      <c r="J904" s="323"/>
    </row>
    <row r="905" spans="1:10" ht="15" customHeight="1">
      <c r="A905" s="315" t="str">
        <f>IF(B905="","",IF(B904="",SUM(COUNT($A$5:A904)+1),""))</f>
        <v/>
      </c>
      <c r="C905" s="316" t="str">
        <f>IF(B905="","",VLOOKUP(B905,'TB for financial'!A:B,2,0))</f>
        <v/>
      </c>
      <c r="D905" s="317"/>
      <c r="E905" s="318"/>
      <c r="F905" s="331"/>
      <c r="G905" s="320"/>
      <c r="H905" s="321"/>
      <c r="I905" s="328"/>
      <c r="J905" s="323"/>
    </row>
    <row r="906" spans="1:10" ht="15" customHeight="1">
      <c r="A906" s="315" t="str">
        <f>IF(B906="","",IF(B905="",SUM(COUNT($A$5:A905)+1),""))</f>
        <v/>
      </c>
      <c r="C906" s="316" t="str">
        <f>IF(B906="","",VLOOKUP(B906,'TB for financial'!A:B,2,0))</f>
        <v/>
      </c>
      <c r="D906" s="317"/>
      <c r="E906" s="318"/>
      <c r="F906" s="319"/>
      <c r="G906" s="320"/>
      <c r="H906" s="321"/>
      <c r="I906" s="322"/>
      <c r="J906" s="323"/>
    </row>
    <row r="907" spans="1:10" ht="15" customHeight="1">
      <c r="A907" s="315" t="str">
        <f>IF(B907="","",IF(B906="",SUM(COUNT($A$5:A906)+1),""))</f>
        <v/>
      </c>
      <c r="C907" s="316" t="str">
        <f>IF(B907="","",VLOOKUP(B907,'TB for financial'!A:B,2,0))</f>
        <v/>
      </c>
      <c r="D907" s="317"/>
      <c r="E907" s="318"/>
      <c r="F907" s="319"/>
      <c r="G907" s="320"/>
      <c r="H907" s="321"/>
      <c r="I907" s="322"/>
      <c r="J907" s="323"/>
    </row>
    <row r="908" spans="1:10" ht="15" customHeight="1">
      <c r="A908" s="315" t="str">
        <f>IF(B908="","",IF(B907="",SUM(COUNT($A$5:A907)+1),""))</f>
        <v/>
      </c>
      <c r="C908" s="316" t="str">
        <f>IF(B908="","",VLOOKUP(B908,'TB for financial'!A:B,2,0))</f>
        <v/>
      </c>
      <c r="D908" s="317"/>
      <c r="E908" s="318"/>
      <c r="F908" s="319"/>
      <c r="G908" s="320"/>
      <c r="H908" s="321"/>
      <c r="I908" s="322"/>
      <c r="J908" s="323"/>
    </row>
    <row r="909" spans="1:10" ht="15" customHeight="1">
      <c r="A909" s="315" t="str">
        <f>IF(B909="","",IF(B908="",SUM(COUNT($A$5:A908)+1),""))</f>
        <v/>
      </c>
      <c r="C909" s="316" t="str">
        <f>IF(B909="","",VLOOKUP(B909,'TB for financial'!A:B,2,0))</f>
        <v/>
      </c>
      <c r="D909" s="317"/>
      <c r="E909" s="318"/>
      <c r="F909" s="331"/>
      <c r="G909" s="320"/>
      <c r="H909" s="321"/>
      <c r="I909" s="328"/>
      <c r="J909" s="323"/>
    </row>
    <row r="910" spans="1:10" ht="15" customHeight="1">
      <c r="A910" s="315" t="str">
        <f>IF(B910="","",IF(B909="",SUM(COUNT($A$5:A909)+1),""))</f>
        <v/>
      </c>
      <c r="C910" s="316" t="str">
        <f>IF(B910="","",VLOOKUP(B910,'TB for financial'!A:B,2,0))</f>
        <v/>
      </c>
      <c r="D910" s="317"/>
      <c r="E910" s="318"/>
      <c r="F910" s="319"/>
      <c r="G910" s="320"/>
      <c r="H910" s="321"/>
      <c r="I910" s="322"/>
      <c r="J910" s="323"/>
    </row>
    <row r="911" spans="1:10" ht="15" customHeight="1">
      <c r="A911" s="315" t="str">
        <f>IF(B911="","",IF(B910="",SUM(COUNT($A$5:A910)+1),""))</f>
        <v/>
      </c>
      <c r="C911" s="316" t="str">
        <f>IF(B911="","",VLOOKUP(B911,'TB for financial'!A:B,2,0))</f>
        <v/>
      </c>
      <c r="D911" s="317"/>
      <c r="E911" s="318"/>
      <c r="F911" s="319"/>
      <c r="G911" s="320"/>
      <c r="H911" s="321"/>
      <c r="I911" s="322"/>
      <c r="J911" s="323"/>
    </row>
    <row r="912" spans="1:10">
      <c r="A912" s="315" t="str">
        <f>IF(B912="","",IF(B911="",SUM(COUNT($A$5:A911)+1),""))</f>
        <v/>
      </c>
      <c r="C912" s="316" t="str">
        <f>IF(B912="","",VLOOKUP(B912,'TB for financial'!A:B,2,0))</f>
        <v/>
      </c>
      <c r="D912" s="317"/>
      <c r="E912" s="318"/>
      <c r="F912" s="319"/>
      <c r="G912" s="320"/>
      <c r="H912" s="321"/>
      <c r="I912" s="322"/>
      <c r="J912" s="323"/>
    </row>
    <row r="913" spans="1:10" ht="15" customHeight="1">
      <c r="A913" s="315" t="str">
        <f>IF(B913="","",IF(B912="",SUM(COUNT($A$5:A912)+1),""))</f>
        <v/>
      </c>
      <c r="C913" s="316" t="str">
        <f>IF(B913="","",VLOOKUP(B913,'TB for financial'!A:B,2,0))</f>
        <v/>
      </c>
      <c r="D913" s="317"/>
      <c r="E913" s="318"/>
      <c r="F913" s="331"/>
      <c r="G913" s="320"/>
      <c r="H913" s="321"/>
      <c r="I913" s="328"/>
      <c r="J913" s="323"/>
    </row>
    <row r="914" spans="1:10" ht="15" customHeight="1">
      <c r="A914" s="315" t="str">
        <f>IF(B914="","",IF(B913="",SUM(COUNT($A$5:A913)+1),""))</f>
        <v/>
      </c>
      <c r="C914" s="316" t="str">
        <f>IF(B914="","",VLOOKUP(B914,'TB for financial'!A:B,2,0))</f>
        <v/>
      </c>
      <c r="D914" s="317"/>
      <c r="E914" s="318"/>
      <c r="F914" s="319"/>
      <c r="G914" s="320"/>
      <c r="H914" s="321"/>
      <c r="I914" s="322"/>
      <c r="J914" s="323"/>
    </row>
    <row r="915" spans="1:10" ht="15" customHeight="1">
      <c r="A915" s="315" t="str">
        <f>IF(B915="","",IF(B914="",SUM(COUNT($A$5:A914)+1),""))</f>
        <v/>
      </c>
      <c r="C915" s="316" t="str">
        <f>IF(B915="","",VLOOKUP(B915,'TB for financial'!A:B,2,0))</f>
        <v/>
      </c>
      <c r="D915" s="317"/>
      <c r="E915" s="318"/>
      <c r="F915" s="319"/>
      <c r="G915" s="320"/>
      <c r="H915" s="321"/>
      <c r="I915" s="322"/>
      <c r="J915" s="323"/>
    </row>
    <row r="916" spans="1:10" ht="15" customHeight="1">
      <c r="A916" s="315" t="str">
        <f>IF(B916="","",IF(B915="",SUM(COUNT($A$5:A915)+1),""))</f>
        <v/>
      </c>
      <c r="C916" s="316" t="str">
        <f>IF(B916="","",VLOOKUP(B916,'TB for financial'!A:B,2,0))</f>
        <v/>
      </c>
      <c r="D916" s="317"/>
      <c r="E916" s="318"/>
      <c r="F916" s="331"/>
      <c r="G916" s="320"/>
      <c r="H916" s="321"/>
      <c r="I916" s="322"/>
      <c r="J916" s="323"/>
    </row>
    <row r="917" spans="1:10" ht="15" customHeight="1">
      <c r="A917" s="315" t="str">
        <f>IF(B917="","",IF(B916="",SUM(COUNT($A$5:A916)+1),""))</f>
        <v/>
      </c>
      <c r="C917" s="316" t="str">
        <f>IF(B917="","",VLOOKUP(B917,'TB for financial'!A:B,2,0))</f>
        <v/>
      </c>
      <c r="D917" s="317"/>
      <c r="E917" s="318"/>
      <c r="F917" s="319"/>
      <c r="G917" s="320"/>
      <c r="H917" s="321"/>
      <c r="I917" s="322"/>
      <c r="J917" s="323"/>
    </row>
    <row r="918" spans="1:10" ht="30.75" customHeight="1">
      <c r="A918" s="315" t="str">
        <f>IF(B918="","",IF(B917="",SUM(COUNT($A$5:A917)+1),""))</f>
        <v/>
      </c>
      <c r="C918" s="316" t="str">
        <f>IF(B918="","",VLOOKUP(B918,'TB for financial'!A:B,2,0))</f>
        <v/>
      </c>
      <c r="D918" s="317"/>
      <c r="E918" s="318"/>
      <c r="F918" s="319"/>
      <c r="G918" s="320"/>
      <c r="H918" s="321"/>
      <c r="I918" s="322"/>
      <c r="J918" s="323"/>
    </row>
    <row r="919" spans="1:10" ht="15" customHeight="1">
      <c r="A919" s="315" t="str">
        <f>IF(B919="","",IF(B918="",SUM(COUNT($A$5:A918)+1),""))</f>
        <v/>
      </c>
      <c r="C919" s="316" t="str">
        <f>IF(B919="","",VLOOKUP(B919,'TB for financial'!A:B,2,0))</f>
        <v/>
      </c>
      <c r="D919" s="317"/>
      <c r="E919" s="318"/>
      <c r="F919" s="319"/>
      <c r="G919" s="320"/>
      <c r="H919" s="321"/>
      <c r="I919" s="322"/>
      <c r="J919" s="323"/>
    </row>
    <row r="920" spans="1:10" ht="15" customHeight="1">
      <c r="A920" s="315" t="str">
        <f>IF(B920="","",IF(B919="",SUM(COUNT($A$5:A919)+1),""))</f>
        <v/>
      </c>
      <c r="C920" s="316" t="str">
        <f>IF(B920="","",VLOOKUP(B920,'TB for financial'!A:B,2,0))</f>
        <v/>
      </c>
      <c r="D920" s="317"/>
      <c r="E920" s="318"/>
      <c r="F920" s="331"/>
      <c r="G920" s="320"/>
      <c r="H920" s="321"/>
      <c r="I920" s="322"/>
      <c r="J920" s="323"/>
    </row>
    <row r="921" spans="1:10" ht="15" customHeight="1">
      <c r="A921" s="315" t="str">
        <f>IF(B921="","",IF(B920="",SUM(COUNT($A$5:A920)+1),""))</f>
        <v/>
      </c>
      <c r="C921" s="316" t="str">
        <f>IF(B921="","",VLOOKUP(B921,'TB for financial'!A:B,2,0))</f>
        <v/>
      </c>
      <c r="D921" s="317"/>
      <c r="E921" s="318"/>
      <c r="F921" s="319"/>
      <c r="G921" s="320"/>
      <c r="H921" s="321"/>
      <c r="I921" s="322"/>
      <c r="J921" s="323"/>
    </row>
    <row r="922" spans="1:10" ht="15" customHeight="1">
      <c r="A922" s="315" t="str">
        <f>IF(B922="","",IF(B921="",SUM(COUNT($A$5:A921)+1),""))</f>
        <v/>
      </c>
      <c r="C922" s="316" t="str">
        <f>IF(B922="","",VLOOKUP(B922,'TB for financial'!A:B,2,0))</f>
        <v/>
      </c>
      <c r="D922" s="317"/>
      <c r="E922" s="318"/>
      <c r="F922" s="319"/>
      <c r="G922" s="320"/>
      <c r="H922" s="321"/>
      <c r="I922" s="322"/>
      <c r="J922" s="323"/>
    </row>
    <row r="923" spans="1:10" ht="15" customHeight="1">
      <c r="A923" s="315" t="str">
        <f>IF(B923="","",IF(B922="",SUM(COUNT($A$5:A922)+1),""))</f>
        <v/>
      </c>
      <c r="C923" s="316" t="str">
        <f>IF(B923="","",VLOOKUP(B923,'TB for financial'!A:B,2,0))</f>
        <v/>
      </c>
      <c r="D923" s="317"/>
      <c r="E923" s="318"/>
      <c r="F923" s="319"/>
      <c r="G923" s="320"/>
      <c r="H923" s="321"/>
      <c r="I923" s="322"/>
      <c r="J923" s="323"/>
    </row>
    <row r="924" spans="1:10" ht="15" customHeight="1">
      <c r="A924" s="315" t="str">
        <f>IF(B924="","",IF(B923="",SUM(COUNT($A$5:A923)+1),""))</f>
        <v/>
      </c>
      <c r="C924" s="316" t="str">
        <f>IF(B924="","",VLOOKUP(B924,'TB for financial'!A:B,2,0))</f>
        <v/>
      </c>
      <c r="D924" s="317"/>
      <c r="E924" s="318"/>
      <c r="F924" s="319"/>
      <c r="G924" s="320"/>
      <c r="H924" s="321"/>
      <c r="I924" s="322"/>
      <c r="J924" s="323"/>
    </row>
    <row r="925" spans="1:10" ht="15" customHeight="1">
      <c r="A925" s="315" t="str">
        <f>IF(B925="","",IF(B924="",SUM(COUNT($A$5:A924)+1),""))</f>
        <v/>
      </c>
      <c r="C925" s="316" t="str">
        <f>IF(B925="","",VLOOKUP(B925,'TB for financial'!A:B,2,0))</f>
        <v/>
      </c>
      <c r="D925" s="317"/>
      <c r="E925" s="318"/>
      <c r="F925" s="331"/>
      <c r="G925" s="320"/>
      <c r="H925" s="321"/>
      <c r="I925" s="322"/>
      <c r="J925" s="323"/>
    </row>
    <row r="926" spans="1:10" ht="15" customHeight="1">
      <c r="A926" s="315" t="str">
        <f>IF(B926="","",IF(B925="",SUM(COUNT($A$5:A925)+1),""))</f>
        <v/>
      </c>
      <c r="C926" s="316" t="str">
        <f>IF(B926="","",VLOOKUP(B926,'TB for financial'!A:B,2,0))</f>
        <v/>
      </c>
      <c r="D926" s="317"/>
      <c r="E926" s="318"/>
      <c r="F926" s="319"/>
      <c r="G926" s="320"/>
      <c r="H926" s="321"/>
      <c r="I926" s="328"/>
      <c r="J926" s="323"/>
    </row>
    <row r="927" spans="1:10" ht="15" customHeight="1">
      <c r="A927" s="315" t="str">
        <f>IF(B927="","",IF(B926="",SUM(COUNT($A$5:A926)+1),""))</f>
        <v/>
      </c>
      <c r="C927" s="316" t="str">
        <f>IF(B927="","",VLOOKUP(B927,'TB for financial'!A:B,2,0))</f>
        <v/>
      </c>
      <c r="D927" s="317"/>
      <c r="E927" s="318"/>
      <c r="F927" s="319"/>
      <c r="G927" s="320"/>
      <c r="H927" s="321"/>
      <c r="I927" s="322"/>
      <c r="J927" s="323"/>
    </row>
    <row r="928" spans="1:10" ht="15" customHeight="1">
      <c r="A928" s="315" t="str">
        <f>IF(B928="","",IF(B927="",SUM(COUNT($A$5:A927)+1),""))</f>
        <v/>
      </c>
      <c r="C928" s="316" t="str">
        <f>IF(B928="","",VLOOKUP(B928,'TB for financial'!A:B,2,0))</f>
        <v/>
      </c>
      <c r="D928" s="317"/>
      <c r="E928" s="318"/>
      <c r="F928" s="319"/>
      <c r="G928" s="320"/>
      <c r="H928" s="321"/>
      <c r="I928" s="322"/>
      <c r="J928" s="323"/>
    </row>
    <row r="929" spans="1:10" ht="15" customHeight="1">
      <c r="A929" s="315" t="str">
        <f>IF(B929="","",IF(B928="",SUM(COUNT($A$5:A928)+1),""))</f>
        <v/>
      </c>
      <c r="C929" s="316" t="str">
        <f>IF(B929="","",VLOOKUP(B929,'TB for financial'!A:B,2,0))</f>
        <v/>
      </c>
      <c r="D929" s="317"/>
      <c r="E929" s="318"/>
      <c r="F929" s="331"/>
      <c r="G929" s="320"/>
      <c r="H929" s="321"/>
      <c r="I929" s="322"/>
      <c r="J929" s="323"/>
    </row>
    <row r="930" spans="1:10" ht="15" customHeight="1">
      <c r="A930" s="315" t="str">
        <f>IF(B930="","",IF(B929="",SUM(COUNT($A$5:A929)+1),""))</f>
        <v/>
      </c>
      <c r="C930" s="316" t="str">
        <f>IF(B930="","",VLOOKUP(B930,'TB for financial'!A:B,2,0))</f>
        <v/>
      </c>
      <c r="D930" s="317"/>
      <c r="E930" s="318"/>
      <c r="F930" s="319"/>
      <c r="G930" s="320"/>
      <c r="H930" s="321"/>
      <c r="I930" s="322"/>
      <c r="J930" s="323"/>
    </row>
    <row r="931" spans="1:10">
      <c r="A931" s="315" t="str">
        <f>IF(B931="","",IF(B930="",SUM(COUNT($A$5:A930)+1),""))</f>
        <v/>
      </c>
      <c r="C931" s="316" t="str">
        <f>IF(B931="","",VLOOKUP(B931,'TB for financial'!A:B,2,0))</f>
        <v/>
      </c>
      <c r="D931" s="317"/>
      <c r="E931" s="318"/>
      <c r="F931" s="319"/>
      <c r="G931" s="320"/>
      <c r="H931" s="321"/>
      <c r="I931" s="322"/>
      <c r="J931" s="323"/>
    </row>
    <row r="932" spans="1:10" ht="15" customHeight="1">
      <c r="A932" s="315" t="str">
        <f>IF(B932="","",IF(B931="",SUM(COUNT($A$5:A931)+1),""))</f>
        <v/>
      </c>
      <c r="C932" s="316" t="str">
        <f>IF(B932="","",VLOOKUP(B932,'TB for financial'!A:B,2,0))</f>
        <v/>
      </c>
      <c r="D932" s="317"/>
      <c r="E932" s="318"/>
      <c r="F932" s="319"/>
      <c r="G932" s="320"/>
      <c r="H932" s="321"/>
      <c r="I932" s="322"/>
      <c r="J932" s="323"/>
    </row>
    <row r="933" spans="1:10" ht="15" customHeight="1">
      <c r="A933" s="315" t="str">
        <f>IF(B933="","",IF(B932="",SUM(COUNT($A$5:A932)+1),""))</f>
        <v/>
      </c>
      <c r="C933" s="316" t="str">
        <f>IF(B933="","",VLOOKUP(B933,'TB for financial'!A:B,2,0))</f>
        <v/>
      </c>
      <c r="D933" s="317"/>
      <c r="E933" s="318"/>
      <c r="F933" s="331"/>
      <c r="G933" s="320"/>
      <c r="H933" s="321"/>
      <c r="I933" s="322"/>
      <c r="J933" s="323"/>
    </row>
    <row r="934" spans="1:10" ht="15" customHeight="1">
      <c r="A934" s="315" t="str">
        <f>IF(B934="","",IF(B933="",SUM(COUNT($A$5:A933)+1),""))</f>
        <v/>
      </c>
      <c r="C934" s="316" t="str">
        <f>IF(B934="","",VLOOKUP(B934,'TB for financial'!A:B,2,0))</f>
        <v/>
      </c>
      <c r="D934" s="317"/>
      <c r="E934" s="318"/>
      <c r="F934" s="319"/>
      <c r="G934" s="320"/>
      <c r="H934" s="321"/>
      <c r="I934" s="322"/>
      <c r="J934" s="323"/>
    </row>
    <row r="935" spans="1:10" ht="31.5" customHeight="1">
      <c r="A935" s="315" t="str">
        <f>IF(B935="","",IF(B934="",SUM(COUNT($A$5:A934)+1),""))</f>
        <v/>
      </c>
      <c r="C935" s="316" t="str">
        <f>IF(B935="","",VLOOKUP(B935,'TB for financial'!A:B,2,0))</f>
        <v/>
      </c>
      <c r="D935" s="317"/>
      <c r="E935" s="318"/>
      <c r="F935" s="319"/>
      <c r="G935" s="320"/>
      <c r="H935" s="321"/>
      <c r="I935" s="322"/>
      <c r="J935" s="323"/>
    </row>
    <row r="936" spans="1:10" ht="15" customHeight="1">
      <c r="A936" s="315" t="str">
        <f>IF(B936="","",IF(B935="",SUM(COUNT($A$5:A935)+1),""))</f>
        <v/>
      </c>
      <c r="C936" s="316" t="str">
        <f>IF(B936="","",VLOOKUP(B936,'TB for financial'!A:B,2,0))</f>
        <v/>
      </c>
      <c r="D936" s="317"/>
      <c r="E936" s="318"/>
      <c r="F936" s="319"/>
      <c r="G936" s="320"/>
      <c r="H936" s="321"/>
      <c r="I936" s="322"/>
      <c r="J936" s="323"/>
    </row>
    <row r="937" spans="1:10" ht="15" customHeight="1">
      <c r="A937" s="315" t="str">
        <f>IF(B937="","",IF(B936="",SUM(COUNT($A$5:A936)+1),""))</f>
        <v/>
      </c>
      <c r="C937" s="316" t="str">
        <f>IF(B937="","",VLOOKUP(B937,'TB for financial'!A:B,2,0))</f>
        <v/>
      </c>
      <c r="D937" s="317"/>
      <c r="E937" s="318"/>
      <c r="F937" s="319"/>
      <c r="G937" s="320"/>
      <c r="H937" s="321"/>
      <c r="I937" s="322"/>
      <c r="J937" s="323"/>
    </row>
    <row r="938" spans="1:10" ht="15" customHeight="1">
      <c r="A938" s="315" t="str">
        <f>IF(B938="","",IF(B937="",SUM(COUNT($A$5:A937)+1),""))</f>
        <v/>
      </c>
      <c r="C938" s="316" t="str">
        <f>IF(B938="","",VLOOKUP(B938,'TB for financial'!A:B,2,0))</f>
        <v/>
      </c>
      <c r="D938" s="317"/>
      <c r="E938" s="318"/>
      <c r="F938" s="319"/>
      <c r="G938" s="320"/>
      <c r="H938" s="321"/>
      <c r="I938" s="322"/>
      <c r="J938" s="323"/>
    </row>
    <row r="939" spans="1:10" ht="15" customHeight="1">
      <c r="A939" s="315" t="str">
        <f>IF(B939="","",IF(B938="",SUM(COUNT($A$5:A938)+1),""))</f>
        <v/>
      </c>
      <c r="C939" s="316" t="str">
        <f>IF(B939="","",VLOOKUP(B939,'TB for financial'!A:B,2,0))</f>
        <v/>
      </c>
      <c r="D939" s="317"/>
      <c r="E939" s="318"/>
      <c r="F939" s="319"/>
      <c r="G939" s="320"/>
      <c r="H939" s="321"/>
      <c r="I939" s="322"/>
      <c r="J939" s="323"/>
    </row>
    <row r="940" spans="1:10" ht="15" customHeight="1">
      <c r="A940" s="315" t="str">
        <f>IF(B940="","",IF(B939="",SUM(COUNT($A$5:A939)+1),""))</f>
        <v/>
      </c>
      <c r="C940" s="316" t="str">
        <f>IF(B940="","",VLOOKUP(B940,'TB for financial'!A:B,2,0))</f>
        <v/>
      </c>
      <c r="D940" s="317"/>
      <c r="E940" s="318"/>
      <c r="F940" s="319"/>
      <c r="G940" s="320"/>
      <c r="H940" s="321"/>
      <c r="I940" s="322"/>
      <c r="J940" s="323"/>
    </row>
    <row r="941" spans="1:10" ht="15" customHeight="1">
      <c r="A941" s="315" t="str">
        <f>IF(B941="","",IF(B940="",SUM(COUNT($A$5:A940)+1),""))</f>
        <v/>
      </c>
      <c r="C941" s="316" t="str">
        <f>IF(B941="","",VLOOKUP(B941,'TB for financial'!A:B,2,0))</f>
        <v/>
      </c>
      <c r="D941" s="317"/>
      <c r="E941" s="318"/>
      <c r="F941" s="319"/>
      <c r="G941" s="320"/>
      <c r="H941" s="321"/>
      <c r="I941" s="322"/>
      <c r="J941" s="323"/>
    </row>
    <row r="942" spans="1:10" ht="15" customHeight="1">
      <c r="A942" s="315" t="str">
        <f>IF(B942="","",IF(B941="",SUM(COUNT($A$5:A941)+1),""))</f>
        <v/>
      </c>
      <c r="C942" s="316" t="str">
        <f>IF(B942="","",VLOOKUP(B942,'TB for financial'!A:B,2,0))</f>
        <v/>
      </c>
      <c r="D942" s="317"/>
      <c r="E942" s="318"/>
      <c r="F942" s="319"/>
      <c r="G942" s="320"/>
      <c r="H942" s="321"/>
      <c r="I942" s="322"/>
      <c r="J942" s="323"/>
    </row>
    <row r="943" spans="1:10" ht="15" customHeight="1">
      <c r="A943" s="315" t="str">
        <f>IF(B943="","",IF(B942="",SUM(COUNT($A$5:A942)+1),""))</f>
        <v/>
      </c>
      <c r="C943" s="316" t="str">
        <f>IF(B943="","",VLOOKUP(B943,'TB for financial'!A:B,2,0))</f>
        <v/>
      </c>
      <c r="D943" s="317"/>
      <c r="E943" s="318"/>
      <c r="F943" s="319"/>
      <c r="G943" s="320"/>
      <c r="H943" s="321"/>
      <c r="I943" s="322"/>
      <c r="J943" s="323"/>
    </row>
    <row r="944" spans="1:10" ht="15" customHeight="1">
      <c r="A944" s="315" t="str">
        <f>IF(B944="","",IF(B943="",SUM(COUNT($A$5:A943)+1),""))</f>
        <v/>
      </c>
      <c r="C944" s="316" t="str">
        <f>IF(B944="","",VLOOKUP(B944,'TB for financial'!A:B,2,0))</f>
        <v/>
      </c>
      <c r="D944" s="317"/>
      <c r="E944" s="318"/>
      <c r="F944" s="319"/>
      <c r="G944" s="320"/>
      <c r="H944" s="321"/>
      <c r="I944" s="322"/>
      <c r="J944" s="323"/>
    </row>
    <row r="945" spans="1:10" ht="15" customHeight="1">
      <c r="A945" s="315" t="str">
        <f>IF(B945="","",IF(B944="",SUM(COUNT($A$5:A944)+1),""))</f>
        <v/>
      </c>
      <c r="C945" s="316" t="str">
        <f>IF(B945="","",VLOOKUP(B945,'TB for financial'!A:B,2,0))</f>
        <v/>
      </c>
      <c r="D945" s="317"/>
      <c r="E945" s="318"/>
      <c r="F945" s="331"/>
      <c r="G945" s="320"/>
      <c r="H945" s="321"/>
      <c r="I945" s="322"/>
      <c r="J945" s="323"/>
    </row>
    <row r="946" spans="1:10" ht="15" customHeight="1">
      <c r="A946" s="315" t="str">
        <f>IF(B946="","",IF(B945="",SUM(COUNT($A$5:A945)+1),""))</f>
        <v/>
      </c>
      <c r="C946" s="316" t="str">
        <f>IF(B946="","",VLOOKUP(B946,'TB for financial'!A:B,2,0))</f>
        <v/>
      </c>
      <c r="D946" s="317"/>
      <c r="E946" s="318"/>
      <c r="F946" s="319"/>
      <c r="G946" s="320"/>
      <c r="H946" s="321"/>
      <c r="I946" s="322"/>
      <c r="J946" s="323"/>
    </row>
    <row r="947" spans="1:10">
      <c r="A947" s="315" t="str">
        <f>IF(B947="","",IF(B946="",SUM(COUNT($A$5:A946)+1),""))</f>
        <v/>
      </c>
      <c r="C947" s="316" t="str">
        <f>IF(B947="","",VLOOKUP(B947,'TB for financial'!A:B,2,0))</f>
        <v/>
      </c>
      <c r="D947" s="317"/>
      <c r="E947" s="318"/>
      <c r="F947" s="319"/>
      <c r="G947" s="320"/>
      <c r="H947" s="321"/>
      <c r="I947" s="322"/>
      <c r="J947" s="323"/>
    </row>
    <row r="948" spans="1:10" ht="15" customHeight="1">
      <c r="A948" s="315" t="str">
        <f>IF(B948="","",IF(B947="",SUM(COUNT($A$5:A947)+1),""))</f>
        <v/>
      </c>
      <c r="C948" s="316" t="str">
        <f>IF(B948="","",VLOOKUP(B948,'TB for financial'!A:B,2,0))</f>
        <v/>
      </c>
      <c r="D948" s="317"/>
      <c r="E948" s="318"/>
      <c r="F948" s="319"/>
      <c r="G948" s="320"/>
      <c r="H948" s="321"/>
      <c r="I948" s="322"/>
      <c r="J948" s="323"/>
    </row>
    <row r="949" spans="1:10" ht="15" customHeight="1">
      <c r="A949" s="315" t="str">
        <f>IF(B949="","",IF(B948="",SUM(COUNT($A$5:A948)+1),""))</f>
        <v/>
      </c>
      <c r="C949" s="316" t="str">
        <f>IF(B949="","",VLOOKUP(B949,'TB for financial'!A:B,2,0))</f>
        <v/>
      </c>
      <c r="D949" s="317"/>
      <c r="E949" s="318"/>
      <c r="F949" s="331"/>
      <c r="G949" s="320"/>
      <c r="H949" s="321"/>
      <c r="I949" s="322"/>
      <c r="J949" s="323"/>
    </row>
    <row r="950" spans="1:10" ht="15" customHeight="1">
      <c r="A950" s="315" t="str">
        <f>IF(B950="","",IF(B949="",SUM(COUNT($A$5:A949)+1),""))</f>
        <v/>
      </c>
      <c r="C950" s="316" t="str">
        <f>IF(B950="","",VLOOKUP(B950,'TB for financial'!A:B,2,0))</f>
        <v/>
      </c>
      <c r="D950" s="317"/>
      <c r="E950" s="318"/>
      <c r="F950" s="319"/>
      <c r="G950" s="320"/>
      <c r="H950" s="321"/>
      <c r="I950" s="322"/>
      <c r="J950" s="323"/>
    </row>
    <row r="951" spans="1:10">
      <c r="A951" s="315" t="str">
        <f>IF(B951="","",IF(B950="",SUM(COUNT($A$5:A950)+1),""))</f>
        <v/>
      </c>
      <c r="C951" s="316" t="str">
        <f>IF(B951="","",VLOOKUP(B951,'TB for financial'!A:B,2,0))</f>
        <v/>
      </c>
      <c r="D951" s="317"/>
      <c r="E951" s="318"/>
      <c r="F951" s="319"/>
      <c r="G951" s="320"/>
      <c r="H951" s="321"/>
      <c r="I951" s="322"/>
      <c r="J951" s="323"/>
    </row>
    <row r="952" spans="1:10" ht="15" customHeight="1">
      <c r="A952" s="315" t="str">
        <f>IF(B952="","",IF(B951="",SUM(COUNT($A$5:A951)+1),""))</f>
        <v/>
      </c>
      <c r="C952" s="316" t="str">
        <f>IF(B952="","",VLOOKUP(B952,'TB for financial'!A:B,2,0))</f>
        <v/>
      </c>
      <c r="D952" s="317"/>
      <c r="E952" s="318"/>
      <c r="F952" s="319"/>
      <c r="G952" s="320"/>
      <c r="H952" s="321"/>
      <c r="I952" s="322"/>
      <c r="J952" s="323"/>
    </row>
    <row r="953" spans="1:10" ht="15" customHeight="1">
      <c r="A953" s="315" t="str">
        <f>IF(B953="","",IF(B952="",SUM(COUNT($A$5:A952)+1),""))</f>
        <v/>
      </c>
      <c r="C953" s="316" t="str">
        <f>IF(B953="","",VLOOKUP(B953,'TB for financial'!A:B,2,0))</f>
        <v/>
      </c>
      <c r="D953" s="317"/>
      <c r="E953" s="318"/>
      <c r="F953" s="331"/>
      <c r="G953" s="320"/>
      <c r="H953" s="321"/>
      <c r="I953" s="322"/>
      <c r="J953" s="323"/>
    </row>
    <row r="954" spans="1:10" ht="15" customHeight="1">
      <c r="A954" s="315" t="str">
        <f>IF(B954="","",IF(B953="",SUM(COUNT($A$5:A953)+1),""))</f>
        <v/>
      </c>
      <c r="C954" s="316" t="str">
        <f>IF(B954="","",VLOOKUP(B954,'TB for financial'!A:B,2,0))</f>
        <v/>
      </c>
      <c r="D954" s="317"/>
      <c r="E954" s="318"/>
      <c r="F954" s="319"/>
      <c r="G954" s="320"/>
      <c r="H954" s="321"/>
      <c r="I954" s="322"/>
      <c r="J954" s="323"/>
    </row>
    <row r="955" spans="1:10">
      <c r="A955" s="315" t="str">
        <f>IF(B955="","",IF(B954="",SUM(COUNT($A$5:A954)+1),""))</f>
        <v/>
      </c>
      <c r="C955" s="316" t="str">
        <f>IF(B955="","",VLOOKUP(B955,'TB for financial'!A:B,2,0))</f>
        <v/>
      </c>
      <c r="D955" s="317"/>
      <c r="E955" s="318"/>
      <c r="F955" s="319"/>
      <c r="G955" s="320"/>
      <c r="H955" s="321"/>
      <c r="I955" s="322"/>
      <c r="J955" s="323"/>
    </row>
    <row r="956" spans="1:10" ht="15" customHeight="1">
      <c r="A956" s="315" t="str">
        <f>IF(B956="","",IF(B955="",SUM(COUNT($A$5:A955)+1),""))</f>
        <v/>
      </c>
      <c r="C956" s="316" t="str">
        <f>IF(B956="","",VLOOKUP(B956,'TB for financial'!A:B,2,0))</f>
        <v/>
      </c>
      <c r="D956" s="317"/>
      <c r="E956" s="318"/>
      <c r="F956" s="319"/>
      <c r="G956" s="320"/>
      <c r="H956" s="321"/>
      <c r="I956" s="322"/>
      <c r="J956" s="323"/>
    </row>
    <row r="957" spans="1:10" ht="15" customHeight="1">
      <c r="A957" s="315" t="str">
        <f>IF(B957="","",IF(B956="",SUM(COUNT($A$5:A956)+1),""))</f>
        <v/>
      </c>
      <c r="C957" s="316" t="str">
        <f>IF(B957="","",VLOOKUP(B957,'TB for financial'!A:B,2,0))</f>
        <v/>
      </c>
      <c r="D957" s="317"/>
      <c r="E957" s="318"/>
      <c r="F957" s="331"/>
      <c r="G957" s="320"/>
      <c r="H957" s="321"/>
      <c r="I957" s="322"/>
      <c r="J957" s="323"/>
    </row>
    <row r="958" spans="1:10" ht="15" customHeight="1">
      <c r="A958" s="315" t="str">
        <f>IF(B958="","",IF(B957="",SUM(COUNT($A$5:A957)+1),""))</f>
        <v/>
      </c>
      <c r="C958" s="316" t="str">
        <f>IF(B958="","",VLOOKUP(B958,'TB for financial'!A:B,2,0))</f>
        <v/>
      </c>
      <c r="D958" s="317"/>
      <c r="E958" s="318"/>
      <c r="F958" s="319"/>
      <c r="G958" s="320"/>
      <c r="H958" s="321"/>
      <c r="I958" s="322"/>
      <c r="J958" s="323"/>
    </row>
    <row r="959" spans="1:10" ht="15" customHeight="1">
      <c r="A959" s="315" t="str">
        <f>IF(B959="","",IF(B958="",SUM(COUNT($A$5:A958)+1),""))</f>
        <v/>
      </c>
      <c r="C959" s="316" t="str">
        <f>IF(B959="","",VLOOKUP(B959,'TB for financial'!A:B,2,0))</f>
        <v/>
      </c>
      <c r="D959" s="317"/>
      <c r="E959" s="318"/>
      <c r="F959" s="319"/>
      <c r="G959" s="320"/>
      <c r="H959" s="321"/>
      <c r="I959" s="322"/>
      <c r="J959" s="323"/>
    </row>
    <row r="960" spans="1:10" ht="15" customHeight="1">
      <c r="A960" s="315" t="str">
        <f>IF(B960="","",IF(B959="",SUM(COUNT($A$5:A959)+1),""))</f>
        <v/>
      </c>
      <c r="C960" s="316" t="str">
        <f>IF(B960="","",VLOOKUP(B960,'TB for financial'!A:B,2,0))</f>
        <v/>
      </c>
      <c r="D960" s="317"/>
      <c r="E960" s="318"/>
      <c r="F960" s="319"/>
      <c r="G960" s="320"/>
      <c r="H960" s="321"/>
      <c r="I960" s="322"/>
      <c r="J960" s="323"/>
    </row>
    <row r="961" spans="1:10" ht="32.25" customHeight="1">
      <c r="A961" s="315" t="str">
        <f>IF(B961="","",IF(B960="",SUM(COUNT($A$5:A960)+1),""))</f>
        <v/>
      </c>
      <c r="C961" s="316" t="str">
        <f>IF(B961="","",VLOOKUP(B961,'TB for financial'!A:B,2,0))</f>
        <v/>
      </c>
      <c r="D961" s="317"/>
      <c r="E961" s="318"/>
      <c r="F961" s="319"/>
      <c r="G961" s="320"/>
      <c r="H961" s="321"/>
      <c r="I961" s="322"/>
      <c r="J961" s="323"/>
    </row>
    <row r="962" spans="1:10" ht="15" customHeight="1">
      <c r="A962" s="315" t="str">
        <f>IF(B962="","",IF(B961="",SUM(COUNT($A$5:A961)+1),""))</f>
        <v/>
      </c>
      <c r="C962" s="316" t="str">
        <f>IF(B962="","",VLOOKUP(B962,'TB for financial'!A:B,2,0))</f>
        <v/>
      </c>
      <c r="D962" s="317"/>
      <c r="E962" s="318"/>
      <c r="F962" s="319"/>
      <c r="G962" s="320"/>
      <c r="H962" s="321"/>
      <c r="I962" s="322"/>
      <c r="J962" s="323"/>
    </row>
    <row r="963" spans="1:10" ht="15" customHeight="1">
      <c r="A963" s="315" t="str">
        <f>IF(B963="","",IF(B962="",SUM(COUNT($A$5:A962)+1),""))</f>
        <v/>
      </c>
      <c r="C963" s="316" t="str">
        <f>IF(B963="","",VLOOKUP(B963,'TB for financial'!A:B,2,0))</f>
        <v/>
      </c>
      <c r="D963" s="317"/>
      <c r="E963" s="318"/>
      <c r="F963" s="319"/>
      <c r="G963" s="320"/>
      <c r="H963" s="321"/>
      <c r="I963" s="322"/>
      <c r="J963" s="323"/>
    </row>
    <row r="964" spans="1:10" ht="15" customHeight="1">
      <c r="A964" s="315" t="str">
        <f>IF(B964="","",IF(B963="",SUM(COUNT($A$5:A963)+1),""))</f>
        <v/>
      </c>
      <c r="C964" s="316" t="str">
        <f>IF(B964="","",VLOOKUP(B964,'TB for financial'!A:B,2,0))</f>
        <v/>
      </c>
      <c r="D964" s="317"/>
      <c r="E964" s="318"/>
      <c r="F964" s="319"/>
      <c r="G964" s="320"/>
      <c r="H964" s="321"/>
      <c r="I964" s="328"/>
      <c r="J964" s="323"/>
    </row>
    <row r="965" spans="1:10" ht="15" customHeight="1">
      <c r="A965" s="315" t="str">
        <f>IF(B965="","",IF(B964="",SUM(COUNT($A$5:A964)+1),""))</f>
        <v/>
      </c>
      <c r="C965" s="316" t="str">
        <f>IF(B965="","",VLOOKUP(B965,'TB for financial'!A:B,2,0))</f>
        <v/>
      </c>
      <c r="D965" s="317"/>
      <c r="E965" s="318"/>
      <c r="F965" s="319"/>
      <c r="G965" s="320"/>
      <c r="H965" s="321"/>
      <c r="I965" s="322"/>
      <c r="J965" s="323"/>
    </row>
    <row r="966" spans="1:10" ht="15" customHeight="1">
      <c r="A966" s="315" t="str">
        <f>IF(B966="","",IF(B965="",SUM(COUNT($A$5:A965)+1),""))</f>
        <v/>
      </c>
      <c r="C966" s="316" t="str">
        <f>IF(B966="","",VLOOKUP(B966,'TB for financial'!A:B,2,0))</f>
        <v/>
      </c>
      <c r="D966" s="317"/>
      <c r="E966" s="318"/>
      <c r="F966" s="319"/>
      <c r="G966" s="320"/>
      <c r="H966" s="321"/>
      <c r="I966" s="322"/>
      <c r="J966" s="323"/>
    </row>
    <row r="967" spans="1:10" ht="15" customHeight="1">
      <c r="A967" s="315" t="str">
        <f>IF(B967="","",IF(B966="",SUM(COUNT($A$5:A966)+1),""))</f>
        <v/>
      </c>
      <c r="C967" s="316" t="str">
        <f>IF(B967="","",VLOOKUP(B967,'TB for financial'!A:B,2,0))</f>
        <v/>
      </c>
      <c r="D967" s="317"/>
      <c r="E967" s="318"/>
      <c r="F967" s="319"/>
      <c r="G967" s="320"/>
      <c r="H967" s="321"/>
      <c r="I967" s="322"/>
      <c r="J967" s="323"/>
    </row>
    <row r="968" spans="1:10" ht="15" customHeight="1">
      <c r="A968" s="315" t="str">
        <f>IF(B968="","",IF(B967="",SUM(COUNT($A$5:A967)+1),""))</f>
        <v/>
      </c>
      <c r="C968" s="316" t="str">
        <f>IF(B968="","",VLOOKUP(B968,'TB for financial'!A:B,2,0))</f>
        <v/>
      </c>
      <c r="D968" s="317"/>
      <c r="E968" s="318"/>
      <c r="F968" s="319"/>
      <c r="G968" s="320"/>
      <c r="H968" s="321"/>
      <c r="I968" s="322"/>
      <c r="J968" s="323"/>
    </row>
    <row r="969" spans="1:10" ht="15" customHeight="1">
      <c r="A969" s="315" t="str">
        <f>IF(B969="","",IF(B968="",SUM(COUNT($A$5:A968)+1),""))</f>
        <v/>
      </c>
      <c r="C969" s="316" t="str">
        <f>IF(B969="","",VLOOKUP(B969,'TB for financial'!A:B,2,0))</f>
        <v/>
      </c>
      <c r="D969" s="317"/>
      <c r="E969" s="318"/>
      <c r="F969" s="319"/>
      <c r="G969" s="320"/>
      <c r="H969" s="321"/>
      <c r="I969" s="328"/>
      <c r="J969" s="323"/>
    </row>
    <row r="970" spans="1:10" ht="15" customHeight="1">
      <c r="A970" s="315" t="str">
        <f>IF(B970="","",IF(B969="",SUM(COUNT($A$5:A969)+1),""))</f>
        <v/>
      </c>
      <c r="C970" s="316" t="str">
        <f>IF(B970="","",VLOOKUP(B970,'TB for financial'!A:B,2,0))</f>
        <v/>
      </c>
      <c r="D970" s="317"/>
      <c r="E970" s="318"/>
      <c r="F970" s="319"/>
      <c r="G970" s="320"/>
      <c r="H970" s="321"/>
      <c r="I970" s="322"/>
      <c r="J970" s="323"/>
    </row>
    <row r="971" spans="1:10" ht="15" customHeight="1">
      <c r="A971" s="315" t="str">
        <f>IF(B971="","",IF(B970="",SUM(COUNT($A$5:A970)+1),""))</f>
        <v/>
      </c>
      <c r="C971" s="316" t="str">
        <f>IF(B971="","",VLOOKUP(B971,'TB for financial'!A:B,2,0))</f>
        <v/>
      </c>
      <c r="D971" s="317"/>
      <c r="E971" s="318"/>
      <c r="F971" s="319"/>
      <c r="G971" s="320"/>
      <c r="H971" s="321"/>
      <c r="I971" s="322"/>
      <c r="J971" s="323"/>
    </row>
    <row r="972" spans="1:10" ht="15" customHeight="1">
      <c r="A972" s="315" t="str">
        <f>IF(B972="","",IF(B971="",SUM(COUNT($A$5:A971)+1),""))</f>
        <v/>
      </c>
      <c r="C972" s="316" t="str">
        <f>IF(B972="","",VLOOKUP(B972,'TB for financial'!A:B,2,0))</f>
        <v/>
      </c>
      <c r="D972" s="317"/>
      <c r="E972" s="318"/>
      <c r="F972" s="319"/>
      <c r="G972" s="320"/>
      <c r="H972" s="321"/>
      <c r="I972" s="322"/>
      <c r="J972" s="323"/>
    </row>
    <row r="973" spans="1:10" ht="15" customHeight="1">
      <c r="A973" s="315" t="str">
        <f>IF(B973="","",IF(B972="",SUM(COUNT($A$5:A972)+1),""))</f>
        <v/>
      </c>
      <c r="C973" s="316" t="str">
        <f>IF(B973="","",VLOOKUP(B973,'TB for financial'!A:B,2,0))</f>
        <v/>
      </c>
      <c r="D973" s="317"/>
      <c r="E973" s="318"/>
      <c r="F973" s="319"/>
      <c r="G973" s="320"/>
      <c r="H973" s="321"/>
      <c r="I973" s="328"/>
      <c r="J973" s="323"/>
    </row>
    <row r="974" spans="1:10" ht="15" customHeight="1">
      <c r="A974" s="315" t="str">
        <f>IF(B974="","",IF(B973="",SUM(COUNT($A$5:A973)+1),""))</f>
        <v/>
      </c>
      <c r="C974" s="316" t="str">
        <f>IF(B974="","",VLOOKUP(B974,'TB for financial'!A:B,2,0))</f>
        <v/>
      </c>
      <c r="D974" s="317"/>
      <c r="E974" s="318"/>
      <c r="F974" s="319"/>
      <c r="G974" s="320"/>
      <c r="H974" s="321"/>
      <c r="I974" s="322"/>
      <c r="J974" s="323"/>
    </row>
    <row r="975" spans="1:10" ht="15" customHeight="1">
      <c r="A975" s="315" t="str">
        <f>IF(B975="","",IF(B974="",SUM(COUNT($A$5:A974)+1),""))</f>
        <v/>
      </c>
      <c r="C975" s="316" t="str">
        <f>IF(B975="","",VLOOKUP(B975,'TB for financial'!A:B,2,0))</f>
        <v/>
      </c>
      <c r="D975" s="317"/>
      <c r="E975" s="318"/>
      <c r="F975" s="319"/>
      <c r="G975" s="320"/>
      <c r="H975" s="321"/>
      <c r="I975" s="322"/>
      <c r="J975" s="323"/>
    </row>
    <row r="976" spans="1:10" ht="15" customHeight="1">
      <c r="A976" s="315" t="str">
        <f>IF(B976="","",IF(B975="",SUM(COUNT($A$5:A975)+1),""))</f>
        <v/>
      </c>
      <c r="C976" s="316" t="str">
        <f>IF(B976="","",VLOOKUP(B976,'TB for financial'!A:B,2,0))</f>
        <v/>
      </c>
      <c r="D976" s="317"/>
      <c r="E976" s="318"/>
      <c r="F976" s="319"/>
      <c r="G976" s="320"/>
      <c r="H976" s="321"/>
      <c r="I976" s="322"/>
      <c r="J976" s="323"/>
    </row>
    <row r="977" spans="1:10" ht="15" customHeight="1">
      <c r="A977" s="315" t="str">
        <f>IF(B977="","",IF(B976="",SUM(COUNT($A$5:A976)+1),""))</f>
        <v/>
      </c>
      <c r="C977" s="316" t="str">
        <f>IF(B977="","",VLOOKUP(B977,'TB for financial'!A:B,2,0))</f>
        <v/>
      </c>
      <c r="D977" s="317"/>
      <c r="E977" s="318"/>
      <c r="F977" s="319"/>
      <c r="G977" s="320"/>
      <c r="H977" s="321"/>
      <c r="I977" s="328"/>
      <c r="J977" s="323"/>
    </row>
    <row r="978" spans="1:10" ht="15" customHeight="1">
      <c r="A978" s="315" t="str">
        <f>IF(B978="","",IF(B977="",SUM(COUNT($A$5:A977)+1),""))</f>
        <v/>
      </c>
      <c r="C978" s="316" t="str">
        <f>IF(B978="","",VLOOKUP(B978,'TB for financial'!A:B,2,0))</f>
        <v/>
      </c>
      <c r="D978" s="317"/>
      <c r="E978" s="318"/>
      <c r="F978" s="319"/>
      <c r="G978" s="320"/>
      <c r="H978" s="321"/>
      <c r="I978" s="322"/>
      <c r="J978" s="323"/>
    </row>
    <row r="979" spans="1:10" ht="15" customHeight="1">
      <c r="A979" s="315" t="str">
        <f>IF(B979="","",IF(B978="",SUM(COUNT($A$5:A978)+1),""))</f>
        <v/>
      </c>
      <c r="C979" s="316" t="str">
        <f>IF(B979="","",VLOOKUP(B979,'TB for financial'!A:B,2,0))</f>
        <v/>
      </c>
      <c r="D979" s="317"/>
      <c r="E979" s="318"/>
      <c r="F979" s="319"/>
      <c r="G979" s="320"/>
      <c r="H979" s="321"/>
      <c r="I979" s="322"/>
      <c r="J979" s="323"/>
    </row>
    <row r="980" spans="1:10" ht="15" customHeight="1">
      <c r="A980" s="315" t="str">
        <f>IF(B980="","",IF(B979="",SUM(COUNT($A$5:A979)+1),""))</f>
        <v/>
      </c>
      <c r="C980" s="316" t="str">
        <f>IF(B980="","",VLOOKUP(B980,'TB for financial'!A:B,2,0))</f>
        <v/>
      </c>
      <c r="D980" s="317"/>
      <c r="E980" s="318"/>
      <c r="F980" s="319"/>
      <c r="G980" s="320"/>
      <c r="H980" s="321"/>
      <c r="I980" s="322"/>
      <c r="J980" s="323"/>
    </row>
    <row r="981" spans="1:10" ht="15" customHeight="1">
      <c r="A981" s="315" t="str">
        <f>IF(B981="","",IF(B980="",SUM(COUNT($A$5:A980)+1),""))</f>
        <v/>
      </c>
      <c r="C981" s="316" t="str">
        <f>IF(B981="","",VLOOKUP(B981,'TB for financial'!A:B,2,0))</f>
        <v/>
      </c>
      <c r="D981" s="317"/>
      <c r="E981" s="318"/>
      <c r="F981" s="319"/>
      <c r="G981" s="320"/>
      <c r="H981" s="321"/>
      <c r="I981" s="322"/>
      <c r="J981" s="323"/>
    </row>
    <row r="982" spans="1:10">
      <c r="A982" s="315" t="str">
        <f>IF(B982="","",IF(B981="",SUM(COUNT($A$5:A981)+1),""))</f>
        <v/>
      </c>
      <c r="C982" s="316" t="str">
        <f>IF(B982="","",VLOOKUP(B982,'TB for financial'!A:B,2,0))</f>
        <v/>
      </c>
      <c r="D982" s="317"/>
      <c r="E982" s="318"/>
      <c r="F982" s="319"/>
      <c r="G982" s="320"/>
      <c r="H982" s="321"/>
      <c r="I982" s="322"/>
      <c r="J982" s="323"/>
    </row>
    <row r="983" spans="1:10">
      <c r="A983" s="315" t="str">
        <f>IF(B983="","",IF(B982="",SUM(COUNT($A$5:A982)+1),""))</f>
        <v/>
      </c>
      <c r="C983" s="316" t="str">
        <f>IF(B983="","",VLOOKUP(B983,'TB for financial'!A:B,2,0))</f>
        <v/>
      </c>
      <c r="D983" s="317"/>
      <c r="E983" s="318"/>
      <c r="F983" s="319"/>
      <c r="G983" s="320"/>
      <c r="H983" s="321"/>
      <c r="I983" s="322"/>
      <c r="J983" s="323"/>
    </row>
    <row r="984" spans="1:10" ht="15" customHeight="1">
      <c r="A984" s="315" t="str">
        <f>IF(B984="","",IF(B983="",SUM(COUNT($A$5:A983)+1),""))</f>
        <v/>
      </c>
      <c r="C984" s="316" t="str">
        <f>IF(B984="","",VLOOKUP(B984,'TB for financial'!A:B,2,0))</f>
        <v/>
      </c>
      <c r="D984" s="317"/>
      <c r="E984" s="318"/>
      <c r="F984" s="319"/>
      <c r="G984" s="320"/>
      <c r="H984" s="321"/>
      <c r="I984" s="322"/>
      <c r="J984" s="323"/>
    </row>
    <row r="985" spans="1:10" ht="15" customHeight="1">
      <c r="A985" s="315" t="str">
        <f>IF(B985="","",IF(B984="",SUM(COUNT($A$5:A984)+1),""))</f>
        <v/>
      </c>
      <c r="C985" s="316" t="str">
        <f>IF(B985="","",VLOOKUP(B985,'TB for financial'!A:B,2,0))</f>
        <v/>
      </c>
      <c r="D985" s="317"/>
      <c r="E985" s="318"/>
      <c r="F985" s="319"/>
      <c r="G985" s="320"/>
      <c r="H985" s="321"/>
      <c r="I985" s="322"/>
      <c r="J985" s="323"/>
    </row>
    <row r="986" spans="1:10">
      <c r="A986" s="315" t="str">
        <f>IF(B986="","",IF(B985="",SUM(COUNT($A$5:A985)+1),""))</f>
        <v/>
      </c>
      <c r="C986" s="316" t="str">
        <f>IF(B986="","",VLOOKUP(B986,'TB for financial'!A:B,2,0))</f>
        <v/>
      </c>
      <c r="D986" s="317"/>
      <c r="E986" s="318"/>
      <c r="F986" s="319"/>
      <c r="G986" s="320"/>
      <c r="H986" s="321"/>
      <c r="I986" s="322"/>
      <c r="J986" s="323"/>
    </row>
    <row r="987" spans="1:10" ht="15" customHeight="1">
      <c r="A987" s="315" t="str">
        <f>IF(B987="","",IF(B986="",SUM(COUNT($A$5:A986)+1),""))</f>
        <v/>
      </c>
      <c r="C987" s="316" t="str">
        <f>IF(B987="","",VLOOKUP(B987,'TB for financial'!A:B,2,0))</f>
        <v/>
      </c>
      <c r="D987" s="317"/>
      <c r="E987" s="318"/>
      <c r="F987" s="319"/>
      <c r="G987" s="320"/>
      <c r="H987" s="321"/>
      <c r="I987" s="322"/>
      <c r="J987" s="323"/>
    </row>
    <row r="988" spans="1:10" ht="15" customHeight="1">
      <c r="A988" s="315" t="str">
        <f>IF(B988="","",IF(B987="",SUM(COUNT($A$5:A987)+1),""))</f>
        <v/>
      </c>
      <c r="C988" s="316" t="str">
        <f>IF(B988="","",VLOOKUP(B988,'TB for financial'!A:B,2,0))</f>
        <v/>
      </c>
      <c r="D988" s="317"/>
      <c r="E988" s="318"/>
      <c r="F988" s="319"/>
      <c r="G988" s="320"/>
      <c r="H988" s="321"/>
      <c r="I988" s="322"/>
      <c r="J988" s="323"/>
    </row>
    <row r="989" spans="1:10" ht="15" customHeight="1">
      <c r="A989" s="315" t="str">
        <f>IF(B989="","",IF(B988="",SUM(COUNT($A$5:A988)+1),""))</f>
        <v/>
      </c>
      <c r="C989" s="316" t="str">
        <f>IF(B989="","",VLOOKUP(B989,'TB for financial'!A:B,2,0))</f>
        <v/>
      </c>
      <c r="D989" s="317"/>
      <c r="E989" s="318"/>
      <c r="F989" s="319"/>
      <c r="G989" s="320"/>
      <c r="H989" s="321"/>
      <c r="I989" s="322"/>
      <c r="J989" s="323"/>
    </row>
    <row r="990" spans="1:10">
      <c r="A990" s="315" t="str">
        <f>IF(B990="","",IF(B989="",SUM(COUNT($A$5:A989)+1),""))</f>
        <v/>
      </c>
      <c r="C990" s="316" t="str">
        <f>IF(B990="","",VLOOKUP(B990,'TB for financial'!A:B,2,0))</f>
        <v/>
      </c>
      <c r="D990" s="317"/>
      <c r="E990" s="318"/>
      <c r="F990" s="319"/>
      <c r="G990" s="320"/>
      <c r="H990" s="321"/>
      <c r="I990" s="322"/>
      <c r="J990" s="323"/>
    </row>
    <row r="991" spans="1:10" ht="15" customHeight="1">
      <c r="A991" s="315" t="str">
        <f>IF(B991="","",IF(B990="",SUM(COUNT($A$5:A990)+1),""))</f>
        <v/>
      </c>
      <c r="C991" s="316" t="str">
        <f>IF(B991="","",VLOOKUP(B991,'TB for financial'!A:B,2,0))</f>
        <v/>
      </c>
      <c r="D991" s="317"/>
      <c r="E991" s="318"/>
      <c r="F991" s="319"/>
      <c r="G991" s="320"/>
      <c r="H991" s="321"/>
      <c r="I991" s="322"/>
      <c r="J991" s="323"/>
    </row>
    <row r="992" spans="1:10" ht="15" customHeight="1">
      <c r="A992" s="315" t="str">
        <f>IF(B992="","",IF(B991="",SUM(COUNT($A$5:A991)+1),""))</f>
        <v/>
      </c>
      <c r="C992" s="316" t="str">
        <f>IF(B992="","",VLOOKUP(B992,'TB for financial'!A:B,2,0))</f>
        <v/>
      </c>
      <c r="D992" s="317"/>
      <c r="E992" s="318"/>
      <c r="F992" s="319"/>
      <c r="G992" s="320"/>
      <c r="H992" s="321"/>
      <c r="I992" s="322"/>
      <c r="J992" s="323"/>
    </row>
    <row r="993" spans="1:10" ht="15" customHeight="1">
      <c r="A993" s="315" t="str">
        <f>IF(B993="","",IF(B992="",SUM(COUNT($A$5:A992)+1),""))</f>
        <v/>
      </c>
      <c r="C993" s="316" t="str">
        <f>IF(B993="","",VLOOKUP(B993,'TB for financial'!A:B,2,0))</f>
        <v/>
      </c>
      <c r="D993" s="317"/>
      <c r="E993" s="318"/>
      <c r="F993" s="319"/>
      <c r="G993" s="320"/>
      <c r="H993" s="321"/>
      <c r="I993" s="322"/>
      <c r="J993" s="323"/>
    </row>
    <row r="994" spans="1:10">
      <c r="A994" s="315" t="str">
        <f>IF(B994="","",IF(B993="",SUM(COUNT($A$5:A993)+1),""))</f>
        <v/>
      </c>
      <c r="C994" s="316" t="str">
        <f>IF(B994="","",VLOOKUP(B994,'TB for financial'!A:B,2,0))</f>
        <v/>
      </c>
      <c r="D994" s="317"/>
      <c r="E994" s="318"/>
      <c r="F994" s="319"/>
      <c r="G994" s="320"/>
      <c r="H994" s="321"/>
      <c r="I994" s="322"/>
      <c r="J994" s="323"/>
    </row>
    <row r="995" spans="1:10" ht="15" customHeight="1">
      <c r="A995" s="315" t="str">
        <f>IF(B995="","",IF(B994="",SUM(COUNT($A$5:A994)+1),""))</f>
        <v/>
      </c>
      <c r="C995" s="316" t="str">
        <f>IF(B995="","",VLOOKUP(B995,'TB for financial'!A:B,2,0))</f>
        <v/>
      </c>
      <c r="D995" s="317"/>
      <c r="E995" s="318"/>
      <c r="F995" s="319"/>
      <c r="G995" s="320"/>
      <c r="H995" s="321"/>
      <c r="I995" s="322"/>
      <c r="J995" s="323"/>
    </row>
    <row r="996" spans="1:10" ht="15" customHeight="1">
      <c r="A996" s="315" t="str">
        <f>IF(B996="","",IF(B995="",SUM(COUNT($A$5:A995)+1),""))</f>
        <v/>
      </c>
      <c r="C996" s="316" t="str">
        <f>IF(B996="","",VLOOKUP(B996,'TB for financial'!A:B,2,0))</f>
        <v/>
      </c>
      <c r="D996" s="317"/>
      <c r="E996" s="318"/>
      <c r="F996" s="319"/>
      <c r="G996" s="320"/>
      <c r="H996" s="321"/>
      <c r="I996" s="322"/>
      <c r="J996" s="323"/>
    </row>
    <row r="997" spans="1:10" ht="15" customHeight="1">
      <c r="A997" s="315" t="str">
        <f>IF(B997="","",IF(B996="",SUM(COUNT($A$5:A996)+1),""))</f>
        <v/>
      </c>
      <c r="C997" s="316" t="str">
        <f>IF(B997="","",VLOOKUP(B997,'TB for financial'!A:B,2,0))</f>
        <v/>
      </c>
      <c r="D997" s="317"/>
      <c r="E997" s="318"/>
      <c r="F997" s="319"/>
      <c r="G997" s="320"/>
      <c r="H997" s="321"/>
      <c r="I997" s="322"/>
      <c r="J997" s="323"/>
    </row>
    <row r="998" spans="1:10" ht="15" customHeight="1">
      <c r="A998" s="315" t="str">
        <f>IF(B998="","",IF(B997="",SUM(COUNT($A$5:A997)+1),""))</f>
        <v/>
      </c>
      <c r="C998" s="316" t="str">
        <f>IF(B998="","",VLOOKUP(B998,'TB for financial'!A:B,2,0))</f>
        <v/>
      </c>
      <c r="D998" s="317"/>
      <c r="E998" s="318"/>
      <c r="F998" s="319"/>
      <c r="G998" s="320"/>
      <c r="H998" s="321"/>
      <c r="I998" s="322"/>
      <c r="J998" s="323"/>
    </row>
    <row r="999" spans="1:10" ht="15" customHeight="1">
      <c r="A999" s="315" t="str">
        <f>IF(B999="","",IF(B998="",SUM(COUNT($A$5:A998)+1),""))</f>
        <v/>
      </c>
      <c r="C999" s="316" t="str">
        <f>IF(B999="","",VLOOKUP(B999,'TB for financial'!A:B,2,0))</f>
        <v/>
      </c>
      <c r="D999" s="317"/>
      <c r="E999" s="318"/>
      <c r="F999" s="319"/>
      <c r="G999" s="320"/>
      <c r="H999" s="321"/>
      <c r="I999" s="322"/>
      <c r="J999" s="323"/>
    </row>
    <row r="1000" spans="1:10" ht="15" customHeight="1">
      <c r="A1000" s="315" t="str">
        <f>IF(B1000="","",IF(B999="",SUM(COUNT($A$5:A999)+1),""))</f>
        <v/>
      </c>
      <c r="C1000" s="316" t="str">
        <f>IF(B1000="","",VLOOKUP(B1000,'TB for financial'!A:B,2,0))</f>
        <v/>
      </c>
      <c r="D1000" s="317"/>
      <c r="E1000" s="318"/>
      <c r="F1000" s="319"/>
      <c r="G1000" s="320"/>
      <c r="H1000" s="321"/>
      <c r="I1000" s="322"/>
      <c r="J1000" s="323"/>
    </row>
    <row r="1001" spans="1:10" ht="15" customHeight="1">
      <c r="A1001" s="315" t="str">
        <f>IF(B1001="","",IF(B1000="",SUM(COUNT($A$5:A1000)+1),""))</f>
        <v/>
      </c>
      <c r="C1001" s="316" t="str">
        <f>IF(B1001="","",VLOOKUP(B1001,'TB for financial'!A:B,2,0))</f>
        <v/>
      </c>
      <c r="D1001" s="317"/>
      <c r="E1001" s="318"/>
      <c r="F1001" s="319"/>
      <c r="G1001" s="320"/>
      <c r="H1001" s="321"/>
      <c r="I1001" s="322"/>
      <c r="J1001" s="323"/>
    </row>
    <row r="1002" spans="1:10" ht="15" customHeight="1">
      <c r="A1002" s="315" t="str">
        <f>IF(B1002="","",IF(B1001="",SUM(COUNT($A$5:A1001)+1),""))</f>
        <v/>
      </c>
      <c r="C1002" s="316" t="str">
        <f>IF(B1002="","",VLOOKUP(B1002,'TB for financial'!A:B,2,0))</f>
        <v/>
      </c>
      <c r="D1002" s="317"/>
      <c r="E1002" s="318"/>
      <c r="F1002" s="319"/>
      <c r="G1002" s="320"/>
      <c r="H1002" s="321"/>
      <c r="I1002" s="322"/>
      <c r="J1002" s="323"/>
    </row>
    <row r="1003" spans="1:10" ht="15" customHeight="1">
      <c r="A1003" s="315" t="str">
        <f>IF(B1003="","",IF(B1002="",SUM(COUNT($A$5:A1002)+1),""))</f>
        <v/>
      </c>
      <c r="C1003" s="316" t="str">
        <f>IF(B1003="","",VLOOKUP(B1003,'TB for financial'!A:B,2,0))</f>
        <v/>
      </c>
      <c r="D1003" s="317"/>
      <c r="E1003" s="318"/>
      <c r="F1003" s="319"/>
      <c r="G1003" s="320"/>
      <c r="H1003" s="321"/>
      <c r="I1003" s="322"/>
      <c r="J1003" s="323"/>
    </row>
    <row r="1004" spans="1:10" ht="15" customHeight="1">
      <c r="A1004" s="315" t="str">
        <f>IF(B1004="","",IF(B1003="",SUM(COUNT($A$5:A1003)+1),""))</f>
        <v/>
      </c>
      <c r="C1004" s="316" t="str">
        <f>IF(B1004="","",VLOOKUP(B1004,'TB for financial'!A:B,2,0))</f>
        <v/>
      </c>
      <c r="D1004" s="317"/>
      <c r="E1004" s="318"/>
      <c r="F1004" s="319"/>
      <c r="G1004" s="320"/>
      <c r="H1004" s="321"/>
      <c r="I1004" s="322"/>
      <c r="J1004" s="323"/>
    </row>
    <row r="1005" spans="1:10" ht="15" customHeight="1">
      <c r="A1005" s="315" t="str">
        <f>IF(B1005="","",IF(B1004="",SUM(COUNT($A$5:A1004)+1),""))</f>
        <v/>
      </c>
      <c r="C1005" s="316" t="str">
        <f>IF(B1005="","",VLOOKUP(B1005,'TB for financial'!A:B,2,0))</f>
        <v/>
      </c>
      <c r="D1005" s="317"/>
      <c r="E1005" s="318"/>
      <c r="F1005" s="319"/>
      <c r="G1005" s="320"/>
      <c r="H1005" s="321"/>
      <c r="I1005" s="322"/>
      <c r="J1005" s="323"/>
    </row>
    <row r="1006" spans="1:10" ht="15" customHeight="1">
      <c r="A1006" s="315" t="str">
        <f>IF(B1006="","",IF(B1005="",SUM(COUNT($A$5:A1005)+1),""))</f>
        <v/>
      </c>
      <c r="C1006" s="316" t="str">
        <f>IF(B1006="","",VLOOKUP(B1006,'TB for financial'!A:B,2,0))</f>
        <v/>
      </c>
      <c r="D1006" s="317"/>
      <c r="E1006" s="318"/>
      <c r="F1006" s="319"/>
      <c r="G1006" s="320"/>
      <c r="H1006" s="321"/>
      <c r="I1006" s="322"/>
      <c r="J1006" s="323"/>
    </row>
    <row r="1007" spans="1:10" ht="15" customHeight="1">
      <c r="A1007" s="315" t="str">
        <f>IF(B1007="","",IF(B1006="",SUM(COUNT($A$5:A1006)+1),""))</f>
        <v/>
      </c>
      <c r="C1007" s="316" t="str">
        <f>IF(B1007="","",VLOOKUP(B1007,'TB for financial'!A:B,2,0))</f>
        <v/>
      </c>
      <c r="D1007" s="317"/>
      <c r="E1007" s="318"/>
      <c r="F1007" s="319"/>
      <c r="G1007" s="320"/>
      <c r="H1007" s="321"/>
      <c r="I1007" s="322"/>
      <c r="J1007" s="323"/>
    </row>
    <row r="1008" spans="1:10" ht="15" customHeight="1">
      <c r="A1008" s="315" t="str">
        <f>IF(B1008="","",IF(B1007="",SUM(COUNT($A$5:A1007)+1),""))</f>
        <v/>
      </c>
      <c r="C1008" s="316" t="str">
        <f>IF(B1008="","",VLOOKUP(B1008,'TB for financial'!A:B,2,0))</f>
        <v/>
      </c>
      <c r="D1008" s="317"/>
      <c r="E1008" s="318"/>
      <c r="F1008" s="319"/>
      <c r="G1008" s="320"/>
      <c r="H1008" s="321"/>
      <c r="I1008" s="322"/>
      <c r="J1008" s="323"/>
    </row>
    <row r="1009" spans="1:10" ht="15" customHeight="1">
      <c r="A1009" s="315" t="str">
        <f>IF(B1009="","",IF(B1008="",SUM(COUNT($A$5:A1008)+1),""))</f>
        <v/>
      </c>
      <c r="C1009" s="316" t="str">
        <f>IF(B1009="","",VLOOKUP(B1009,'TB for financial'!A:B,2,0))</f>
        <v/>
      </c>
      <c r="D1009" s="317"/>
      <c r="E1009" s="318"/>
      <c r="F1009" s="319"/>
      <c r="G1009" s="320"/>
      <c r="H1009" s="321"/>
      <c r="I1009" s="322"/>
      <c r="J1009" s="323"/>
    </row>
    <row r="1010" spans="1:10" ht="15" customHeight="1">
      <c r="A1010" s="315" t="str">
        <f>IF(B1010="","",IF(B1009="",SUM(COUNT($A$5:A1009)+1),""))</f>
        <v/>
      </c>
      <c r="C1010" s="316" t="str">
        <f>IF(B1010="","",VLOOKUP(B1010,'TB for financial'!A:B,2,0))</f>
        <v/>
      </c>
      <c r="D1010" s="317"/>
      <c r="E1010" s="318"/>
      <c r="F1010" s="319"/>
      <c r="G1010" s="320"/>
      <c r="H1010" s="321"/>
      <c r="I1010" s="322"/>
      <c r="J1010" s="323"/>
    </row>
    <row r="1011" spans="1:10">
      <c r="A1011" s="315" t="str">
        <f>IF(B1011="","",IF(B1010="",SUM(COUNT($A$5:A1010)+1),""))</f>
        <v/>
      </c>
      <c r="C1011" s="316" t="str">
        <f>IF(B1011="","",VLOOKUP(B1011,'TB for financial'!A:B,2,0))</f>
        <v/>
      </c>
      <c r="D1011" s="317"/>
      <c r="E1011" s="318"/>
      <c r="F1011" s="319"/>
      <c r="G1011" s="320"/>
      <c r="H1011" s="321"/>
      <c r="I1011" s="322"/>
      <c r="J1011" s="323"/>
    </row>
    <row r="1012" spans="1:10" ht="15" customHeight="1">
      <c r="A1012" s="315" t="str">
        <f>IF(B1012="","",IF(B1011="",SUM(COUNT($A$5:A1011)+1),""))</f>
        <v/>
      </c>
      <c r="C1012" s="316" t="str">
        <f>IF(B1012="","",VLOOKUP(B1012,'TB for financial'!A:B,2,0))</f>
        <v/>
      </c>
      <c r="D1012" s="317"/>
      <c r="E1012" s="318"/>
      <c r="F1012" s="319"/>
      <c r="G1012" s="320"/>
      <c r="H1012" s="321"/>
      <c r="I1012" s="322"/>
      <c r="J1012" s="323"/>
    </row>
    <row r="1013" spans="1:10" ht="15" customHeight="1">
      <c r="A1013" s="315" t="str">
        <f>IF(B1013="","",IF(B1012="",SUM(COUNT($A$5:A1012)+1),""))</f>
        <v/>
      </c>
      <c r="C1013" s="316" t="str">
        <f>IF(B1013="","",VLOOKUP(B1013,'TB for financial'!A:B,2,0))</f>
        <v/>
      </c>
      <c r="D1013" s="317"/>
      <c r="E1013" s="318"/>
      <c r="F1013" s="319"/>
      <c r="G1013" s="320"/>
      <c r="H1013" s="321"/>
      <c r="I1013" s="322"/>
      <c r="J1013" s="323"/>
    </row>
    <row r="1014" spans="1:10" ht="15" customHeight="1">
      <c r="A1014" s="315" t="str">
        <f>IF(B1014="","",IF(B1013="",SUM(COUNT($A$5:A1013)+1),""))</f>
        <v/>
      </c>
      <c r="C1014" s="316" t="str">
        <f>IF(B1014="","",VLOOKUP(B1014,'TB for financial'!A:B,2,0))</f>
        <v/>
      </c>
      <c r="D1014" s="317"/>
      <c r="E1014" s="318"/>
      <c r="F1014" s="319"/>
      <c r="G1014" s="320"/>
      <c r="H1014" s="321"/>
      <c r="I1014" s="322"/>
      <c r="J1014" s="323"/>
    </row>
    <row r="1015" spans="1:10">
      <c r="A1015" s="315" t="str">
        <f>IF(B1015="","",IF(B1014="",SUM(COUNT($A$5:A1014)+1),""))</f>
        <v/>
      </c>
      <c r="C1015" s="316" t="str">
        <f>IF(B1015="","",VLOOKUP(B1015,'TB for financial'!A:B,2,0))</f>
        <v/>
      </c>
      <c r="D1015" s="317"/>
      <c r="E1015" s="318"/>
      <c r="F1015" s="319"/>
      <c r="G1015" s="320"/>
      <c r="H1015" s="321"/>
      <c r="I1015" s="322"/>
      <c r="J1015" s="323"/>
    </row>
    <row r="1016" spans="1:10" ht="15" customHeight="1">
      <c r="A1016" s="315" t="str">
        <f>IF(B1016="","",IF(B1015="",SUM(COUNT($A$5:A1015)+1),""))</f>
        <v/>
      </c>
      <c r="C1016" s="316" t="str">
        <f>IF(B1016="","",VLOOKUP(B1016,'TB for financial'!A:B,2,0))</f>
        <v/>
      </c>
      <c r="D1016" s="317"/>
      <c r="E1016" s="318"/>
      <c r="F1016" s="319"/>
      <c r="G1016" s="320"/>
      <c r="H1016" s="321"/>
      <c r="I1016" s="322"/>
      <c r="J1016" s="323"/>
    </row>
    <row r="1017" spans="1:10" ht="15" customHeight="1">
      <c r="A1017" s="315" t="str">
        <f>IF(B1017="","",IF(B1016="",SUM(COUNT($A$5:A1016)+1),""))</f>
        <v/>
      </c>
      <c r="C1017" s="316" t="str">
        <f>IF(B1017="","",VLOOKUP(B1017,'TB for financial'!A:B,2,0))</f>
        <v/>
      </c>
      <c r="D1017" s="317"/>
      <c r="E1017" s="318"/>
      <c r="F1017" s="319"/>
      <c r="G1017" s="320"/>
      <c r="H1017" s="321"/>
      <c r="I1017" s="322"/>
      <c r="J1017" s="323"/>
    </row>
    <row r="1018" spans="1:10" ht="15" customHeight="1">
      <c r="A1018" s="315" t="str">
        <f>IF(B1018="","",IF(B1017="",SUM(COUNT($A$5:A1017)+1),""))</f>
        <v/>
      </c>
      <c r="C1018" s="316" t="str">
        <f>IF(B1018="","",VLOOKUP(B1018,'TB for financial'!A:B,2,0))</f>
        <v/>
      </c>
      <c r="D1018" s="317"/>
      <c r="E1018" s="318"/>
      <c r="F1018" s="319"/>
      <c r="G1018" s="320"/>
      <c r="H1018" s="321"/>
      <c r="I1018" s="322"/>
      <c r="J1018" s="323"/>
    </row>
    <row r="1019" spans="1:10" ht="15" customHeight="1">
      <c r="A1019" s="315" t="str">
        <f>IF(B1019="","",IF(B1018="",SUM(COUNT($A$5:A1018)+1),""))</f>
        <v/>
      </c>
      <c r="C1019" s="316" t="str">
        <f>IF(B1019="","",VLOOKUP(B1019,'TB for financial'!A:B,2,0))</f>
        <v/>
      </c>
      <c r="D1019" s="317"/>
      <c r="E1019" s="318"/>
      <c r="F1019" s="319"/>
      <c r="G1019" s="320"/>
      <c r="H1019" s="321"/>
      <c r="I1019" s="322"/>
      <c r="J1019" s="323"/>
    </row>
    <row r="1020" spans="1:10" ht="15" customHeight="1">
      <c r="A1020" s="315" t="str">
        <f>IF(B1020="","",IF(B1019="",SUM(COUNT($A$5:A1019)+1),""))</f>
        <v/>
      </c>
      <c r="C1020" s="316" t="str">
        <f>IF(B1020="","",VLOOKUP(B1020,'TB for financial'!A:B,2,0))</f>
        <v/>
      </c>
      <c r="D1020" s="317"/>
      <c r="E1020" s="318"/>
      <c r="F1020" s="319"/>
      <c r="G1020" s="320"/>
      <c r="H1020" s="321"/>
      <c r="I1020" s="322"/>
      <c r="J1020" s="323"/>
    </row>
    <row r="1021" spans="1:10" ht="15" customHeight="1">
      <c r="A1021" s="315" t="str">
        <f>IF(B1021="","",IF(B1020="",SUM(COUNT($A$5:A1020)+1),""))</f>
        <v/>
      </c>
      <c r="C1021" s="316" t="str">
        <f>IF(B1021="","",VLOOKUP(B1021,'TB for financial'!A:B,2,0))</f>
        <v/>
      </c>
      <c r="D1021" s="317"/>
      <c r="E1021" s="318"/>
      <c r="F1021" s="319"/>
      <c r="G1021" s="320"/>
      <c r="H1021" s="321"/>
      <c r="I1021" s="322"/>
      <c r="J1021" s="323"/>
    </row>
    <row r="1022" spans="1:10" ht="15" customHeight="1">
      <c r="A1022" s="315" t="str">
        <f>IF(B1022="","",IF(B1021="",SUM(COUNT($A$5:A1021)+1),""))</f>
        <v/>
      </c>
      <c r="C1022" s="316" t="str">
        <f>IF(B1022="","",VLOOKUP(B1022,'TB for financial'!A:B,2,0))</f>
        <v/>
      </c>
      <c r="D1022" s="317"/>
      <c r="E1022" s="318"/>
      <c r="F1022" s="319"/>
      <c r="G1022" s="320"/>
      <c r="H1022" s="321"/>
      <c r="I1022" s="322"/>
      <c r="J1022" s="323"/>
    </row>
    <row r="1023" spans="1:10">
      <c r="A1023" s="315" t="str">
        <f>IF(B1023="","",IF(B1022="",SUM(COUNT($A$5:A1022)+1),""))</f>
        <v/>
      </c>
      <c r="C1023" s="316" t="str">
        <f>IF(B1023="","",VLOOKUP(B1023,'TB for financial'!A:B,2,0))</f>
        <v/>
      </c>
      <c r="D1023" s="317"/>
      <c r="E1023" s="318"/>
      <c r="F1023" s="319"/>
      <c r="G1023" s="320"/>
      <c r="H1023" s="321"/>
      <c r="I1023" s="322"/>
      <c r="J1023" s="323"/>
    </row>
    <row r="1024" spans="1:10" ht="15" customHeight="1">
      <c r="A1024" s="315" t="str">
        <f>IF(B1024="","",IF(B1023="",SUM(COUNT($A$5:A1023)+1),""))</f>
        <v/>
      </c>
      <c r="C1024" s="316" t="str">
        <f>IF(B1024="","",VLOOKUP(B1024,'TB for financial'!A:B,2,0))</f>
        <v/>
      </c>
      <c r="D1024" s="317"/>
      <c r="E1024" s="318"/>
      <c r="F1024" s="319"/>
      <c r="G1024" s="320"/>
      <c r="H1024" s="321"/>
      <c r="I1024" s="322"/>
      <c r="J1024" s="323"/>
    </row>
    <row r="1025" spans="1:10" ht="15" customHeight="1">
      <c r="A1025" s="315" t="str">
        <f>IF(B1025="","",IF(B1024="",SUM(COUNT($A$5:A1024)+1),""))</f>
        <v/>
      </c>
      <c r="C1025" s="316" t="str">
        <f>IF(B1025="","",VLOOKUP(B1025,'TB for financial'!A:B,2,0))</f>
        <v/>
      </c>
      <c r="D1025" s="317"/>
      <c r="E1025" s="318"/>
      <c r="F1025" s="319"/>
      <c r="G1025" s="320"/>
      <c r="H1025" s="321"/>
      <c r="I1025" s="322"/>
      <c r="J1025" s="323"/>
    </row>
    <row r="1026" spans="1:10" ht="15" customHeight="1">
      <c r="A1026" s="315" t="str">
        <f>IF(B1026="","",IF(B1025="",SUM(COUNT($A$5:A1025)+1),""))</f>
        <v/>
      </c>
      <c r="C1026" s="316" t="str">
        <f>IF(B1026="","",VLOOKUP(B1026,'TB for financial'!A:B,2,0))</f>
        <v/>
      </c>
      <c r="D1026" s="317"/>
      <c r="E1026" s="318"/>
      <c r="F1026" s="319"/>
      <c r="G1026" s="320"/>
      <c r="H1026" s="321"/>
      <c r="I1026" s="322"/>
      <c r="J1026" s="323"/>
    </row>
    <row r="1027" spans="1:10" ht="15" customHeight="1">
      <c r="A1027" s="315" t="str">
        <f>IF(B1027="","",IF(B1026="",SUM(COUNT($A$5:A1026)+1),""))</f>
        <v/>
      </c>
      <c r="C1027" s="316" t="str">
        <f>IF(B1027="","",VLOOKUP(B1027,'TB for financial'!A:B,2,0))</f>
        <v/>
      </c>
      <c r="D1027" s="317"/>
      <c r="E1027" s="318"/>
      <c r="F1027" s="319"/>
      <c r="G1027" s="320"/>
      <c r="H1027" s="321"/>
      <c r="I1027" s="322"/>
      <c r="J1027" s="323"/>
    </row>
    <row r="1028" spans="1:10" ht="15" customHeight="1">
      <c r="A1028" s="315" t="str">
        <f>IF(B1028="","",IF(B1027="",SUM(COUNT($A$5:A1027)+1),""))</f>
        <v/>
      </c>
      <c r="C1028" s="316" t="str">
        <f>IF(B1028="","",VLOOKUP(B1028,'TB for financial'!A:B,2,0))</f>
        <v/>
      </c>
      <c r="D1028" s="317"/>
      <c r="E1028" s="318"/>
      <c r="F1028" s="319"/>
      <c r="G1028" s="320"/>
      <c r="H1028" s="321"/>
      <c r="I1028" s="322"/>
      <c r="J1028" s="323"/>
    </row>
    <row r="1029" spans="1:10" ht="15" customHeight="1">
      <c r="A1029" s="315" t="str">
        <f>IF(B1029="","",IF(B1028="",SUM(COUNT($A$5:A1028)+1),""))</f>
        <v/>
      </c>
      <c r="C1029" s="316" t="str">
        <f>IF(B1029="","",VLOOKUP(B1029,'TB for financial'!A:B,2,0))</f>
        <v/>
      </c>
      <c r="D1029" s="317"/>
      <c r="E1029" s="318"/>
      <c r="F1029" s="319"/>
      <c r="G1029" s="320"/>
      <c r="H1029" s="321"/>
      <c r="I1029" s="322"/>
      <c r="J1029" s="323"/>
    </row>
    <row r="1030" spans="1:10" ht="15" customHeight="1">
      <c r="A1030" s="315" t="str">
        <f>IF(B1030="","",IF(B1029="",SUM(COUNT($A$5:A1029)+1),""))</f>
        <v/>
      </c>
      <c r="C1030" s="316" t="str">
        <f>IF(B1030="","",VLOOKUP(B1030,'TB for financial'!A:B,2,0))</f>
        <v/>
      </c>
      <c r="D1030" s="317"/>
      <c r="E1030" s="318"/>
      <c r="F1030" s="319"/>
      <c r="G1030" s="320"/>
      <c r="H1030" s="321"/>
      <c r="I1030" s="322"/>
      <c r="J1030" s="323"/>
    </row>
    <row r="1031" spans="1:10" ht="15" customHeight="1">
      <c r="A1031" s="315" t="str">
        <f>IF(B1031="","",IF(B1030="",SUM(COUNT($A$5:A1030)+1),""))</f>
        <v/>
      </c>
      <c r="C1031" s="316" t="str">
        <f>IF(B1031="","",VLOOKUP(B1031,'TB for financial'!A:B,2,0))</f>
        <v/>
      </c>
      <c r="D1031" s="317"/>
      <c r="E1031" s="318"/>
      <c r="F1031" s="319"/>
      <c r="G1031" s="320"/>
      <c r="H1031" s="321"/>
      <c r="I1031" s="322"/>
      <c r="J1031" s="323"/>
    </row>
    <row r="1032" spans="1:10" ht="15" customHeight="1">
      <c r="A1032" s="315" t="str">
        <f>IF(B1032="","",IF(B1031="",SUM(COUNT($A$5:A1031)+1),""))</f>
        <v/>
      </c>
      <c r="C1032" s="316" t="str">
        <f>IF(B1032="","",VLOOKUP(B1032,'TB for financial'!A:B,2,0))</f>
        <v/>
      </c>
      <c r="D1032" s="317"/>
      <c r="E1032" s="318"/>
      <c r="F1032" s="319"/>
      <c r="G1032" s="320"/>
      <c r="H1032" s="321"/>
      <c r="I1032" s="322"/>
      <c r="J1032" s="323"/>
    </row>
    <row r="1033" spans="1:10" ht="15" customHeight="1">
      <c r="A1033" s="315" t="str">
        <f>IF(B1033="","",IF(B1032="",SUM(COUNT($A$5:A1032)+1),""))</f>
        <v/>
      </c>
      <c r="C1033" s="316" t="str">
        <f>IF(B1033="","",VLOOKUP(B1033,'TB for financial'!A:B,2,0))</f>
        <v/>
      </c>
      <c r="D1033" s="317"/>
      <c r="E1033" s="318"/>
      <c r="F1033" s="319"/>
      <c r="G1033" s="320"/>
      <c r="H1033" s="321"/>
      <c r="I1033" s="322"/>
      <c r="J1033" s="323"/>
    </row>
    <row r="1034" spans="1:10" ht="15" customHeight="1">
      <c r="A1034" s="315" t="str">
        <f>IF(B1034="","",IF(B1033="",SUM(COUNT($A$5:A1033)+1),""))</f>
        <v/>
      </c>
      <c r="C1034" s="316" t="str">
        <f>IF(B1034="","",VLOOKUP(B1034,'TB for financial'!A:B,2,0))</f>
        <v/>
      </c>
      <c r="D1034" s="317"/>
      <c r="E1034" s="318"/>
      <c r="F1034" s="319"/>
      <c r="G1034" s="320"/>
      <c r="H1034" s="321"/>
      <c r="I1034" s="322"/>
      <c r="J1034" s="323"/>
    </row>
    <row r="1035" spans="1:10" ht="15" customHeight="1">
      <c r="A1035" s="315" t="str">
        <f>IF(B1035="","",IF(B1034="",SUM(COUNT($A$5:A1034)+1),""))</f>
        <v/>
      </c>
      <c r="C1035" s="316" t="str">
        <f>IF(B1035="","",VLOOKUP(B1035,'TB for financial'!A:B,2,0))</f>
        <v/>
      </c>
      <c r="D1035" s="317"/>
      <c r="E1035" s="318"/>
      <c r="F1035" s="319"/>
      <c r="G1035" s="320"/>
      <c r="H1035" s="321"/>
      <c r="I1035" s="322"/>
      <c r="J1035" s="323"/>
    </row>
    <row r="1036" spans="1:10" ht="15" customHeight="1">
      <c r="A1036" s="315" t="str">
        <f>IF(B1036="","",IF(B1035="",SUM(COUNT($A$5:A1035)+1),""))</f>
        <v/>
      </c>
      <c r="C1036" s="316" t="str">
        <f>IF(B1036="","",VLOOKUP(B1036,'TB for financial'!A:B,2,0))</f>
        <v/>
      </c>
      <c r="D1036" s="317"/>
      <c r="E1036" s="318"/>
      <c r="F1036" s="319"/>
      <c r="G1036" s="320"/>
      <c r="H1036" s="321"/>
      <c r="I1036" s="322"/>
      <c r="J1036" s="323"/>
    </row>
    <row r="1037" spans="1:10">
      <c r="A1037" s="315" t="str">
        <f>IF(B1037="","",IF(B1036="",SUM(COUNT($A$5:A1036)+1),""))</f>
        <v/>
      </c>
      <c r="C1037" s="316" t="str">
        <f>IF(B1037="","",VLOOKUP(B1037,'TB for financial'!A:B,2,0))</f>
        <v/>
      </c>
      <c r="D1037" s="317"/>
      <c r="E1037" s="318"/>
      <c r="F1037" s="319"/>
      <c r="G1037" s="320"/>
      <c r="H1037" s="321"/>
      <c r="I1037" s="322"/>
      <c r="J1037" s="323"/>
    </row>
    <row r="1038" spans="1:10" ht="15" customHeight="1">
      <c r="A1038" s="315" t="str">
        <f>IF(B1038="","",IF(B1037="",SUM(COUNT($A$5:A1037)+1),""))</f>
        <v/>
      </c>
      <c r="C1038" s="316" t="str">
        <f>IF(B1038="","",VLOOKUP(B1038,'TB for financial'!A:B,2,0))</f>
        <v/>
      </c>
      <c r="D1038" s="317"/>
      <c r="E1038" s="318"/>
      <c r="F1038" s="319"/>
      <c r="G1038" s="320"/>
      <c r="H1038" s="321"/>
      <c r="I1038" s="322"/>
      <c r="J1038" s="323"/>
    </row>
    <row r="1039" spans="1:10" ht="15" customHeight="1">
      <c r="A1039" s="315" t="str">
        <f>IF(B1039="","",IF(B1038="",SUM(COUNT($A$5:A1038)+1),""))</f>
        <v/>
      </c>
      <c r="C1039" s="316" t="str">
        <f>IF(B1039="","",VLOOKUP(B1039,'TB for financial'!A:B,2,0))</f>
        <v/>
      </c>
      <c r="D1039" s="317"/>
      <c r="E1039" s="318"/>
      <c r="F1039" s="319"/>
      <c r="G1039" s="320"/>
      <c r="H1039" s="321"/>
      <c r="I1039" s="322"/>
      <c r="J1039" s="323"/>
    </row>
    <row r="1040" spans="1:10" ht="15" customHeight="1">
      <c r="A1040" s="315" t="str">
        <f>IF(B1040="","",IF(B1039="",SUM(COUNT($A$5:A1039)+1),""))</f>
        <v/>
      </c>
      <c r="C1040" s="316" t="str">
        <f>IF(B1040="","",VLOOKUP(B1040,'TB for financial'!A:B,2,0))</f>
        <v/>
      </c>
      <c r="D1040" s="317"/>
      <c r="E1040" s="318"/>
      <c r="F1040" s="319"/>
      <c r="G1040" s="320"/>
      <c r="H1040" s="321"/>
      <c r="I1040" s="322"/>
      <c r="J1040" s="323"/>
    </row>
    <row r="1041" spans="1:10">
      <c r="A1041" s="315" t="str">
        <f>IF(B1041="","",IF(B1040="",SUM(COUNT($A$5:A1040)+1),""))</f>
        <v/>
      </c>
      <c r="C1041" s="316" t="str">
        <f>IF(B1041="","",VLOOKUP(B1041,'TB for financial'!A:B,2,0))</f>
        <v/>
      </c>
      <c r="D1041" s="317"/>
      <c r="E1041" s="318"/>
      <c r="F1041" s="319"/>
      <c r="G1041" s="320"/>
      <c r="H1041" s="321"/>
      <c r="I1041" s="322"/>
      <c r="J1041" s="323"/>
    </row>
    <row r="1042" spans="1:10" ht="15" customHeight="1">
      <c r="A1042" s="315" t="str">
        <f>IF(B1042="","",IF(B1041="",SUM(COUNT($A$5:A1041)+1),""))</f>
        <v/>
      </c>
      <c r="C1042" s="316" t="str">
        <f>IF(B1042="","",VLOOKUP(B1042,'TB for financial'!A:B,2,0))</f>
        <v/>
      </c>
      <c r="D1042" s="317"/>
      <c r="E1042" s="318"/>
      <c r="F1042" s="319"/>
      <c r="G1042" s="320"/>
      <c r="H1042" s="321"/>
      <c r="I1042" s="322"/>
      <c r="J1042" s="323"/>
    </row>
    <row r="1043" spans="1:10" ht="15" customHeight="1">
      <c r="A1043" s="315" t="str">
        <f>IF(B1043="","",IF(B1042="",SUM(COUNT($A$5:A1042)+1),""))</f>
        <v/>
      </c>
      <c r="C1043" s="316" t="str">
        <f>IF(B1043="","",VLOOKUP(B1043,'TB for financial'!A:B,2,0))</f>
        <v/>
      </c>
      <c r="D1043" s="317"/>
      <c r="E1043" s="318"/>
      <c r="F1043" s="319"/>
      <c r="G1043" s="320"/>
      <c r="H1043" s="321"/>
      <c r="I1043" s="322"/>
      <c r="J1043" s="323"/>
    </row>
    <row r="1044" spans="1:10" ht="15" customHeight="1">
      <c r="A1044" s="315" t="str">
        <f>IF(B1044="","",IF(B1043="",SUM(COUNT($A$5:A1043)+1),""))</f>
        <v/>
      </c>
      <c r="C1044" s="316" t="str">
        <f>IF(B1044="","",VLOOKUP(B1044,'TB for financial'!A:B,2,0))</f>
        <v/>
      </c>
      <c r="D1044" s="317"/>
      <c r="E1044" s="318"/>
      <c r="F1044" s="319"/>
      <c r="G1044" s="320"/>
      <c r="H1044" s="321"/>
      <c r="I1044" s="322"/>
      <c r="J1044" s="323"/>
    </row>
    <row r="1045" spans="1:10" ht="15" customHeight="1">
      <c r="A1045" s="315" t="str">
        <f>IF(B1045="","",IF(B1044="",SUM(COUNT($A$5:A1044)+1),""))</f>
        <v/>
      </c>
      <c r="C1045" s="316" t="str">
        <f>IF(B1045="","",VLOOKUP(B1045,'TB for financial'!A:B,2,0))</f>
        <v/>
      </c>
      <c r="D1045" s="317"/>
      <c r="E1045" s="318"/>
      <c r="F1045" s="319"/>
      <c r="G1045" s="320"/>
      <c r="H1045" s="321"/>
      <c r="I1045" s="322"/>
      <c r="J1045" s="323"/>
    </row>
    <row r="1046" spans="1:10" ht="15" customHeight="1">
      <c r="A1046" s="315" t="str">
        <f>IF(B1046="","",IF(B1045="",SUM(COUNT($A$5:A1045)+1),""))</f>
        <v/>
      </c>
      <c r="C1046" s="316" t="str">
        <f>IF(B1046="","",VLOOKUP(B1046,'TB for financial'!A:B,2,0))</f>
        <v/>
      </c>
      <c r="D1046" s="317"/>
      <c r="E1046" s="318"/>
      <c r="F1046" s="319"/>
      <c r="G1046" s="320"/>
      <c r="H1046" s="321"/>
      <c r="I1046" s="322"/>
      <c r="J1046" s="323"/>
    </row>
    <row r="1047" spans="1:10" ht="15" customHeight="1">
      <c r="A1047" s="315" t="str">
        <f>IF(B1047="","",IF(B1046="",SUM(COUNT($A$5:A1046)+1),""))</f>
        <v/>
      </c>
      <c r="C1047" s="316" t="str">
        <f>IF(B1047="","",VLOOKUP(B1047,'TB for financial'!A:B,2,0))</f>
        <v/>
      </c>
      <c r="D1047" s="317"/>
      <c r="E1047" s="318"/>
      <c r="F1047" s="319"/>
      <c r="G1047" s="320"/>
      <c r="H1047" s="321"/>
      <c r="I1047" s="322"/>
      <c r="J1047" s="323"/>
    </row>
    <row r="1048" spans="1:10" ht="15" customHeight="1">
      <c r="A1048" s="315" t="str">
        <f>IF(B1048="","",IF(B1047="",SUM(COUNT($A$5:A1047)+1),""))</f>
        <v/>
      </c>
      <c r="C1048" s="316" t="str">
        <f>IF(B1048="","",VLOOKUP(B1048,'TB for financial'!A:B,2,0))</f>
        <v/>
      </c>
      <c r="D1048" s="317"/>
      <c r="E1048" s="318"/>
      <c r="F1048" s="319"/>
      <c r="G1048" s="320"/>
      <c r="H1048" s="321"/>
      <c r="I1048" s="322"/>
      <c r="J1048" s="323"/>
    </row>
    <row r="1049" spans="1:10" ht="15" customHeight="1">
      <c r="A1049" s="315" t="str">
        <f>IF(B1049="","",IF(B1048="",SUM(COUNT($A$5:A1048)+1),""))</f>
        <v/>
      </c>
      <c r="C1049" s="316" t="str">
        <f>IF(B1049="","",VLOOKUP(B1049,'TB for financial'!A:B,2,0))</f>
        <v/>
      </c>
      <c r="D1049" s="317"/>
      <c r="E1049" s="318"/>
      <c r="F1049" s="319"/>
      <c r="G1049" s="320"/>
      <c r="H1049" s="321"/>
      <c r="I1049" s="322"/>
      <c r="J1049" s="323"/>
    </row>
    <row r="1050" spans="1:10" ht="15" customHeight="1">
      <c r="A1050" s="315" t="str">
        <f>IF(B1050="","",IF(B1049="",SUM(COUNT($A$5:A1049)+1),""))</f>
        <v/>
      </c>
      <c r="C1050" s="316" t="str">
        <f>IF(B1050="","",VLOOKUP(B1050,'TB for financial'!A:B,2,0))</f>
        <v/>
      </c>
      <c r="D1050" s="317"/>
      <c r="E1050" s="318"/>
      <c r="F1050" s="319"/>
      <c r="G1050" s="320"/>
      <c r="H1050" s="321"/>
      <c r="I1050" s="322"/>
      <c r="J1050" s="323"/>
    </row>
    <row r="1051" spans="1:10" ht="15" customHeight="1">
      <c r="A1051" s="315" t="str">
        <f>IF(B1051="","",IF(B1050="",SUM(COUNT($A$5:A1050)+1),""))</f>
        <v/>
      </c>
      <c r="C1051" s="316" t="str">
        <f>IF(B1051="","",VLOOKUP(B1051,'TB for financial'!A:B,2,0))</f>
        <v/>
      </c>
      <c r="D1051" s="317"/>
      <c r="E1051" s="318"/>
      <c r="F1051" s="319"/>
      <c r="G1051" s="320"/>
      <c r="H1051" s="321"/>
      <c r="I1051" s="322"/>
      <c r="J1051" s="323"/>
    </row>
    <row r="1052" spans="1:10" ht="15" customHeight="1">
      <c r="A1052" s="315" t="str">
        <f>IF(B1052="","",IF(B1051="",SUM(COUNT($A$5:A1051)+1),""))</f>
        <v/>
      </c>
      <c r="C1052" s="316" t="str">
        <f>IF(B1052="","",VLOOKUP(B1052,'TB for financial'!A:B,2,0))</f>
        <v/>
      </c>
      <c r="D1052" s="317"/>
      <c r="E1052" s="318"/>
      <c r="F1052" s="319"/>
      <c r="G1052" s="320"/>
      <c r="H1052" s="321"/>
      <c r="I1052" s="322"/>
      <c r="J1052" s="323"/>
    </row>
    <row r="1053" spans="1:10">
      <c r="A1053" s="315" t="str">
        <f>IF(B1053="","",IF(B1052="",SUM(COUNT($A$5:A1052)+1),""))</f>
        <v/>
      </c>
      <c r="C1053" s="316" t="str">
        <f>IF(B1053="","",VLOOKUP(B1053,'TB for financial'!A:B,2,0))</f>
        <v/>
      </c>
      <c r="D1053" s="317"/>
      <c r="E1053" s="318"/>
      <c r="F1053" s="319"/>
      <c r="G1053" s="320"/>
      <c r="H1053" s="321"/>
      <c r="I1053" s="322"/>
      <c r="J1053" s="323"/>
    </row>
    <row r="1054" spans="1:10" ht="15" customHeight="1">
      <c r="A1054" s="315" t="str">
        <f>IF(B1054="","",IF(B1053="",SUM(COUNT($A$5:A1053)+1),""))</f>
        <v/>
      </c>
      <c r="C1054" s="316" t="str">
        <f>IF(B1054="","",VLOOKUP(B1054,'TB for financial'!A:B,2,0))</f>
        <v/>
      </c>
      <c r="D1054" s="317"/>
      <c r="E1054" s="318"/>
      <c r="F1054" s="319"/>
      <c r="G1054" s="320"/>
      <c r="H1054" s="321"/>
      <c r="I1054" s="322"/>
      <c r="J1054" s="323"/>
    </row>
    <row r="1055" spans="1:10" ht="15" customHeight="1">
      <c r="A1055" s="315" t="str">
        <f>IF(B1055="","",IF(B1054="",SUM(COUNT($A$5:A1054)+1),""))</f>
        <v/>
      </c>
      <c r="C1055" s="316" t="str">
        <f>IF(B1055="","",VLOOKUP(B1055,'TB for financial'!A:B,2,0))</f>
        <v/>
      </c>
      <c r="D1055" s="317"/>
      <c r="E1055" s="318"/>
      <c r="F1055" s="319"/>
      <c r="G1055" s="320"/>
      <c r="H1055" s="321"/>
      <c r="I1055" s="322"/>
      <c r="J1055" s="323"/>
    </row>
    <row r="1056" spans="1:10" ht="15" customHeight="1">
      <c r="A1056" s="315" t="str">
        <f>IF(B1056="","",IF(B1055="",SUM(COUNT($A$5:A1055)+1),""))</f>
        <v/>
      </c>
      <c r="C1056" s="316" t="str">
        <f>IF(B1056="","",VLOOKUP(B1056,'TB for financial'!A:B,2,0))</f>
        <v/>
      </c>
      <c r="D1056" s="317"/>
      <c r="E1056" s="318"/>
      <c r="F1056" s="319"/>
      <c r="G1056" s="320"/>
      <c r="H1056" s="321"/>
      <c r="I1056" s="322"/>
      <c r="J1056" s="323"/>
    </row>
    <row r="1057" spans="1:10">
      <c r="A1057" s="315" t="str">
        <f>IF(B1057="","",IF(B1056="",SUM(COUNT($A$5:A1056)+1),""))</f>
        <v/>
      </c>
      <c r="C1057" s="316" t="str">
        <f>IF(B1057="","",VLOOKUP(B1057,'TB for financial'!A:B,2,0))</f>
        <v/>
      </c>
      <c r="D1057" s="317"/>
      <c r="E1057" s="318"/>
      <c r="F1057" s="319"/>
      <c r="G1057" s="320"/>
      <c r="H1057" s="321"/>
      <c r="I1057" s="322"/>
      <c r="J1057" s="323"/>
    </row>
    <row r="1058" spans="1:10" ht="15" customHeight="1">
      <c r="A1058" s="315" t="str">
        <f>IF(B1058="","",IF(B1057="",SUM(COUNT($A$5:A1057)+1),""))</f>
        <v/>
      </c>
      <c r="C1058" s="316" t="str">
        <f>IF(B1058="","",VLOOKUP(B1058,'TB for financial'!A:B,2,0))</f>
        <v/>
      </c>
      <c r="D1058" s="317"/>
      <c r="E1058" s="318"/>
      <c r="F1058" s="319"/>
      <c r="G1058" s="320"/>
      <c r="H1058" s="321"/>
      <c r="I1058" s="322"/>
      <c r="J1058" s="323"/>
    </row>
    <row r="1059" spans="1:10" ht="15" customHeight="1">
      <c r="A1059" s="315" t="str">
        <f>IF(B1059="","",IF(B1058="",SUM(COUNT($A$5:A1058)+1),""))</f>
        <v/>
      </c>
      <c r="C1059" s="316" t="str">
        <f>IF(B1059="","",VLOOKUP(B1059,'TB for financial'!A:B,2,0))</f>
        <v/>
      </c>
      <c r="D1059" s="317"/>
      <c r="E1059" s="318"/>
      <c r="F1059" s="319"/>
      <c r="G1059" s="320"/>
      <c r="H1059" s="321"/>
      <c r="I1059" s="322"/>
      <c r="J1059" s="323"/>
    </row>
    <row r="1060" spans="1:10" ht="15" customHeight="1">
      <c r="A1060" s="315" t="str">
        <f>IF(B1060="","",IF(B1059="",SUM(COUNT($A$5:A1059)+1),""))</f>
        <v/>
      </c>
      <c r="C1060" s="316" t="str">
        <f>IF(B1060="","",VLOOKUP(B1060,'TB for financial'!A:B,2,0))</f>
        <v/>
      </c>
      <c r="D1060" s="317"/>
      <c r="E1060" s="318"/>
      <c r="F1060" s="319"/>
      <c r="G1060" s="320"/>
      <c r="H1060" s="321"/>
      <c r="I1060" s="322"/>
      <c r="J1060" s="323"/>
    </row>
    <row r="1061" spans="1:10" ht="15" customHeight="1">
      <c r="A1061" s="315" t="str">
        <f>IF(B1061="","",IF(B1060="",SUM(COUNT($A$5:A1060)+1),""))</f>
        <v/>
      </c>
      <c r="C1061" s="316" t="str">
        <f>IF(B1061="","",VLOOKUP(B1061,'TB for financial'!A:B,2,0))</f>
        <v/>
      </c>
      <c r="D1061" s="317"/>
      <c r="E1061" s="318"/>
      <c r="F1061" s="319"/>
      <c r="G1061" s="320"/>
      <c r="H1061" s="321"/>
      <c r="I1061" s="322"/>
      <c r="J1061" s="323"/>
    </row>
    <row r="1062" spans="1:10" ht="15" customHeight="1">
      <c r="A1062" s="315" t="str">
        <f>IF(B1062="","",IF(B1061="",SUM(COUNT($A$5:A1061)+1),""))</f>
        <v/>
      </c>
      <c r="C1062" s="316" t="str">
        <f>IF(B1062="","",VLOOKUP(B1062,'TB for financial'!A:B,2,0))</f>
        <v/>
      </c>
      <c r="D1062" s="317"/>
      <c r="E1062" s="318"/>
      <c r="F1062" s="319"/>
      <c r="G1062" s="320"/>
      <c r="H1062" s="321"/>
      <c r="I1062" s="322"/>
      <c r="J1062" s="323"/>
    </row>
    <row r="1063" spans="1:10" ht="15" customHeight="1">
      <c r="A1063" s="315" t="str">
        <f>IF(B1063="","",IF(B1062="",SUM(COUNT($A$5:A1062)+1),""))</f>
        <v/>
      </c>
      <c r="C1063" s="316" t="str">
        <f>IF(B1063="","",VLOOKUP(B1063,'TB for financial'!A:B,2,0))</f>
        <v/>
      </c>
      <c r="D1063" s="317"/>
      <c r="E1063" s="318"/>
      <c r="F1063" s="319"/>
      <c r="G1063" s="320"/>
      <c r="H1063" s="321"/>
      <c r="I1063" s="322"/>
      <c r="J1063" s="323"/>
    </row>
    <row r="1064" spans="1:10" ht="15" customHeight="1">
      <c r="A1064" s="315" t="str">
        <f>IF(B1064="","",IF(B1063="",SUM(COUNT($A$5:A1063)+1),""))</f>
        <v/>
      </c>
      <c r="C1064" s="316" t="str">
        <f>IF(B1064="","",VLOOKUP(B1064,'TB for financial'!A:B,2,0))</f>
        <v/>
      </c>
      <c r="D1064" s="317"/>
      <c r="E1064" s="318"/>
      <c r="F1064" s="319"/>
      <c r="G1064" s="320"/>
      <c r="H1064" s="321"/>
      <c r="I1064" s="322"/>
      <c r="J1064" s="323"/>
    </row>
    <row r="1065" spans="1:10" ht="15" customHeight="1">
      <c r="A1065" s="315" t="str">
        <f>IF(B1065="","",IF(B1064="",SUM(COUNT($A$5:A1064)+1),""))</f>
        <v/>
      </c>
      <c r="C1065" s="316" t="str">
        <f>IF(B1065="","",VLOOKUP(B1065,'TB for financial'!A:B,2,0))</f>
        <v/>
      </c>
      <c r="D1065" s="317"/>
      <c r="E1065" s="318"/>
      <c r="F1065" s="319"/>
      <c r="G1065" s="320"/>
      <c r="H1065" s="321"/>
      <c r="I1065" s="322"/>
      <c r="J1065" s="323"/>
    </row>
    <row r="1066" spans="1:10" ht="15" customHeight="1">
      <c r="A1066" s="315" t="str">
        <f>IF(B1066="","",IF(B1065="",SUM(COUNT($A$5:A1065)+1),""))</f>
        <v/>
      </c>
      <c r="C1066" s="316" t="str">
        <f>IF(B1066="","",VLOOKUP(B1066,'TB for financial'!A:B,2,0))</f>
        <v/>
      </c>
      <c r="D1066" s="317"/>
      <c r="E1066" s="318"/>
      <c r="F1066" s="319"/>
      <c r="G1066" s="320"/>
      <c r="H1066" s="321"/>
      <c r="I1066" s="322"/>
      <c r="J1066" s="323"/>
    </row>
    <row r="1067" spans="1:10" ht="15" customHeight="1">
      <c r="A1067" s="315" t="str">
        <f>IF(B1067="","",IF(B1066="",SUM(COUNT($A$5:A1066)+1),""))</f>
        <v/>
      </c>
      <c r="C1067" s="316" t="str">
        <f>IF(B1067="","",VLOOKUP(B1067,'TB for financial'!A:B,2,0))</f>
        <v/>
      </c>
      <c r="D1067" s="317"/>
      <c r="E1067" s="318"/>
      <c r="F1067" s="319"/>
      <c r="G1067" s="320"/>
      <c r="H1067" s="321"/>
      <c r="I1067" s="322"/>
      <c r="J1067" s="323"/>
    </row>
    <row r="1068" spans="1:10" ht="15" customHeight="1">
      <c r="A1068" s="315" t="str">
        <f>IF(B1068="","",IF(B1067="",SUM(COUNT($A$5:A1067)+1),""))</f>
        <v/>
      </c>
      <c r="C1068" s="316" t="str">
        <f>IF(B1068="","",VLOOKUP(B1068,'TB for financial'!A:B,2,0))</f>
        <v/>
      </c>
      <c r="D1068" s="317"/>
      <c r="E1068" s="318"/>
      <c r="F1068" s="319"/>
      <c r="G1068" s="320"/>
      <c r="H1068" s="321"/>
      <c r="I1068" s="322"/>
      <c r="J1068" s="323"/>
    </row>
    <row r="1069" spans="1:10" ht="15" customHeight="1">
      <c r="A1069" s="315" t="str">
        <f>IF(B1069="","",IF(B1068="",SUM(COUNT($A$5:A1068)+1),""))</f>
        <v/>
      </c>
      <c r="C1069" s="316" t="str">
        <f>IF(B1069="","",VLOOKUP(B1069,'TB for financial'!A:B,2,0))</f>
        <v/>
      </c>
      <c r="D1069" s="317"/>
      <c r="E1069" s="318"/>
      <c r="F1069" s="319"/>
      <c r="G1069" s="320"/>
      <c r="H1069" s="321"/>
      <c r="I1069" s="322"/>
      <c r="J1069" s="323"/>
    </row>
    <row r="1070" spans="1:10">
      <c r="A1070" s="315" t="str">
        <f>IF(B1070="","",IF(B1069="",SUM(COUNT($A$5:A1069)+1),""))</f>
        <v/>
      </c>
      <c r="C1070" s="316" t="str">
        <f>IF(B1070="","",VLOOKUP(B1070,'TB for financial'!A:B,2,0))</f>
        <v/>
      </c>
      <c r="D1070" s="317"/>
      <c r="E1070" s="318"/>
      <c r="F1070" s="319"/>
      <c r="G1070" s="320"/>
      <c r="H1070" s="321"/>
      <c r="I1070" s="322"/>
      <c r="J1070" s="323"/>
    </row>
    <row r="1071" spans="1:10">
      <c r="A1071" s="315" t="str">
        <f>IF(B1071="","",IF(B1070="",SUM(COUNT($A$5:A1070)+1),""))</f>
        <v/>
      </c>
      <c r="C1071" s="316" t="str">
        <f>IF(B1071="","",VLOOKUP(B1071,'TB for financial'!A:B,2,0))</f>
        <v/>
      </c>
      <c r="D1071" s="317"/>
      <c r="E1071" s="318"/>
      <c r="F1071" s="319"/>
      <c r="G1071" s="320"/>
      <c r="H1071" s="321"/>
      <c r="I1071" s="322"/>
      <c r="J1071" s="323"/>
    </row>
    <row r="1072" spans="1:10">
      <c r="A1072" s="315" t="str">
        <f>IF(B1072="","",IF(B1071="",SUM(COUNT($A$5:A1071)+1),""))</f>
        <v/>
      </c>
      <c r="C1072" s="316" t="str">
        <f>IF(B1072="","",VLOOKUP(B1072,'TB for financial'!A:B,2,0))</f>
        <v/>
      </c>
      <c r="D1072" s="317"/>
      <c r="E1072" s="318"/>
      <c r="F1072" s="319"/>
      <c r="G1072" s="320"/>
      <c r="H1072" s="321"/>
      <c r="I1072" s="322"/>
      <c r="J1072" s="323"/>
    </row>
    <row r="1073" spans="1:10">
      <c r="A1073" s="315" t="str">
        <f>IF(B1073="","",IF(B1072="",SUM(COUNT($A$5:A1072)+1),""))</f>
        <v/>
      </c>
      <c r="C1073" s="316" t="str">
        <f>IF(B1073="","",VLOOKUP(B1073,'TB for financial'!A:B,2,0))</f>
        <v/>
      </c>
      <c r="D1073" s="317"/>
      <c r="E1073" s="318"/>
      <c r="F1073" s="319"/>
      <c r="G1073" s="320"/>
      <c r="H1073" s="321"/>
      <c r="I1073" s="322"/>
      <c r="J1073" s="323"/>
    </row>
    <row r="1074" spans="1:10">
      <c r="A1074" s="315" t="str">
        <f>IF(B1074="","",IF(B1073="",SUM(COUNT($A$5:A1073)+1),""))</f>
        <v/>
      </c>
      <c r="C1074" s="316" t="str">
        <f>IF(B1074="","",VLOOKUP(B1074,'TB for financial'!A:B,2,0))</f>
        <v/>
      </c>
      <c r="D1074" s="317"/>
      <c r="E1074" s="318"/>
      <c r="F1074" s="319"/>
      <c r="G1074" s="320"/>
      <c r="H1074" s="321"/>
      <c r="I1074" s="322"/>
      <c r="J1074" s="323"/>
    </row>
    <row r="1075" spans="1:10">
      <c r="A1075" s="315" t="str">
        <f>IF(B1075="","",IF(B1074="",SUM(COUNT($A$5:A1074)+1),""))</f>
        <v/>
      </c>
      <c r="C1075" s="316" t="str">
        <f>IF(B1075="","",VLOOKUP(B1075,'TB for financial'!A:B,2,0))</f>
        <v/>
      </c>
      <c r="D1075" s="317"/>
      <c r="E1075" s="318"/>
      <c r="F1075" s="319"/>
      <c r="G1075" s="320"/>
      <c r="H1075" s="321"/>
      <c r="I1075" s="322"/>
      <c r="J1075" s="323"/>
    </row>
    <row r="1076" spans="1:10">
      <c r="A1076" s="315" t="str">
        <f>IF(B1076="","",IF(B1075="",SUM(COUNT($A$5:A1075)+1),""))</f>
        <v/>
      </c>
      <c r="C1076" s="316" t="str">
        <f>IF(B1076="","",VLOOKUP(B1076,'TB for financial'!A:B,2,0))</f>
        <v/>
      </c>
      <c r="D1076" s="317"/>
      <c r="E1076" s="318"/>
      <c r="F1076" s="319"/>
      <c r="G1076" s="320"/>
      <c r="H1076" s="321"/>
      <c r="I1076" s="322"/>
      <c r="J1076" s="323"/>
    </row>
    <row r="1077" spans="1:10">
      <c r="A1077" s="315" t="str">
        <f>IF(B1077="","",IF(B1076="",SUM(COUNT($A$5:A1076)+1),""))</f>
        <v/>
      </c>
      <c r="C1077" s="316" t="str">
        <f>IF(B1077="","",VLOOKUP(B1077,'TB for financial'!A:B,2,0))</f>
        <v/>
      </c>
      <c r="D1077" s="317"/>
      <c r="E1077" s="318"/>
      <c r="F1077" s="319"/>
      <c r="G1077" s="320"/>
      <c r="H1077" s="321"/>
      <c r="I1077" s="322"/>
      <c r="J1077" s="323"/>
    </row>
    <row r="1078" spans="1:10">
      <c r="A1078" s="315" t="str">
        <f>IF(B1078="","",IF(B1077="",SUM(COUNT($A$5:A1077)+1),""))</f>
        <v/>
      </c>
      <c r="C1078" s="316" t="str">
        <f>IF(B1078="","",VLOOKUP(B1078,'TB for financial'!A:B,2,0))</f>
        <v/>
      </c>
      <c r="D1078" s="317"/>
      <c r="E1078" s="318"/>
      <c r="F1078" s="319"/>
      <c r="G1078" s="320"/>
      <c r="H1078" s="321"/>
      <c r="I1078" s="322"/>
      <c r="J1078" s="323"/>
    </row>
    <row r="1079" spans="1:10">
      <c r="A1079" s="315" t="str">
        <f>IF(B1079="","",IF(B1078="",SUM(COUNT($A$5:A1078)+1),""))</f>
        <v/>
      </c>
      <c r="C1079" s="316" t="str">
        <f>IF(B1079="","",VLOOKUP(B1079,'TB for financial'!A:B,2,0))</f>
        <v/>
      </c>
      <c r="D1079" s="317"/>
      <c r="E1079" s="318"/>
      <c r="F1079" s="319"/>
      <c r="G1079" s="320"/>
      <c r="H1079" s="321"/>
      <c r="I1079" s="322"/>
      <c r="J1079" s="323"/>
    </row>
    <row r="1080" spans="1:10">
      <c r="A1080" s="315" t="str">
        <f>IF(B1080="","",IF(B1079="",SUM(COUNT($A$5:A1079)+1),""))</f>
        <v/>
      </c>
      <c r="C1080" s="316" t="str">
        <f>IF(B1080="","",VLOOKUP(B1080,'TB for financial'!A:B,2,0))</f>
        <v/>
      </c>
      <c r="D1080" s="317"/>
      <c r="E1080" s="318"/>
      <c r="F1080" s="319"/>
      <c r="G1080" s="320"/>
      <c r="H1080" s="321"/>
      <c r="I1080" s="322"/>
      <c r="J1080" s="323"/>
    </row>
    <row r="1081" spans="1:10">
      <c r="A1081" s="315" t="str">
        <f>IF(B1081="","",IF(B1080="",SUM(COUNT($A$5:A1080)+1),""))</f>
        <v/>
      </c>
      <c r="C1081" s="316" t="str">
        <f>IF(B1081="","",VLOOKUP(B1081,'TB for financial'!A:B,2,0))</f>
        <v/>
      </c>
      <c r="D1081" s="317"/>
      <c r="E1081" s="318"/>
      <c r="F1081" s="319"/>
      <c r="G1081" s="320"/>
      <c r="H1081" s="321"/>
      <c r="I1081" s="322"/>
      <c r="J1081" s="323"/>
    </row>
    <row r="1082" spans="1:10">
      <c r="A1082" s="315" t="str">
        <f>IF(B1082="","",IF(B1081="",SUM(COUNT($A$5:A1081)+1),""))</f>
        <v/>
      </c>
      <c r="C1082" s="316" t="str">
        <f>IF(B1082="","",VLOOKUP(B1082,'TB for financial'!A:B,2,0))</f>
        <v/>
      </c>
      <c r="D1082" s="317"/>
      <c r="E1082" s="318"/>
      <c r="F1082" s="319"/>
      <c r="G1082" s="320"/>
      <c r="H1082" s="321"/>
      <c r="I1082" s="322"/>
      <c r="J1082" s="323"/>
    </row>
    <row r="1083" spans="1:10" ht="15" customHeight="1">
      <c r="A1083" s="315" t="str">
        <f>IF(B1083="","",IF(B1082="",SUM(COUNT($A$5:A1082)+1),""))</f>
        <v/>
      </c>
      <c r="C1083" s="316" t="str">
        <f>IF(B1083="","",VLOOKUP(B1083,'TB for financial'!A:B,2,0))</f>
        <v/>
      </c>
      <c r="D1083" s="317"/>
      <c r="E1083" s="318"/>
      <c r="F1083" s="319"/>
      <c r="G1083" s="320"/>
      <c r="H1083" s="321"/>
      <c r="I1083" s="322"/>
      <c r="J1083" s="323"/>
    </row>
    <row r="1084" spans="1:10" ht="15" customHeight="1">
      <c r="A1084" s="315" t="str">
        <f>IF(B1084="","",IF(B1083="",SUM(COUNT($A$5:A1083)+1),""))</f>
        <v/>
      </c>
      <c r="C1084" s="316" t="str">
        <f>IF(B1084="","",VLOOKUP(B1084,'TB for financial'!A:B,2,0))</f>
        <v/>
      </c>
      <c r="D1084" s="317"/>
      <c r="E1084" s="318"/>
      <c r="F1084" s="319"/>
      <c r="G1084" s="320"/>
      <c r="H1084" s="321"/>
      <c r="I1084" s="322"/>
      <c r="J1084" s="323"/>
    </row>
    <row r="1085" spans="1:10" ht="15" customHeight="1">
      <c r="A1085" s="315" t="str">
        <f>IF(B1085="","",IF(B1084="",SUM(COUNT($A$5:A1084)+1),""))</f>
        <v/>
      </c>
      <c r="C1085" s="316" t="str">
        <f>IF(B1085="","",VLOOKUP(B1085,'TB for financial'!A:B,2,0))</f>
        <v/>
      </c>
      <c r="D1085" s="317"/>
      <c r="E1085" s="318"/>
      <c r="F1085" s="319"/>
      <c r="G1085" s="320"/>
      <c r="H1085" s="321"/>
      <c r="I1085" s="322"/>
      <c r="J1085" s="323"/>
    </row>
    <row r="1086" spans="1:10">
      <c r="A1086" s="315" t="str">
        <f>IF(B1086="","",IF(B1085="",SUM(COUNT($A$5:A1085)+1),""))</f>
        <v/>
      </c>
      <c r="C1086" s="316" t="str">
        <f>IF(B1086="","",VLOOKUP(B1086,'TB for financial'!A:B,2,0))</f>
        <v/>
      </c>
      <c r="D1086" s="317"/>
      <c r="E1086" s="318"/>
      <c r="F1086" s="319"/>
      <c r="G1086" s="320"/>
      <c r="H1086" s="321"/>
      <c r="I1086" s="322"/>
      <c r="J1086" s="323"/>
    </row>
    <row r="1087" spans="1:10" ht="15" customHeight="1">
      <c r="A1087" s="315" t="str">
        <f>IF(B1087="","",IF(B1086="",SUM(COUNT($A$5:A1086)+1),""))</f>
        <v/>
      </c>
      <c r="C1087" s="316" t="str">
        <f>IF(B1087="","",VLOOKUP(B1087,'TB for financial'!A:B,2,0))</f>
        <v/>
      </c>
      <c r="D1087" s="317"/>
      <c r="E1087" s="318"/>
      <c r="F1087" s="319"/>
      <c r="G1087" s="320"/>
      <c r="H1087" s="321"/>
      <c r="I1087" s="322"/>
      <c r="J1087" s="323"/>
    </row>
    <row r="1088" spans="1:10" ht="15" customHeight="1">
      <c r="A1088" s="315" t="str">
        <f>IF(B1088="","",IF(B1087="",SUM(COUNT($A$5:A1087)+1),""))</f>
        <v/>
      </c>
      <c r="C1088" s="316" t="str">
        <f>IF(B1088="","",VLOOKUP(B1088,'TB for financial'!A:B,2,0))</f>
        <v/>
      </c>
      <c r="D1088" s="317"/>
      <c r="E1088" s="318"/>
      <c r="F1088" s="319"/>
      <c r="G1088" s="320"/>
      <c r="H1088" s="321"/>
      <c r="I1088" s="322"/>
      <c r="J1088" s="323"/>
    </row>
    <row r="1089" spans="1:10" ht="15" customHeight="1">
      <c r="A1089" s="315" t="str">
        <f>IF(B1089="","",IF(B1088="",SUM(COUNT($A$5:A1088)+1),""))</f>
        <v/>
      </c>
      <c r="C1089" s="316" t="str">
        <f>IF(B1089="","",VLOOKUP(B1089,'TB for financial'!A:B,2,0))</f>
        <v/>
      </c>
      <c r="D1089" s="317"/>
      <c r="E1089" s="318"/>
      <c r="F1089" s="319"/>
      <c r="G1089" s="320"/>
      <c r="H1089" s="321"/>
      <c r="I1089" s="322"/>
      <c r="J1089" s="323"/>
    </row>
    <row r="1090" spans="1:10" ht="15" customHeight="1">
      <c r="A1090" s="315" t="str">
        <f>IF(B1090="","",IF(B1089="",SUM(COUNT($A$5:A1089)+1),""))</f>
        <v/>
      </c>
      <c r="C1090" s="316" t="str">
        <f>IF(B1090="","",VLOOKUP(B1090,'TB for financial'!A:B,2,0))</f>
        <v/>
      </c>
      <c r="D1090" s="317"/>
      <c r="E1090" s="318"/>
      <c r="F1090" s="319"/>
      <c r="G1090" s="320"/>
      <c r="H1090" s="321"/>
      <c r="I1090" s="322"/>
      <c r="J1090" s="323"/>
    </row>
    <row r="1091" spans="1:10" ht="15" customHeight="1">
      <c r="A1091" s="315" t="str">
        <f>IF(B1091="","",IF(B1090="",SUM(COUNT($A$5:A1090)+1),""))</f>
        <v/>
      </c>
      <c r="C1091" s="316" t="str">
        <f>IF(B1091="","",VLOOKUP(B1091,'TB for financial'!A:B,2,0))</f>
        <v/>
      </c>
      <c r="D1091" s="317"/>
      <c r="E1091" s="318"/>
      <c r="F1091" s="319"/>
      <c r="G1091" s="320"/>
      <c r="H1091" s="321"/>
      <c r="I1091" s="322"/>
      <c r="J1091" s="323"/>
    </row>
    <row r="1092" spans="1:10" ht="15" customHeight="1">
      <c r="A1092" s="315" t="str">
        <f>IF(B1092="","",IF(B1091="",SUM(COUNT($A$5:A1091)+1),""))</f>
        <v/>
      </c>
      <c r="C1092" s="316" t="str">
        <f>IF(B1092="","",VLOOKUP(B1092,'TB for financial'!A:B,2,0))</f>
        <v/>
      </c>
      <c r="D1092" s="317"/>
      <c r="E1092" s="318"/>
      <c r="F1092" s="319"/>
      <c r="G1092" s="320"/>
      <c r="H1092" s="321"/>
      <c r="I1092" s="322"/>
      <c r="J1092" s="323"/>
    </row>
    <row r="1093" spans="1:10" ht="15" thickBot="1">
      <c r="A1093" s="333"/>
      <c r="B1093" s="334"/>
      <c r="C1093" s="335"/>
      <c r="D1093" s="336">
        <f>SUM(D5:D1092)</f>
        <v>321390373.58855504</v>
      </c>
      <c r="E1093" s="337">
        <f>SUM(E5:E1092)</f>
        <v>321390373.58204782</v>
      </c>
      <c r="F1093" s="338"/>
      <c r="G1093" s="339"/>
      <c r="H1093" s="339"/>
      <c r="I1093" s="340"/>
      <c r="J1093" s="341"/>
    </row>
    <row r="1096" spans="1:10">
      <c r="C1096" s="316" t="str">
        <f>IF(B1096="","",VLOOKUP(B1096,'TB for financial'!A:B,2,0))</f>
        <v/>
      </c>
    </row>
    <row r="1097" spans="1:10">
      <c r="C1097" s="316" t="str">
        <f>IF(B1097="","",VLOOKUP(B1097,'TB for financial'!A:B,2,0))</f>
        <v/>
      </c>
    </row>
    <row r="1098" spans="1:10">
      <c r="C1098" s="316" t="str">
        <f>IF(B1098="","",VLOOKUP(B1098,'TB for financial'!A:B,2,0))</f>
        <v/>
      </c>
    </row>
    <row r="1099" spans="1:10">
      <c r="C1099" s="316" t="str">
        <f>IF(B1099="","",VLOOKUP(B1099,'TB for financial'!A:B,2,0))</f>
        <v/>
      </c>
      <c r="F1099" s="342"/>
    </row>
    <row r="1100" spans="1:10">
      <c r="C1100" s="316" t="str">
        <f>IF(B1100="","",VLOOKUP(B1100,'TB for financial'!A:B,2,0))</f>
        <v/>
      </c>
    </row>
    <row r="1101" spans="1:10">
      <c r="C1101" s="316" t="str">
        <f>IF(B1101="","",VLOOKUP(B1101,'TB for financial'!A:B,2,0))</f>
        <v/>
      </c>
    </row>
    <row r="1102" spans="1:10">
      <c r="C1102" s="316" t="str">
        <f>IF(B1102="","",VLOOKUP(B1102,'TB for financial'!A:B,2,0))</f>
        <v/>
      </c>
    </row>
    <row r="1103" spans="1:10">
      <c r="C1103" s="316" t="str">
        <f>IF(B1103="","",VLOOKUP(B1103,'TB for financial'!A:B,2,0))</f>
        <v/>
      </c>
    </row>
    <row r="1104" spans="1:10">
      <c r="C1104" s="316" t="str">
        <f>IF(B1104="","",VLOOKUP(B1104,'TB for financial'!A:B,2,0))</f>
        <v/>
      </c>
    </row>
    <row r="1105" spans="3:3">
      <c r="C1105" s="316" t="str">
        <f>IF(B1105="","",VLOOKUP(B1105,'TB for financial'!A:B,2,0))</f>
        <v/>
      </c>
    </row>
    <row r="1106" spans="3:3">
      <c r="C1106" s="316" t="str">
        <f>IF(B1106="","",VLOOKUP(B1106,'TB for financial'!A:B,2,0))</f>
        <v/>
      </c>
    </row>
    <row r="1107" spans="3:3">
      <c r="C1107" s="316" t="str">
        <f>IF(B1107="","",VLOOKUP(B1107,'TB for financial'!A:B,2,0))</f>
        <v/>
      </c>
    </row>
    <row r="1108" spans="3:3">
      <c r="C1108" s="316" t="str">
        <f>IF(B1108="","",VLOOKUP(B1108,'TB for financial'!A:B,2,0))</f>
        <v/>
      </c>
    </row>
    <row r="1109" spans="3:3">
      <c r="C1109" s="316" t="str">
        <f>IF(B1109="","",VLOOKUP(B1109,'TB for financial'!A:B,2,0))</f>
        <v/>
      </c>
    </row>
    <row r="1110" spans="3:3">
      <c r="C1110" s="316" t="str">
        <f>IF(B1110="","",VLOOKUP(B1110,'TB for financial'!A:B,2,0))</f>
        <v/>
      </c>
    </row>
    <row r="1111" spans="3:3">
      <c r="C1111" s="316" t="str">
        <f>IF(B1111="","",VLOOKUP(B1111,'TB for financial'!A:B,2,0))</f>
        <v/>
      </c>
    </row>
    <row r="1112" spans="3:3">
      <c r="C1112" s="316" t="str">
        <f>IF(B1112="","",VLOOKUP(B1112,'TB for financial'!A:B,2,0))</f>
        <v/>
      </c>
    </row>
    <row r="1113" spans="3:3">
      <c r="C1113" s="316" t="str">
        <f>IF(B1113="","",VLOOKUP(B1113,'TB for financial'!A:B,2,0))</f>
        <v/>
      </c>
    </row>
    <row r="1114" spans="3:3">
      <c r="C1114" s="316" t="str">
        <f>IF(B1114="","",VLOOKUP(B1114,'TB for financial'!A:B,2,0))</f>
        <v/>
      </c>
    </row>
    <row r="1115" spans="3:3">
      <c r="C1115" s="316" t="str">
        <f>IF(B1115="","",VLOOKUP(B1115,'TB for financial'!A:B,2,0))</f>
        <v/>
      </c>
    </row>
    <row r="1116" spans="3:3">
      <c r="C1116" s="316" t="str">
        <f>IF(B1116="","",VLOOKUP(B1116,'TB for financial'!A:B,2,0))</f>
        <v/>
      </c>
    </row>
    <row r="1117" spans="3:3">
      <c r="C1117" s="316" t="str">
        <f>IF(B1117="","",VLOOKUP(B1117,'TB for financial'!A:B,2,0))</f>
        <v/>
      </c>
    </row>
    <row r="1118" spans="3:3">
      <c r="C1118" s="316" t="str">
        <f>IF(B1118="","",VLOOKUP(B1118,'TB for financial'!A:B,2,0))</f>
        <v/>
      </c>
    </row>
    <row r="1119" spans="3:3">
      <c r="C1119" s="316" t="str">
        <f>IF(B1119="","",VLOOKUP(B1119,'TB for financial'!A:B,2,0))</f>
        <v/>
      </c>
    </row>
    <row r="1120" spans="3:3">
      <c r="C1120" s="316" t="str">
        <f>IF(B1120="","",VLOOKUP(B1120,'TB for financial'!A:B,2,0))</f>
        <v/>
      </c>
    </row>
    <row r="1121" spans="3:3">
      <c r="C1121" s="316" t="str">
        <f>IF(B1121="","",VLOOKUP(B1121,'TB for financial'!A:B,2,0))</f>
        <v/>
      </c>
    </row>
    <row r="1122" spans="3:3">
      <c r="C1122" s="316" t="str">
        <f>IF(B1122="","",VLOOKUP(B1122,'TB for financial'!A:B,2,0))</f>
        <v/>
      </c>
    </row>
    <row r="1123" spans="3:3">
      <c r="C1123" s="316" t="str">
        <f>IF(B1123="","",VLOOKUP(B1123,'TB for financial'!A:B,2,0))</f>
        <v/>
      </c>
    </row>
    <row r="1124" spans="3:3">
      <c r="C1124" s="316" t="str">
        <f>IF(B1124="","",VLOOKUP(B1124,'TB for financial'!A:B,2,0))</f>
        <v/>
      </c>
    </row>
    <row r="1125" spans="3:3">
      <c r="C1125" s="316" t="str">
        <f>IF(B1125="","",VLOOKUP(B1125,'TB for financial'!A:B,2,0))</f>
        <v/>
      </c>
    </row>
    <row r="1126" spans="3:3">
      <c r="C1126" s="316" t="str">
        <f>IF(B1126="","",VLOOKUP(B1126,'TB for financial'!A:B,2,0))</f>
        <v/>
      </c>
    </row>
    <row r="1127" spans="3:3">
      <c r="C1127" s="316" t="str">
        <f>IF(B1127="","",VLOOKUP(B1127,'TB for financial'!A:B,2,0))</f>
        <v/>
      </c>
    </row>
    <row r="1128" spans="3:3">
      <c r="C1128" s="316" t="str">
        <f>IF(B1128="","",VLOOKUP(B1128,'TB for financial'!A:B,2,0))</f>
        <v/>
      </c>
    </row>
    <row r="1129" spans="3:3">
      <c r="C1129" s="316" t="str">
        <f>IF(B1129="","",VLOOKUP(B1129,'TB for financial'!A:B,2,0))</f>
        <v/>
      </c>
    </row>
    <row r="1130" spans="3:3">
      <c r="C1130" s="316" t="str">
        <f>IF(B1130="","",VLOOKUP(B1130,'TB for financial'!A:B,2,0))</f>
        <v/>
      </c>
    </row>
    <row r="1131" spans="3:3">
      <c r="C1131" s="316" t="str">
        <f>IF(B1131="","",VLOOKUP(B1131,'TB for financial'!A:B,2,0))</f>
        <v/>
      </c>
    </row>
    <row r="1132" spans="3:3">
      <c r="C1132" s="316" t="str">
        <f>IF(B1132="","",VLOOKUP(B1132,'TB for financial'!A:B,2,0))</f>
        <v/>
      </c>
    </row>
    <row r="1133" spans="3:3">
      <c r="C1133" s="316" t="str">
        <f>IF(B1133="","",VLOOKUP(B1133,'TB for financial'!A:B,2,0))</f>
        <v/>
      </c>
    </row>
    <row r="1134" spans="3:3">
      <c r="C1134" s="316" t="str">
        <f>IF(B1134="","",VLOOKUP(B1134,'TB for financial'!A:B,2,0))</f>
        <v/>
      </c>
    </row>
    <row r="1135" spans="3:3">
      <c r="C1135" s="316" t="str">
        <f>IF(B1135="","",VLOOKUP(B1135,'TB for financial'!A:B,2,0))</f>
        <v/>
      </c>
    </row>
    <row r="1136" spans="3:3">
      <c r="C1136" s="316" t="str">
        <f>IF(B1136="","",VLOOKUP(B1136,'TB for financial'!A:B,2,0))</f>
        <v/>
      </c>
    </row>
    <row r="1137" spans="3:3">
      <c r="C1137" s="316" t="str">
        <f>IF(B1137="","",VLOOKUP(B1137,'TB for financial'!A:B,2,0))</f>
        <v/>
      </c>
    </row>
    <row r="1138" spans="3:3">
      <c r="C1138" s="316" t="str">
        <f>IF(B1138="","",VLOOKUP(B1138,'TB for financial'!A:B,2,0))</f>
        <v/>
      </c>
    </row>
    <row r="1139" spans="3:3">
      <c r="C1139" s="316" t="str">
        <f>IF(B1139="","",VLOOKUP(B1139,'TB for financial'!A:B,2,0))</f>
        <v/>
      </c>
    </row>
    <row r="1140" spans="3:3">
      <c r="C1140" s="316" t="str">
        <f>IF(B1140="","",VLOOKUP(B1140,'TB for financial'!A:B,2,0))</f>
        <v/>
      </c>
    </row>
    <row r="1141" spans="3:3">
      <c r="C1141" s="316" t="str">
        <f>IF(B1141="","",VLOOKUP(B1141,'TB for financial'!A:B,2,0))</f>
        <v/>
      </c>
    </row>
    <row r="1142" spans="3:3">
      <c r="C1142" s="316" t="str">
        <f>IF(B1142="","",VLOOKUP(B1142,'TB for financial'!A:B,2,0))</f>
        <v/>
      </c>
    </row>
    <row r="1143" spans="3:3">
      <c r="C1143" s="316" t="str">
        <f>IF(B1143="","",VLOOKUP(B1143,'TB for financial'!A:B,2,0))</f>
        <v/>
      </c>
    </row>
    <row r="1144" spans="3:3">
      <c r="C1144" s="316" t="str">
        <f>IF(B1144="","",VLOOKUP(B1144,'TB for financial'!A:B,2,0))</f>
        <v/>
      </c>
    </row>
    <row r="1145" spans="3:3">
      <c r="C1145" s="316" t="str">
        <f>IF(B1145="","",VLOOKUP(B1145,'TB for financial'!A:B,2,0))</f>
        <v/>
      </c>
    </row>
    <row r="1146" spans="3:3">
      <c r="C1146" s="316" t="str">
        <f>IF(B1146="","",VLOOKUP(B1146,'TB for financial'!A:B,2,0))</f>
        <v/>
      </c>
    </row>
    <row r="1147" spans="3:3">
      <c r="C1147" s="316" t="str">
        <f>IF(B1147="","",VLOOKUP(B1147,'TB for financial'!A:B,2,0))</f>
        <v/>
      </c>
    </row>
    <row r="1148" spans="3:3">
      <c r="C1148" s="316" t="str">
        <f>IF(B1148="","",VLOOKUP(B1148,'TB for financial'!A:B,2,0))</f>
        <v/>
      </c>
    </row>
    <row r="1149" spans="3:3">
      <c r="C1149" s="316" t="str">
        <f>IF(B1149="","",VLOOKUP(B1149,'TB for financial'!A:B,2,0))</f>
        <v/>
      </c>
    </row>
    <row r="1150" spans="3:3">
      <c r="C1150" s="316" t="str">
        <f>IF(B1150="","",VLOOKUP(B1150,'TB for financial'!A:B,2,0))</f>
        <v/>
      </c>
    </row>
    <row r="1151" spans="3:3">
      <c r="C1151" s="316" t="str">
        <f>IF(B1151="","",VLOOKUP(B1151,'TB for financial'!A:B,2,0))</f>
        <v/>
      </c>
    </row>
    <row r="1152" spans="3:3">
      <c r="C1152" s="316" t="str">
        <f>IF(B1152="","",VLOOKUP(B1152,'TB for financial'!A:B,2,0))</f>
        <v/>
      </c>
    </row>
    <row r="1153" spans="3:3">
      <c r="C1153" s="316" t="str">
        <f>IF(B1153="","",VLOOKUP(B1153,'TB for financial'!A:B,2,0))</f>
        <v/>
      </c>
    </row>
    <row r="1154" spans="3:3">
      <c r="C1154" s="316" t="str">
        <f>IF(B1154="","",VLOOKUP(B1154,'TB for financial'!A:B,2,0))</f>
        <v/>
      </c>
    </row>
    <row r="1155" spans="3:3">
      <c r="C1155" s="316" t="str">
        <f>IF(B1155="","",VLOOKUP(B1155,'TB for financial'!A:B,2,0))</f>
        <v/>
      </c>
    </row>
    <row r="1156" spans="3:3">
      <c r="C1156" s="316" t="str">
        <f>IF(B1156="","",VLOOKUP(B1156,'TB for financial'!A:B,2,0))</f>
        <v/>
      </c>
    </row>
    <row r="1157" spans="3:3">
      <c r="C1157" s="316" t="str">
        <f>IF(B1157="","",VLOOKUP(B1157,'TB for financial'!A:B,2,0))</f>
        <v/>
      </c>
    </row>
    <row r="1158" spans="3:3">
      <c r="C1158" s="316" t="str">
        <f>IF(B1158="","",VLOOKUP(B1158,'TB for financial'!A:B,2,0))</f>
        <v/>
      </c>
    </row>
    <row r="1159" spans="3:3">
      <c r="C1159" s="316" t="str">
        <f>IF(B1159="","",VLOOKUP(B1159,'TB for financial'!A:B,2,0))</f>
        <v/>
      </c>
    </row>
    <row r="1160" spans="3:3">
      <c r="C1160" s="316" t="str">
        <f>IF(B1160="","",VLOOKUP(B1160,'TB for financial'!A:B,2,0))</f>
        <v/>
      </c>
    </row>
    <row r="1161" spans="3:3">
      <c r="C1161" s="316" t="str">
        <f>IF(B1161="","",VLOOKUP(B1161,'TB for financial'!A:B,2,0))</f>
        <v/>
      </c>
    </row>
    <row r="1162" spans="3:3">
      <c r="C1162" s="316" t="str">
        <f>IF(B1162="","",VLOOKUP(B1162,'TB for financial'!A:B,2,0))</f>
        <v/>
      </c>
    </row>
    <row r="1163" spans="3:3">
      <c r="C1163" s="316" t="str">
        <f>IF(B1163="","",VLOOKUP(B1163,'TB for financial'!A:B,2,0))</f>
        <v/>
      </c>
    </row>
    <row r="1164" spans="3:3">
      <c r="C1164" s="316" t="str">
        <f>IF(B1164="","",VLOOKUP(B1164,'TB for financial'!A:B,2,0))</f>
        <v/>
      </c>
    </row>
    <row r="1165" spans="3:3">
      <c r="C1165" s="316" t="str">
        <f>IF(B1165="","",VLOOKUP(B1165,'TB for financial'!A:B,2,0))</f>
        <v/>
      </c>
    </row>
    <row r="1166" spans="3:3">
      <c r="C1166" s="316" t="str">
        <f>IF(B1166="","",VLOOKUP(B1166,'TB for financial'!A:B,2,0))</f>
        <v/>
      </c>
    </row>
    <row r="1167" spans="3:3">
      <c r="C1167" s="316" t="str">
        <f>IF(B1167="","",VLOOKUP(B1167,'TB for financial'!A:B,2,0))</f>
        <v/>
      </c>
    </row>
    <row r="1168" spans="3:3">
      <c r="C1168" s="316" t="str">
        <f>IF(B1168="","",VLOOKUP(B1168,'TB for financial'!A:B,2,0))</f>
        <v/>
      </c>
    </row>
    <row r="1169" spans="3:3">
      <c r="C1169" s="316" t="str">
        <f>IF(B1169="","",VLOOKUP(B1169,'TB for financial'!A:B,2,0))</f>
        <v/>
      </c>
    </row>
    <row r="1170" spans="3:3">
      <c r="C1170" s="316" t="str">
        <f>IF(B1170="","",VLOOKUP(B1170,'TB for financial'!A:B,2,0))</f>
        <v/>
      </c>
    </row>
    <row r="1171" spans="3:3">
      <c r="C1171" s="316" t="str">
        <f>IF(B1171="","",VLOOKUP(B1171,'TB for financial'!A:B,2,0))</f>
        <v/>
      </c>
    </row>
    <row r="1172" spans="3:3">
      <c r="C1172" s="316" t="str">
        <f>IF(B1172="","",VLOOKUP(B1172,'TB for financial'!A:B,2,0))</f>
        <v/>
      </c>
    </row>
    <row r="1173" spans="3:3">
      <c r="C1173" s="316" t="str">
        <f>IF(B1173="","",VLOOKUP(B1173,'TB for financial'!A:B,2,0))</f>
        <v/>
      </c>
    </row>
    <row r="1174" spans="3:3">
      <c r="C1174" s="316" t="str">
        <f>IF(B1174="","",VLOOKUP(B1174,'TB for financial'!A:B,2,0))</f>
        <v/>
      </c>
    </row>
    <row r="1175" spans="3:3">
      <c r="C1175" s="316" t="str">
        <f>IF(B1175="","",VLOOKUP(B1175,'TB for financial'!A:B,2,0))</f>
        <v/>
      </c>
    </row>
    <row r="1176" spans="3:3">
      <c r="C1176" s="316" t="str">
        <f>IF(B1176="","",VLOOKUP(B1176,'TB for financial'!A:B,2,0))</f>
        <v/>
      </c>
    </row>
    <row r="1177" spans="3:3">
      <c r="C1177" s="316" t="str">
        <f>IF(B1177="","",VLOOKUP(B1177,'TB for financial'!A:B,2,0))</f>
        <v/>
      </c>
    </row>
    <row r="1178" spans="3:3">
      <c r="C1178" s="316" t="str">
        <f>IF(B1178="","",VLOOKUP(B1178,'TB for financial'!A:B,2,0))</f>
        <v/>
      </c>
    </row>
    <row r="1179" spans="3:3">
      <c r="C1179" s="316" t="str">
        <f>IF(B1179="","",VLOOKUP(B1179,'TB for financial'!A:B,2,0))</f>
        <v/>
      </c>
    </row>
    <row r="1180" spans="3:3">
      <c r="C1180" s="316" t="str">
        <f>IF(B1180="","",VLOOKUP(B1180,'TB for financial'!A:B,2,0))</f>
        <v/>
      </c>
    </row>
    <row r="1181" spans="3:3">
      <c r="C1181" s="316" t="str">
        <f>IF(B1181="","",VLOOKUP(B1181,'TB for financial'!A:B,2,0))</f>
        <v/>
      </c>
    </row>
    <row r="1182" spans="3:3">
      <c r="C1182" s="316" t="str">
        <f>IF(B1182="","",VLOOKUP(B1182,'TB for financial'!A:B,2,0))</f>
        <v/>
      </c>
    </row>
    <row r="1183" spans="3:3">
      <c r="C1183" s="316" t="str">
        <f>IF(B1183="","",VLOOKUP(B1183,'TB for financial'!A:B,2,0))</f>
        <v/>
      </c>
    </row>
    <row r="1184" spans="3:3">
      <c r="C1184" s="316" t="str">
        <f>IF(B1184="","",VLOOKUP(B1184,'TB for financial'!A:B,2,0))</f>
        <v/>
      </c>
    </row>
    <row r="1185" spans="3:3">
      <c r="C1185" s="316" t="str">
        <f>IF(B1185="","",VLOOKUP(B1185,'TB for financial'!A:B,2,0))</f>
        <v/>
      </c>
    </row>
    <row r="1186" spans="3:3">
      <c r="C1186" s="316" t="str">
        <f>IF(B1186="","",VLOOKUP(B1186,'TB for financial'!A:B,2,0))</f>
        <v/>
      </c>
    </row>
    <row r="1187" spans="3:3">
      <c r="C1187" s="316" t="str">
        <f>IF(B1187="","",VLOOKUP(B1187,'TB for financial'!A:B,2,0))</f>
        <v/>
      </c>
    </row>
    <row r="1188" spans="3:3">
      <c r="C1188" s="316" t="str">
        <f>IF(B1188="","",VLOOKUP(B1188,'TB for financial'!A:B,2,0))</f>
        <v/>
      </c>
    </row>
    <row r="1189" spans="3:3">
      <c r="C1189" s="316" t="str">
        <f>IF(B1189="","",VLOOKUP(B1189,'TB for financial'!A:B,2,0))</f>
        <v/>
      </c>
    </row>
    <row r="1190" spans="3:3">
      <c r="C1190" s="316" t="str">
        <f>IF(B1190="","",VLOOKUP(B1190,'TB for financial'!A:B,2,0))</f>
        <v/>
      </c>
    </row>
    <row r="1191" spans="3:3">
      <c r="C1191" s="316" t="str">
        <f>IF(B1191="","",VLOOKUP(B1191,'TB for financial'!A:B,2,0))</f>
        <v/>
      </c>
    </row>
    <row r="1192" spans="3:3">
      <c r="C1192" s="316" t="str">
        <f>IF(B1192="","",VLOOKUP(B1192,'TB for financial'!A:B,2,0))</f>
        <v/>
      </c>
    </row>
    <row r="1193" spans="3:3">
      <c r="C1193" s="316" t="str">
        <f>IF(B1193="","",VLOOKUP(B1193,'TB for financial'!A:B,2,0))</f>
        <v/>
      </c>
    </row>
    <row r="1194" spans="3:3">
      <c r="C1194" s="316" t="str">
        <f>IF(B1194="","",VLOOKUP(B1194,'TB for financial'!A:B,2,0))</f>
        <v/>
      </c>
    </row>
    <row r="1195" spans="3:3">
      <c r="C1195" s="316" t="str">
        <f>IF(B1195="","",VLOOKUP(B1195,'TB for financial'!A:B,2,0))</f>
        <v/>
      </c>
    </row>
    <row r="1196" spans="3:3">
      <c r="C1196" s="316" t="str">
        <f>IF(B1196="","",VLOOKUP(B1196,'TB for financial'!A:B,2,0))</f>
        <v/>
      </c>
    </row>
    <row r="1197" spans="3:3">
      <c r="C1197" s="316" t="str">
        <f>IF(B1197="","",VLOOKUP(B1197,'TB for financial'!A:B,2,0))</f>
        <v/>
      </c>
    </row>
    <row r="1198" spans="3:3">
      <c r="C1198" s="316" t="str">
        <f>IF(B1198="","",VLOOKUP(B1198,'TB for financial'!A:B,2,0))</f>
        <v/>
      </c>
    </row>
    <row r="1199" spans="3:3">
      <c r="C1199" s="316" t="str">
        <f>IF(B1199="","",VLOOKUP(B1199,'TB for financial'!A:B,2,0))</f>
        <v/>
      </c>
    </row>
    <row r="1200" spans="3:3">
      <c r="C1200" s="316" t="str">
        <f>IF(B1200="","",VLOOKUP(B1200,'TB for financial'!A:B,2,0))</f>
        <v/>
      </c>
    </row>
    <row r="1201" spans="3:3">
      <c r="C1201" s="316" t="str">
        <f>IF(B1201="","",VLOOKUP(B1201,'TB for financial'!A:B,2,0))</f>
        <v/>
      </c>
    </row>
    <row r="1202" spans="3:3">
      <c r="C1202" s="316" t="str">
        <f>IF(B1202="","",VLOOKUP(B1202,'TB for financial'!A:B,2,0))</f>
        <v/>
      </c>
    </row>
    <row r="1203" spans="3:3">
      <c r="C1203" s="316" t="str">
        <f>IF(B1203="","",VLOOKUP(B1203,'TB for financial'!A:B,2,0))</f>
        <v/>
      </c>
    </row>
    <row r="1204" spans="3:3">
      <c r="C1204" s="316" t="str">
        <f>IF(B1204="","",VLOOKUP(B1204,'TB for financial'!A:B,2,0))</f>
        <v/>
      </c>
    </row>
    <row r="1205" spans="3:3">
      <c r="C1205" s="316" t="str">
        <f>IF(B1205="","",VLOOKUP(B1205,'TB for financial'!A:B,2,0))</f>
        <v/>
      </c>
    </row>
    <row r="1206" spans="3:3">
      <c r="C1206" s="316" t="str">
        <f>IF(B1206="","",VLOOKUP(B1206,'TB for financial'!A:B,2,0))</f>
        <v/>
      </c>
    </row>
    <row r="1207" spans="3:3">
      <c r="C1207" s="316" t="str">
        <f>IF(B1207="","",VLOOKUP(B1207,'TB for financial'!A:B,2,0))</f>
        <v/>
      </c>
    </row>
    <row r="1208" spans="3:3">
      <c r="C1208" s="316" t="str">
        <f>IF(B1208="","",VLOOKUP(B1208,'TB for financial'!A:B,2,0))</f>
        <v/>
      </c>
    </row>
    <row r="1209" spans="3:3">
      <c r="C1209" s="316" t="str">
        <f>IF(B1209="","",VLOOKUP(B1209,'TB for financial'!A:B,2,0))</f>
        <v/>
      </c>
    </row>
    <row r="1210" spans="3:3">
      <c r="C1210" s="316" t="str">
        <f>IF(B1210="","",VLOOKUP(B1210,'TB for financial'!A:B,2,0))</f>
        <v/>
      </c>
    </row>
    <row r="1211" spans="3:3">
      <c r="C1211" s="316" t="str">
        <f>IF(B1211="","",VLOOKUP(B1211,'TB for financial'!A:B,2,0))</f>
        <v/>
      </c>
    </row>
    <row r="1212" spans="3:3">
      <c r="C1212" s="316" t="str">
        <f>IF(B1212="","",VLOOKUP(B1212,'TB for financial'!A:B,2,0))</f>
        <v/>
      </c>
    </row>
    <row r="1213" spans="3:3">
      <c r="C1213" s="316" t="str">
        <f>IF(B1213="","",VLOOKUP(B1213,'TB for financial'!A:B,2,0))</f>
        <v/>
      </c>
    </row>
    <row r="1214" spans="3:3">
      <c r="C1214" s="316" t="str">
        <f>IF(B1214="","",VLOOKUP(B1214,'TB for financial'!A:B,2,0))</f>
        <v/>
      </c>
    </row>
    <row r="1215" spans="3:3">
      <c r="C1215" s="316"/>
    </row>
    <row r="1216" spans="3:3">
      <c r="C1216" s="316"/>
    </row>
    <row r="1217" spans="3:3">
      <c r="C1217" s="316"/>
    </row>
    <row r="1218" spans="3:3">
      <c r="C1218" s="316"/>
    </row>
    <row r="1219" spans="3:3">
      <c r="C1219" s="316"/>
    </row>
    <row r="1220" spans="3:3">
      <c r="C1220" s="316"/>
    </row>
    <row r="1221" spans="3:3">
      <c r="C1221" s="316"/>
    </row>
    <row r="1222" spans="3:3">
      <c r="C1222" s="316"/>
    </row>
    <row r="1223" spans="3:3">
      <c r="C1223" s="316"/>
    </row>
    <row r="1224" spans="3:3">
      <c r="C1224" s="316"/>
    </row>
    <row r="1225" spans="3:3">
      <c r="C1225" s="316"/>
    </row>
    <row r="1226" spans="3:3">
      <c r="C1226" s="316"/>
    </row>
    <row r="1227" spans="3:3">
      <c r="C1227" s="316"/>
    </row>
    <row r="1228" spans="3:3">
      <c r="C1228" s="316"/>
    </row>
    <row r="1229" spans="3:3">
      <c r="C1229" s="316"/>
    </row>
    <row r="1230" spans="3:3">
      <c r="C1230" s="316"/>
    </row>
    <row r="1231" spans="3:3">
      <c r="C1231" s="316"/>
    </row>
    <row r="1232" spans="3:3">
      <c r="C1232" s="316"/>
    </row>
    <row r="1233" spans="3:3">
      <c r="C1233" s="316"/>
    </row>
    <row r="1234" spans="3:3">
      <c r="C1234" s="316"/>
    </row>
    <row r="1235" spans="3:3">
      <c r="C1235" s="316"/>
    </row>
    <row r="1236" spans="3:3">
      <c r="C1236" s="316"/>
    </row>
    <row r="1237" spans="3:3">
      <c r="C1237" s="316"/>
    </row>
    <row r="1238" spans="3:3">
      <c r="C1238" s="316"/>
    </row>
    <row r="1239" spans="3:3">
      <c r="C1239" s="316"/>
    </row>
    <row r="1240" spans="3:3">
      <c r="C1240" s="316"/>
    </row>
    <row r="1241" spans="3:3">
      <c r="C1241" s="316"/>
    </row>
    <row r="1242" spans="3:3">
      <c r="C1242" s="316"/>
    </row>
    <row r="1243" spans="3:3">
      <c r="C1243" s="316"/>
    </row>
    <row r="1244" spans="3:3">
      <c r="C1244" s="316"/>
    </row>
    <row r="1245" spans="3:3">
      <c r="C1245" s="316"/>
    </row>
    <row r="1246" spans="3:3">
      <c r="C1246" s="316"/>
    </row>
    <row r="1247" spans="3:3">
      <c r="C1247" s="1468"/>
    </row>
    <row r="1249" spans="3:3">
      <c r="C1249" s="316"/>
    </row>
    <row r="1250" spans="3:3">
      <c r="C1250" s="316"/>
    </row>
    <row r="1251" spans="3:3">
      <c r="C1251" s="316"/>
    </row>
    <row r="1252" spans="3:3">
      <c r="C1252" s="316"/>
    </row>
    <row r="1253" spans="3:3">
      <c r="C1253" s="316"/>
    </row>
    <row r="1254" spans="3:3">
      <c r="C1254" s="316"/>
    </row>
    <row r="1255" spans="3:3">
      <c r="C1255" s="316"/>
    </row>
    <row r="1256" spans="3:3">
      <c r="C1256" s="316"/>
    </row>
    <row r="1257" spans="3:3">
      <c r="C1257" s="316"/>
    </row>
    <row r="1258" spans="3:3">
      <c r="C1258" s="316"/>
    </row>
    <row r="1259" spans="3:3">
      <c r="C1259" s="316"/>
    </row>
    <row r="1260" spans="3:3">
      <c r="C1260" s="316"/>
    </row>
    <row r="1261" spans="3:3">
      <c r="C1261" s="316"/>
    </row>
    <row r="1262" spans="3:3">
      <c r="C1262" s="316"/>
    </row>
    <row r="1263" spans="3:3">
      <c r="C1263" s="316"/>
    </row>
    <row r="1264" spans="3:3">
      <c r="C1264" s="316"/>
    </row>
    <row r="1265" spans="3:3">
      <c r="C1265" s="316"/>
    </row>
    <row r="1266" spans="3:3">
      <c r="C1266" s="316"/>
    </row>
    <row r="1267" spans="3:3">
      <c r="C1267" s="316"/>
    </row>
    <row r="1268" spans="3:3">
      <c r="C1268" s="316"/>
    </row>
    <row r="1269" spans="3:3">
      <c r="C1269" s="316"/>
    </row>
    <row r="1270" spans="3:3">
      <c r="C1270" s="316"/>
    </row>
    <row r="1271" spans="3:3">
      <c r="C1271" s="316"/>
    </row>
    <row r="1272" spans="3:3">
      <c r="C1272" s="316"/>
    </row>
    <row r="1273" spans="3:3">
      <c r="C1273" s="316"/>
    </row>
    <row r="1274" spans="3:3">
      <c r="C1274" s="316"/>
    </row>
    <row r="1275" spans="3:3">
      <c r="C1275" s="316"/>
    </row>
    <row r="1276" spans="3:3">
      <c r="C1276" s="316"/>
    </row>
    <row r="1277" spans="3:3">
      <c r="C1277" s="316"/>
    </row>
    <row r="1278" spans="3:3">
      <c r="C1278" s="316"/>
    </row>
    <row r="1279" spans="3:3">
      <c r="C1279" s="316"/>
    </row>
    <row r="1280" spans="3:3">
      <c r="C1280" s="316"/>
    </row>
    <row r="1281" spans="3:3">
      <c r="C1281" s="316"/>
    </row>
    <row r="1282" spans="3:3">
      <c r="C1282" s="316"/>
    </row>
    <row r="1283" spans="3:3">
      <c r="C1283" s="316"/>
    </row>
    <row r="1284" spans="3:3">
      <c r="C1284" s="316"/>
    </row>
    <row r="1285" spans="3:3">
      <c r="C1285" s="316"/>
    </row>
    <row r="1286" spans="3:3">
      <c r="C1286" s="316"/>
    </row>
    <row r="1287" spans="3:3">
      <c r="C1287" s="316"/>
    </row>
    <row r="1288" spans="3:3">
      <c r="C1288" s="316"/>
    </row>
    <row r="1289" spans="3:3">
      <c r="C1289" s="316"/>
    </row>
    <row r="1290" spans="3:3">
      <c r="C1290" s="316"/>
    </row>
    <row r="1291" spans="3:3">
      <c r="C1291" s="316"/>
    </row>
    <row r="1292" spans="3:3">
      <c r="C1292" s="316"/>
    </row>
    <row r="1293" spans="3:3">
      <c r="C1293" s="316"/>
    </row>
    <row r="1294" spans="3:3">
      <c r="C1294" s="316"/>
    </row>
    <row r="1295" spans="3:3">
      <c r="C1295" s="316"/>
    </row>
    <row r="1296" spans="3:3">
      <c r="C1296" s="316"/>
    </row>
    <row r="1297" spans="3:3">
      <c r="C1297" s="316"/>
    </row>
    <row r="1298" spans="3:3">
      <c r="C1298" s="316"/>
    </row>
    <row r="1299" spans="3:3">
      <c r="C1299" s="316"/>
    </row>
    <row r="1300" spans="3:3">
      <c r="C1300" s="316"/>
    </row>
    <row r="1301" spans="3:3">
      <c r="C1301" s="316"/>
    </row>
    <row r="1302" spans="3:3">
      <c r="C1302" s="316"/>
    </row>
    <row r="1303" spans="3:3">
      <c r="C1303" s="316"/>
    </row>
    <row r="1304" spans="3:3">
      <c r="C1304" s="316"/>
    </row>
    <row r="1305" spans="3:3">
      <c r="C1305" s="316"/>
    </row>
    <row r="1306" spans="3:3">
      <c r="C1306" s="316"/>
    </row>
    <row r="1307" spans="3:3">
      <c r="C1307" s="316"/>
    </row>
    <row r="1308" spans="3:3">
      <c r="C1308" s="316"/>
    </row>
    <row r="1309" spans="3:3">
      <c r="C1309" s="316"/>
    </row>
    <row r="1310" spans="3:3">
      <c r="C1310" s="316"/>
    </row>
    <row r="1311" spans="3:3">
      <c r="C1311" s="316"/>
    </row>
    <row r="1312" spans="3:3">
      <c r="C1312" s="316"/>
    </row>
    <row r="1313" spans="3:3">
      <c r="C1313" s="316"/>
    </row>
    <row r="1314" spans="3:3">
      <c r="C1314" s="316"/>
    </row>
    <row r="1315" spans="3:3">
      <c r="C1315" s="316"/>
    </row>
    <row r="1316" spans="3:3">
      <c r="C1316" s="316"/>
    </row>
    <row r="1317" spans="3:3">
      <c r="C1317" s="316"/>
    </row>
    <row r="1318" spans="3:3">
      <c r="C1318" s="316"/>
    </row>
    <row r="1319" spans="3:3">
      <c r="C1319" s="316"/>
    </row>
    <row r="1320" spans="3:3">
      <c r="C1320" s="316"/>
    </row>
    <row r="1321" spans="3:3">
      <c r="C1321" s="316"/>
    </row>
    <row r="1322" spans="3:3">
      <c r="C1322" s="316"/>
    </row>
    <row r="1323" spans="3:3">
      <c r="C1323" s="316"/>
    </row>
    <row r="1324" spans="3:3">
      <c r="C1324" s="316"/>
    </row>
    <row r="1325" spans="3:3">
      <c r="C1325" s="316"/>
    </row>
    <row r="1326" spans="3:3">
      <c r="C1326" s="316"/>
    </row>
    <row r="1327" spans="3:3">
      <c r="C1327" s="316"/>
    </row>
    <row r="1328" spans="3:3">
      <c r="C1328" s="316"/>
    </row>
    <row r="1329" spans="3:3">
      <c r="C1329" s="316"/>
    </row>
    <row r="1330" spans="3:3">
      <c r="C1330" s="316"/>
    </row>
    <row r="1331" spans="3:3">
      <c r="C1331" s="316"/>
    </row>
    <row r="1332" spans="3:3">
      <c r="C1332" s="316"/>
    </row>
    <row r="1333" spans="3:3">
      <c r="C1333" s="316"/>
    </row>
    <row r="1334" spans="3:3">
      <c r="C1334" s="316"/>
    </row>
    <row r="1335" spans="3:3">
      <c r="C1335" s="316"/>
    </row>
    <row r="1336" spans="3:3">
      <c r="C1336" s="316"/>
    </row>
    <row r="1337" spans="3:3">
      <c r="C1337" s="316"/>
    </row>
    <row r="1338" spans="3:3">
      <c r="C1338" s="316"/>
    </row>
    <row r="1339" spans="3:3">
      <c r="C1339" s="316"/>
    </row>
    <row r="1340" spans="3:3">
      <c r="C1340" s="316"/>
    </row>
    <row r="1341" spans="3:3">
      <c r="C1341" s="316"/>
    </row>
    <row r="1342" spans="3:3">
      <c r="C1342" s="316"/>
    </row>
    <row r="1343" spans="3:3">
      <c r="C1343" s="316"/>
    </row>
    <row r="1344" spans="3:3">
      <c r="C1344" s="316"/>
    </row>
    <row r="1345" spans="3:3">
      <c r="C1345" s="316"/>
    </row>
    <row r="1346" spans="3:3">
      <c r="C1346" s="316"/>
    </row>
    <row r="1347" spans="3:3">
      <c r="C1347" s="316"/>
    </row>
    <row r="1348" spans="3:3">
      <c r="C1348" s="316"/>
    </row>
    <row r="1349" spans="3:3">
      <c r="C1349" s="316"/>
    </row>
    <row r="1350" spans="3:3">
      <c r="C1350" s="316"/>
    </row>
    <row r="1351" spans="3:3">
      <c r="C1351" s="316"/>
    </row>
    <row r="1352" spans="3:3">
      <c r="C1352" s="316"/>
    </row>
    <row r="1353" spans="3:3">
      <c r="C1353" s="316"/>
    </row>
    <row r="1354" spans="3:3">
      <c r="C1354" s="316"/>
    </row>
    <row r="1355" spans="3:3">
      <c r="C1355" s="316"/>
    </row>
    <row r="1356" spans="3:3">
      <c r="C1356" s="316"/>
    </row>
    <row r="1357" spans="3:3">
      <c r="C1357" s="316"/>
    </row>
    <row r="1358" spans="3:3">
      <c r="C1358" s="316"/>
    </row>
    <row r="1359" spans="3:3">
      <c r="C1359" s="316"/>
    </row>
    <row r="1360" spans="3:3">
      <c r="C1360" s="316"/>
    </row>
    <row r="1361" spans="3:3">
      <c r="C1361" s="316"/>
    </row>
    <row r="1362" spans="3:3">
      <c r="C1362" s="316"/>
    </row>
    <row r="1363" spans="3:3">
      <c r="C1363" s="316"/>
    </row>
    <row r="1364" spans="3:3">
      <c r="C1364" s="316"/>
    </row>
    <row r="1365" spans="3:3">
      <c r="C1365" s="316"/>
    </row>
    <row r="1366" spans="3:3">
      <c r="C1366" s="316"/>
    </row>
    <row r="1367" spans="3:3">
      <c r="C1367" s="316"/>
    </row>
  </sheetData>
  <autoFilter ref="A4:J1367" xr:uid="{00000000-0001-0000-1300-000000000000}"/>
  <conditionalFormatting sqref="F2:G2">
    <cfRule type="cellIs" dxfId="2" priority="1" operator="equal">
      <formula>FALSE</formula>
    </cfRule>
  </conditionalFormatting>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46C88-AB7C-47B3-8C2A-883D63F2D518}">
  <dimension ref="A1:L87"/>
  <sheetViews>
    <sheetView topLeftCell="A25" workbookViewId="0">
      <selection activeCell="D17" sqref="D17"/>
    </sheetView>
  </sheetViews>
  <sheetFormatPr defaultColWidth="9.21875" defaultRowHeight="13.2"/>
  <cols>
    <col min="1" max="1" width="9.21875" style="1353"/>
    <col min="2" max="2" width="51.77734375" style="1353" bestFit="1" customWidth="1"/>
    <col min="3" max="3" width="9.21875" style="1353"/>
    <col min="4" max="4" width="49.77734375" style="1353" bestFit="1" customWidth="1"/>
    <col min="5" max="6" width="15.5546875" style="1353" bestFit="1" customWidth="1"/>
    <col min="7" max="7" width="14.5546875" style="1353" bestFit="1" customWidth="1"/>
    <col min="8" max="8" width="45.77734375" style="1354" customWidth="1"/>
    <col min="9" max="16384" width="9.21875" style="1353"/>
  </cols>
  <sheetData>
    <row r="1" spans="1:12">
      <c r="A1" s="1352" t="s">
        <v>2389</v>
      </c>
    </row>
    <row r="5" spans="1:12" ht="52.8">
      <c r="A5" s="1355" t="s">
        <v>2390</v>
      </c>
      <c r="B5" s="1356" t="s">
        <v>2391</v>
      </c>
      <c r="C5" s="1355" t="s">
        <v>2392</v>
      </c>
      <c r="D5" s="1356" t="s">
        <v>2393</v>
      </c>
      <c r="E5" s="1357" t="s">
        <v>2394</v>
      </c>
      <c r="F5" s="1357" t="s">
        <v>2395</v>
      </c>
      <c r="G5" s="1358" t="s">
        <v>523</v>
      </c>
      <c r="H5" s="1357" t="s">
        <v>525</v>
      </c>
    </row>
    <row r="6" spans="1:12" ht="14.4">
      <c r="A6" s="1359" t="s">
        <v>2534</v>
      </c>
      <c r="B6" s="1359" t="s">
        <v>2396</v>
      </c>
      <c r="C6" s="1359">
        <v>300010</v>
      </c>
      <c r="D6" s="1359" t="s">
        <v>1501</v>
      </c>
      <c r="E6" s="1360">
        <v>-100000</v>
      </c>
      <c r="F6" s="1360">
        <v>-100000</v>
      </c>
      <c r="G6" s="1360">
        <f>+E6-F6</f>
        <v>0</v>
      </c>
      <c r="H6" s="1361"/>
      <c r="I6" s="1353" t="str">
        <f>VLOOKUP(A6,'SAP TB'!E:E,1,FALSE)</f>
        <v>101300 - N</v>
      </c>
      <c r="L6" s="1362"/>
    </row>
    <row r="7" spans="1:12" ht="14.4">
      <c r="A7" s="1359">
        <v>106810</v>
      </c>
      <c r="B7" s="1359" t="s">
        <v>2397</v>
      </c>
      <c r="C7" s="1359">
        <v>301003</v>
      </c>
      <c r="D7" s="1359" t="s">
        <v>628</v>
      </c>
      <c r="E7" s="1360">
        <v>8625777.8399999999</v>
      </c>
      <c r="F7" s="1360">
        <v>8625777.8406599984</v>
      </c>
      <c r="G7" s="1360">
        <f t="shared" ref="G7:G81" si="0">+E7-F7</f>
        <v>-6.5999850630760193E-4</v>
      </c>
      <c r="H7" s="1361"/>
      <c r="I7" s="1353">
        <f>VLOOKUP(A7,'SAP TB'!E:E,1,FALSE)</f>
        <v>106810</v>
      </c>
      <c r="L7" s="1362"/>
    </row>
    <row r="8" spans="1:12" ht="26.4">
      <c r="A8" s="1359">
        <v>106960</v>
      </c>
      <c r="B8" s="1359" t="s">
        <v>2398</v>
      </c>
      <c r="C8" s="1359">
        <v>301004</v>
      </c>
      <c r="D8" s="1359" t="s">
        <v>1509</v>
      </c>
      <c r="E8" s="1360">
        <v>1114599.96</v>
      </c>
      <c r="F8" s="1360">
        <v>1733341.9583589137</v>
      </c>
      <c r="G8" s="1360">
        <f t="shared" si="0"/>
        <v>-618741.9983589137</v>
      </c>
      <c r="H8" s="1363" t="s">
        <v>2399</v>
      </c>
      <c r="I8" s="1353">
        <f>VLOOKUP(A8,'SAP TB'!E:E,1,FALSE)</f>
        <v>106960</v>
      </c>
      <c r="L8" s="1362"/>
    </row>
    <row r="9" spans="1:12" ht="26.4">
      <c r="A9" s="1359">
        <v>106960</v>
      </c>
      <c r="B9" s="1359" t="s">
        <v>2398</v>
      </c>
      <c r="C9" s="1359">
        <v>301008</v>
      </c>
      <c r="D9" s="1359" t="s">
        <v>707</v>
      </c>
      <c r="E9" s="1360"/>
      <c r="F9" s="1360">
        <v>-618742</v>
      </c>
      <c r="G9" s="1360">
        <f t="shared" si="0"/>
        <v>618742</v>
      </c>
      <c r="H9" s="1363" t="s">
        <v>2399</v>
      </c>
      <c r="I9" s="1353">
        <f>VLOOKUP(A9,'SAP TB'!E:E,1,FALSE)</f>
        <v>106960</v>
      </c>
      <c r="L9" s="1362"/>
    </row>
    <row r="10" spans="1:12" ht="26.4">
      <c r="A10" s="1359">
        <v>110000</v>
      </c>
      <c r="B10" s="1359" t="s">
        <v>2400</v>
      </c>
      <c r="C10" s="1359">
        <v>300210</v>
      </c>
      <c r="D10" s="1359" t="s">
        <v>1507</v>
      </c>
      <c r="E10" s="1360">
        <v>-30623141.25</v>
      </c>
      <c r="F10" s="1360">
        <v>0</v>
      </c>
      <c r="G10" s="1360">
        <f t="shared" si="0"/>
        <v>-30623141.25</v>
      </c>
      <c r="H10" s="1363" t="s">
        <v>2399</v>
      </c>
      <c r="I10" s="1353">
        <f>VLOOKUP(A10,'SAP TB'!E:E,1,FALSE)</f>
        <v>110000</v>
      </c>
      <c r="L10" s="1362"/>
    </row>
    <row r="11" spans="1:12" ht="26.4">
      <c r="A11" s="1359">
        <v>110000</v>
      </c>
      <c r="B11" s="1359" t="s">
        <v>2400</v>
      </c>
      <c r="C11" s="1359">
        <v>301002</v>
      </c>
      <c r="D11" s="1359" t="s">
        <v>1505</v>
      </c>
      <c r="E11" s="1360"/>
      <c r="F11" s="1360">
        <v>-30623232.2618521</v>
      </c>
      <c r="G11" s="1360">
        <f>+E11-F11</f>
        <v>30623232.2618521</v>
      </c>
      <c r="H11" s="1363" t="s">
        <v>2399</v>
      </c>
      <c r="I11" s="1353">
        <f>VLOOKUP(A11,'SAP TB'!E:E,1,FALSE)</f>
        <v>110000</v>
      </c>
      <c r="L11" s="1362"/>
    </row>
    <row r="12" spans="1:12" ht="14.4">
      <c r="A12" s="1359">
        <v>110000</v>
      </c>
      <c r="B12" s="1359" t="s">
        <v>2400</v>
      </c>
      <c r="C12" s="1359">
        <v>301009</v>
      </c>
      <c r="D12" s="1359" t="s">
        <v>1506</v>
      </c>
      <c r="E12" s="1360"/>
      <c r="F12" s="1360">
        <v>0</v>
      </c>
      <c r="G12" s="1360">
        <f>+E12-F12</f>
        <v>0</v>
      </c>
      <c r="H12" s="1361"/>
      <c r="I12" s="1353">
        <f>VLOOKUP(A12,'SAP TB'!E:E,1,FALSE)</f>
        <v>110000</v>
      </c>
      <c r="L12" s="1362"/>
    </row>
    <row r="13" spans="1:12" ht="14.4">
      <c r="A13" s="1359">
        <v>155000</v>
      </c>
      <c r="B13" s="1359" t="s">
        <v>2401</v>
      </c>
      <c r="C13" s="1359">
        <v>201075</v>
      </c>
      <c r="D13" s="1359" t="s">
        <v>1361</v>
      </c>
      <c r="E13" s="1360">
        <v>-36188938.240000002</v>
      </c>
      <c r="F13" s="1360">
        <v>-36188938.239999995</v>
      </c>
      <c r="G13" s="1360">
        <f t="shared" si="0"/>
        <v>0</v>
      </c>
      <c r="H13" s="1361"/>
      <c r="I13" s="1353">
        <f>VLOOKUP(A13,'SAP TB'!E:E,1,FALSE)</f>
        <v>155000</v>
      </c>
      <c r="L13" s="1362"/>
    </row>
    <row r="14" spans="1:12" ht="14.4">
      <c r="A14" s="1359">
        <v>155000</v>
      </c>
      <c r="B14" s="1359" t="s">
        <v>2401</v>
      </c>
      <c r="C14" s="1359">
        <v>240230</v>
      </c>
      <c r="D14" s="1359" t="s">
        <v>1499</v>
      </c>
      <c r="E14" s="1360"/>
      <c r="F14" s="1360">
        <v>0</v>
      </c>
      <c r="G14" s="1360">
        <f t="shared" si="0"/>
        <v>0</v>
      </c>
      <c r="H14" s="1361"/>
      <c r="I14" s="1353">
        <f>VLOOKUP(A14,'SAP TB'!E:E,1,FALSE)</f>
        <v>155000</v>
      </c>
      <c r="L14" s="1362"/>
    </row>
    <row r="15" spans="1:12" ht="14.4">
      <c r="A15" s="1359">
        <v>159200</v>
      </c>
      <c r="B15" s="1359" t="s">
        <v>2402</v>
      </c>
      <c r="C15" s="1359">
        <v>201241</v>
      </c>
      <c r="D15" s="1359" t="s">
        <v>1399</v>
      </c>
      <c r="E15" s="1360">
        <v>-2416921.6599999997</v>
      </c>
      <c r="F15" s="1360">
        <v>-2416921.6600000006</v>
      </c>
      <c r="G15" s="1360">
        <f t="shared" si="0"/>
        <v>0</v>
      </c>
      <c r="H15" s="1361"/>
      <c r="I15" s="1353">
        <f>VLOOKUP(A15,'SAP TB'!E:E,1,FALSE)</f>
        <v>159200</v>
      </c>
      <c r="L15" s="1362"/>
    </row>
    <row r="16" spans="1:12" ht="14.4">
      <c r="A16" s="1359">
        <v>168100</v>
      </c>
      <c r="B16" s="1359" t="s">
        <v>2403</v>
      </c>
      <c r="C16" s="1359">
        <v>240001</v>
      </c>
      <c r="D16" s="1359" t="s">
        <v>1495</v>
      </c>
      <c r="E16" s="1360">
        <v>-223699196.09999999</v>
      </c>
      <c r="F16" s="1360">
        <v>-223699196.08220384</v>
      </c>
      <c r="G16" s="1360">
        <f t="shared" si="0"/>
        <v>-1.7796158790588379E-2</v>
      </c>
      <c r="H16" s="1361"/>
      <c r="I16" s="1353">
        <f>VLOOKUP(A16,'SAP TB'!E:E,1,FALSE)</f>
        <v>168100</v>
      </c>
      <c r="L16" s="1362"/>
    </row>
    <row r="17" spans="1:12" ht="26.4">
      <c r="A17" s="1359">
        <v>275000</v>
      </c>
      <c r="B17" s="1359" t="s">
        <v>2404</v>
      </c>
      <c r="C17" s="1359">
        <v>101826</v>
      </c>
      <c r="D17" s="1359" t="s">
        <v>1252</v>
      </c>
      <c r="E17" s="1360">
        <v>-9181</v>
      </c>
      <c r="F17" s="1360">
        <v>15000</v>
      </c>
      <c r="G17" s="1360">
        <f t="shared" si="0"/>
        <v>-24181</v>
      </c>
      <c r="H17" s="1363" t="s">
        <v>2399</v>
      </c>
      <c r="I17" s="1353">
        <f>VLOOKUP(A17,'SAP TB'!E:E,1,FALSE)</f>
        <v>275000</v>
      </c>
      <c r="L17" s="1362"/>
    </row>
    <row r="18" spans="1:12" ht="26.4">
      <c r="A18" s="1359">
        <v>275000</v>
      </c>
      <c r="B18" s="1359" t="s">
        <v>2404</v>
      </c>
      <c r="C18" s="1359">
        <v>101836</v>
      </c>
      <c r="D18" s="1359" t="s">
        <v>1262</v>
      </c>
      <c r="E18" s="1360"/>
      <c r="F18" s="1360">
        <v>7803.4699999999066</v>
      </c>
      <c r="G18" s="1360">
        <f>+E18-F18</f>
        <v>-7803.4699999999066</v>
      </c>
      <c r="H18" s="1363" t="s">
        <v>2399</v>
      </c>
      <c r="I18" s="1353">
        <f>VLOOKUP(A18,'SAP TB'!E:E,1,FALSE)</f>
        <v>275000</v>
      </c>
      <c r="L18" s="1362"/>
    </row>
    <row r="19" spans="1:12" ht="26.4">
      <c r="A19" s="1359">
        <v>275000</v>
      </c>
      <c r="B19" s="1359" t="s">
        <v>2404</v>
      </c>
      <c r="C19" s="1359">
        <v>101858</v>
      </c>
      <c r="D19" s="1359" t="s">
        <v>2200</v>
      </c>
      <c r="E19" s="1360"/>
      <c r="F19" s="1360">
        <v>-31984</v>
      </c>
      <c r="G19" s="1360">
        <f>+E19-F19</f>
        <v>31984</v>
      </c>
      <c r="H19" s="1363" t="s">
        <v>2399</v>
      </c>
      <c r="I19" s="1353">
        <f>VLOOKUP(A19,'SAP TB'!E:E,1,FALSE)</f>
        <v>275000</v>
      </c>
      <c r="L19" s="1362"/>
    </row>
    <row r="20" spans="1:12" ht="14.4">
      <c r="A20" s="1359">
        <v>276840</v>
      </c>
      <c r="B20" s="1359" t="s">
        <v>2405</v>
      </c>
      <c r="C20" s="1359">
        <v>101160</v>
      </c>
      <c r="D20" s="1359" t="s">
        <v>1109</v>
      </c>
      <c r="E20" s="1360">
        <v>782125.05</v>
      </c>
      <c r="F20" s="1360">
        <v>782125.05493150721</v>
      </c>
      <c r="G20" s="1360">
        <f t="shared" si="0"/>
        <v>-4.9315071664750576E-3</v>
      </c>
      <c r="H20" s="1361"/>
      <c r="I20" s="1353">
        <f>VLOOKUP(A20,'SAP TB'!E:E,1,FALSE)</f>
        <v>276840</v>
      </c>
      <c r="L20" s="1362"/>
    </row>
    <row r="21" spans="1:12" ht="14.4">
      <c r="A21" s="1359">
        <v>401450</v>
      </c>
      <c r="B21" s="1359" t="s">
        <v>2406</v>
      </c>
      <c r="C21" s="1359">
        <v>200041</v>
      </c>
      <c r="D21" s="1359" t="s">
        <v>1343</v>
      </c>
      <c r="E21" s="1360">
        <v>535614.23</v>
      </c>
      <c r="F21" s="1360">
        <v>535704.43000000808</v>
      </c>
      <c r="G21" s="1360">
        <f t="shared" si="0"/>
        <v>-90.200000008102506</v>
      </c>
      <c r="H21" s="1361"/>
      <c r="I21" s="1353">
        <f>VLOOKUP(A21,'SAP TB'!E:E,1,FALSE)</f>
        <v>401450</v>
      </c>
      <c r="L21" s="1362"/>
    </row>
    <row r="22" spans="1:12" ht="14.4">
      <c r="A22" s="1359">
        <v>401500</v>
      </c>
      <c r="B22" s="1359" t="s">
        <v>2407</v>
      </c>
      <c r="C22" s="1359">
        <v>200041</v>
      </c>
      <c r="D22" s="1359" t="s">
        <v>1343</v>
      </c>
      <c r="E22" s="1360">
        <v>-1113895.0999999999</v>
      </c>
      <c r="F22" s="1360">
        <v>-1113895.1000000001</v>
      </c>
      <c r="G22" s="1360">
        <f t="shared" si="0"/>
        <v>0</v>
      </c>
      <c r="H22" s="1361"/>
      <c r="I22" s="1353">
        <f>VLOOKUP(A22,'SAP TB'!E:E,1,FALSE)</f>
        <v>401500</v>
      </c>
      <c r="L22" s="1362"/>
    </row>
    <row r="23" spans="1:12" ht="14.4">
      <c r="A23" s="1359">
        <v>401998</v>
      </c>
      <c r="B23" s="1359" t="s">
        <v>2408</v>
      </c>
      <c r="C23" s="1359">
        <v>200019</v>
      </c>
      <c r="D23" s="1359" t="s">
        <v>1340</v>
      </c>
      <c r="E23" s="1360">
        <v>1623.4</v>
      </c>
      <c r="F23" s="1360">
        <v>1623.4000000011665</v>
      </c>
      <c r="G23" s="1360">
        <f t="shared" si="0"/>
        <v>-1.1664269550237805E-9</v>
      </c>
      <c r="H23" s="1361"/>
      <c r="I23" s="1353">
        <f>VLOOKUP(A23,'SAP TB'!E:E,1,FALSE)</f>
        <v>401998</v>
      </c>
      <c r="L23" s="1362"/>
    </row>
    <row r="24" spans="1:12" ht="14.4">
      <c r="A24" s="1359">
        <v>402998</v>
      </c>
      <c r="B24" s="1359" t="s">
        <v>2409</v>
      </c>
      <c r="C24" s="1359"/>
      <c r="D24" s="1359">
        <v>0</v>
      </c>
      <c r="E24" s="1360">
        <v>-4.0532327716391592E-8</v>
      </c>
      <c r="F24" s="1360">
        <v>0</v>
      </c>
      <c r="G24" s="1360">
        <f t="shared" si="0"/>
        <v>-4.0532327716391592E-8</v>
      </c>
      <c r="H24" s="1361"/>
      <c r="I24" s="1353" t="e">
        <f>VLOOKUP(A24,'SAP TB'!E:E,1,FALSE)</f>
        <v>#N/A</v>
      </c>
      <c r="L24" s="1362"/>
    </row>
    <row r="25" spans="1:12" ht="14.4">
      <c r="A25" s="1359">
        <v>408151</v>
      </c>
      <c r="B25" s="1359" t="s">
        <v>2410</v>
      </c>
      <c r="C25" s="1359">
        <v>205040</v>
      </c>
      <c r="D25" s="1359" t="s">
        <v>1411</v>
      </c>
      <c r="E25" s="1360">
        <v>-1713820</v>
      </c>
      <c r="F25" s="1360">
        <v>-1713820</v>
      </c>
      <c r="G25" s="1360">
        <f t="shared" si="0"/>
        <v>0</v>
      </c>
      <c r="H25" s="1361"/>
      <c r="I25" s="1353">
        <f>VLOOKUP(A25,'SAP TB'!E:E,1,FALSE)</f>
        <v>408151</v>
      </c>
      <c r="L25" s="1362"/>
    </row>
    <row r="26" spans="1:12" ht="14.4">
      <c r="A26" s="1359">
        <v>408500</v>
      </c>
      <c r="B26" s="1359" t="s">
        <v>2411</v>
      </c>
      <c r="C26" s="1359">
        <v>205040</v>
      </c>
      <c r="D26" s="1359" t="s">
        <v>1411</v>
      </c>
      <c r="E26" s="1360">
        <v>-36079</v>
      </c>
      <c r="F26" s="1360">
        <v>-36079</v>
      </c>
      <c r="G26" s="1360">
        <f t="shared" si="0"/>
        <v>0</v>
      </c>
      <c r="H26" s="1361"/>
      <c r="I26" s="1353">
        <f>VLOOKUP(A26,'SAP TB'!E:E,1,FALSE)</f>
        <v>408500</v>
      </c>
      <c r="L26" s="1362"/>
    </row>
    <row r="27" spans="1:12" ht="14.4">
      <c r="A27" s="1359">
        <v>411450</v>
      </c>
      <c r="B27" s="1359" t="s">
        <v>2412</v>
      </c>
      <c r="C27" s="1359">
        <v>101003</v>
      </c>
      <c r="D27" s="1359" t="s">
        <v>1100</v>
      </c>
      <c r="E27" s="1360">
        <v>3861250.19</v>
      </c>
      <c r="F27" s="1360">
        <v>3861250.19</v>
      </c>
      <c r="G27" s="1360">
        <f t="shared" si="0"/>
        <v>0</v>
      </c>
      <c r="H27" s="1361"/>
      <c r="I27" s="1353">
        <f>VLOOKUP(A27,'SAP TB'!E:E,1,FALSE)</f>
        <v>411450</v>
      </c>
      <c r="L27" s="1362"/>
    </row>
    <row r="28" spans="1:12" ht="14.4">
      <c r="A28" s="1359">
        <v>411500</v>
      </c>
      <c r="B28" s="1359" t="s">
        <v>2413</v>
      </c>
      <c r="C28" s="1359">
        <v>101003</v>
      </c>
      <c r="D28" s="1359" t="s">
        <v>1100</v>
      </c>
      <c r="E28" s="1360">
        <v>241132.81</v>
      </c>
      <c r="F28" s="1360">
        <v>241132.81</v>
      </c>
      <c r="G28" s="1360">
        <f t="shared" si="0"/>
        <v>0</v>
      </c>
      <c r="H28" s="1361"/>
      <c r="I28" s="1353">
        <f>VLOOKUP(A28,'SAP TB'!E:E,1,FALSE)</f>
        <v>411500</v>
      </c>
      <c r="L28" s="1362"/>
    </row>
    <row r="29" spans="1:12" ht="14.4">
      <c r="A29" s="1359">
        <v>411998</v>
      </c>
      <c r="B29" s="1359" t="s">
        <v>2414</v>
      </c>
      <c r="C29" s="1359">
        <v>101003</v>
      </c>
      <c r="D29" s="1359" t="s">
        <v>1100</v>
      </c>
      <c r="E29" s="1360">
        <v>56951.57</v>
      </c>
      <c r="F29" s="1360">
        <v>56951.57</v>
      </c>
      <c r="G29" s="1360">
        <f t="shared" si="0"/>
        <v>0</v>
      </c>
      <c r="H29" s="1361"/>
      <c r="I29" s="1353">
        <f>VLOOKUP(A29,'SAP TB'!E:E,1,FALSE)</f>
        <v>411998</v>
      </c>
      <c r="L29" s="1362"/>
    </row>
    <row r="30" spans="1:12" ht="14.4">
      <c r="A30" s="1359">
        <v>418150</v>
      </c>
      <c r="B30" s="1359" t="s">
        <v>2415</v>
      </c>
      <c r="C30" s="1359">
        <v>101066</v>
      </c>
      <c r="D30" s="1359" t="s">
        <v>2375</v>
      </c>
      <c r="E30" s="1360">
        <v>98431</v>
      </c>
      <c r="F30" s="1360">
        <v>98431</v>
      </c>
      <c r="G30" s="1360">
        <f t="shared" si="0"/>
        <v>0</v>
      </c>
      <c r="H30" s="1361"/>
      <c r="I30" s="1353">
        <f>VLOOKUP(A30,'SAP TB'!E:E,1,FALSE)</f>
        <v>418150</v>
      </c>
      <c r="L30" s="1362"/>
    </row>
    <row r="31" spans="1:12" ht="14.4">
      <c r="A31" s="1359">
        <v>425000</v>
      </c>
      <c r="B31" s="1359" t="s">
        <v>2416</v>
      </c>
      <c r="C31" s="1359">
        <v>101320</v>
      </c>
      <c r="D31" s="1359" t="s">
        <v>1126</v>
      </c>
      <c r="E31" s="1360">
        <v>0.4</v>
      </c>
      <c r="F31" s="1360">
        <v>0.39999999995700364</v>
      </c>
      <c r="G31" s="1360">
        <f t="shared" si="0"/>
        <v>4.2996384230775675E-11</v>
      </c>
      <c r="H31" s="1361"/>
      <c r="I31" s="1353">
        <f>VLOOKUP(A31,'SAP TB'!E:E,1,FALSE)</f>
        <v>425000</v>
      </c>
      <c r="L31" s="1362"/>
    </row>
    <row r="32" spans="1:12" ht="14.4">
      <c r="A32" s="1359">
        <v>425004</v>
      </c>
      <c r="B32" s="1359" t="s">
        <v>2417</v>
      </c>
      <c r="C32" s="1359">
        <v>101332</v>
      </c>
      <c r="D32" s="1359" t="s">
        <v>1138</v>
      </c>
      <c r="E32" s="1360">
        <v>75001</v>
      </c>
      <c r="F32" s="1360">
        <v>75001</v>
      </c>
      <c r="G32" s="1360">
        <f t="shared" si="0"/>
        <v>0</v>
      </c>
      <c r="H32" s="1361"/>
      <c r="I32" s="1353">
        <f>VLOOKUP(A32,'SAP TB'!E:E,1,FALSE)</f>
        <v>425004</v>
      </c>
      <c r="L32" s="1362"/>
    </row>
    <row r="33" spans="1:12" ht="26.4">
      <c r="A33" s="1359">
        <v>427100</v>
      </c>
      <c r="B33" s="1359" t="s">
        <v>2418</v>
      </c>
      <c r="C33" s="1359">
        <v>200010</v>
      </c>
      <c r="D33" s="1359" t="s">
        <v>1332</v>
      </c>
      <c r="E33" s="1360">
        <v>-827431.67999999993</v>
      </c>
      <c r="F33" s="1360">
        <v>-20433.070000002786</v>
      </c>
      <c r="G33" s="1360">
        <f t="shared" si="0"/>
        <v>-806998.60999999719</v>
      </c>
      <c r="H33" s="1363" t="s">
        <v>2399</v>
      </c>
      <c r="I33" s="1353">
        <f>VLOOKUP(A33,'SAP TB'!E:E,1,FALSE)</f>
        <v>427100</v>
      </c>
      <c r="L33" s="1362"/>
    </row>
    <row r="34" spans="1:12" ht="26.4">
      <c r="A34" s="1359">
        <v>427100</v>
      </c>
      <c r="B34" s="1359" t="s">
        <v>2418</v>
      </c>
      <c r="C34" s="1359">
        <v>201201</v>
      </c>
      <c r="D34" s="1359" t="s">
        <v>1377</v>
      </c>
      <c r="E34" s="1360"/>
      <c r="F34" s="1360">
        <v>-561089</v>
      </c>
      <c r="G34" s="1360">
        <f>+E34-F34</f>
        <v>561089</v>
      </c>
      <c r="H34" s="1363" t="s">
        <v>2399</v>
      </c>
      <c r="I34" s="1353">
        <f>VLOOKUP(A34,'SAP TB'!E:E,1,FALSE)</f>
        <v>427100</v>
      </c>
      <c r="L34" s="1362"/>
    </row>
    <row r="35" spans="1:12" ht="26.4">
      <c r="A35" s="1359">
        <v>427100</v>
      </c>
      <c r="B35" s="1359" t="s">
        <v>2418</v>
      </c>
      <c r="C35" s="1359">
        <v>205011</v>
      </c>
      <c r="D35" s="1359" t="s">
        <v>1404</v>
      </c>
      <c r="E35" s="1360"/>
      <c r="F35" s="1360">
        <v>-215915.78</v>
      </c>
      <c r="G35" s="1360">
        <f>+E35-F35</f>
        <v>215915.78</v>
      </c>
      <c r="H35" s="1363" t="s">
        <v>2399</v>
      </c>
      <c r="I35" s="1353">
        <f>VLOOKUP(A35,'SAP TB'!E:E,1,FALSE)</f>
        <v>427100</v>
      </c>
      <c r="L35" s="1362"/>
    </row>
    <row r="36" spans="1:12" ht="26.4">
      <c r="A36" s="1359">
        <v>427100</v>
      </c>
      <c r="B36" s="1359" t="s">
        <v>2418</v>
      </c>
      <c r="C36" s="1359">
        <v>205012</v>
      </c>
      <c r="D36" s="1359" t="s">
        <v>1405</v>
      </c>
      <c r="E36" s="1360"/>
      <c r="F36" s="1360">
        <v>-29993.829999999998</v>
      </c>
      <c r="G36" s="1360">
        <f>+E36-F36</f>
        <v>29993.829999999998</v>
      </c>
      <c r="H36" s="1363" t="s">
        <v>2399</v>
      </c>
      <c r="I36" s="1353">
        <f>VLOOKUP(A36,'SAP TB'!E:E,1,FALSE)</f>
        <v>427100</v>
      </c>
      <c r="L36" s="1362"/>
    </row>
    <row r="37" spans="1:12" ht="14.4">
      <c r="A37" s="1359">
        <v>427101</v>
      </c>
      <c r="B37" s="1359" t="s">
        <v>2419</v>
      </c>
      <c r="C37" s="1359">
        <v>201231</v>
      </c>
      <c r="D37" s="1359" t="s">
        <v>1393</v>
      </c>
      <c r="E37" s="1360">
        <v>15811</v>
      </c>
      <c r="F37" s="1360">
        <v>15811</v>
      </c>
      <c r="G37" s="1360">
        <f t="shared" si="0"/>
        <v>0</v>
      </c>
      <c r="H37" s="1361"/>
      <c r="I37" s="1353">
        <f>VLOOKUP(A37,'SAP TB'!E:E,1,FALSE)</f>
        <v>427101</v>
      </c>
      <c r="L37" s="1362"/>
    </row>
    <row r="38" spans="1:12" ht="14.4">
      <c r="A38" s="1359">
        <v>427103</v>
      </c>
      <c r="B38" s="1359" t="s">
        <v>2420</v>
      </c>
      <c r="C38" s="1359">
        <v>201243</v>
      </c>
      <c r="D38" s="1359" t="s">
        <v>1401</v>
      </c>
      <c r="E38" s="1360">
        <v>-228321.49</v>
      </c>
      <c r="F38" s="1360">
        <v>-228321.49</v>
      </c>
      <c r="G38" s="1360">
        <f t="shared" si="0"/>
        <v>0</v>
      </c>
      <c r="H38" s="1361"/>
      <c r="I38" s="1353">
        <f>VLOOKUP(A38,'SAP TB'!E:E,1,FALSE)</f>
        <v>427103</v>
      </c>
      <c r="L38" s="1362"/>
    </row>
    <row r="39" spans="1:12" ht="14.4">
      <c r="A39" s="1359">
        <v>428200</v>
      </c>
      <c r="B39" s="1359" t="s">
        <v>2421</v>
      </c>
      <c r="C39" s="1359">
        <v>201242</v>
      </c>
      <c r="D39" s="1359" t="s">
        <v>1400</v>
      </c>
      <c r="E39" s="1360">
        <v>-311194</v>
      </c>
      <c r="F39" s="1360">
        <v>-311194.00300000096</v>
      </c>
      <c r="G39" s="1360">
        <f t="shared" si="0"/>
        <v>3.0000009573996067E-3</v>
      </c>
      <c r="H39" s="1361"/>
      <c r="I39" s="1353">
        <f>VLOOKUP(A39,'SAP TB'!E:E,1,FALSE)</f>
        <v>428200</v>
      </c>
      <c r="L39" s="1362"/>
    </row>
    <row r="40" spans="1:12" ht="14.4">
      <c r="A40" s="1359">
        <v>428400</v>
      </c>
      <c r="B40" s="1359" t="s">
        <v>2422</v>
      </c>
      <c r="C40" s="1359">
        <v>201047</v>
      </c>
      <c r="D40" s="1359" t="s">
        <v>1355</v>
      </c>
      <c r="E40" s="1360">
        <v>163</v>
      </c>
      <c r="F40" s="1360">
        <v>163</v>
      </c>
      <c r="G40" s="1360">
        <f t="shared" si="0"/>
        <v>0</v>
      </c>
      <c r="H40" s="1361"/>
      <c r="I40" s="1353">
        <f>VLOOKUP(A40,'SAP TB'!E:E,1,FALSE)</f>
        <v>428400</v>
      </c>
      <c r="L40" s="1362"/>
    </row>
    <row r="41" spans="1:12" ht="14.4">
      <c r="A41" s="1359">
        <v>428610</v>
      </c>
      <c r="B41" s="1359" t="s">
        <v>2423</v>
      </c>
      <c r="C41" s="1359">
        <v>201015</v>
      </c>
      <c r="D41" s="1359" t="s">
        <v>1346</v>
      </c>
      <c r="E41" s="1360">
        <v>-176386.51</v>
      </c>
      <c r="F41" s="1360">
        <v>-176386.50899999961</v>
      </c>
      <c r="G41" s="1360">
        <f t="shared" si="0"/>
        <v>-1.0000003967434168E-3</v>
      </c>
      <c r="H41" s="1361"/>
      <c r="I41" s="1353">
        <f>VLOOKUP(A41,'SAP TB'!E:E,1,FALSE)</f>
        <v>428610</v>
      </c>
      <c r="L41" s="1362"/>
    </row>
    <row r="42" spans="1:12" ht="14.4">
      <c r="A42" s="1359">
        <v>428616</v>
      </c>
      <c r="B42" s="1359" t="s">
        <v>2424</v>
      </c>
      <c r="C42" s="1359">
        <v>201017</v>
      </c>
      <c r="D42" s="1359" t="s">
        <v>1347</v>
      </c>
      <c r="E42" s="1360">
        <v>-27428.6</v>
      </c>
      <c r="F42" s="1360">
        <v>-27428.600000000028</v>
      </c>
      <c r="G42" s="1360">
        <f t="shared" si="0"/>
        <v>2.9103830456733704E-11</v>
      </c>
      <c r="H42" s="1361"/>
      <c r="I42" s="1353">
        <f>VLOOKUP(A42,'SAP TB'!E:E,1,FALSE)</f>
        <v>428616</v>
      </c>
      <c r="L42" s="1362"/>
    </row>
    <row r="43" spans="1:12" ht="14.4">
      <c r="A43" s="1359">
        <v>428650</v>
      </c>
      <c r="B43" s="1359" t="s">
        <v>2425</v>
      </c>
      <c r="C43" s="1359">
        <v>205040</v>
      </c>
      <c r="D43" s="1359" t="s">
        <v>1411</v>
      </c>
      <c r="E43" s="1360">
        <v>-46800</v>
      </c>
      <c r="F43" s="1360">
        <v>-46800</v>
      </c>
      <c r="G43" s="1360">
        <f t="shared" si="0"/>
        <v>0</v>
      </c>
      <c r="H43" s="1361"/>
      <c r="I43" s="1353">
        <f>VLOOKUP(A43,'SAP TB'!E:E,1,FALSE)</f>
        <v>428650</v>
      </c>
      <c r="L43" s="1362"/>
    </row>
    <row r="44" spans="1:12" ht="14.4">
      <c r="A44" s="1359">
        <v>437200</v>
      </c>
      <c r="B44" s="1359" t="s">
        <v>2426</v>
      </c>
      <c r="C44" s="1359">
        <v>201230</v>
      </c>
      <c r="D44" s="1359" t="s">
        <v>1392</v>
      </c>
      <c r="E44" s="1360">
        <v>-300</v>
      </c>
      <c r="F44" s="1360">
        <v>-300</v>
      </c>
      <c r="G44" s="1360">
        <f t="shared" si="0"/>
        <v>0</v>
      </c>
      <c r="H44" s="1361"/>
      <c r="I44" s="1353">
        <f>VLOOKUP(A44,'SAP TB'!E:E,1,FALSE)</f>
        <v>437200</v>
      </c>
      <c r="L44" s="1362"/>
    </row>
    <row r="45" spans="1:12" ht="14.4">
      <c r="A45" s="1359">
        <v>437407</v>
      </c>
      <c r="B45" s="1359" t="s">
        <v>1427</v>
      </c>
      <c r="C45" s="1359">
        <v>205111</v>
      </c>
      <c r="D45" s="1359" t="s">
        <v>1435</v>
      </c>
      <c r="E45" s="1360">
        <v>-27476</v>
      </c>
      <c r="F45" s="1360">
        <v>-27476</v>
      </c>
      <c r="G45" s="1360">
        <f t="shared" si="0"/>
        <v>0</v>
      </c>
      <c r="H45" s="1361"/>
      <c r="I45" s="1353">
        <f>VLOOKUP(A45,'SAP TB'!E:E,1,FALSE)</f>
        <v>437407</v>
      </c>
      <c r="L45" s="1362"/>
    </row>
    <row r="46" spans="1:12" ht="14.4">
      <c r="A46" s="1359">
        <v>437408</v>
      </c>
      <c r="B46" s="1359" t="s">
        <v>2427</v>
      </c>
      <c r="C46" s="1359">
        <v>205112</v>
      </c>
      <c r="D46" s="1359" t="s">
        <v>1436</v>
      </c>
      <c r="E46" s="1360">
        <v>-31541.75</v>
      </c>
      <c r="F46" s="1360">
        <v>-31541.750000000058</v>
      </c>
      <c r="G46" s="1360">
        <f t="shared" si="0"/>
        <v>5.8207660913467407E-11</v>
      </c>
      <c r="H46" s="1361"/>
      <c r="I46" s="1353">
        <f>VLOOKUP(A46,'SAP TB'!E:E,1,FALSE)</f>
        <v>437408</v>
      </c>
      <c r="L46" s="1362"/>
    </row>
    <row r="47" spans="1:12" ht="26.4">
      <c r="A47" s="1359">
        <v>437425</v>
      </c>
      <c r="B47" s="1359" t="s">
        <v>2428</v>
      </c>
      <c r="C47" s="1359">
        <v>201221</v>
      </c>
      <c r="D47" s="1359" t="s">
        <v>1385</v>
      </c>
      <c r="E47" s="1360">
        <v>-22116.809999999998</v>
      </c>
      <c r="F47" s="1360">
        <v>-11316.810000000056</v>
      </c>
      <c r="G47" s="1360">
        <f t="shared" si="0"/>
        <v>-10799.999999999942</v>
      </c>
      <c r="H47" s="1363" t="s">
        <v>2399</v>
      </c>
      <c r="I47" s="1353">
        <f>VLOOKUP(A47,'SAP TB'!E:E,1,FALSE)</f>
        <v>437425</v>
      </c>
      <c r="L47" s="1362"/>
    </row>
    <row r="48" spans="1:12" ht="26.4">
      <c r="A48" s="1359">
        <v>437425</v>
      </c>
      <c r="B48" s="1359" t="s">
        <v>2428</v>
      </c>
      <c r="C48" s="1359">
        <v>201232</v>
      </c>
      <c r="D48" s="1359" t="s">
        <v>1394</v>
      </c>
      <c r="E48" s="1360"/>
      <c r="F48" s="1360">
        <v>-10800</v>
      </c>
      <c r="G48" s="1360">
        <f t="shared" si="0"/>
        <v>10800</v>
      </c>
      <c r="H48" s="1363" t="s">
        <v>2399</v>
      </c>
      <c r="I48" s="1353">
        <f>VLOOKUP(A48,'SAP TB'!E:E,1,FALSE)</f>
        <v>437425</v>
      </c>
      <c r="L48" s="1362"/>
    </row>
    <row r="49" spans="1:12" ht="26.4">
      <c r="A49" s="1359">
        <v>437427</v>
      </c>
      <c r="B49" s="1359" t="s">
        <v>2429</v>
      </c>
      <c r="C49" s="1359">
        <v>201223</v>
      </c>
      <c r="D49" s="1359" t="s">
        <v>1387</v>
      </c>
      <c r="E49" s="1360">
        <v>-379</v>
      </c>
      <c r="F49" s="1360">
        <v>-271</v>
      </c>
      <c r="G49" s="1360">
        <f t="shared" si="0"/>
        <v>-108</v>
      </c>
      <c r="H49" s="1363" t="s">
        <v>2399</v>
      </c>
      <c r="I49" s="1353">
        <f>VLOOKUP(A49,'SAP TB'!E:E,1,FALSE)</f>
        <v>437427</v>
      </c>
      <c r="L49" s="1362"/>
    </row>
    <row r="50" spans="1:12" ht="26.4">
      <c r="A50" s="1359">
        <v>437427</v>
      </c>
      <c r="B50" s="1359" t="s">
        <v>2429</v>
      </c>
      <c r="C50" s="1359">
        <v>201234</v>
      </c>
      <c r="D50" s="1359" t="s">
        <v>1396</v>
      </c>
      <c r="E50" s="1360"/>
      <c r="F50" s="1360">
        <v>-108</v>
      </c>
      <c r="G50" s="1360">
        <f t="shared" si="0"/>
        <v>108</v>
      </c>
      <c r="H50" s="1363" t="s">
        <v>2399</v>
      </c>
      <c r="I50" s="1353">
        <f>VLOOKUP(A50,'SAP TB'!E:E,1,FALSE)</f>
        <v>437427</v>
      </c>
      <c r="L50" s="1362"/>
    </row>
    <row r="51" spans="1:12" ht="14.4">
      <c r="A51" s="1359">
        <v>437522</v>
      </c>
      <c r="B51" s="1359" t="s">
        <v>2430</v>
      </c>
      <c r="C51" s="1359">
        <v>201236</v>
      </c>
      <c r="D51" s="1359" t="s">
        <v>1398</v>
      </c>
      <c r="E51" s="1360">
        <v>-1268</v>
      </c>
      <c r="F51" s="1360">
        <v>-1268</v>
      </c>
      <c r="G51" s="1360">
        <f t="shared" si="0"/>
        <v>0</v>
      </c>
      <c r="H51" s="1361"/>
      <c r="I51" s="1353">
        <f>VLOOKUP(A51,'SAP TB'!E:E,1,FALSE)</f>
        <v>437522</v>
      </c>
      <c r="L51" s="1362"/>
    </row>
    <row r="52" spans="1:12" ht="14.4">
      <c r="A52" s="1359">
        <v>438666</v>
      </c>
      <c r="B52" s="1359" t="s">
        <v>2431</v>
      </c>
      <c r="C52" s="1359">
        <v>201215</v>
      </c>
      <c r="D52" s="1359" t="s">
        <v>1384</v>
      </c>
      <c r="E52" s="1360">
        <v>-78471</v>
      </c>
      <c r="F52" s="1360">
        <v>-78471</v>
      </c>
      <c r="G52" s="1360">
        <f t="shared" si="0"/>
        <v>0</v>
      </c>
      <c r="H52" s="1361"/>
      <c r="I52" s="1353">
        <f>VLOOKUP(A52,'SAP TB'!E:E,1,FALSE)</f>
        <v>438666</v>
      </c>
      <c r="L52" s="1362"/>
    </row>
    <row r="53" spans="1:12" ht="14.4">
      <c r="A53" s="1359">
        <v>444000</v>
      </c>
      <c r="B53" s="1359" t="s">
        <v>2432</v>
      </c>
      <c r="C53" s="1359">
        <v>206035</v>
      </c>
      <c r="D53" s="1359" t="s">
        <v>1458</v>
      </c>
      <c r="E53" s="1360">
        <v>-628.75</v>
      </c>
      <c r="F53" s="1360">
        <v>-628.75389850139595</v>
      </c>
      <c r="G53" s="1360">
        <f t="shared" si="0"/>
        <v>3.8985013959518255E-3</v>
      </c>
      <c r="H53" s="1361"/>
      <c r="I53" s="1353">
        <f>VLOOKUP(A53,'SAP TB'!E:E,1,FALSE)</f>
        <v>444000</v>
      </c>
      <c r="L53" s="1362"/>
    </row>
    <row r="54" spans="1:12" ht="14.4">
      <c r="A54" s="1359">
        <v>444042</v>
      </c>
      <c r="B54" s="1359" t="s">
        <v>2433</v>
      </c>
      <c r="C54" s="1359">
        <v>101790</v>
      </c>
      <c r="D54" s="1359" t="s">
        <v>1217</v>
      </c>
      <c r="E54" s="1360">
        <v>35224753.329999998</v>
      </c>
      <c r="F54" s="1360">
        <v>35224753.329748303</v>
      </c>
      <c r="G54" s="1360">
        <f t="shared" si="0"/>
        <v>2.5169551372528076E-4</v>
      </c>
      <c r="H54" s="1361"/>
      <c r="I54" s="1353">
        <f>VLOOKUP(A54,'SAP TB'!E:E,1,FALSE)</f>
        <v>444042</v>
      </c>
      <c r="L54" s="1362"/>
    </row>
    <row r="55" spans="1:12" ht="14.4">
      <c r="A55" s="1359">
        <v>444550</v>
      </c>
      <c r="B55" s="1359" t="s">
        <v>2434</v>
      </c>
      <c r="C55" s="1359">
        <v>101362</v>
      </c>
      <c r="D55" s="1359" t="s">
        <v>2435</v>
      </c>
      <c r="E55" s="1360">
        <v>182830</v>
      </c>
      <c r="F55" s="1360">
        <v>182830</v>
      </c>
      <c r="G55" s="1360">
        <f t="shared" si="0"/>
        <v>0</v>
      </c>
      <c r="H55" s="1361"/>
      <c r="I55" s="1353">
        <f>VLOOKUP(A55,'SAP TB'!E:E,1,FALSE)</f>
        <v>444550</v>
      </c>
      <c r="L55" s="1362"/>
    </row>
    <row r="56" spans="1:12" ht="14.4">
      <c r="A56" s="1359">
        <v>445614</v>
      </c>
      <c r="B56" s="1359" t="s">
        <v>1228</v>
      </c>
      <c r="C56" s="1359">
        <v>101801</v>
      </c>
      <c r="D56" s="1359" t="s">
        <v>1228</v>
      </c>
      <c r="E56" s="1360">
        <v>932963.15999999992</v>
      </c>
      <c r="F56" s="1360">
        <v>932963.15999999992</v>
      </c>
      <c r="G56" s="1360">
        <f t="shared" si="0"/>
        <v>0</v>
      </c>
      <c r="H56" s="1361"/>
      <c r="I56" s="1353">
        <f>VLOOKUP(A56,'SAP TB'!E:E,1,FALSE)</f>
        <v>445614</v>
      </c>
      <c r="L56" s="1362"/>
    </row>
    <row r="57" spans="1:12" ht="14.4">
      <c r="A57" s="1359">
        <v>445614</v>
      </c>
      <c r="B57" s="1359" t="s">
        <v>1228</v>
      </c>
      <c r="C57" s="1359">
        <v>101801</v>
      </c>
      <c r="D57" s="1359" t="s">
        <v>1228</v>
      </c>
      <c r="E57" s="1360">
        <v>-347334.16</v>
      </c>
      <c r="F57" s="1360">
        <v>-347334.16</v>
      </c>
      <c r="G57" s="1360"/>
      <c r="H57" s="1361"/>
      <c r="I57" s="1353">
        <f>VLOOKUP(A57,'SAP TB'!E:E,1,FALSE)</f>
        <v>445614</v>
      </c>
      <c r="L57" s="1362"/>
    </row>
    <row r="58" spans="1:12" ht="14.4">
      <c r="A58" s="1359">
        <v>445780</v>
      </c>
      <c r="B58" s="1359" t="s">
        <v>1449</v>
      </c>
      <c r="C58" s="1359">
        <v>205133</v>
      </c>
      <c r="D58" s="1359" t="s">
        <v>1449</v>
      </c>
      <c r="E58" s="1360">
        <v>49997.34</v>
      </c>
      <c r="F58" s="1360">
        <v>49997.34</v>
      </c>
      <c r="G58" s="1360">
        <f t="shared" si="0"/>
        <v>0</v>
      </c>
      <c r="H58" s="1361"/>
      <c r="I58" s="1353">
        <f>VLOOKUP(A58,'SAP TB'!E:E,1,FALSE)</f>
        <v>445780</v>
      </c>
      <c r="L58" s="1362"/>
    </row>
    <row r="59" spans="1:12" ht="14.4">
      <c r="A59" s="1359">
        <v>445882</v>
      </c>
      <c r="B59" s="1359" t="s">
        <v>2436</v>
      </c>
      <c r="C59" s="1359">
        <v>101793</v>
      </c>
      <c r="D59" s="1359" t="s">
        <v>1221</v>
      </c>
      <c r="E59" s="1360">
        <v>5421844.2999999998</v>
      </c>
      <c r="F59" s="1360">
        <v>5421844.3000000007</v>
      </c>
      <c r="G59" s="1360">
        <f t="shared" si="0"/>
        <v>0</v>
      </c>
      <c r="H59" s="1361"/>
      <c r="I59" s="1353">
        <f>VLOOKUP(A59,'SAP TB'!E:E,1,FALSE)</f>
        <v>445882</v>
      </c>
      <c r="L59" s="1362"/>
    </row>
    <row r="60" spans="1:12" ht="14.4">
      <c r="A60" s="1359">
        <v>445960</v>
      </c>
      <c r="B60" s="1359" t="s">
        <v>1208</v>
      </c>
      <c r="C60" s="1359">
        <v>101702</v>
      </c>
      <c r="D60" s="1359" t="s">
        <v>1208</v>
      </c>
      <c r="E60" s="1360">
        <v>5502.25</v>
      </c>
      <c r="F60" s="1360">
        <v>5502.25</v>
      </c>
      <c r="G60" s="1360">
        <f t="shared" si="0"/>
        <v>0</v>
      </c>
      <c r="H60" s="1361"/>
      <c r="I60" s="1353">
        <f>VLOOKUP(A60,'SAP TB'!E:E,1,FALSE)</f>
        <v>445960</v>
      </c>
      <c r="L60" s="1362"/>
    </row>
    <row r="61" spans="1:12" ht="14.4">
      <c r="A61" s="1359">
        <v>445970</v>
      </c>
      <c r="B61" s="1359" t="s">
        <v>1207</v>
      </c>
      <c r="C61" s="1359">
        <v>101701</v>
      </c>
      <c r="D61" s="1359" t="s">
        <v>1207</v>
      </c>
      <c r="E61" s="1360">
        <v>5502.26</v>
      </c>
      <c r="F61" s="1360">
        <v>5502.26</v>
      </c>
      <c r="G61" s="1360">
        <f t="shared" si="0"/>
        <v>0</v>
      </c>
      <c r="H61" s="1361"/>
      <c r="I61" s="1353">
        <f>VLOOKUP(A61,'SAP TB'!E:E,1,FALSE)</f>
        <v>445970</v>
      </c>
      <c r="L61" s="1362"/>
    </row>
    <row r="62" spans="1:12" ht="14.4">
      <c r="A62" s="1359">
        <v>445980</v>
      </c>
      <c r="B62" s="1359" t="s">
        <v>1209</v>
      </c>
      <c r="C62" s="1359">
        <v>101703</v>
      </c>
      <c r="D62" s="1359" t="s">
        <v>1209</v>
      </c>
      <c r="E62" s="1360">
        <v>3286.94</v>
      </c>
      <c r="F62" s="1360">
        <v>3286.9399999999896</v>
      </c>
      <c r="G62" s="1360">
        <f t="shared" si="0"/>
        <v>1.0459189070388675E-11</v>
      </c>
      <c r="H62" s="1361"/>
      <c r="I62" s="1353">
        <f>VLOOKUP(A62,'SAP TB'!E:E,1,FALSE)</f>
        <v>445980</v>
      </c>
      <c r="L62" s="1362"/>
    </row>
    <row r="63" spans="1:12" ht="14.4">
      <c r="A63" s="1359">
        <v>451099</v>
      </c>
      <c r="B63" s="1359" t="s">
        <v>2437</v>
      </c>
      <c r="C63" s="1359">
        <v>101374</v>
      </c>
      <c r="D63" s="1359" t="s">
        <v>1160</v>
      </c>
      <c r="E63" s="1360">
        <v>11736.29</v>
      </c>
      <c r="F63" s="1360">
        <v>11736.290000000003</v>
      </c>
      <c r="G63" s="1360">
        <f t="shared" si="0"/>
        <v>0</v>
      </c>
      <c r="H63" s="1361"/>
      <c r="I63" s="1353">
        <f>VLOOKUP(A63,'SAP TB'!E:E,1,FALSE)</f>
        <v>451099</v>
      </c>
      <c r="L63" s="1362"/>
    </row>
    <row r="64" spans="1:12" ht="14.4">
      <c r="A64" s="1359">
        <v>451115</v>
      </c>
      <c r="B64" s="1359" t="s">
        <v>2438</v>
      </c>
      <c r="C64" s="1359">
        <v>101376</v>
      </c>
      <c r="D64" s="1359" t="s">
        <v>1161</v>
      </c>
      <c r="E64" s="1360">
        <v>-171373</v>
      </c>
      <c r="F64" s="1360">
        <v>-171373</v>
      </c>
      <c r="G64" s="1360">
        <f t="shared" si="0"/>
        <v>0</v>
      </c>
      <c r="H64" s="1361"/>
      <c r="I64" s="1353">
        <f>VLOOKUP(A64,'SAP TB'!E:E,1,FALSE)</f>
        <v>451115</v>
      </c>
      <c r="L64" s="1362"/>
    </row>
    <row r="65" spans="1:12" ht="14.4">
      <c r="A65" s="1359">
        <v>451998</v>
      </c>
      <c r="B65" s="1359" t="s">
        <v>2439</v>
      </c>
      <c r="C65" s="1359">
        <v>200022</v>
      </c>
      <c r="D65" s="1359" t="s">
        <v>1342</v>
      </c>
      <c r="E65" s="1360">
        <v>-29571.53</v>
      </c>
      <c r="F65" s="1360">
        <v>-29571.528700010134</v>
      </c>
      <c r="G65" s="1360">
        <f t="shared" si="0"/>
        <v>-1.2999898644920904E-3</v>
      </c>
      <c r="H65" s="1361"/>
      <c r="I65" s="1353">
        <f>VLOOKUP(A65,'SAP TB'!E:E,1,FALSE)</f>
        <v>451998</v>
      </c>
      <c r="L65" s="1362"/>
    </row>
    <row r="66" spans="1:12" ht="26.4">
      <c r="A66" s="1359">
        <v>467010</v>
      </c>
      <c r="B66" s="1359" t="s">
        <v>2440</v>
      </c>
      <c r="C66" s="1359">
        <v>101316</v>
      </c>
      <c r="D66" s="1359" t="s">
        <v>1123</v>
      </c>
      <c r="E66" s="1360">
        <v>5071033.74</v>
      </c>
      <c r="F66" s="1360">
        <v>26808.599999999991</v>
      </c>
      <c r="G66" s="1360">
        <f t="shared" si="0"/>
        <v>5044225.1400000006</v>
      </c>
      <c r="H66" s="1363" t="s">
        <v>2399</v>
      </c>
      <c r="I66" s="1353">
        <f>VLOOKUP(A66,'SAP TB'!E:E,1,FALSE)</f>
        <v>467010</v>
      </c>
      <c r="L66" s="1362"/>
    </row>
    <row r="67" spans="1:12" ht="26.4">
      <c r="A67" s="1359">
        <v>467010</v>
      </c>
      <c r="B67" s="1359" t="s">
        <v>2440</v>
      </c>
      <c r="C67" s="1359">
        <v>101320</v>
      </c>
      <c r="D67" s="1359"/>
      <c r="E67" s="1360"/>
      <c r="F67" s="1360">
        <v>-338.26</v>
      </c>
      <c r="G67" s="1360">
        <f>+E67-F67</f>
        <v>338.26</v>
      </c>
      <c r="H67" s="1363" t="s">
        <v>2399</v>
      </c>
      <c r="I67" s="1353">
        <f>VLOOKUP(A67,'SAP TB'!E:E,1,FALSE)</f>
        <v>467010</v>
      </c>
      <c r="L67" s="1362"/>
    </row>
    <row r="68" spans="1:12" ht="26.4">
      <c r="A68" s="1359">
        <v>467010</v>
      </c>
      <c r="B68" s="1359" t="s">
        <v>2440</v>
      </c>
      <c r="C68" s="1359">
        <v>101390</v>
      </c>
      <c r="D68" s="1359"/>
      <c r="E68" s="1360"/>
      <c r="F68" s="1360">
        <v>5071372</v>
      </c>
      <c r="G68" s="1360">
        <f>+E68-F68</f>
        <v>-5071372</v>
      </c>
      <c r="H68" s="1363" t="s">
        <v>2399</v>
      </c>
      <c r="I68" s="1353">
        <f>VLOOKUP(A68,'SAP TB'!E:E,1,FALSE)</f>
        <v>467010</v>
      </c>
      <c r="L68" s="1362"/>
    </row>
    <row r="69" spans="1:12" ht="26.4">
      <c r="A69" s="1359">
        <v>467010</v>
      </c>
      <c r="B69" s="1359" t="s">
        <v>2440</v>
      </c>
      <c r="C69" s="1359">
        <v>205046</v>
      </c>
      <c r="D69" s="1359"/>
      <c r="E69" s="1360"/>
      <c r="F69" s="1360">
        <v>-26808.600000000006</v>
      </c>
      <c r="G69" s="1360">
        <f>+E69-F69</f>
        <v>26808.600000000006</v>
      </c>
      <c r="H69" s="1363" t="s">
        <v>2399</v>
      </c>
      <c r="I69" s="1353">
        <f>VLOOKUP(A69,'SAP TB'!E:E,1,FALSE)</f>
        <v>467010</v>
      </c>
      <c r="L69" s="1362"/>
    </row>
    <row r="70" spans="1:12" ht="26.4">
      <c r="A70" s="1359">
        <v>468701</v>
      </c>
      <c r="B70" s="1359" t="s">
        <v>2441</v>
      </c>
      <c r="C70" s="1359">
        <v>101823</v>
      </c>
      <c r="D70" s="1359" t="s">
        <v>1249</v>
      </c>
      <c r="E70" s="1360">
        <v>15629.260000000002</v>
      </c>
      <c r="F70" s="1360">
        <v>-711.96</v>
      </c>
      <c r="G70" s="1360">
        <f t="shared" si="0"/>
        <v>16341.220000000001</v>
      </c>
      <c r="H70" s="1363" t="s">
        <v>2399</v>
      </c>
      <c r="I70" s="1353">
        <f>VLOOKUP(A70,'SAP TB'!E:E,1,FALSE)</f>
        <v>468701</v>
      </c>
      <c r="L70" s="1362"/>
    </row>
    <row r="71" spans="1:12" ht="26.4">
      <c r="A71" s="1359">
        <v>468701</v>
      </c>
      <c r="B71" s="1359" t="s">
        <v>2441</v>
      </c>
      <c r="C71" s="1359">
        <v>101835</v>
      </c>
      <c r="D71" s="1359"/>
      <c r="E71" s="1360"/>
      <c r="F71" s="1360">
        <v>8063.3699999999599</v>
      </c>
      <c r="G71" s="1360">
        <f>+E71-F71</f>
        <v>-8063.3699999999599</v>
      </c>
      <c r="H71" s="1363" t="s">
        <v>2399</v>
      </c>
      <c r="I71" s="1353">
        <f>VLOOKUP(A71,'SAP TB'!E:E,1,FALSE)</f>
        <v>468701</v>
      </c>
      <c r="L71" s="1362"/>
    </row>
    <row r="72" spans="1:12" ht="26.4">
      <c r="A72" s="1359">
        <v>468701</v>
      </c>
      <c r="B72" s="1359" t="s">
        <v>2441</v>
      </c>
      <c r="C72" s="1359">
        <v>101853</v>
      </c>
      <c r="D72" s="1359"/>
      <c r="E72" s="1360"/>
      <c r="F72" s="1360">
        <v>8277.8499999999985</v>
      </c>
      <c r="G72" s="1360">
        <f>+E72-F72</f>
        <v>-8277.8499999999985</v>
      </c>
      <c r="H72" s="1363" t="s">
        <v>2399</v>
      </c>
      <c r="I72" s="1353">
        <f>VLOOKUP(A72,'SAP TB'!E:E,1,FALSE)</f>
        <v>468701</v>
      </c>
      <c r="L72" s="1362"/>
    </row>
    <row r="73" spans="1:12" ht="14.4">
      <c r="A73" s="1359">
        <v>486200</v>
      </c>
      <c r="B73" s="1359" t="s">
        <v>2442</v>
      </c>
      <c r="C73" s="1359">
        <v>101420</v>
      </c>
      <c r="D73" s="1359" t="s">
        <v>1190</v>
      </c>
      <c r="E73" s="1360">
        <v>38982.379999999997</v>
      </c>
      <c r="F73" s="1360">
        <v>38982.376000000033</v>
      </c>
      <c r="G73" s="1360">
        <f t="shared" si="0"/>
        <v>3.9999999644351192E-3</v>
      </c>
      <c r="H73" s="1361"/>
      <c r="I73" s="1353">
        <f>VLOOKUP(A73,'SAP TB'!E:E,1,FALSE)</f>
        <v>486200</v>
      </c>
      <c r="L73" s="1362"/>
    </row>
    <row r="74" spans="1:12" ht="14.4">
      <c r="A74" s="1359">
        <v>488000</v>
      </c>
      <c r="B74" s="1359" t="s">
        <v>2443</v>
      </c>
      <c r="C74" s="1359">
        <v>110610</v>
      </c>
      <c r="D74" s="1359" t="s">
        <v>1329</v>
      </c>
      <c r="E74" s="1360">
        <v>176315095.40000001</v>
      </c>
      <c r="F74" s="1360">
        <v>176315095.40046701</v>
      </c>
      <c r="G74" s="1360">
        <f t="shared" si="0"/>
        <v>-4.6700239181518555E-4</v>
      </c>
      <c r="H74" s="1361"/>
      <c r="I74" s="1353">
        <f>VLOOKUP(A74,'SAP TB'!E:E,1,FALSE)</f>
        <v>488000</v>
      </c>
      <c r="L74" s="1362"/>
    </row>
    <row r="75" spans="1:12" ht="14.4">
      <c r="A75" s="1359">
        <v>488010</v>
      </c>
      <c r="B75" s="1359" t="s">
        <v>2444</v>
      </c>
      <c r="C75" s="1359">
        <v>101779</v>
      </c>
      <c r="D75" s="1359" t="s">
        <v>2445</v>
      </c>
      <c r="E75" s="1360">
        <v>-165674975.84</v>
      </c>
      <c r="F75" s="1360">
        <v>-165674975.84111801</v>
      </c>
      <c r="G75" s="1360">
        <f t="shared" si="0"/>
        <v>1.118004322052002E-3</v>
      </c>
      <c r="H75" s="1361"/>
      <c r="I75" s="1353">
        <f>VLOOKUP(A75,'SAP TB'!E:E,1,FALSE)</f>
        <v>488010</v>
      </c>
      <c r="L75" s="1362"/>
    </row>
    <row r="76" spans="1:12" ht="14.4">
      <c r="A76" s="1359">
        <v>51200217</v>
      </c>
      <c r="B76" s="1359" t="s">
        <v>2448</v>
      </c>
      <c r="C76" s="1359">
        <v>101861</v>
      </c>
      <c r="D76" s="1359" t="s">
        <v>2285</v>
      </c>
      <c r="E76" s="1360">
        <v>218900000.06</v>
      </c>
      <c r="F76" s="1360">
        <v>218900000.06</v>
      </c>
      <c r="G76" s="1360">
        <f t="shared" si="0"/>
        <v>0</v>
      </c>
      <c r="H76" s="1361"/>
      <c r="I76" s="1353">
        <f>VLOOKUP(A76,'SAP TB'!E:E,1,FALSE)</f>
        <v>51200217</v>
      </c>
      <c r="L76" s="1362"/>
    </row>
    <row r="77" spans="1:12" ht="14.4">
      <c r="A77" s="1359">
        <v>51200208</v>
      </c>
      <c r="B77" s="1359" t="s">
        <v>2447</v>
      </c>
      <c r="C77" s="1359">
        <v>100502</v>
      </c>
      <c r="D77" s="1359" t="s">
        <v>995</v>
      </c>
      <c r="E77" s="1360">
        <v>11996.5</v>
      </c>
      <c r="F77" s="1360">
        <v>11996.500000001526</v>
      </c>
      <c r="G77" s="1360">
        <f t="shared" si="0"/>
        <v>-1.5261321095749736E-9</v>
      </c>
      <c r="H77" s="1361"/>
      <c r="I77" s="1353">
        <f>VLOOKUP(A77,'SAP TB'!E:E,1,FALSE)</f>
        <v>51200208</v>
      </c>
      <c r="L77" s="1362"/>
    </row>
    <row r="78" spans="1:12" ht="14.4">
      <c r="A78" s="1359">
        <v>51200215</v>
      </c>
      <c r="B78" s="1359" t="s">
        <v>2448</v>
      </c>
      <c r="C78" s="1359">
        <v>100451</v>
      </c>
      <c r="D78" s="1359" t="s">
        <v>2198</v>
      </c>
      <c r="E78" s="1360">
        <v>3551476.61</v>
      </c>
      <c r="F78" s="1360">
        <v>3551476.6099999859</v>
      </c>
      <c r="G78" s="1360">
        <f t="shared" si="0"/>
        <v>1.3969838619232178E-8</v>
      </c>
      <c r="H78" s="1361"/>
      <c r="I78" s="1353">
        <f>VLOOKUP(A78,'SAP TB'!E:E,1,FALSE)</f>
        <v>51200215</v>
      </c>
      <c r="L78" s="1362"/>
    </row>
    <row r="79" spans="1:12" ht="14.4">
      <c r="A79" s="1359">
        <v>401100</v>
      </c>
      <c r="B79" s="1359" t="s">
        <v>2449</v>
      </c>
      <c r="C79" s="1359">
        <v>101475</v>
      </c>
      <c r="D79" s="1359" t="s">
        <v>1205</v>
      </c>
      <c r="E79" s="1360">
        <v>5549.2</v>
      </c>
      <c r="F79" s="1360">
        <v>5549.3199999998906</v>
      </c>
      <c r="G79" s="1360">
        <f t="shared" si="0"/>
        <v>-0.1199999998907515</v>
      </c>
      <c r="H79" s="1361"/>
      <c r="I79" s="1353">
        <f>VLOOKUP(A79,'SAP TB'!E:E,1,FALSE)</f>
        <v>401100</v>
      </c>
      <c r="L79" s="1362"/>
    </row>
    <row r="80" spans="1:12" ht="14.4">
      <c r="A80" s="1359">
        <v>411700</v>
      </c>
      <c r="B80" s="1359" t="s">
        <v>2450</v>
      </c>
      <c r="C80" s="1359">
        <v>101832</v>
      </c>
      <c r="D80" s="1359" t="s">
        <v>1258</v>
      </c>
      <c r="E80" s="1360">
        <v>2747510</v>
      </c>
      <c r="F80" s="1360">
        <v>2747511</v>
      </c>
      <c r="G80" s="1360">
        <f t="shared" si="0"/>
        <v>-1</v>
      </c>
      <c r="H80" s="1361"/>
      <c r="I80" s="1353">
        <f>VLOOKUP(A80,'SAP TB'!E:E,1,FALSE)</f>
        <v>411700</v>
      </c>
      <c r="L80" s="1362"/>
    </row>
    <row r="81" spans="1:9" ht="14.4">
      <c r="A81" s="1359">
        <v>215500</v>
      </c>
      <c r="B81" s="1359" t="s">
        <v>2451</v>
      </c>
      <c r="C81" s="1359">
        <v>110030</v>
      </c>
      <c r="D81" s="1359" t="s">
        <v>1270</v>
      </c>
      <c r="E81" s="1360">
        <v>13485280</v>
      </c>
      <c r="F81" s="1360">
        <v>13485280</v>
      </c>
      <c r="G81" s="1360">
        <f t="shared" si="0"/>
        <v>0</v>
      </c>
      <c r="H81" s="1361"/>
      <c r="I81" s="1353">
        <f>VLOOKUP(A81,'SAP TB'!E:E,1,FALSE)</f>
        <v>215500</v>
      </c>
    </row>
    <row r="82" spans="1:9" ht="14.4">
      <c r="A82" s="1359">
        <v>219000</v>
      </c>
      <c r="B82" s="1359" t="s">
        <v>2452</v>
      </c>
      <c r="C82" s="1359">
        <v>110064</v>
      </c>
      <c r="D82" s="1359" t="s">
        <v>1279</v>
      </c>
      <c r="E82" s="1360">
        <v>72924</v>
      </c>
      <c r="F82" s="1360">
        <v>72924</v>
      </c>
      <c r="G82" s="1360">
        <f>+E82-F82</f>
        <v>0</v>
      </c>
      <c r="H82" s="1361"/>
      <c r="I82" s="1353">
        <f>VLOOKUP(A82,'SAP TB'!E:E,1,FALSE)</f>
        <v>219000</v>
      </c>
    </row>
    <row r="83" spans="1:9" ht="14.4">
      <c r="A83" s="1359">
        <v>205000</v>
      </c>
      <c r="B83" s="1359" t="s">
        <v>2453</v>
      </c>
      <c r="C83" s="1359">
        <v>110070</v>
      </c>
      <c r="D83" s="1359" t="s">
        <v>1284</v>
      </c>
      <c r="E83" s="1360">
        <v>6846730.4800000004</v>
      </c>
      <c r="F83" s="1360">
        <v>6846730.9582608696</v>
      </c>
      <c r="G83" s="1360">
        <f>+E83-F83</f>
        <v>-0.47826086916029453</v>
      </c>
      <c r="H83" s="1361"/>
      <c r="I83" s="1353">
        <f>VLOOKUP(A83,'SAP TB'!E:E,1,FALSE)</f>
        <v>205000</v>
      </c>
    </row>
    <row r="84" spans="1:9" ht="14.4">
      <c r="A84" s="1359">
        <v>281550</v>
      </c>
      <c r="B84" s="1359" t="s">
        <v>2454</v>
      </c>
      <c r="C84" s="1359">
        <v>110130</v>
      </c>
      <c r="D84" s="1359" t="s">
        <v>1300</v>
      </c>
      <c r="E84" s="1360">
        <v>-13485280</v>
      </c>
      <c r="F84" s="1360">
        <v>-13485280.629999997</v>
      </c>
      <c r="G84" s="1360">
        <f>+E84-F84</f>
        <v>0.62999999709427357</v>
      </c>
      <c r="H84" s="1361"/>
      <c r="I84" s="1353">
        <f>VLOOKUP(A84,'SAP TB'!E:E,1,FALSE)</f>
        <v>281550</v>
      </c>
    </row>
    <row r="85" spans="1:9" ht="14.4">
      <c r="A85" s="1359">
        <v>281900</v>
      </c>
      <c r="B85" s="1359" t="s">
        <v>2455</v>
      </c>
      <c r="C85" s="1359">
        <v>110164</v>
      </c>
      <c r="D85" s="1359" t="s">
        <v>1309</v>
      </c>
      <c r="E85" s="1360">
        <v>-72924</v>
      </c>
      <c r="F85" s="1360">
        <v>-72924.13</v>
      </c>
      <c r="G85" s="1360">
        <f>+E85-F85</f>
        <v>0.13000000000465661</v>
      </c>
      <c r="H85" s="1361"/>
      <c r="I85" s="1353">
        <f>VLOOKUP(A85,'SAP TB'!E:E,1,FALSE)</f>
        <v>281900</v>
      </c>
    </row>
    <row r="86" spans="1:9" ht="14.4">
      <c r="A86" s="1359">
        <v>280500</v>
      </c>
      <c r="B86" s="1359" t="s">
        <v>2456</v>
      </c>
      <c r="C86" s="1359">
        <v>110170</v>
      </c>
      <c r="D86" s="1359" t="s">
        <v>1310</v>
      </c>
      <c r="E86" s="1360">
        <v>-6846730.4800000004</v>
      </c>
      <c r="F86" s="1360">
        <v>-6846730.9869636493</v>
      </c>
      <c r="G86" s="1360">
        <f>+E86-F86</f>
        <v>0.50696364883333445</v>
      </c>
      <c r="H86" s="1361"/>
      <c r="I86" s="1353">
        <f>VLOOKUP(A86,'SAP TB'!E:E,1,FALSE)</f>
        <v>280500</v>
      </c>
    </row>
    <row r="87" spans="1:9">
      <c r="A87" s="1359"/>
      <c r="B87" s="1364" t="s">
        <v>2457</v>
      </c>
      <c r="C87" s="1359"/>
      <c r="D87" s="1359"/>
      <c r="E87" s="1365">
        <f>SUM(E6:E86)</f>
        <v>-1.5273690223693848E-7</v>
      </c>
      <c r="F87" s="1365">
        <f>SUM(F6:F86)</f>
        <v>1.6904361546039581E-3</v>
      </c>
      <c r="G87" s="1365">
        <f>SUM(G6:G86)</f>
        <v>-1.6905242255234043E-3</v>
      </c>
      <c r="H87" s="1361"/>
    </row>
  </sheetData>
  <autoFilter ref="A5:H87" xr:uid="{24F14F39-FD18-4327-BECD-642E39F248C9}"/>
  <conditionalFormatting sqref="A6:A8 A10 A13 A15:A17 A20:A33 A37:A47 A49 A51:A66 A70 A73:A86">
    <cfRule type="duplicateValues" dxfId="1" priority="1"/>
  </conditionalFormatting>
  <conditionalFormatting sqref="C6:C8 C10 C13 C15:C17 C20:C33 C37:C47 C49 C51:C66 C70 C73:C86">
    <cfRule type="duplicateValues" dxfId="0" priority="2"/>
  </conditionalFormatting>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33CC33"/>
  </sheetPr>
  <dimension ref="A2:W9"/>
  <sheetViews>
    <sheetView topLeftCell="I1" workbookViewId="0">
      <selection activeCell="D23" sqref="D23"/>
    </sheetView>
  </sheetViews>
  <sheetFormatPr defaultRowHeight="14.4"/>
  <cols>
    <col min="1" max="1" width="60.21875" bestFit="1" customWidth="1"/>
    <col min="2" max="2" width="14" bestFit="1" customWidth="1"/>
    <col min="3" max="3" width="11.5546875" bestFit="1" customWidth="1"/>
    <col min="4" max="4" width="14" bestFit="1" customWidth="1"/>
    <col min="5" max="5" width="11.5546875" bestFit="1" customWidth="1"/>
    <col min="6" max="6" width="10" bestFit="1" customWidth="1"/>
    <col min="7" max="7" width="11.5546875" bestFit="1" customWidth="1"/>
    <col min="8" max="8" width="10" bestFit="1" customWidth="1"/>
    <col min="9" max="9" width="11.5546875" bestFit="1" customWidth="1"/>
    <col min="10" max="10" width="10" bestFit="1" customWidth="1"/>
    <col min="11" max="11" width="11.5546875" bestFit="1" customWidth="1"/>
    <col min="12" max="12" width="9.77734375" bestFit="1" customWidth="1"/>
    <col min="13" max="13" width="11.5546875" bestFit="1" customWidth="1"/>
    <col min="14" max="14" width="9.77734375" bestFit="1" customWidth="1"/>
    <col min="15" max="15" width="11.5546875" bestFit="1" customWidth="1"/>
    <col min="16" max="16" width="10.6640625" bestFit="1" customWidth="1"/>
    <col min="17" max="17" width="10.88671875" bestFit="1" customWidth="1"/>
    <col min="18" max="18" width="10.6640625" bestFit="1" customWidth="1"/>
    <col min="19" max="19" width="14.6640625" customWidth="1"/>
    <col min="20" max="20" width="10.6640625" bestFit="1" customWidth="1"/>
    <col min="21" max="21" width="10.88671875" bestFit="1" customWidth="1"/>
  </cols>
  <sheetData>
    <row r="2" spans="1:23">
      <c r="A2" s="402" t="s">
        <v>829</v>
      </c>
      <c r="B2" s="1899">
        <v>42460</v>
      </c>
      <c r="C2" s="1900"/>
      <c r="D2" s="1899">
        <v>42825</v>
      </c>
      <c r="E2" s="1900"/>
      <c r="F2" s="1899">
        <v>43190</v>
      </c>
      <c r="G2" s="1900"/>
      <c r="H2" s="1899">
        <v>43555</v>
      </c>
      <c r="I2" s="1900"/>
      <c r="J2" s="1899">
        <v>43921</v>
      </c>
      <c r="K2" s="1900"/>
      <c r="L2" s="1899">
        <v>44286</v>
      </c>
      <c r="M2" s="1900"/>
      <c r="N2" s="1899">
        <v>44651</v>
      </c>
      <c r="O2" s="1900"/>
      <c r="P2" s="1899">
        <v>45016</v>
      </c>
      <c r="Q2" s="1900"/>
      <c r="R2" s="1899">
        <v>45382</v>
      </c>
      <c r="S2" s="1900"/>
      <c r="T2" s="1899">
        <v>45747</v>
      </c>
      <c r="U2" s="1900"/>
    </row>
    <row r="3" spans="1:23">
      <c r="B3" s="1216" t="s">
        <v>830</v>
      </c>
      <c r="C3" s="1217" t="s">
        <v>2197</v>
      </c>
      <c r="D3" s="1216" t="s">
        <v>830</v>
      </c>
      <c r="E3" s="1217" t="s">
        <v>2197</v>
      </c>
      <c r="F3" s="1216" t="s">
        <v>830</v>
      </c>
      <c r="G3" s="1217" t="s">
        <v>2197</v>
      </c>
      <c r="H3" s="1216" t="s">
        <v>830</v>
      </c>
      <c r="I3" s="1217" t="s">
        <v>2197</v>
      </c>
      <c r="J3" s="1216" t="s">
        <v>830</v>
      </c>
      <c r="K3" s="1217" t="s">
        <v>2197</v>
      </c>
      <c r="L3" s="1216" t="s">
        <v>830</v>
      </c>
      <c r="M3" s="1217" t="s">
        <v>2197</v>
      </c>
      <c r="N3" s="1216" t="s">
        <v>830</v>
      </c>
      <c r="O3" s="1217" t="s">
        <v>2197</v>
      </c>
      <c r="P3" s="1216" t="s">
        <v>830</v>
      </c>
      <c r="Q3" s="1217" t="s">
        <v>2197</v>
      </c>
      <c r="R3" s="1216" t="s">
        <v>830</v>
      </c>
      <c r="S3" s="1217" t="s">
        <v>2197</v>
      </c>
      <c r="T3" s="1216" t="s">
        <v>830</v>
      </c>
      <c r="U3" s="1217" t="s">
        <v>2197</v>
      </c>
    </row>
    <row r="4" spans="1:23">
      <c r="A4" t="s">
        <v>831</v>
      </c>
      <c r="B4" s="1218"/>
      <c r="C4" s="1219"/>
      <c r="D4" s="1218">
        <f t="shared" ref="D4:I4" si="0">B7</f>
        <v>-466940.97450000001</v>
      </c>
      <c r="E4" s="1219">
        <f t="shared" si="0"/>
        <v>-466941</v>
      </c>
      <c r="F4" s="1218">
        <f t="shared" si="0"/>
        <v>-545737.59450000001</v>
      </c>
      <c r="G4" s="1219">
        <f t="shared" si="0"/>
        <v>-545738</v>
      </c>
      <c r="H4" s="1218">
        <f t="shared" si="0"/>
        <v>-854377.36</v>
      </c>
      <c r="I4" s="1219">
        <f t="shared" si="0"/>
        <v>-854377</v>
      </c>
      <c r="J4" s="1218">
        <f t="shared" ref="J4:O4" si="1">H7</f>
        <v>-727912.84</v>
      </c>
      <c r="K4" s="1219">
        <f t="shared" si="1"/>
        <v>-727913</v>
      </c>
      <c r="L4" s="1218">
        <f t="shared" si="1"/>
        <v>-709342.53999999992</v>
      </c>
      <c r="M4" s="1219">
        <f t="shared" si="1"/>
        <v>-709343</v>
      </c>
      <c r="N4" s="1218">
        <f t="shared" si="1"/>
        <v>-958141.6399999999</v>
      </c>
      <c r="O4" s="1219">
        <f t="shared" si="1"/>
        <v>-958142</v>
      </c>
      <c r="P4" s="1218">
        <f t="shared" ref="P4:U4" si="2">N7</f>
        <v>-320914.31999999995</v>
      </c>
      <c r="Q4" s="1219">
        <f t="shared" si="2"/>
        <v>-320914</v>
      </c>
      <c r="R4" s="1218">
        <f t="shared" si="2"/>
        <v>-1108932.9737999998</v>
      </c>
      <c r="S4" s="1219">
        <f t="shared" si="2"/>
        <v>-1108933</v>
      </c>
      <c r="T4" s="1218">
        <f t="shared" si="2"/>
        <v>-1087151.9369999999</v>
      </c>
      <c r="U4" s="1219">
        <f t="shared" si="2"/>
        <v>-1087152</v>
      </c>
    </row>
    <row r="5" spans="1:23">
      <c r="A5" s="403" t="s">
        <v>832</v>
      </c>
      <c r="B5" s="1218">
        <v>-644501</v>
      </c>
      <c r="C5" s="1219">
        <f>ROUND(B5/Master!$B$23,0)</f>
        <v>-644501</v>
      </c>
      <c r="D5" s="1218">
        <v>-108760</v>
      </c>
      <c r="E5" s="1219">
        <f>ROUND(D5/Master!$B$23,0)</f>
        <v>-108760</v>
      </c>
      <c r="F5" s="1218">
        <f>-224334-176969</f>
        <v>-401303</v>
      </c>
      <c r="G5" s="1219">
        <f>ROUND(F5/Master!$B$23,0)</f>
        <v>-401303</v>
      </c>
      <c r="H5" s="1218">
        <f>127139-139+43898</f>
        <v>170898</v>
      </c>
      <c r="I5" s="1219">
        <f>ROUND(H5/Master!$B$23,0)</f>
        <v>170898</v>
      </c>
      <c r="J5" s="1218">
        <v>25095</v>
      </c>
      <c r="K5" s="1219">
        <f>ROUND(J5/Master!$B$23,0)</f>
        <v>25095</v>
      </c>
      <c r="L5" s="1218">
        <v>-336215</v>
      </c>
      <c r="M5" s="1219">
        <f>ROUND(L5/Master!$B$23,0)</f>
        <v>-336215</v>
      </c>
      <c r="N5" s="1218">
        <v>861118</v>
      </c>
      <c r="O5" s="1219">
        <f>ROUND(N5/Master!$B$23,0)</f>
        <v>861118</v>
      </c>
      <c r="P5" s="1218">
        <v>-1091741</v>
      </c>
      <c r="Q5" s="1219">
        <f>ROUND(P5/Master!$B$23,0)</f>
        <v>-1091741</v>
      </c>
      <c r="R5" s="1218">
        <f>'Entries'' 23-24'!E193</f>
        <v>30176</v>
      </c>
      <c r="S5" s="1678">
        <f>ROUND(R5/Master!$B$23,0)</f>
        <v>30176</v>
      </c>
      <c r="T5" s="1618">
        <f>ROUND('Entries 24-25'!E34/Master!$B$23,0)</f>
        <v>46765</v>
      </c>
      <c r="U5" s="1619">
        <f>ROUND(T5/Master!$B$23,0)</f>
        <v>46765</v>
      </c>
    </row>
    <row r="6" spans="1:23">
      <c r="A6" s="404" t="s">
        <v>833</v>
      </c>
      <c r="B6" s="1218">
        <f>-B5*27.55%</f>
        <v>177560.02550000002</v>
      </c>
      <c r="C6" s="1219">
        <f>ROUND(B6/Master!$B$23,0)</f>
        <v>177560</v>
      </c>
      <c r="D6" s="1218">
        <f>-D5*27.55%</f>
        <v>29963.38</v>
      </c>
      <c r="E6" s="1219">
        <f>ROUND(D6/Master!$B$23,0)</f>
        <v>29963</v>
      </c>
      <c r="F6" s="1218">
        <f>-F5*26%-9989.76550000001-1685.78</f>
        <v>92663.234499999991</v>
      </c>
      <c r="G6" s="1219">
        <f>ROUND(F6/Master!$B$23,0)</f>
        <v>92663</v>
      </c>
      <c r="H6" s="1218">
        <f>-H5*26%</f>
        <v>-44433.48</v>
      </c>
      <c r="I6" s="1219">
        <f>ROUND(H6/Master!$B$23,0)</f>
        <v>-44433</v>
      </c>
      <c r="J6" s="1218">
        <f>-J5*26%</f>
        <v>-6524.7</v>
      </c>
      <c r="K6" s="1219">
        <f>ROUND(J6/Master!$B$23,0)</f>
        <v>-6525</v>
      </c>
      <c r="L6" s="1218">
        <f>-L5*26%</f>
        <v>87415.900000000009</v>
      </c>
      <c r="M6" s="1219">
        <f>ROUND(L6/Master!$B$23,0)</f>
        <v>87416</v>
      </c>
      <c r="N6" s="1218">
        <f>-N5*26%</f>
        <v>-223890.68000000002</v>
      </c>
      <c r="O6" s="1219">
        <f>ROUND(N6/Master!$B$23,0)</f>
        <v>-223891</v>
      </c>
      <c r="P6" s="1218">
        <f>-P5*27.82%</f>
        <v>303722.34620000003</v>
      </c>
      <c r="Q6" s="1219">
        <f>ROUND(P6/Master!$B$23,0)</f>
        <v>303722</v>
      </c>
      <c r="R6" s="1218">
        <f>-R5*27.82%</f>
        <v>-8394.9632000000001</v>
      </c>
      <c r="S6" s="1605">
        <f>ROUND(R6/Master!$B$23,0)</f>
        <v>-8395</v>
      </c>
      <c r="T6" s="1618">
        <f>-T5*27.82%</f>
        <v>-13010.022999999999</v>
      </c>
      <c r="U6" s="1619">
        <f>ROUND(T6/Master!$B$23,0)</f>
        <v>-13010</v>
      </c>
      <c r="W6" s="672"/>
    </row>
    <row r="7" spans="1:23">
      <c r="A7" t="s">
        <v>834</v>
      </c>
      <c r="B7" s="1220">
        <f>SUM(B4:B6)</f>
        <v>-466940.97450000001</v>
      </c>
      <c r="C7" s="1221">
        <f>ROUND(B7/Master!$B$23,0)</f>
        <v>-466941</v>
      </c>
      <c r="D7" s="1220">
        <f>SUM(D4:D6)</f>
        <v>-545737.59450000001</v>
      </c>
      <c r="E7" s="1221">
        <f>ROUND(D7/Master!$B$23,0)</f>
        <v>-545738</v>
      </c>
      <c r="F7" s="1220">
        <f>SUM(F4:F6)</f>
        <v>-854377.36</v>
      </c>
      <c r="G7" s="1221">
        <f>ROUND(F7/Master!$B$23,0)</f>
        <v>-854377</v>
      </c>
      <c r="H7" s="1220">
        <f>SUM(H4:H6)</f>
        <v>-727912.84</v>
      </c>
      <c r="I7" s="1221">
        <f>ROUND(H7/Master!$B$23,0)</f>
        <v>-727913</v>
      </c>
      <c r="J7" s="1220">
        <f>SUM(J4:J6)</f>
        <v>-709342.53999999992</v>
      </c>
      <c r="K7" s="1221">
        <f>ROUND(J7/Master!$B$23,0)</f>
        <v>-709343</v>
      </c>
      <c r="L7" s="1220">
        <f>SUM(L4:L6)</f>
        <v>-958141.6399999999</v>
      </c>
      <c r="M7" s="1221">
        <f>ROUND(L7/Master!$B$23,0)</f>
        <v>-958142</v>
      </c>
      <c r="N7" s="1220">
        <f>SUM(N4:N6)</f>
        <v>-320914.31999999995</v>
      </c>
      <c r="O7" s="1221">
        <f>ROUND(N7/Master!$B$23,0)</f>
        <v>-320914</v>
      </c>
      <c r="P7" s="1220">
        <f>SUM(P4:P6)</f>
        <v>-1108932.9737999998</v>
      </c>
      <c r="Q7" s="1221">
        <f>ROUND(P7/Master!$B$23,0)</f>
        <v>-1108933</v>
      </c>
      <c r="R7" s="1220">
        <f>SUM(R4:R6)</f>
        <v>-1087151.9369999999</v>
      </c>
      <c r="S7" s="1221">
        <f>ROUND(R7/Master!$B$23,0)</f>
        <v>-1087152</v>
      </c>
      <c r="T7" s="1220">
        <f>SUM(T4:T6)</f>
        <v>-1053396.96</v>
      </c>
      <c r="U7" s="1221">
        <f>ROUND(T7/Master!$B$23,0)</f>
        <v>-1053397</v>
      </c>
    </row>
    <row r="9" spans="1:23">
      <c r="H9" s="672"/>
    </row>
  </sheetData>
  <mergeCells count="10">
    <mergeCell ref="B2:C2"/>
    <mergeCell ref="D2:E2"/>
    <mergeCell ref="F2:G2"/>
    <mergeCell ref="H2:I2"/>
    <mergeCell ref="J2:K2"/>
    <mergeCell ref="T2:U2"/>
    <mergeCell ref="R2:S2"/>
    <mergeCell ref="P2:Q2"/>
    <mergeCell ref="N2:O2"/>
    <mergeCell ref="L2:M2"/>
  </mergeCell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6666"/>
  </sheetPr>
  <dimension ref="A1:P61"/>
  <sheetViews>
    <sheetView showGridLines="0" zoomScaleNormal="100" zoomScaleSheetLayoutView="80" workbookViewId="0">
      <selection activeCell="D23" sqref="D23"/>
    </sheetView>
  </sheetViews>
  <sheetFormatPr defaultColWidth="9.21875" defaultRowHeight="14.4"/>
  <cols>
    <col min="1" max="1" width="26.44140625" style="490" customWidth="1"/>
    <col min="2" max="2" width="15.21875" style="490" customWidth="1"/>
    <col min="3" max="5" width="13.21875" style="490" bestFit="1" customWidth="1"/>
    <col min="6" max="6" width="15.21875" style="490" bestFit="1" customWidth="1"/>
    <col min="7" max="7" width="13.21875" style="490" customWidth="1"/>
    <col min="8" max="8" width="14.77734375" style="491" bestFit="1" customWidth="1"/>
    <col min="9" max="9" width="14.77734375" style="490" bestFit="1" customWidth="1"/>
    <col min="10" max="11" width="14.77734375" style="491" bestFit="1" customWidth="1"/>
    <col min="12" max="12" width="0.77734375" style="490" hidden="1" customWidth="1"/>
    <col min="13" max="13" width="0.21875" style="490" customWidth="1"/>
    <col min="14" max="14" width="5.21875" style="490" bestFit="1" customWidth="1"/>
    <col min="15" max="16384" width="9.21875" style="490"/>
  </cols>
  <sheetData>
    <row r="1" spans="1:14" ht="21">
      <c r="A1" s="489" t="str">
        <f>+Master!$B$2</f>
        <v>Syntel Solutions (India) Private Limited</v>
      </c>
    </row>
    <row r="2" spans="1:14">
      <c r="A2" s="228" t="str">
        <f>"Fixed Assets and accumulated depreciation schedule for the period ended " &amp;Master!$B$5</f>
        <v>Fixed Assets and accumulated depreciation schedule for the period ended 31st March 2025</v>
      </c>
    </row>
    <row r="3" spans="1:14" ht="18.75" customHeight="1">
      <c r="K3" s="232" t="str">
        <f>+Master!B24</f>
        <v>(Rs.)</v>
      </c>
    </row>
    <row r="4" spans="1:14" s="495" customFormat="1" ht="27.6">
      <c r="A4" s="492" t="s">
        <v>82</v>
      </c>
      <c r="B4" s="493" t="s">
        <v>943</v>
      </c>
      <c r="C4" s="493" t="s">
        <v>944</v>
      </c>
      <c r="D4" s="493" t="s">
        <v>945</v>
      </c>
      <c r="E4" s="493" t="s">
        <v>946</v>
      </c>
      <c r="F4" s="493" t="s">
        <v>947</v>
      </c>
      <c r="G4" s="493" t="s">
        <v>948</v>
      </c>
      <c r="H4" s="493" t="s">
        <v>949</v>
      </c>
      <c r="I4" s="493" t="s">
        <v>950</v>
      </c>
      <c r="J4" s="493" t="s">
        <v>951</v>
      </c>
      <c r="K4" s="494" t="s">
        <v>30</v>
      </c>
      <c r="M4" s="496"/>
    </row>
    <row r="5" spans="1:14" s="500" customFormat="1">
      <c r="A5" s="497" t="s">
        <v>952</v>
      </c>
      <c r="B5" s="498"/>
      <c r="C5" s="498"/>
      <c r="D5" s="498"/>
      <c r="E5" s="498"/>
      <c r="F5" s="498"/>
      <c r="G5" s="498"/>
      <c r="H5" s="498"/>
      <c r="I5" s="498"/>
      <c r="J5" s="498"/>
      <c r="K5" s="499"/>
      <c r="M5" s="501"/>
    </row>
    <row r="6" spans="1:14">
      <c r="A6" s="502" t="str">
        <f>"At " &amp;Master!$B$20</f>
        <v>At April 1, 2023</v>
      </c>
      <c r="B6" s="503">
        <f>ROUND(SUMIF('FA Working_20-21'!$A$3:$A$15,'Sch - FA'!B4,'FA Working_20-21'!$B$3:$B$15)/Master!$B$23,0)</f>
        <v>0</v>
      </c>
      <c r="C6" s="503">
        <f>ROUND(SUMIF('FA Working_20-21'!$A$3:$A$15,'Sch - FA'!C4,'FA Working_20-21'!$B$3:$B$15)/Master!$B$23,0)</f>
        <v>0</v>
      </c>
      <c r="D6" s="503">
        <f>ROUND(SUMIF('FA Working_20-21'!$A$3:$A$15,'Sch - FA'!D4,'FA Working_20-21'!$B$3:$B$15)/Master!$B$23,0)</f>
        <v>13485280</v>
      </c>
      <c r="E6" s="503">
        <f>ROUND(SUMIF('FA Working_20-21'!$A$3:$A$15,'Sch - FA'!E4,'FA Working_20-21'!$B$3:$B$15)/Master!$B$23,0)</f>
        <v>0</v>
      </c>
      <c r="F6" s="503">
        <f>ROUND(SUMIF('FA Working_20-21'!$A$3:$A$15,'Sch - FA'!F4,'FA Working_20-21'!$B$3:$B$15)/Master!$B$23,0)</f>
        <v>72924</v>
      </c>
      <c r="G6" s="503">
        <f>ROUND(SUMIF('FA Working_20-21'!$A$3:$A$15,'Sch - FA'!G4,'FA Working_20-21'!$B$3:$B$15)/Master!$B$23,0)</f>
        <v>0</v>
      </c>
      <c r="H6" s="504">
        <f>SUM(B6:G6)</f>
        <v>13558204</v>
      </c>
      <c r="I6" s="503">
        <f>ROUND(SUMIF('FA Working_20-21'!$A$3:$A$15,'Sch - FA'!I4,'FA Working_20-21'!$B$3:$B$15)/Master!$B$23,0)+1</f>
        <v>6846731</v>
      </c>
      <c r="J6" s="504">
        <f>+I6</f>
        <v>6846731</v>
      </c>
      <c r="K6" s="505">
        <f>+H6+J6</f>
        <v>20404935</v>
      </c>
      <c r="M6" s="506"/>
    </row>
    <row r="7" spans="1:14">
      <c r="A7" s="507" t="s">
        <v>174</v>
      </c>
      <c r="B7" s="503">
        <f>ROUND(SUMIF('FA Working_20-21'!$A$3:$A$15,'Sch - FA'!B4,'FA Working_20-21'!$C$3:$C$15)/Master!$B$23,0)</f>
        <v>0</v>
      </c>
      <c r="C7" s="503">
        <f>ROUND(SUMIF('FA Working_20-21'!$A$3:$A$15,'Sch - FA'!C4,'FA Working_20-21'!$C$3:$C$15)/Master!$B$23,0)</f>
        <v>0</v>
      </c>
      <c r="D7" s="503">
        <f>ROUND(SUMIF('FA Working_20-21'!$A$3:$A$15,'Sch - FA'!D4,'FA Working_20-21'!$C$3:$C$15)/Master!$B$23,0)</f>
        <v>0</v>
      </c>
      <c r="E7" s="503">
        <f>ROUND(SUMIF('FA Working_20-21'!$A$3:$A$15,'Sch - FA'!E4,'FA Working_20-21'!$C$3:$C$15)/Master!$B$23,0)</f>
        <v>0</v>
      </c>
      <c r="F7" s="503">
        <f>ROUND(SUMIF('FA Working_20-21'!$A$3:$A$15,'Sch - FA'!F4,'FA Working_20-21'!$C$3:$C$15)/Master!$B$23,0)</f>
        <v>0</v>
      </c>
      <c r="G7" s="503">
        <f>ROUND(SUMIF('FA Working_20-21'!$A$3:$A$15,'Sch - FA'!G4,'FA Working_20-21'!$C$3:$C$15)/Master!$B$23,0)</f>
        <v>0</v>
      </c>
      <c r="H7" s="504">
        <f>SUM(B7:G7)</f>
        <v>0</v>
      </c>
      <c r="I7" s="503">
        <f>ROUND(SUMIF('FA Working_20-21'!$A$3:$A$15,'Sch - FA'!I4,'FA Working_20-21'!$C$3:$C$15)/Master!$B$23,0)</f>
        <v>0</v>
      </c>
      <c r="J7" s="504">
        <f>+I7</f>
        <v>0</v>
      </c>
      <c r="K7" s="505">
        <f>+H7+J7</f>
        <v>0</v>
      </c>
      <c r="M7" s="506"/>
    </row>
    <row r="8" spans="1:14">
      <c r="A8" s="507" t="s">
        <v>175</v>
      </c>
      <c r="B8" s="503">
        <f>-ROUND(SUMIF('FA Working_20-21'!$A$3:$A$15,'Sch - FA'!B4,'FA Working_20-21'!$D$3:$D$15)/Master!$B$23,0)</f>
        <v>0</v>
      </c>
      <c r="C8" s="503">
        <f>-ROUND(SUMIF('FA Working_20-21'!$A$3:$A$15,'Sch - FA'!C4,'FA Working_20-21'!$D$3:$D$15)/Master!$B$23,0)</f>
        <v>0</v>
      </c>
      <c r="D8" s="503">
        <f>-ROUND(SUMIF('FA Working_20-21'!$A$3:$A$15,'Sch - FA'!D4,'FA Working_20-21'!$D$3:$D$15)/Master!$B$23,0)</f>
        <v>0</v>
      </c>
      <c r="E8" s="503">
        <f>-ROUND(SUMIF('FA Working_20-21'!$A$3:$A$15,'Sch - FA'!E4,'FA Working_20-21'!$D$3:$D$15)/Master!$B$23,0)</f>
        <v>0</v>
      </c>
      <c r="F8" s="503">
        <f>-ROUND(SUMIF('FA Working_20-21'!$A$3:$A$15,'Sch - FA'!F4,'FA Working_20-21'!$D$3:$D$15)/Master!$B$23,0)</f>
        <v>0</v>
      </c>
      <c r="G8" s="503">
        <f>-ROUND(SUMIF('FA Working_20-21'!$A$3:$A$15,'Sch - FA'!G4,'FA Working_20-21'!$D$3:$D$15)/Master!$B$23,0)</f>
        <v>0</v>
      </c>
      <c r="H8" s="504">
        <f>SUM(B8:G8)</f>
        <v>0</v>
      </c>
      <c r="I8" s="503">
        <f>-ROUND(SUMIF('FA Working_20-21'!$A$3:$A$15,'Sch - FA'!I4,'FA Working_20-21'!$D$3:$D$15)/Master!$B$23,0)</f>
        <v>0</v>
      </c>
      <c r="J8" s="504">
        <f>+I8</f>
        <v>0</v>
      </c>
      <c r="K8" s="505">
        <f>+H8+J8</f>
        <v>0</v>
      </c>
      <c r="M8" s="506"/>
    </row>
    <row r="9" spans="1:14">
      <c r="A9" s="507" t="s">
        <v>953</v>
      </c>
      <c r="B9" s="503"/>
      <c r="C9" s="503"/>
      <c r="D9" s="503"/>
      <c r="E9" s="503"/>
      <c r="F9" s="503"/>
      <c r="G9" s="503"/>
      <c r="H9" s="504">
        <f>SUM(B9:G9)</f>
        <v>0</v>
      </c>
      <c r="I9" s="503"/>
      <c r="J9" s="504">
        <f>+I9</f>
        <v>0</v>
      </c>
      <c r="K9" s="505">
        <f>+H9+J9</f>
        <v>0</v>
      </c>
      <c r="M9" s="506"/>
    </row>
    <row r="10" spans="1:14">
      <c r="A10" s="507" t="s">
        <v>177</v>
      </c>
      <c r="B10" s="503">
        <f>ROUND(SUMIF('FA Working_20-21'!$A$3:$A$15,'Sch - FA'!B4,'FA Working_20-21'!$E$3:$E$15)/Master!$B$23,0)</f>
        <v>0</v>
      </c>
      <c r="C10" s="503">
        <f>ROUND(SUMIF('FA Working_20-21'!$A$3:$A$15,'Sch - FA'!C4,'FA Working_20-21'!$E$3:$E$15)/Master!$B$23,0)</f>
        <v>0</v>
      </c>
      <c r="D10" s="503">
        <f>ROUND(SUMIF('FA Working_20-21'!$A$3:$A$15,'Sch - FA'!D4,'FA Working_20-21'!$E$3:$E$15)/Master!$B$23,0)</f>
        <v>0</v>
      </c>
      <c r="E10" s="503">
        <f>ROUND(SUMIF('FA Working_20-21'!$A$3:$A$15,'Sch - FA'!E4,'FA Working_20-21'!$E$3:$E$15)/Master!$B$23,0)</f>
        <v>0</v>
      </c>
      <c r="F10" s="503">
        <f>ROUND(SUMIF('FA Working_20-21'!$A$3:$A$15,'Sch - FA'!F4,'FA Working_20-21'!$E$3:$E$15)/Master!$B$23,0)</f>
        <v>0</v>
      </c>
      <c r="G10" s="503">
        <f>ROUND(SUMIF('FA Working_20-21'!$A$3:$A$15,'Sch - FA'!G4,'FA Working_20-21'!$E$3:$E$15)/Master!$B$23,0)</f>
        <v>0</v>
      </c>
      <c r="H10" s="504">
        <f>SUM(B10:G10)</f>
        <v>0</v>
      </c>
      <c r="I10" s="503">
        <f>ROUND(SUMIF('FA Working_20-21'!$A$3:$A$15,'Sch - FA'!I4,'FA Working_20-21'!$E$3:$E$15)/Master!$B$23,0)</f>
        <v>0</v>
      </c>
      <c r="J10" s="503">
        <f>ROUND(SUMIF('FA Working_20-21'!$A$3:$A$15,'Sch - FA'!J4,'FA Working_20-21'!$E$3:$E$15)/Master!$B$23,0)</f>
        <v>0</v>
      </c>
      <c r="K10" s="505">
        <f>+H10+J10</f>
        <v>0</v>
      </c>
      <c r="M10" s="506"/>
    </row>
    <row r="11" spans="1:14" ht="3" customHeight="1">
      <c r="A11" s="508"/>
      <c r="B11" s="503"/>
      <c r="C11" s="503"/>
      <c r="D11" s="503"/>
      <c r="E11" s="503"/>
      <c r="F11" s="503"/>
      <c r="G11" s="503"/>
      <c r="H11" s="504"/>
      <c r="I11" s="503"/>
      <c r="J11" s="504"/>
      <c r="K11" s="505"/>
      <c r="M11" s="506"/>
    </row>
    <row r="12" spans="1:14" s="491" customFormat="1">
      <c r="A12" s="509" t="str">
        <f>"At " &amp;Master!$B$13</f>
        <v>At 2024</v>
      </c>
      <c r="B12" s="510">
        <f>SUM(B6:B11)</f>
        <v>0</v>
      </c>
      <c r="C12" s="510">
        <f t="shared" ref="C12:H12" si="0">SUM(C6:C11)</f>
        <v>0</v>
      </c>
      <c r="D12" s="510">
        <f t="shared" si="0"/>
        <v>13485280</v>
      </c>
      <c r="E12" s="510">
        <f t="shared" si="0"/>
        <v>0</v>
      </c>
      <c r="F12" s="510">
        <f t="shared" si="0"/>
        <v>72924</v>
      </c>
      <c r="G12" s="510">
        <f t="shared" si="0"/>
        <v>0</v>
      </c>
      <c r="H12" s="510">
        <f t="shared" si="0"/>
        <v>13558204</v>
      </c>
      <c r="I12" s="510">
        <f>SUM(I6:I11)</f>
        <v>6846731</v>
      </c>
      <c r="J12" s="510">
        <f>SUM(J6:J11)</f>
        <v>6846731</v>
      </c>
      <c r="K12" s="511">
        <f>SUM(K6:K11)</f>
        <v>20404935</v>
      </c>
      <c r="M12" s="512"/>
      <c r="N12" s="513"/>
    </row>
    <row r="13" spans="1:14">
      <c r="A13" s="507" t="s">
        <v>174</v>
      </c>
      <c r="B13" s="503">
        <f>ROUND(SUMIF('FA Working 21-22'!$A$4:$A$16,'Sch - FA'!B4,'FA Working 21-22'!$C$4:$C$16)/Master!$B$23,0)</f>
        <v>0</v>
      </c>
      <c r="C13" s="503">
        <f>ROUND(SUMIF('FA Working 21-22'!$A$4:$A$16,'Sch - FA'!C4,'FA Working 21-22'!$C$4:$C$16)/Master!$B$23,0)</f>
        <v>0</v>
      </c>
      <c r="D13" s="503">
        <f>ROUND(SUMIF('FA Working 21-22'!$A$4:$A$16,'Sch - FA'!D4,'FA Working 21-22'!$C$4:$C$16)/Master!$B$23,0)</f>
        <v>0</v>
      </c>
      <c r="E13" s="503">
        <f>ROUND(SUMIF('FA Working 21-22'!$A$4:$A$16,'Sch - FA'!E4,'FA Working 21-22'!$C$4:$C$16)/Master!$B$23,0)</f>
        <v>0</v>
      </c>
      <c r="F13" s="503">
        <f>ROUND(SUMIF('FA Working 21-22'!$A$4:$A$16,'Sch - FA'!F4,'FA Working 21-22'!$C$4:$C$16)/Master!$B$23,0)</f>
        <v>0</v>
      </c>
      <c r="G13" s="503">
        <f>ROUND(SUMIF('FA Working 21-22'!$A$4:$A$16,'Sch - FA'!G4,'FA Working 21-22'!$C$4:$C$16)/Master!$B$23,0)</f>
        <v>0</v>
      </c>
      <c r="H13" s="504">
        <f>SUM(B13:G13)</f>
        <v>0</v>
      </c>
      <c r="I13" s="503">
        <f>ROUND(SUMIF('FA Working 21-22'!$A$4:$A$16,'Sch - FA'!I4,'FA Working 21-22'!$C$4:$C$16)/Master!$B$23,0)</f>
        <v>0</v>
      </c>
      <c r="J13" s="504">
        <f>+I13</f>
        <v>0</v>
      </c>
      <c r="K13" s="505">
        <f>+(H13+J13)</f>
        <v>0</v>
      </c>
      <c r="M13" s="506"/>
    </row>
    <row r="14" spans="1:14">
      <c r="A14" s="507" t="s">
        <v>175</v>
      </c>
      <c r="B14" s="503">
        <f>-ROUND(SUMIF('FA Working 21-22'!$A$4:$A$16,'Sch - FA'!B4,'FA Working 21-22'!$D$4:$D$16)/Master!$B$23,0)</f>
        <v>0</v>
      </c>
      <c r="C14" s="503">
        <f>-ROUND(SUMIF('FA Working 21-22'!$A$4:$A$16,'Sch - FA'!C4,'FA Working 21-22'!$D$4:$D$16)/Master!$B$23,0)</f>
        <v>0</v>
      </c>
      <c r="D14" s="503">
        <f>-ROUND(SUMIF('FA Working 21-22'!$A$4:$A$16,'Sch - FA'!D4,'FA Working 21-22'!$D$4:$D$16)/Master!$B$23,0)</f>
        <v>0</v>
      </c>
      <c r="E14" s="503">
        <f>-ROUND(SUMIF('FA Working 21-22'!$A$4:$A$16,'Sch - FA'!E4,'FA Working 21-22'!$D$4:$D$16)/Master!$B$23,0)</f>
        <v>0</v>
      </c>
      <c r="F14" s="503">
        <f>-ROUND(SUMIF('FA Working 21-22'!$A$4:$A$16,'Sch - FA'!F4,'FA Working 21-22'!$D$4:$D$16)/Master!$B$23,0)</f>
        <v>0</v>
      </c>
      <c r="G14" s="503">
        <f>-ROUND(SUMIF('FA Working 21-22'!$A$4:$A$16,'Sch - FA'!G4,'FA Working 21-22'!$D$4:$D$16)/Master!$B$23,0)</f>
        <v>0</v>
      </c>
      <c r="H14" s="504">
        <f>SUM(B14:G14)</f>
        <v>0</v>
      </c>
      <c r="I14" s="503">
        <f>-ROUND(SUMIF('FA Working 21-22'!$A$4:$A$16,'Sch - FA'!I4,'FA Working 21-22'!$D$4:$D$16)/Master!$B$23,0)</f>
        <v>0</v>
      </c>
      <c r="J14" s="504">
        <f>+I14</f>
        <v>0</v>
      </c>
      <c r="K14" s="505">
        <f>+H14+J14</f>
        <v>0</v>
      </c>
      <c r="M14" s="506"/>
    </row>
    <row r="15" spans="1:14">
      <c r="A15" s="507" t="s">
        <v>953</v>
      </c>
      <c r="B15" s="514"/>
      <c r="C15" s="514"/>
      <c r="D15" s="514"/>
      <c r="E15" s="514"/>
      <c r="F15" s="514"/>
      <c r="G15" s="514"/>
      <c r="H15" s="515">
        <f>SUM(B15:G15)</f>
        <v>0</v>
      </c>
      <c r="I15" s="514"/>
      <c r="J15" s="515">
        <f>+I15</f>
        <v>0</v>
      </c>
      <c r="K15" s="505">
        <f>+H15+J15</f>
        <v>0</v>
      </c>
      <c r="M15" s="506"/>
    </row>
    <row r="16" spans="1:14">
      <c r="A16" s="507" t="s">
        <v>177</v>
      </c>
      <c r="B16" s="514">
        <f>ROUND(SUMIF('FA Working 21-22'!$A$6:$A$13,'Sch - FA'!B4,'FA Working 21-22'!$E$6:$E$13)/Master!$B$23,0)</f>
        <v>0</v>
      </c>
      <c r="C16" s="514">
        <f>ROUND(SUMIF('FA Working 21-22'!$A$6:$A$13,'Sch - FA'!C4,'FA Working 21-22'!$E$6:$E$13)/Master!$B$23,0)</f>
        <v>0</v>
      </c>
      <c r="D16" s="514">
        <f>ROUND(SUMIF('FA Working 21-22'!$A$6:$A$13,'Sch - FA'!D4,'FA Working 21-22'!$E$6:$E$13)/Master!$B$23,0)</f>
        <v>0</v>
      </c>
      <c r="E16" s="514">
        <f>ROUND(SUMIF('FA Working 21-22'!$A$6:$A$13,'Sch - FA'!E4,'FA Working 21-22'!$E$6:$E$13)/Master!$B$23,0)</f>
        <v>0</v>
      </c>
      <c r="F16" s="514">
        <f>ROUND(SUMIF('FA Working 21-22'!$A$6:$A$13,'Sch - FA'!F4,'FA Working 21-22'!$E$6:$E$13)/Master!$B$23,0)</f>
        <v>0</v>
      </c>
      <c r="G16" s="514">
        <f>ROUND(SUMIF('FA Working 21-22'!$A$6:$A$13,'Sch - FA'!G4,'FA Working 21-22'!$E$6:$E$13)/Master!$B$23,0)</f>
        <v>0</v>
      </c>
      <c r="H16" s="515">
        <f>SUM(B16:G16)</f>
        <v>0</v>
      </c>
      <c r="I16" s="514">
        <f>ROUND(SUMIF('FA Working 21-22'!$A$6:$A$13,'Sch - FA'!I4,'FA Working 21-22'!$E$6:$E$13)/Master!$B$23,0)</f>
        <v>0</v>
      </c>
      <c r="J16" s="515">
        <f>+I16</f>
        <v>0</v>
      </c>
      <c r="K16" s="505">
        <f>+H16+J16</f>
        <v>0</v>
      </c>
      <c r="M16" s="506"/>
    </row>
    <row r="17" spans="1:16" ht="3" customHeight="1">
      <c r="A17" s="507"/>
      <c r="B17" s="514"/>
      <c r="C17" s="514"/>
      <c r="D17" s="514"/>
      <c r="E17" s="514"/>
      <c r="F17" s="514"/>
      <c r="G17" s="514"/>
      <c r="H17" s="515">
        <f>SUM(B17:G17)</f>
        <v>0</v>
      </c>
      <c r="I17" s="514"/>
      <c r="J17" s="515">
        <f>+I17</f>
        <v>0</v>
      </c>
      <c r="K17" s="505">
        <f>+H17-J17</f>
        <v>0</v>
      </c>
      <c r="M17" s="506"/>
    </row>
    <row r="18" spans="1:16" s="491" customFormat="1" ht="15" thickBot="1">
      <c r="A18" s="516" t="str">
        <f>"At " &amp;Master!$B$7</f>
        <v>At 2025</v>
      </c>
      <c r="B18" s="517">
        <f t="shared" ref="B18:K18" si="1">SUM(B12:B17)</f>
        <v>0</v>
      </c>
      <c r="C18" s="517">
        <f t="shared" si="1"/>
        <v>0</v>
      </c>
      <c r="D18" s="517">
        <f t="shared" si="1"/>
        <v>13485280</v>
      </c>
      <c r="E18" s="517">
        <f t="shared" si="1"/>
        <v>0</v>
      </c>
      <c r="F18" s="517">
        <f t="shared" si="1"/>
        <v>72924</v>
      </c>
      <c r="G18" s="517">
        <f t="shared" si="1"/>
        <v>0</v>
      </c>
      <c r="H18" s="518">
        <f t="shared" si="1"/>
        <v>13558204</v>
      </c>
      <c r="I18" s="518">
        <f t="shared" si="1"/>
        <v>6846731</v>
      </c>
      <c r="J18" s="518">
        <f t="shared" si="1"/>
        <v>6846731</v>
      </c>
      <c r="K18" s="519">
        <f t="shared" si="1"/>
        <v>20404935</v>
      </c>
      <c r="M18" s="520"/>
    </row>
    <row r="19" spans="1:16" ht="15" thickTop="1">
      <c r="A19" s="507"/>
      <c r="B19" s="514"/>
      <c r="C19" s="514"/>
      <c r="D19" s="514"/>
      <c r="E19" s="514"/>
      <c r="F19" s="514"/>
      <c r="G19" s="514"/>
      <c r="H19" s="515"/>
      <c r="I19" s="514"/>
      <c r="J19" s="515"/>
      <c r="K19" s="515"/>
      <c r="M19" s="515">
        <f>ROUND('BS Gr'!D543/Master!$B$23,0)-K18</f>
        <v>-6846731</v>
      </c>
    </row>
    <row r="20" spans="1:16">
      <c r="A20" s="507"/>
      <c r="B20" s="514"/>
      <c r="C20" s="514"/>
      <c r="D20" s="514"/>
      <c r="E20" s="514"/>
      <c r="F20" s="514"/>
      <c r="G20" s="514"/>
      <c r="H20" s="514"/>
      <c r="I20" s="514"/>
      <c r="J20" s="514"/>
      <c r="K20" s="514"/>
      <c r="M20" s="515"/>
    </row>
    <row r="21" spans="1:16" ht="16.5" customHeight="1">
      <c r="A21" s="507"/>
      <c r="B21" s="514"/>
      <c r="C21" s="514"/>
      <c r="D21" s="514"/>
      <c r="E21" s="514"/>
      <c r="F21" s="514"/>
      <c r="G21" s="514"/>
      <c r="H21" s="515"/>
      <c r="I21" s="514"/>
      <c r="J21" s="515"/>
      <c r="K21" s="232" t="str">
        <f>+Master!B24</f>
        <v>(Rs.)</v>
      </c>
      <c r="M21" s="232"/>
    </row>
    <row r="22" spans="1:16" s="521" customFormat="1" ht="27.6">
      <c r="A22" s="492" t="s">
        <v>82</v>
      </c>
      <c r="B22" s="493" t="s">
        <v>943</v>
      </c>
      <c r="C22" s="493" t="s">
        <v>944</v>
      </c>
      <c r="D22" s="493" t="s">
        <v>945</v>
      </c>
      <c r="E22" s="493" t="s">
        <v>946</v>
      </c>
      <c r="F22" s="493" t="s">
        <v>947</v>
      </c>
      <c r="G22" s="493" t="s">
        <v>948</v>
      </c>
      <c r="H22" s="493" t="s">
        <v>949</v>
      </c>
      <c r="I22" s="493" t="s">
        <v>950</v>
      </c>
      <c r="J22" s="493" t="s">
        <v>951</v>
      </c>
      <c r="K22" s="494" t="s">
        <v>30</v>
      </c>
      <c r="M22" s="496"/>
    </row>
    <row r="23" spans="1:16">
      <c r="A23" s="497" t="s">
        <v>954</v>
      </c>
      <c r="B23" s="498"/>
      <c r="C23" s="498"/>
      <c r="D23" s="498"/>
      <c r="E23" s="498"/>
      <c r="F23" s="498"/>
      <c r="G23" s="498"/>
      <c r="H23" s="498"/>
      <c r="I23" s="498"/>
      <c r="J23" s="498"/>
      <c r="K23" s="499"/>
      <c r="M23" s="501"/>
    </row>
    <row r="24" spans="1:16">
      <c r="A24" s="502" t="str">
        <f>+A6</f>
        <v>At April 1, 2023</v>
      </c>
      <c r="B24" s="503">
        <f>ROUND(SUMIF('FA Working_20-21'!$A$3:$A$15,'Sch - FA'!B4,'FA Working_20-21'!$H$3:$H$15)/Master!$B$23,0)</f>
        <v>0</v>
      </c>
      <c r="C24" s="503">
        <f>ROUND(SUMIF('FA Working_20-21'!$A$3:$A$15,'Sch - FA'!C4,'FA Working_20-21'!$H$3:$H$15)/Master!$B$23,0)</f>
        <v>0</v>
      </c>
      <c r="D24" s="503">
        <f>ROUND(SUMIF('FA Working_20-21'!$A$3:$A$15,'Sch - FA'!D4,'FA Working_20-21'!$H$3:$H$15)/Master!$B$23,0)</f>
        <v>13485281</v>
      </c>
      <c r="E24" s="503">
        <f>ROUND(SUMIF('FA Working_20-21'!$A$3:$A$15,'Sch - FA'!E4,'FA Working_20-21'!$H$3:$H$15)/Master!$B$23,0)</f>
        <v>0</v>
      </c>
      <c r="F24" s="503">
        <f>ROUND(SUMIF('FA Working_20-21'!$A$3:$A$15,'Sch - FA'!F4,'FA Working_20-21'!$H$3:$H$15)/Master!$B$23,0)</f>
        <v>72924</v>
      </c>
      <c r="G24" s="503">
        <f>ROUND(SUMIF('FA Working_20-21'!$A$3:$A$15,'Sch - FA'!G4,'FA Working_20-21'!$H$3:$H$15)/Master!$B$23,0)</f>
        <v>0</v>
      </c>
      <c r="H24" s="504">
        <f>SUM(B24:G24)</f>
        <v>13558205</v>
      </c>
      <c r="I24" s="503">
        <f>ROUND(SUMIF('FA Working_20-21'!$A$3:$A$15,'Sch - FA'!I4,'FA Working_20-21'!$H$3:$H$15)/Master!$B$23,0)+1</f>
        <v>6846731</v>
      </c>
      <c r="J24" s="504">
        <f>+I24</f>
        <v>6846731</v>
      </c>
      <c r="K24" s="522">
        <f>+H24+J24</f>
        <v>20404936</v>
      </c>
      <c r="M24" s="506"/>
    </row>
    <row r="25" spans="1:16">
      <c r="A25" s="507" t="s">
        <v>178</v>
      </c>
      <c r="B25" s="503">
        <f>ROUND(SUMIF('FA Working_20-21'!$A$3:$A$15,'Sch - FA'!B4,'FA Working_20-21'!$I$3:$I$15)/Master!$B$23,0)</f>
        <v>0</v>
      </c>
      <c r="C25" s="503">
        <f>ROUND(SUMIF('FA Working_20-21'!$A$3:$A$15,'Sch - FA'!C4,'FA Working_20-21'!$I$3:$I$15)/Master!$B$23,0)</f>
        <v>0</v>
      </c>
      <c r="D25" s="503">
        <f>ROUND(SUMIF('FA Working_20-21'!$A$3:$A$15,'Sch - FA'!D4,'FA Working_20-21'!$I$3:$I$15)/Master!$B$23,0)</f>
        <v>0</v>
      </c>
      <c r="E25" s="503">
        <f>ROUND(SUMIF('FA Working_20-21'!$A$3:$A$15,'Sch - FA'!E4,'FA Working_20-21'!$I$3:$I$15)/Master!$B$23,0)</f>
        <v>0</v>
      </c>
      <c r="F25" s="503">
        <f>ROUND(SUMIF('FA Working_20-21'!$A$3:$A$15,'Sch - FA'!F4,'FA Working_20-21'!$I$3:$I$15)/Master!$B$23,0)</f>
        <v>0</v>
      </c>
      <c r="G25" s="503">
        <f>ROUND(SUMIF('FA Working_20-21'!$A$3:$A$15,'Sch - FA'!G4,'FA Working_20-21'!$I$3:$I$15)/Master!$B$23,0)</f>
        <v>0</v>
      </c>
      <c r="H25" s="504">
        <f>SUM(B25:G25)</f>
        <v>0</v>
      </c>
      <c r="I25" s="503">
        <f>ROUND(SUMIF('FA Working_20-21'!$A$3:$A$15,'Sch - FA'!I4,'FA Working_20-21'!$I$3:$I$15)/Master!$B$23,0)</f>
        <v>0</v>
      </c>
      <c r="J25" s="504">
        <f>+I25</f>
        <v>0</v>
      </c>
      <c r="K25" s="522">
        <f>+H25+J25</f>
        <v>0</v>
      </c>
      <c r="M25" s="506"/>
    </row>
    <row r="26" spans="1:16">
      <c r="A26" s="507" t="s">
        <v>175</v>
      </c>
      <c r="B26" s="503">
        <f>-ROUND(SUMIF('FA Working_20-21'!$A$3:$A$15,'Sch - FA'!B4,'FA Working_20-21'!$J$3:$J$15)/Master!$B$23,0)</f>
        <v>0</v>
      </c>
      <c r="C26" s="503">
        <f>-ROUND(SUMIF('FA Working_20-21'!$A$3:$A$15,'Sch - FA'!C4,'FA Working_20-21'!$J$3:$J$15)/Master!$B$23,0)</f>
        <v>0</v>
      </c>
      <c r="D26" s="503">
        <f>-ROUND(SUMIF('FA Working_20-21'!$A$3:$A$15,'Sch - FA'!D4,'FA Working_20-21'!$J$3:$J$15)/Master!$B$23,0)</f>
        <v>0</v>
      </c>
      <c r="E26" s="503">
        <f>-ROUND(SUMIF('FA Working_20-21'!$A$3:$A$15,'Sch - FA'!E4,'FA Working_20-21'!$J$3:$J$15)/Master!$B$23,0)</f>
        <v>0</v>
      </c>
      <c r="F26" s="503">
        <f>-ROUND(SUMIF('FA Working_20-21'!$A$3:$A$15,'Sch - FA'!F4,'FA Working_20-21'!$J$3:$J$15)/Master!$B$23,0)</f>
        <v>0</v>
      </c>
      <c r="G26" s="503">
        <f>-ROUND(SUMIF('FA Working_20-21'!$A$3:$A$15,'Sch - FA'!G4,'FA Working_20-21'!$J$3:$J$15)/Master!$B$23,0)</f>
        <v>0</v>
      </c>
      <c r="H26" s="504">
        <f>SUM(B26:G26)</f>
        <v>0</v>
      </c>
      <c r="I26" s="503">
        <f>-ROUND(SUMIF('FA Working_20-21'!$A$3:$A$15,'Sch - FA'!I4,'FA Working_20-21'!$J$3:$J$15)/Master!$B$23,0)</f>
        <v>0</v>
      </c>
      <c r="J26" s="504">
        <f>+I26</f>
        <v>0</v>
      </c>
      <c r="K26" s="522">
        <f>+H26+J26</f>
        <v>0</v>
      </c>
      <c r="M26" s="506"/>
    </row>
    <row r="27" spans="1:16">
      <c r="A27" s="507" t="s">
        <v>953</v>
      </c>
      <c r="B27" s="503"/>
      <c r="C27" s="503"/>
      <c r="D27" s="503"/>
      <c r="E27" s="503"/>
      <c r="F27" s="503"/>
      <c r="G27" s="503"/>
      <c r="H27" s="504">
        <f>SUM(B27:G27)</f>
        <v>0</v>
      </c>
      <c r="I27" s="503"/>
      <c r="J27" s="504">
        <f>+I27</f>
        <v>0</v>
      </c>
      <c r="K27" s="522">
        <f>+H27+J27</f>
        <v>0</v>
      </c>
      <c r="M27" s="506"/>
    </row>
    <row r="28" spans="1:16">
      <c r="A28" s="507" t="s">
        <v>177</v>
      </c>
      <c r="B28" s="503">
        <f>-ROUND(SUMIF('FA Working_20-21'!$A$3:$A$15,'Sch - FA'!B4,'FA Working_20-21'!$K$3:$K$15)/Master!$B$23,0)</f>
        <v>0</v>
      </c>
      <c r="C28" s="503">
        <f>-ROUND(SUMIF('FA Working_20-21'!$A$3:$A$15,'Sch - FA'!C4,'FA Working_20-21'!$K$3:$K$15)/Master!$B$23,0)</f>
        <v>0</v>
      </c>
      <c r="D28" s="503">
        <f>-ROUND(SUMIF('FA Working_20-21'!$A$3:$A$15,'Sch - FA'!D4,'FA Working_20-21'!$K$3:$K$15)/Master!$B$23,0)</f>
        <v>0</v>
      </c>
      <c r="E28" s="503">
        <f>ROUND(SUMIF('FA Working_20-21'!$A$3:$A$15,'Sch - FA'!E4,'FA Working_20-21'!$K$3:$K$15)/Master!$B$23,0)</f>
        <v>0</v>
      </c>
      <c r="F28" s="503">
        <f>ROUND(SUMIF('FA Working_20-21'!$A$3:$A$15,'Sch - FA'!F4,'FA Working_20-21'!$K$3:$K$15)/Master!$B$23,0)</f>
        <v>0</v>
      </c>
      <c r="G28" s="503">
        <f>-ROUND(SUMIF('FA Working_20-21'!$A$3:$A$15,'Sch - FA'!G4,'FA Working_20-21'!$K$3:$K$15)/Master!$B$23,0)</f>
        <v>0</v>
      </c>
      <c r="H28" s="504">
        <f>SUM(B28:G28)</f>
        <v>0</v>
      </c>
      <c r="I28" s="503">
        <f>-ROUND(SUMIF('FA Working_20-21'!$A$3:$A$15,'Sch - FA'!I4,'FA Working_20-21'!$K$3:$K$15)/Master!$B$23,0)</f>
        <v>0</v>
      </c>
      <c r="J28" s="504">
        <f>+I28</f>
        <v>0</v>
      </c>
      <c r="K28" s="522">
        <f>+H28+J28</f>
        <v>0</v>
      </c>
      <c r="M28" s="506"/>
    </row>
    <row r="29" spans="1:16" ht="3" customHeight="1">
      <c r="A29" s="508"/>
      <c r="B29" s="503"/>
      <c r="C29" s="503"/>
      <c r="D29" s="503"/>
      <c r="E29" s="503"/>
      <c r="F29" s="503"/>
      <c r="G29" s="503"/>
      <c r="H29" s="504"/>
      <c r="I29" s="503"/>
      <c r="J29" s="504"/>
      <c r="K29" s="522"/>
      <c r="M29" s="506"/>
    </row>
    <row r="30" spans="1:16">
      <c r="A30" s="509" t="str">
        <f>+A12</f>
        <v>At 2024</v>
      </c>
      <c r="B30" s="510">
        <f t="shared" ref="B30:K30" si="2">SUM(B24:B29)</f>
        <v>0</v>
      </c>
      <c r="C30" s="510">
        <f t="shared" si="2"/>
        <v>0</v>
      </c>
      <c r="D30" s="510">
        <f t="shared" si="2"/>
        <v>13485281</v>
      </c>
      <c r="E30" s="510">
        <f t="shared" si="2"/>
        <v>0</v>
      </c>
      <c r="F30" s="510">
        <f t="shared" si="2"/>
        <v>72924</v>
      </c>
      <c r="G30" s="510">
        <f t="shared" si="2"/>
        <v>0</v>
      </c>
      <c r="H30" s="510">
        <f t="shared" si="2"/>
        <v>13558205</v>
      </c>
      <c r="I30" s="510">
        <f t="shared" si="2"/>
        <v>6846731</v>
      </c>
      <c r="J30" s="510">
        <f t="shared" si="2"/>
        <v>6846731</v>
      </c>
      <c r="K30" s="523">
        <f t="shared" si="2"/>
        <v>20404936</v>
      </c>
      <c r="M30" s="512"/>
      <c r="P30" s="524"/>
    </row>
    <row r="31" spans="1:16">
      <c r="A31" s="507" t="s">
        <v>178</v>
      </c>
      <c r="B31" s="503">
        <f>ROUND(SUMIF('FA Working 21-22'!$A$4:$A$16,'Sch - FA'!B4,'FA Working 21-22'!$I$4:$I$16)/Master!$B$23,0)</f>
        <v>0</v>
      </c>
      <c r="C31" s="503">
        <f>ROUND(SUMIF('FA Working 21-22'!$A$4:$A$16,'Sch - FA'!C4,'FA Working 21-22'!$I$4:$I$16)/Master!$B$23,0)</f>
        <v>0</v>
      </c>
      <c r="D31" s="503">
        <f>ROUND(SUMIF('FA Working 21-22'!$A$4:$A$16,'Sch - FA'!D4,'FA Working 21-22'!$I$4:$I$16)/Master!$B$23,0)</f>
        <v>0</v>
      </c>
      <c r="E31" s="503">
        <f>ROUND(SUMIF('FA Working 21-22'!$A$4:$A$16,'Sch - FA'!E4,'FA Working 21-22'!$I$4:$I$16)/Master!$B$23,0)</f>
        <v>0</v>
      </c>
      <c r="F31" s="503">
        <f>ROUND(SUMIF('FA Working 21-22'!$A$4:$A$16,'Sch - FA'!F4,'FA Working 21-22'!$I$4:$I$16)/Master!$B$23,0)</f>
        <v>0</v>
      </c>
      <c r="G31" s="503">
        <f>ROUND(SUMIF('FA Working 21-22'!$A$4:$A$16,'Sch - FA'!G4,'FA Working 21-22'!$I$4:$I$16)/Master!$B$23,0)</f>
        <v>0</v>
      </c>
      <c r="H31" s="504">
        <f>SUM(B31:G31)</f>
        <v>0</v>
      </c>
      <c r="I31" s="503">
        <f>ROUND(SUMIF('FA Working 21-22'!$A$4:$A$16,'Sch - FA'!I4,'FA Working 21-22'!$I$4:$I$16)/Master!$B$23,0)</f>
        <v>0</v>
      </c>
      <c r="J31" s="504">
        <f>+I31</f>
        <v>0</v>
      </c>
      <c r="K31" s="522">
        <f>+(H31+J31)</f>
        <v>0</v>
      </c>
      <c r="M31" s="506"/>
    </row>
    <row r="32" spans="1:16">
      <c r="A32" s="507" t="s">
        <v>175</v>
      </c>
      <c r="B32" s="503">
        <f>-ROUND(SUMIF('FA Working 21-22'!$A$4:$A$16,'Sch - FA'!B4,'FA Working 21-22'!$J$4:$J$16)/Master!$B$23,0)</f>
        <v>0</v>
      </c>
      <c r="C32" s="503">
        <f>-ROUND(SUMIF('FA Working 21-22'!$A$4:$A$16,'Sch - FA'!C4,'FA Working 21-22'!$J$4:$J$16)/Master!$B$23,0)</f>
        <v>0</v>
      </c>
      <c r="D32" s="503">
        <f>-ROUND(SUMIF('FA Working 21-22'!$A$4:$A$16,'Sch - FA'!D4,'FA Working 21-22'!$J$4:$J$16)/Master!$B$23,0)</f>
        <v>0</v>
      </c>
      <c r="E32" s="503">
        <f>-ROUND(SUMIF('FA Working 21-22'!$A$4:$A$16,'Sch - FA'!E4,'FA Working 21-22'!$J$4:$J$16)/Master!$B$23,0)</f>
        <v>0</v>
      </c>
      <c r="F32" s="503">
        <f>-ROUND(SUMIF('FA Working 21-22'!$A$4:$A$16,'Sch - FA'!F4,'FA Working 21-22'!$J$4:$J$16)/Master!$B$23,0)</f>
        <v>0</v>
      </c>
      <c r="G32" s="503">
        <f>-ROUND(SUMIF('FA Working 21-22'!$A$4:$A$16,'Sch - FA'!G4,'FA Working 21-22'!$J$4:$J$16)/Master!$B$23,0)</f>
        <v>0</v>
      </c>
      <c r="H32" s="504">
        <f>SUM(B32:G32)</f>
        <v>0</v>
      </c>
      <c r="I32" s="503">
        <f>-ROUND(SUMIF('FA Working 21-22'!$A$4:$A$16,'Sch - FA'!I4,'FA Working 21-22'!$J$4:$J$16)/Master!$B$23,0)</f>
        <v>0</v>
      </c>
      <c r="J32" s="504">
        <f>+I32</f>
        <v>0</v>
      </c>
      <c r="K32" s="522">
        <f>+H32+J32</f>
        <v>0</v>
      </c>
      <c r="M32" s="506"/>
    </row>
    <row r="33" spans="1:14">
      <c r="A33" s="507" t="s">
        <v>953</v>
      </c>
      <c r="B33" s="503"/>
      <c r="C33" s="503"/>
      <c r="D33" s="503"/>
      <c r="E33" s="503"/>
      <c r="F33" s="503"/>
      <c r="G33" s="503"/>
      <c r="H33" s="504">
        <f>SUM(B33:G33)</f>
        <v>0</v>
      </c>
      <c r="I33" s="503"/>
      <c r="J33" s="504">
        <f>+I33</f>
        <v>0</v>
      </c>
      <c r="K33" s="522">
        <f>+H33+J33</f>
        <v>0</v>
      </c>
      <c r="M33" s="506"/>
    </row>
    <row r="34" spans="1:14">
      <c r="A34" s="507" t="s">
        <v>177</v>
      </c>
      <c r="B34" s="503"/>
      <c r="C34" s="503"/>
      <c r="D34" s="503"/>
      <c r="E34" s="503">
        <v>0</v>
      </c>
      <c r="F34" s="503">
        <v>0</v>
      </c>
      <c r="G34" s="503"/>
      <c r="H34" s="504">
        <f>SUM(B34:G34)</f>
        <v>0</v>
      </c>
      <c r="I34" s="503"/>
      <c r="J34" s="504">
        <f>+I34</f>
        <v>0</v>
      </c>
      <c r="K34" s="522">
        <f>+H34+J34</f>
        <v>0</v>
      </c>
      <c r="M34" s="506"/>
    </row>
    <row r="35" spans="1:14" ht="3" customHeight="1">
      <c r="A35" s="507"/>
      <c r="B35" s="514"/>
      <c r="C35" s="514"/>
      <c r="D35" s="514"/>
      <c r="E35" s="514"/>
      <c r="F35" s="514"/>
      <c r="G35" s="514"/>
      <c r="H35" s="515">
        <f>SUM(B35:G35)</f>
        <v>0</v>
      </c>
      <c r="I35" s="514"/>
      <c r="J35" s="515">
        <f>+I35</f>
        <v>0</v>
      </c>
      <c r="K35" s="505">
        <f>+H35-J35</f>
        <v>0</v>
      </c>
      <c r="M35" s="506"/>
    </row>
    <row r="36" spans="1:14">
      <c r="A36" s="509" t="str">
        <f>+A18</f>
        <v>At 2025</v>
      </c>
      <c r="B36" s="525">
        <f t="shared" ref="B36:K36" si="3">SUM(B30:B35)</f>
        <v>0</v>
      </c>
      <c r="C36" s="525">
        <f t="shared" si="3"/>
        <v>0</v>
      </c>
      <c r="D36" s="525">
        <f t="shared" si="3"/>
        <v>13485281</v>
      </c>
      <c r="E36" s="525">
        <f t="shared" si="3"/>
        <v>0</v>
      </c>
      <c r="F36" s="525">
        <f t="shared" si="3"/>
        <v>72924</v>
      </c>
      <c r="G36" s="525">
        <f t="shared" si="3"/>
        <v>0</v>
      </c>
      <c r="H36" s="526">
        <f t="shared" si="3"/>
        <v>13558205</v>
      </c>
      <c r="I36" s="525">
        <f t="shared" si="3"/>
        <v>6846731</v>
      </c>
      <c r="J36" s="526">
        <f t="shared" si="3"/>
        <v>6846731</v>
      </c>
      <c r="K36" s="527">
        <f t="shared" si="3"/>
        <v>20404936</v>
      </c>
      <c r="M36" s="512"/>
    </row>
    <row r="37" spans="1:14">
      <c r="A37" s="507"/>
      <c r="B37" s="514"/>
      <c r="C37" s="514"/>
      <c r="D37" s="514"/>
      <c r="E37" s="514"/>
      <c r="F37" s="514"/>
      <c r="G37" s="514"/>
      <c r="H37" s="515"/>
      <c r="I37" s="514"/>
      <c r="J37" s="515"/>
      <c r="K37" s="505"/>
      <c r="M37" s="506"/>
    </row>
    <row r="38" spans="1:14">
      <c r="A38" s="509" t="s">
        <v>955</v>
      </c>
      <c r="B38" s="514"/>
      <c r="C38" s="514"/>
      <c r="D38" s="514"/>
      <c r="E38" s="514"/>
      <c r="F38" s="514"/>
      <c r="G38" s="514"/>
      <c r="H38" s="515"/>
      <c r="I38" s="514"/>
      <c r="J38" s="515"/>
      <c r="K38" s="505"/>
      <c r="M38" s="506"/>
    </row>
    <row r="39" spans="1:14">
      <c r="A39" s="509" t="str">
        <f>+A12</f>
        <v>At 2024</v>
      </c>
      <c r="B39" s="525">
        <f t="shared" ref="B39:K39" si="4">+B12-B30</f>
        <v>0</v>
      </c>
      <c r="C39" s="525">
        <f t="shared" si="4"/>
        <v>0</v>
      </c>
      <c r="D39" s="525">
        <f t="shared" si="4"/>
        <v>-1</v>
      </c>
      <c r="E39" s="525">
        <f t="shared" si="4"/>
        <v>0</v>
      </c>
      <c r="F39" s="525">
        <f t="shared" si="4"/>
        <v>0</v>
      </c>
      <c r="G39" s="525">
        <f t="shared" si="4"/>
        <v>0</v>
      </c>
      <c r="H39" s="528">
        <f t="shared" si="4"/>
        <v>-1</v>
      </c>
      <c r="I39" s="525">
        <f t="shared" si="4"/>
        <v>0</v>
      </c>
      <c r="J39" s="528">
        <f t="shared" si="4"/>
        <v>0</v>
      </c>
      <c r="K39" s="529">
        <f t="shared" si="4"/>
        <v>-1</v>
      </c>
      <c r="M39" s="530"/>
    </row>
    <row r="40" spans="1:14" ht="15" thickBot="1">
      <c r="A40" s="531" t="str">
        <f>+A18</f>
        <v>At 2025</v>
      </c>
      <c r="B40" s="517">
        <f t="shared" ref="B40:K40" si="5">+B18-B36</f>
        <v>0</v>
      </c>
      <c r="C40" s="517">
        <f t="shared" si="5"/>
        <v>0</v>
      </c>
      <c r="D40" s="517">
        <f t="shared" si="5"/>
        <v>-1</v>
      </c>
      <c r="E40" s="517">
        <f t="shared" si="5"/>
        <v>0</v>
      </c>
      <c r="F40" s="517">
        <f t="shared" si="5"/>
        <v>0</v>
      </c>
      <c r="G40" s="517">
        <f t="shared" si="5"/>
        <v>0</v>
      </c>
      <c r="H40" s="532">
        <f>+H18-H36</f>
        <v>-1</v>
      </c>
      <c r="I40" s="517">
        <f t="shared" si="5"/>
        <v>0</v>
      </c>
      <c r="J40" s="532">
        <f t="shared" si="5"/>
        <v>0</v>
      </c>
      <c r="K40" s="533">
        <f t="shared" si="5"/>
        <v>-1</v>
      </c>
      <c r="M40" s="534"/>
    </row>
    <row r="41" spans="1:14" ht="15" thickTop="1">
      <c r="H41" s="490"/>
      <c r="I41" s="524"/>
      <c r="J41" s="490"/>
      <c r="K41" s="535">
        <f>-ROUND(('BS Gr'!D565-'BS Gr'!D571)/Master!$B$23,0)-K36</f>
        <v>-1</v>
      </c>
    </row>
    <row r="42" spans="1:14">
      <c r="B42" s="524"/>
      <c r="C42" s="524"/>
      <c r="D42" s="524"/>
      <c r="E42" s="524"/>
      <c r="F42" s="524"/>
      <c r="G42" s="524"/>
      <c r="H42" s="524"/>
      <c r="I42" s="524"/>
      <c r="J42" s="524"/>
      <c r="K42" s="524"/>
    </row>
    <row r="43" spans="1:14">
      <c r="A43" s="536"/>
      <c r="B43" s="536"/>
      <c r="C43" s="536"/>
      <c r="D43" s="536"/>
      <c r="E43" s="536"/>
      <c r="F43" s="536"/>
      <c r="G43" s="536"/>
      <c r="H43" s="537"/>
      <c r="I43" s="536"/>
      <c r="J43" s="537"/>
      <c r="K43" s="537"/>
      <c r="L43" s="536">
        <v>110165</v>
      </c>
      <c r="M43" s="536">
        <v>110170</v>
      </c>
    </row>
    <row r="44" spans="1:14">
      <c r="H44" s="490"/>
      <c r="K44" s="490"/>
      <c r="L44" s="490" t="s">
        <v>956</v>
      </c>
      <c r="N44" s="536"/>
    </row>
    <row r="46" spans="1:14">
      <c r="A46" s="524"/>
      <c r="B46" s="524"/>
      <c r="C46" s="524"/>
      <c r="D46" s="524"/>
      <c r="E46" s="524"/>
      <c r="F46" s="524"/>
      <c r="G46" s="524"/>
      <c r="H46" s="513"/>
      <c r="I46" s="524"/>
      <c r="J46" s="513"/>
      <c r="K46" s="513"/>
      <c r="L46" s="524">
        <v>-13265267.080000002</v>
      </c>
      <c r="M46" s="524">
        <v>-1219415186.8429999</v>
      </c>
    </row>
    <row r="47" spans="1:14">
      <c r="A47" s="524"/>
      <c r="B47" s="524"/>
      <c r="C47" s="524"/>
      <c r="D47" s="524"/>
      <c r="E47" s="524"/>
      <c r="F47" s="524"/>
      <c r="G47" s="524"/>
      <c r="H47" s="513"/>
      <c r="I47" s="524"/>
      <c r="J47" s="513"/>
      <c r="K47" s="513"/>
      <c r="L47" s="524"/>
      <c r="M47" s="524"/>
      <c r="N47" s="524"/>
    </row>
    <row r="48" spans="1:14">
      <c r="A48" s="524"/>
      <c r="B48" s="524"/>
      <c r="C48" s="524"/>
      <c r="D48" s="524"/>
      <c r="E48" s="524"/>
      <c r="F48" s="524"/>
      <c r="G48" s="524"/>
      <c r="H48" s="513"/>
      <c r="I48" s="524"/>
      <c r="J48" s="513"/>
      <c r="K48" s="513"/>
      <c r="L48" s="524">
        <v>-10590965.610000001</v>
      </c>
      <c r="M48" s="524">
        <v>-1139781144.9629998</v>
      </c>
      <c r="N48" s="524"/>
    </row>
    <row r="49" spans="1:14">
      <c r="A49" s="524"/>
      <c r="B49" s="524"/>
      <c r="C49" s="524"/>
      <c r="D49" s="524"/>
      <c r="E49" s="524"/>
      <c r="F49" s="524"/>
      <c r="G49" s="524"/>
      <c r="H49" s="538"/>
      <c r="I49" s="524"/>
      <c r="J49" s="513"/>
      <c r="K49" s="513"/>
      <c r="L49" s="524">
        <v>48170747</v>
      </c>
      <c r="M49" s="524">
        <v>1254895872.9700003</v>
      </c>
      <c r="N49" s="524"/>
    </row>
    <row r="50" spans="1:14">
      <c r="H50" s="539"/>
      <c r="J50" s="513"/>
    </row>
    <row r="51" spans="1:14">
      <c r="C51" s="524"/>
      <c r="J51" s="513"/>
    </row>
    <row r="52" spans="1:14">
      <c r="H52" s="539"/>
      <c r="J52" s="513"/>
    </row>
    <row r="53" spans="1:14">
      <c r="J53" s="540"/>
      <c r="K53" s="513"/>
    </row>
    <row r="54" spans="1:14">
      <c r="J54" s="535"/>
    </row>
    <row r="55" spans="1:14">
      <c r="J55" s="513"/>
    </row>
    <row r="56" spans="1:14">
      <c r="H56" s="539"/>
      <c r="J56" s="541"/>
    </row>
    <row r="57" spans="1:14">
      <c r="H57" s="539"/>
      <c r="J57" s="541"/>
      <c r="K57" s="541"/>
    </row>
    <row r="58" spans="1:14">
      <c r="J58" s="513"/>
    </row>
    <row r="59" spans="1:14">
      <c r="H59" s="539"/>
      <c r="J59" s="535"/>
    </row>
    <row r="60" spans="1:14">
      <c r="H60" s="539"/>
      <c r="J60" s="535"/>
      <c r="K60" s="513"/>
    </row>
    <row r="61" spans="1:14">
      <c r="J61" s="513"/>
    </row>
  </sheetData>
  <pageMargins left="0.7" right="0.7" top="0.75" bottom="0.75" header="0.3" footer="0.3"/>
  <pageSetup paperSize="9" scale="73"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sheetPr>
  <dimension ref="A1:S25"/>
  <sheetViews>
    <sheetView showGridLines="0" workbookViewId="0">
      <pane xSplit="1" ySplit="5" topLeftCell="B6" activePane="bottomRight" state="frozen"/>
      <selection activeCell="D17" sqref="D17"/>
      <selection pane="topRight" activeCell="D17" sqref="D17"/>
      <selection pane="bottomLeft" activeCell="D17" sqref="D17"/>
      <selection pane="bottomRight" activeCell="D17" sqref="D17"/>
    </sheetView>
  </sheetViews>
  <sheetFormatPr defaultColWidth="9.21875" defaultRowHeight="14.4"/>
  <cols>
    <col min="1" max="1" width="27.21875" style="490" customWidth="1"/>
    <col min="2" max="2" width="17.77734375" style="490" bestFit="1" customWidth="1"/>
    <col min="3" max="3" width="16" style="490" bestFit="1" customWidth="1"/>
    <col min="4" max="4" width="15.21875" style="490" bestFit="1" customWidth="1"/>
    <col min="5" max="5" width="11.77734375" style="490" customWidth="1"/>
    <col min="6" max="6" width="15.77734375" style="490" bestFit="1" customWidth="1"/>
    <col min="7" max="7" width="13.44140625" style="490" bestFit="1" customWidth="1"/>
    <col min="8" max="8" width="15.77734375" style="490" bestFit="1" customWidth="1"/>
    <col min="9" max="10" width="14.21875" style="490" bestFit="1" customWidth="1"/>
    <col min="11" max="11" width="13.77734375" style="490" customWidth="1"/>
    <col min="12" max="12" width="16.77734375" style="490" bestFit="1" customWidth="1"/>
    <col min="13" max="13" width="12.21875" style="490" bestFit="1" customWidth="1"/>
    <col min="14" max="14" width="14" style="490" bestFit="1" customWidth="1"/>
    <col min="15" max="15" width="14" style="490" customWidth="1"/>
    <col min="16" max="17" width="12.5546875" style="490" bestFit="1" customWidth="1"/>
    <col min="18" max="16384" width="9.21875" style="490"/>
  </cols>
  <sheetData>
    <row r="1" spans="1:19">
      <c r="A1" s="542" t="s">
        <v>957</v>
      </c>
      <c r="B1" s="543"/>
      <c r="C1" s="543"/>
      <c r="D1" s="543"/>
      <c r="E1" s="543"/>
      <c r="F1" s="543"/>
      <c r="G1" s="543"/>
      <c r="H1" s="543"/>
      <c r="I1" s="543"/>
      <c r="J1" s="543"/>
      <c r="K1" s="543"/>
      <c r="L1" s="543"/>
      <c r="M1" s="543"/>
      <c r="N1" s="543"/>
      <c r="O1" s="543"/>
    </row>
    <row r="2" spans="1:19" ht="15" thickBot="1">
      <c r="A2" s="544"/>
      <c r="B2" s="544"/>
      <c r="C2" s="544"/>
      <c r="D2" s="544"/>
      <c r="E2" s="544"/>
      <c r="F2" s="544"/>
      <c r="G2" s="544"/>
      <c r="H2" s="544"/>
      <c r="I2" s="544"/>
      <c r="J2" s="544"/>
      <c r="K2" s="544"/>
      <c r="L2" s="544"/>
      <c r="M2" s="544"/>
      <c r="N2" s="544"/>
      <c r="O2" s="545" t="s">
        <v>958</v>
      </c>
    </row>
    <row r="3" spans="1:19">
      <c r="A3" s="546"/>
      <c r="B3" s="1901" t="s">
        <v>952</v>
      </c>
      <c r="C3" s="1902"/>
      <c r="D3" s="1902"/>
      <c r="E3" s="1902"/>
      <c r="F3" s="1903"/>
      <c r="G3" s="547" t="s">
        <v>836</v>
      </c>
      <c r="H3" s="1901" t="s">
        <v>768</v>
      </c>
      <c r="I3" s="1902"/>
      <c r="J3" s="1902"/>
      <c r="K3" s="1902"/>
      <c r="L3" s="1903"/>
      <c r="M3" s="547" t="s">
        <v>836</v>
      </c>
      <c r="N3" s="1901" t="s">
        <v>955</v>
      </c>
      <c r="O3" s="1904"/>
    </row>
    <row r="4" spans="1:19">
      <c r="A4" s="548" t="s">
        <v>959</v>
      </c>
      <c r="B4" s="549" t="s">
        <v>960</v>
      </c>
      <c r="C4" s="1905" t="s">
        <v>174</v>
      </c>
      <c r="D4" s="550" t="s">
        <v>961</v>
      </c>
      <c r="E4" s="551" t="s">
        <v>962</v>
      </c>
      <c r="F4" s="549" t="s">
        <v>960</v>
      </c>
      <c r="G4" s="549" t="s">
        <v>963</v>
      </c>
      <c r="H4" s="549" t="s">
        <v>960</v>
      </c>
      <c r="I4" s="1907" t="s">
        <v>964</v>
      </c>
      <c r="J4" s="1907" t="s">
        <v>965</v>
      </c>
      <c r="K4" s="551" t="s">
        <v>962</v>
      </c>
      <c r="L4" s="549" t="s">
        <v>960</v>
      </c>
      <c r="M4" s="549" t="s">
        <v>963</v>
      </c>
      <c r="N4" s="549" t="s">
        <v>960</v>
      </c>
      <c r="O4" s="552" t="s">
        <v>960</v>
      </c>
    </row>
    <row r="5" spans="1:19" ht="15" thickBot="1">
      <c r="A5" s="553"/>
      <c r="B5" s="554">
        <v>44287</v>
      </c>
      <c r="C5" s="1906"/>
      <c r="D5" s="555" t="s">
        <v>966</v>
      </c>
      <c r="E5" s="555" t="s">
        <v>966</v>
      </c>
      <c r="F5" s="554">
        <v>44651</v>
      </c>
      <c r="G5" s="554" t="s">
        <v>967</v>
      </c>
      <c r="H5" s="554">
        <f>+B5</f>
        <v>44287</v>
      </c>
      <c r="I5" s="1908"/>
      <c r="J5" s="1908"/>
      <c r="K5" s="555" t="s">
        <v>966</v>
      </c>
      <c r="L5" s="554">
        <f>+F5</f>
        <v>44651</v>
      </c>
      <c r="M5" s="554" t="s">
        <v>967</v>
      </c>
      <c r="N5" s="554">
        <f>+F5</f>
        <v>44651</v>
      </c>
      <c r="O5" s="556">
        <f>+B5-1</f>
        <v>44286</v>
      </c>
    </row>
    <row r="6" spans="1:19">
      <c r="A6" s="557" t="s">
        <v>944</v>
      </c>
      <c r="B6" s="558"/>
      <c r="C6" s="558"/>
      <c r="D6" s="558"/>
      <c r="E6" s="558"/>
      <c r="F6" s="558">
        <f>B6+C6-D6+E6</f>
        <v>0</v>
      </c>
      <c r="G6" s="559">
        <f>IFERROR(HLOOKUP(A6,'Sch - FA'!$4:$18,15,0),0)-(F6/Master!$B$23)</f>
        <v>0</v>
      </c>
      <c r="H6" s="558">
        <v>0</v>
      </c>
      <c r="I6" s="558"/>
      <c r="J6" s="558"/>
      <c r="K6" s="558"/>
      <c r="L6" s="558">
        <f>H6+I6-J6+K6</f>
        <v>0</v>
      </c>
      <c r="M6" s="559">
        <f>IFERROR(HLOOKUP(A6,'Sch - FA'!$22:$36,15,0),0)-(L6/Master!$B$23)</f>
        <v>0</v>
      </c>
      <c r="N6" s="558">
        <f t="shared" ref="N6:N13" si="0">F6-L6</f>
        <v>0</v>
      </c>
      <c r="O6" s="560">
        <v>0</v>
      </c>
    </row>
    <row r="7" spans="1:19">
      <c r="A7" s="557" t="s">
        <v>943</v>
      </c>
      <c r="B7" s="561"/>
      <c r="C7" s="562"/>
      <c r="D7" s="562"/>
      <c r="E7" s="558"/>
      <c r="F7" s="558">
        <f t="shared" ref="F7:F13" si="1">B7+C7-D7+E7</f>
        <v>0</v>
      </c>
      <c r="G7" s="563">
        <f>IFERROR(HLOOKUP(A7,'Sch - FA'!$4:$18,15,0),0)-(F7/Master!$B$23)</f>
        <v>0</v>
      </c>
      <c r="H7" s="564">
        <v>0</v>
      </c>
      <c r="I7" s="564"/>
      <c r="J7" s="564"/>
      <c r="K7" s="565"/>
      <c r="L7" s="558">
        <f t="shared" ref="L7:L13" si="2">H7+I7-J7+K7</f>
        <v>0</v>
      </c>
      <c r="M7" s="559">
        <f>IFERROR(HLOOKUP(A7,'Sch - FA'!$22:$36,15,0),0)-(L7/Master!$B$23)</f>
        <v>0</v>
      </c>
      <c r="N7" s="558">
        <f t="shared" si="0"/>
        <v>0</v>
      </c>
      <c r="O7" s="560">
        <f>B7-H7</f>
        <v>0</v>
      </c>
      <c r="Q7" s="524"/>
    </row>
    <row r="8" spans="1:19">
      <c r="A8" s="557" t="s">
        <v>968</v>
      </c>
      <c r="B8" s="566"/>
      <c r="C8" s="558"/>
      <c r="D8" s="565"/>
      <c r="E8" s="558"/>
      <c r="F8" s="558">
        <f t="shared" si="1"/>
        <v>0</v>
      </c>
      <c r="G8" s="563">
        <f>IFERROR(HLOOKUP(A8,'Sch - FA'!$4:$18,15,0),0)-(F8/Master!$B$23)</f>
        <v>0</v>
      </c>
      <c r="H8" s="558">
        <v>0</v>
      </c>
      <c r="I8" s="558"/>
      <c r="J8" s="565"/>
      <c r="K8" s="558"/>
      <c r="L8" s="558">
        <f t="shared" si="2"/>
        <v>0</v>
      </c>
      <c r="M8" s="559">
        <f>IFERROR(HLOOKUP(A8,'Sch - FA'!$22:$36,15,0),0)-(L8/Master!$B$23)</f>
        <v>0</v>
      </c>
      <c r="N8" s="558">
        <f t="shared" si="0"/>
        <v>0</v>
      </c>
      <c r="O8" s="560">
        <f t="shared" ref="O8:O13" si="3">B8-H8</f>
        <v>0</v>
      </c>
      <c r="Q8" s="524"/>
    </row>
    <row r="9" spans="1:19">
      <c r="A9" s="557" t="s">
        <v>950</v>
      </c>
      <c r="B9" s="566">
        <v>6846730.4800000004</v>
      </c>
      <c r="C9" s="558"/>
      <c r="D9" s="565"/>
      <c r="E9" s="558"/>
      <c r="F9" s="558">
        <f t="shared" si="1"/>
        <v>6846730.4800000004</v>
      </c>
      <c r="G9" s="563">
        <f>IFERROR(HLOOKUP(A9,'Sch - FA'!$4:$18,15,0),0)-(F9/Master!$B$23)</f>
        <v>0.51999999955296516</v>
      </c>
      <c r="H9" s="558">
        <v>6846730.4800000004</v>
      </c>
      <c r="I9" s="558"/>
      <c r="J9" s="565"/>
      <c r="K9" s="565"/>
      <c r="L9" s="558">
        <f t="shared" si="2"/>
        <v>6846730.4800000004</v>
      </c>
      <c r="M9" s="559">
        <f>IFERROR(HLOOKUP(A9,'Sch - FA'!$22:$36,15,0),0)-(L9/Master!$B$23)</f>
        <v>0.51999999955296516</v>
      </c>
      <c r="N9" s="558">
        <f t="shared" si="0"/>
        <v>0</v>
      </c>
      <c r="O9" s="560">
        <f t="shared" si="3"/>
        <v>0</v>
      </c>
      <c r="Q9" s="524"/>
    </row>
    <row r="10" spans="1:19">
      <c r="A10" s="557" t="s">
        <v>945</v>
      </c>
      <c r="B10" s="566">
        <v>13485280</v>
      </c>
      <c r="C10" s="558"/>
      <c r="D10" s="558"/>
      <c r="E10" s="558"/>
      <c r="F10" s="558">
        <f t="shared" si="1"/>
        <v>13485280</v>
      </c>
      <c r="G10" s="563">
        <f>IFERROR(HLOOKUP(A10,'Sch - FA'!$4:$18,15,0),0)-(F10/Master!$B$23)</f>
        <v>0</v>
      </c>
      <c r="H10" s="558">
        <v>13485280.630000001</v>
      </c>
      <c r="I10" s="558"/>
      <c r="J10" s="558"/>
      <c r="K10" s="558"/>
      <c r="L10" s="558">
        <f t="shared" si="2"/>
        <v>13485280.630000001</v>
      </c>
      <c r="M10" s="559">
        <f>IFERROR(HLOOKUP(A10,'Sch - FA'!$22:$36,15,0),0)-(L10/Master!$B$23)</f>
        <v>0.36999999918043613</v>
      </c>
      <c r="N10" s="558">
        <f t="shared" si="0"/>
        <v>-0.63000000081956387</v>
      </c>
      <c r="O10" s="560">
        <f t="shared" si="3"/>
        <v>-0.63000000081956387</v>
      </c>
      <c r="P10" s="524"/>
      <c r="Q10" s="524"/>
      <c r="R10" s="524"/>
      <c r="S10" s="524"/>
    </row>
    <row r="11" spans="1:19">
      <c r="A11" s="557" t="s">
        <v>946</v>
      </c>
      <c r="B11" s="566">
        <v>0</v>
      </c>
      <c r="C11" s="558"/>
      <c r="D11" s="565"/>
      <c r="E11" s="558"/>
      <c r="F11" s="558">
        <f t="shared" si="1"/>
        <v>0</v>
      </c>
      <c r="G11" s="563">
        <f>IFERROR(HLOOKUP(A11,'Sch - FA'!$4:$18,15,0),0)-(F11/Master!$B$23)</f>
        <v>0</v>
      </c>
      <c r="H11" s="558">
        <v>0</v>
      </c>
      <c r="I11" s="558"/>
      <c r="J11" s="565"/>
      <c r="K11" s="558"/>
      <c r="L11" s="558">
        <f t="shared" si="2"/>
        <v>0</v>
      </c>
      <c r="M11" s="559">
        <f>IFERROR(HLOOKUP(A11,'Sch - FA'!$22:$36,15,0),0)-(L11/Master!$B$23)</f>
        <v>0</v>
      </c>
      <c r="N11" s="558">
        <f t="shared" si="0"/>
        <v>0</v>
      </c>
      <c r="O11" s="560">
        <f t="shared" si="3"/>
        <v>0</v>
      </c>
      <c r="Q11" s="524"/>
    </row>
    <row r="12" spans="1:19">
      <c r="A12" s="557" t="s">
        <v>947</v>
      </c>
      <c r="B12" s="564">
        <v>72924</v>
      </c>
      <c r="C12" s="564"/>
      <c r="D12" s="564"/>
      <c r="E12" s="558"/>
      <c r="F12" s="558">
        <f t="shared" si="1"/>
        <v>72924</v>
      </c>
      <c r="G12" s="563">
        <f>IFERROR(HLOOKUP(A12,'Sch - FA'!$4:$18,15,0),0)-(F12/Master!$B$23)</f>
        <v>0</v>
      </c>
      <c r="H12" s="564">
        <v>72924.368255342502</v>
      </c>
      <c r="I12" s="564"/>
      <c r="J12" s="564"/>
      <c r="K12" s="558"/>
      <c r="L12" s="558">
        <f t="shared" si="2"/>
        <v>72924.368255342502</v>
      </c>
      <c r="M12" s="559">
        <f>IFERROR(HLOOKUP(A12,'Sch - FA'!$22:$36,15,0),0)-(L12/Master!$B$23)</f>
        <v>-0.36825534250237979</v>
      </c>
      <c r="N12" s="558">
        <f t="shared" si="0"/>
        <v>-0.36825534250237979</v>
      </c>
      <c r="O12" s="560">
        <f t="shared" si="3"/>
        <v>-0.36825534250237979</v>
      </c>
      <c r="Q12" s="524"/>
    </row>
    <row r="13" spans="1:19">
      <c r="A13" s="557" t="s">
        <v>948</v>
      </c>
      <c r="B13" s="561"/>
      <c r="C13" s="564"/>
      <c r="D13" s="564"/>
      <c r="E13" s="558"/>
      <c r="F13" s="558">
        <f t="shared" si="1"/>
        <v>0</v>
      </c>
      <c r="G13" s="563">
        <f>IFERROR(HLOOKUP(A13,'Sch - FA'!$4:$18,15,0),0)-(F13/Master!$B$23)</f>
        <v>0</v>
      </c>
      <c r="H13" s="564">
        <v>0</v>
      </c>
      <c r="I13" s="564"/>
      <c r="J13" s="564"/>
      <c r="K13" s="558"/>
      <c r="L13" s="558">
        <f t="shared" si="2"/>
        <v>0</v>
      </c>
      <c r="M13" s="559">
        <f>IFERROR(HLOOKUP(A13,'Sch - FA'!$22:$36,15,0),0)-(L13/Master!$B$23)</f>
        <v>0</v>
      </c>
      <c r="N13" s="558">
        <f t="shared" si="0"/>
        <v>0</v>
      </c>
      <c r="O13" s="560">
        <f t="shared" si="3"/>
        <v>0</v>
      </c>
      <c r="Q13" s="524"/>
    </row>
    <row r="14" spans="1:19" ht="2.1" customHeight="1">
      <c r="A14" s="567"/>
      <c r="B14" s="568"/>
      <c r="C14" s="568"/>
      <c r="D14" s="568"/>
      <c r="E14" s="568"/>
      <c r="F14" s="568"/>
      <c r="G14" s="568"/>
      <c r="H14" s="569"/>
      <c r="I14" s="568"/>
      <c r="J14" s="569"/>
      <c r="K14" s="569"/>
      <c r="L14" s="569"/>
      <c r="M14" s="569"/>
      <c r="N14" s="568"/>
      <c r="O14" s="570"/>
    </row>
    <row r="15" spans="1:19" s="491" customFormat="1">
      <c r="A15" s="571"/>
      <c r="B15" s="572">
        <f t="shared" ref="B15:O15" si="4">SUM(B6:B14)</f>
        <v>20404934.48</v>
      </c>
      <c r="C15" s="572">
        <f t="shared" si="4"/>
        <v>0</v>
      </c>
      <c r="D15" s="572">
        <f t="shared" si="4"/>
        <v>0</v>
      </c>
      <c r="E15" s="572">
        <f t="shared" si="4"/>
        <v>0</v>
      </c>
      <c r="F15" s="572">
        <f t="shared" si="4"/>
        <v>20404934.48</v>
      </c>
      <c r="G15" s="572">
        <f t="shared" si="4"/>
        <v>0.51999999955296516</v>
      </c>
      <c r="H15" s="572">
        <f t="shared" si="4"/>
        <v>20404935.478255343</v>
      </c>
      <c r="I15" s="572">
        <f t="shared" si="4"/>
        <v>0</v>
      </c>
      <c r="J15" s="572">
        <f t="shared" si="4"/>
        <v>0</v>
      </c>
      <c r="K15" s="572">
        <f t="shared" si="4"/>
        <v>0</v>
      </c>
      <c r="L15" s="572">
        <f t="shared" si="4"/>
        <v>20404935.478255343</v>
      </c>
      <c r="M15" s="572">
        <f t="shared" si="4"/>
        <v>0.52174465623102151</v>
      </c>
      <c r="N15" s="572">
        <f t="shared" si="4"/>
        <v>-0.99825534332194366</v>
      </c>
      <c r="O15" s="573">
        <f t="shared" si="4"/>
        <v>-0.99825534332194366</v>
      </c>
    </row>
    <row r="16" spans="1:19">
      <c r="A16" s="574"/>
      <c r="B16" s="575">
        <v>3790082142.5710392</v>
      </c>
      <c r="C16" s="575">
        <v>188323085.56</v>
      </c>
      <c r="D16" s="575">
        <v>52102632.93</v>
      </c>
      <c r="E16" s="575">
        <v>0</v>
      </c>
      <c r="F16" s="575">
        <v>3926302595.2010398</v>
      </c>
      <c r="G16" s="575">
        <v>-2.0259520103936666</v>
      </c>
      <c r="H16" s="576">
        <v>3007052269.2139993</v>
      </c>
      <c r="I16" s="576">
        <v>309891122.18000001</v>
      </c>
      <c r="J16" s="576">
        <v>45017572.940000005</v>
      </c>
      <c r="K16" s="576">
        <v>0</v>
      </c>
      <c r="L16" s="576">
        <v>3271925818.4539995</v>
      </c>
      <c r="M16" s="576">
        <v>-0.25818453999039548</v>
      </c>
      <c r="N16" s="575">
        <v>654376776.74704027</v>
      </c>
      <c r="O16" s="577">
        <v>783029873.35704041</v>
      </c>
    </row>
    <row r="17" spans="1:15" ht="15" thickBot="1">
      <c r="A17" s="578"/>
      <c r="B17" s="579"/>
      <c r="C17" s="580"/>
      <c r="D17" s="579"/>
      <c r="E17" s="579"/>
      <c r="F17" s="580"/>
      <c r="G17" s="580"/>
      <c r="H17" s="579"/>
      <c r="I17" s="580"/>
      <c r="J17" s="579"/>
      <c r="K17" s="579"/>
      <c r="L17" s="579"/>
      <c r="M17" s="579"/>
      <c r="N17" s="581"/>
      <c r="O17" s="582"/>
    </row>
    <row r="18" spans="1:15">
      <c r="N18" s="524"/>
      <c r="O18" s="524"/>
    </row>
    <row r="19" spans="1:15">
      <c r="B19" s="583"/>
      <c r="C19" s="583"/>
      <c r="D19" s="524"/>
      <c r="F19" s="524"/>
      <c r="H19" s="524"/>
      <c r="I19" s="524"/>
      <c r="J19" s="524"/>
      <c r="L19" s="583"/>
    </row>
    <row r="20" spans="1:15">
      <c r="B20" s="584"/>
      <c r="C20" s="584"/>
      <c r="D20" s="584"/>
    </row>
    <row r="21" spans="1:15">
      <c r="B21" s="524"/>
      <c r="C21" s="524"/>
      <c r="D21" s="524"/>
      <c r="E21" s="524"/>
      <c r="F21" s="524"/>
      <c r="H21" s="524"/>
      <c r="I21" s="524"/>
      <c r="J21" s="524"/>
      <c r="K21" s="524"/>
      <c r="L21" s="524"/>
    </row>
    <row r="25" spans="1:15">
      <c r="I25" s="524">
        <f>I12-J12</f>
        <v>0</v>
      </c>
    </row>
  </sheetData>
  <mergeCells count="6">
    <mergeCell ref="B3:F3"/>
    <mergeCell ref="H3:L3"/>
    <mergeCell ref="N3:O3"/>
    <mergeCell ref="C4:C5"/>
    <mergeCell ref="I4:I5"/>
    <mergeCell ref="J4:J5"/>
  </mergeCell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CC9900"/>
  </sheetPr>
  <dimension ref="A1:O21"/>
  <sheetViews>
    <sheetView showGridLines="0" workbookViewId="0">
      <selection activeCell="H15" sqref="H15"/>
    </sheetView>
  </sheetViews>
  <sheetFormatPr defaultColWidth="9.21875" defaultRowHeight="14.4"/>
  <cols>
    <col min="1" max="1" width="27.5546875" style="490" customWidth="1"/>
    <col min="2" max="2" width="15.77734375" style="490" bestFit="1" customWidth="1"/>
    <col min="3" max="3" width="15.21875" style="490" bestFit="1" customWidth="1"/>
    <col min="4" max="4" width="14.21875" style="490" bestFit="1" customWidth="1"/>
    <col min="5" max="5" width="12.77734375" style="490" customWidth="1"/>
    <col min="6" max="6" width="15.77734375" style="490" bestFit="1" customWidth="1"/>
    <col min="7" max="7" width="16" style="490" bestFit="1" customWidth="1"/>
    <col min="8" max="8" width="15.77734375" style="490" bestFit="1" customWidth="1"/>
    <col min="9" max="9" width="14" style="490" bestFit="1" customWidth="1"/>
    <col min="10" max="11" width="14.21875" style="490" bestFit="1" customWidth="1"/>
    <col min="12" max="12" width="15.77734375" style="490" bestFit="1" customWidth="1"/>
    <col min="13" max="13" width="15.77734375" style="490" customWidth="1"/>
    <col min="14" max="15" width="14" style="490" bestFit="1" customWidth="1"/>
    <col min="16" max="16384" width="9.21875" style="490"/>
  </cols>
  <sheetData>
    <row r="1" spans="1:15" ht="15" thickBot="1">
      <c r="A1" s="542" t="s">
        <v>957</v>
      </c>
      <c r="B1" s="543"/>
      <c r="C1" s="543"/>
      <c r="D1" s="543"/>
      <c r="E1" s="543"/>
      <c r="F1" s="543"/>
      <c r="G1" s="543"/>
      <c r="H1" s="543"/>
      <c r="I1" s="543"/>
      <c r="J1" s="543"/>
      <c r="K1" s="543"/>
      <c r="L1" s="543"/>
      <c r="M1" s="543"/>
      <c r="N1" s="543"/>
      <c r="O1" s="543"/>
    </row>
    <row r="2" spans="1:15">
      <c r="A2" s="546"/>
      <c r="B2" s="1901" t="s">
        <v>952</v>
      </c>
      <c r="C2" s="1902"/>
      <c r="D2" s="1902"/>
      <c r="E2" s="1902"/>
      <c r="F2" s="1903"/>
      <c r="G2" s="547" t="s">
        <v>836</v>
      </c>
      <c r="H2" s="1901" t="s">
        <v>768</v>
      </c>
      <c r="I2" s="1902"/>
      <c r="J2" s="1902"/>
      <c r="K2" s="1902"/>
      <c r="L2" s="1903"/>
      <c r="M2" s="547" t="s">
        <v>836</v>
      </c>
      <c r="N2" s="1901" t="s">
        <v>955</v>
      </c>
      <c r="O2" s="1904"/>
    </row>
    <row r="3" spans="1:15">
      <c r="A3" s="548" t="s">
        <v>959</v>
      </c>
      <c r="B3" s="549" t="s">
        <v>960</v>
      </c>
      <c r="C3" s="1905" t="s">
        <v>174</v>
      </c>
      <c r="D3" s="550" t="s">
        <v>961</v>
      </c>
      <c r="E3" s="551" t="s">
        <v>962</v>
      </c>
      <c r="F3" s="549" t="s">
        <v>960</v>
      </c>
      <c r="G3" s="549" t="s">
        <v>963</v>
      </c>
      <c r="H3" s="549" t="s">
        <v>960</v>
      </c>
      <c r="I3" s="1907" t="s">
        <v>964</v>
      </c>
      <c r="J3" s="1907" t="s">
        <v>965</v>
      </c>
      <c r="K3" s="551" t="s">
        <v>962</v>
      </c>
      <c r="L3" s="549" t="s">
        <v>960</v>
      </c>
      <c r="M3" s="549" t="s">
        <v>963</v>
      </c>
      <c r="N3" s="549" t="s">
        <v>960</v>
      </c>
      <c r="O3" s="552" t="s">
        <v>960</v>
      </c>
    </row>
    <row r="4" spans="1:15" ht="15" thickBot="1">
      <c r="A4" s="553"/>
      <c r="B4" s="554">
        <v>43922</v>
      </c>
      <c r="C4" s="1906"/>
      <c r="D4" s="555" t="s">
        <v>966</v>
      </c>
      <c r="E4" s="555" t="s">
        <v>966</v>
      </c>
      <c r="F4" s="554">
        <v>44286</v>
      </c>
      <c r="G4" s="554" t="s">
        <v>967</v>
      </c>
      <c r="H4" s="554">
        <f>B4</f>
        <v>43922</v>
      </c>
      <c r="I4" s="1908"/>
      <c r="J4" s="1908"/>
      <c r="K4" s="555" t="s">
        <v>966</v>
      </c>
      <c r="L4" s="554">
        <f>F4</f>
        <v>44286</v>
      </c>
      <c r="M4" s="554" t="s">
        <v>967</v>
      </c>
      <c r="N4" s="554">
        <f>L4</f>
        <v>44286</v>
      </c>
      <c r="O4" s="556">
        <f>B4-1</f>
        <v>43921</v>
      </c>
    </row>
    <row r="5" spans="1:15">
      <c r="A5" s="557" t="s">
        <v>944</v>
      </c>
      <c r="B5" s="558"/>
      <c r="C5" s="558"/>
      <c r="D5" s="558"/>
      <c r="E5" s="558"/>
      <c r="F5" s="558">
        <f>B5+C5-D5+E5</f>
        <v>0</v>
      </c>
      <c r="G5" s="563">
        <f>IFERROR(HLOOKUP(A5,'Sch - FA'!$4:$12,9,0),0)-(F5/Master!$B$23)</f>
        <v>0</v>
      </c>
      <c r="H5" s="558">
        <v>0</v>
      </c>
      <c r="I5" s="558"/>
      <c r="J5" s="558"/>
      <c r="K5" s="558"/>
      <c r="L5" s="558">
        <f>H5+I5-J5+K5</f>
        <v>0</v>
      </c>
      <c r="M5" s="559">
        <f>IFERROR(HLOOKUP(A5,'Sch - FA'!$22:$30,9,0),0)-(L5/Master!$B$23)</f>
        <v>0</v>
      </c>
      <c r="N5" s="558">
        <f t="shared" ref="N5:N12" si="0">F5-L5</f>
        <v>0</v>
      </c>
      <c r="O5" s="560">
        <f>B5-H5</f>
        <v>0</v>
      </c>
    </row>
    <row r="6" spans="1:15">
      <c r="A6" s="557" t="s">
        <v>943</v>
      </c>
      <c r="B6" s="564"/>
      <c r="C6" s="562"/>
      <c r="D6" s="562"/>
      <c r="E6" s="564"/>
      <c r="F6" s="558">
        <f t="shared" ref="F6:F12" si="1">B6+C6-D6+E6</f>
        <v>0</v>
      </c>
      <c r="G6" s="563">
        <f>IFERROR(HLOOKUP(A6,'Sch - FA'!$4:$12,9,0),0)-(F6/Master!$B$23)</f>
        <v>0</v>
      </c>
      <c r="H6" s="564">
        <v>0</v>
      </c>
      <c r="I6" s="564"/>
      <c r="J6" s="564"/>
      <c r="K6" s="562"/>
      <c r="L6" s="558">
        <f t="shared" ref="L6:L12" si="2">H6+I6-J6+K6</f>
        <v>0</v>
      </c>
      <c r="M6" s="559">
        <f>IFERROR(HLOOKUP(A6,'Sch - FA'!$22:$30,9,0),0)-(L6/Master!$B$23)</f>
        <v>0</v>
      </c>
      <c r="N6" s="558">
        <f t="shared" si="0"/>
        <v>0</v>
      </c>
      <c r="O6" s="560">
        <f t="shared" ref="O6:O12" si="3">B6-H6</f>
        <v>0</v>
      </c>
    </row>
    <row r="7" spans="1:15">
      <c r="A7" s="557" t="s">
        <v>968</v>
      </c>
      <c r="B7" s="558"/>
      <c r="C7" s="558"/>
      <c r="D7" s="565"/>
      <c r="E7" s="558"/>
      <c r="F7" s="558">
        <f t="shared" si="1"/>
        <v>0</v>
      </c>
      <c r="G7" s="563">
        <f>IFERROR(HLOOKUP(A7,'Sch - FA'!$4:$12,9,0),0)-(F7/Master!$B$23)</f>
        <v>0</v>
      </c>
      <c r="H7" s="558">
        <v>0</v>
      </c>
      <c r="I7" s="558"/>
      <c r="J7" s="565"/>
      <c r="K7" s="558"/>
      <c r="L7" s="558">
        <f t="shared" si="2"/>
        <v>0</v>
      </c>
      <c r="M7" s="559">
        <f>IFERROR(HLOOKUP(A7,'Sch - FA'!$22:$30,9,0),0)-(L7/Master!$B$23)</f>
        <v>0</v>
      </c>
      <c r="N7" s="558">
        <f t="shared" si="0"/>
        <v>0</v>
      </c>
      <c r="O7" s="560">
        <f t="shared" si="3"/>
        <v>0</v>
      </c>
    </row>
    <row r="8" spans="1:15">
      <c r="A8" s="557" t="s">
        <v>950</v>
      </c>
      <c r="B8" s="558">
        <v>6846730.4800000004</v>
      </c>
      <c r="C8" s="558"/>
      <c r="D8" s="565"/>
      <c r="E8" s="558"/>
      <c r="F8" s="558">
        <f t="shared" si="1"/>
        <v>6846730.4800000004</v>
      </c>
      <c r="G8" s="563">
        <f>IFERROR(HLOOKUP(A8,'Sch - FA'!$4:$12,9,0),0)-(F8/Master!$B$23)</f>
        <v>0.51999999955296516</v>
      </c>
      <c r="H8" s="558">
        <v>6846730.4800000004</v>
      </c>
      <c r="I8" s="558"/>
      <c r="J8" s="565"/>
      <c r="K8" s="565"/>
      <c r="L8" s="558">
        <f t="shared" si="2"/>
        <v>6846730.4800000004</v>
      </c>
      <c r="M8" s="559">
        <f>IFERROR(HLOOKUP(A8,'Sch - FA'!$22:$30,9,0),0)-(L8/Master!$B$23)</f>
        <v>0.51999999955296516</v>
      </c>
      <c r="N8" s="558">
        <f t="shared" si="0"/>
        <v>0</v>
      </c>
      <c r="O8" s="560">
        <f t="shared" si="3"/>
        <v>0</v>
      </c>
    </row>
    <row r="9" spans="1:15">
      <c r="A9" s="557" t="s">
        <v>945</v>
      </c>
      <c r="B9" s="558">
        <v>13485280</v>
      </c>
      <c r="C9" s="558"/>
      <c r="D9" s="558"/>
      <c r="E9" s="558"/>
      <c r="F9" s="558">
        <f t="shared" si="1"/>
        <v>13485280</v>
      </c>
      <c r="G9" s="563">
        <f>IFERROR(HLOOKUP(A9,'Sch - FA'!$4:$12,9,0),0)-(F9/Master!$B$23)</f>
        <v>0</v>
      </c>
      <c r="H9" s="558">
        <v>13485280.630000001</v>
      </c>
      <c r="I9" s="558"/>
      <c r="J9" s="558"/>
      <c r="K9" s="558"/>
      <c r="L9" s="558">
        <f t="shared" si="2"/>
        <v>13485280.630000001</v>
      </c>
      <c r="M9" s="559">
        <f>IFERROR(HLOOKUP(A9,'Sch - FA'!$22:$30,9,0),0)-(L9/Master!$B$23)</f>
        <v>0.36999999918043613</v>
      </c>
      <c r="N9" s="558">
        <f t="shared" si="0"/>
        <v>-0.63000000081956387</v>
      </c>
      <c r="O9" s="560">
        <f t="shared" si="3"/>
        <v>-0.63000000081956387</v>
      </c>
    </row>
    <row r="10" spans="1:15">
      <c r="A10" s="557" t="s">
        <v>946</v>
      </c>
      <c r="B10" s="558">
        <v>0</v>
      </c>
      <c r="C10" s="558"/>
      <c r="D10" s="565"/>
      <c r="E10" s="585"/>
      <c r="F10" s="558">
        <f t="shared" si="1"/>
        <v>0</v>
      </c>
      <c r="G10" s="563">
        <f>IFERROR(HLOOKUP(A10,'Sch - FA'!$4:$12,9,0),0)-(F10/Master!$B$23)</f>
        <v>0</v>
      </c>
      <c r="H10" s="558">
        <v>0</v>
      </c>
      <c r="I10" s="558"/>
      <c r="J10" s="565"/>
      <c r="K10" s="558"/>
      <c r="L10" s="558">
        <f t="shared" si="2"/>
        <v>0</v>
      </c>
      <c r="M10" s="559">
        <f>IFERROR(HLOOKUP(A10,'Sch - FA'!$22:$30,9,0),0)-(L10/Master!$B$23)</f>
        <v>0</v>
      </c>
      <c r="N10" s="558">
        <f t="shared" si="0"/>
        <v>0</v>
      </c>
      <c r="O10" s="560">
        <f t="shared" si="3"/>
        <v>0</v>
      </c>
    </row>
    <row r="11" spans="1:15">
      <c r="A11" s="557" t="s">
        <v>947</v>
      </c>
      <c r="B11" s="564">
        <v>72924</v>
      </c>
      <c r="C11" s="564"/>
      <c r="D11" s="564"/>
      <c r="E11" s="585"/>
      <c r="F11" s="558">
        <f t="shared" si="1"/>
        <v>72924</v>
      </c>
      <c r="G11" s="563">
        <f>IFERROR(HLOOKUP(A11,'Sch - FA'!$4:$12,9,0),0)-(F11/Master!$B$23)</f>
        <v>0</v>
      </c>
      <c r="H11" s="564">
        <v>72924.368255342502</v>
      </c>
      <c r="I11" s="564"/>
      <c r="J11" s="564"/>
      <c r="K11" s="558"/>
      <c r="L11" s="558">
        <f t="shared" si="2"/>
        <v>72924.368255342502</v>
      </c>
      <c r="M11" s="559">
        <f>IFERROR(HLOOKUP(A11,'Sch - FA'!$22:$30,9,0),0)-(L11/Master!$B$23)</f>
        <v>-0.36825534250237979</v>
      </c>
      <c r="N11" s="558">
        <f t="shared" si="0"/>
        <v>-0.36825534250237979</v>
      </c>
      <c r="O11" s="560">
        <f t="shared" si="3"/>
        <v>-0.36825534250237979</v>
      </c>
    </row>
    <row r="12" spans="1:15">
      <c r="A12" s="557" t="s">
        <v>948</v>
      </c>
      <c r="B12" s="564"/>
      <c r="C12" s="564"/>
      <c r="D12" s="564">
        <v>0</v>
      </c>
      <c r="E12" s="564"/>
      <c r="F12" s="558">
        <f t="shared" si="1"/>
        <v>0</v>
      </c>
      <c r="G12" s="563">
        <f>IFERROR(HLOOKUP(A12,'Sch - FA'!$4:$12,9,0),0)-(F12/Master!$B$23)</f>
        <v>0</v>
      </c>
      <c r="H12" s="564">
        <v>0</v>
      </c>
      <c r="I12" s="564"/>
      <c r="J12" s="564"/>
      <c r="K12" s="564"/>
      <c r="L12" s="558">
        <f t="shared" si="2"/>
        <v>0</v>
      </c>
      <c r="M12" s="559">
        <f>IFERROR(HLOOKUP(A12,'Sch - FA'!$22:$30,9,0),0)-(L12/Master!$B$23)</f>
        <v>0</v>
      </c>
      <c r="N12" s="558">
        <f t="shared" si="0"/>
        <v>0</v>
      </c>
      <c r="O12" s="560">
        <f t="shared" si="3"/>
        <v>0</v>
      </c>
    </row>
    <row r="13" spans="1:15" ht="2.1" customHeight="1">
      <c r="A13" s="567"/>
      <c r="B13" s="568"/>
      <c r="C13" s="568"/>
      <c r="D13" s="568"/>
      <c r="E13" s="568"/>
      <c r="F13" s="568"/>
      <c r="G13" s="586"/>
      <c r="H13" s="569"/>
      <c r="I13" s="568"/>
      <c r="J13" s="569"/>
      <c r="K13" s="569"/>
      <c r="L13" s="569"/>
      <c r="M13" s="587"/>
      <c r="N13" s="568"/>
      <c r="O13" s="570"/>
    </row>
    <row r="14" spans="1:15" s="491" customFormat="1">
      <c r="A14" s="571"/>
      <c r="B14" s="572">
        <f>SUM(B5:B13)</f>
        <v>20404934.48</v>
      </c>
      <c r="C14" s="572">
        <f>SUM(C5:C13)</f>
        <v>0</v>
      </c>
      <c r="D14" s="572">
        <f>SUM(D5:D13)</f>
        <v>0</v>
      </c>
      <c r="E14" s="572">
        <f>SUM(E5:E13)</f>
        <v>0</v>
      </c>
      <c r="F14" s="572">
        <f>SUM(F5:F13)</f>
        <v>20404934.48</v>
      </c>
      <c r="G14" s="588">
        <f>SUM(G5:G12)</f>
        <v>0.51999999955296516</v>
      </c>
      <c r="H14" s="572">
        <f t="shared" ref="H14:O14" si="4">SUM(H5:H13)</f>
        <v>20404935.478255343</v>
      </c>
      <c r="I14" s="572">
        <f t="shared" si="4"/>
        <v>0</v>
      </c>
      <c r="J14" s="572">
        <f t="shared" si="4"/>
        <v>0</v>
      </c>
      <c r="K14" s="572">
        <f t="shared" si="4"/>
        <v>0</v>
      </c>
      <c r="L14" s="572">
        <f t="shared" si="4"/>
        <v>20404935.478255343</v>
      </c>
      <c r="M14" s="588">
        <f t="shared" si="4"/>
        <v>0.52174465623102151</v>
      </c>
      <c r="N14" s="572">
        <f t="shared" si="4"/>
        <v>-0.99825534332194366</v>
      </c>
      <c r="O14" s="572">
        <f t="shared" si="4"/>
        <v>-0.99825534332194366</v>
      </c>
    </row>
    <row r="15" spans="1:15">
      <c r="A15" s="589"/>
      <c r="B15" s="590"/>
      <c r="C15" s="590"/>
      <c r="D15" s="590"/>
      <c r="E15" s="590"/>
      <c r="F15" s="572"/>
      <c r="G15" s="591"/>
      <c r="H15" s="592"/>
      <c r="I15" s="592"/>
      <c r="J15" s="592"/>
      <c r="K15" s="593"/>
      <c r="L15" s="592"/>
      <c r="M15" s="593"/>
      <c r="N15" s="590"/>
      <c r="O15" s="594"/>
    </row>
    <row r="16" spans="1:15" ht="15" thickBot="1">
      <c r="A16" s="578"/>
      <c r="B16" s="579"/>
      <c r="C16" s="580"/>
      <c r="D16" s="579"/>
      <c r="E16" s="579"/>
      <c r="F16" s="580"/>
      <c r="G16" s="580"/>
      <c r="H16" s="579"/>
      <c r="I16" s="580"/>
      <c r="J16" s="579"/>
      <c r="K16" s="579"/>
      <c r="L16" s="579"/>
      <c r="M16" s="579"/>
      <c r="N16" s="581"/>
      <c r="O16" s="582"/>
    </row>
    <row r="18" spans="6:6">
      <c r="F18" s="524"/>
    </row>
    <row r="19" spans="6:6">
      <c r="F19" s="524"/>
    </row>
    <row r="21" spans="6:6">
      <c r="F21" s="524"/>
    </row>
  </sheetData>
  <mergeCells count="6">
    <mergeCell ref="B2:F2"/>
    <mergeCell ref="H2:L2"/>
    <mergeCell ref="N2:O2"/>
    <mergeCell ref="C3:C4"/>
    <mergeCell ref="I3:I4"/>
    <mergeCell ref="J3:J4"/>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3300"/>
  </sheetPr>
  <dimension ref="A1:L258"/>
  <sheetViews>
    <sheetView showGridLines="0" zoomScaleNormal="100" workbookViewId="0"/>
  </sheetViews>
  <sheetFormatPr defaultColWidth="9.21875" defaultRowHeight="12"/>
  <cols>
    <col min="1" max="1" width="11" style="626" customWidth="1"/>
    <col min="2" max="2" width="54.21875" style="626" customWidth="1"/>
    <col min="3" max="3" width="18.77734375" style="628" bestFit="1" customWidth="1"/>
    <col min="4" max="5" width="9.21875" style="626" customWidth="1"/>
    <col min="6" max="6" width="12.77734375" style="626" customWidth="1"/>
    <col min="7" max="8" width="9.21875" style="626" customWidth="1"/>
    <col min="9" max="16384" width="9.21875" style="626"/>
  </cols>
  <sheetData>
    <row r="1" spans="1:12">
      <c r="A1" s="625" t="str">
        <f>+Master!B2</f>
        <v>Syntel Solutions (India) Private Limited</v>
      </c>
      <c r="C1" s="627" t="s">
        <v>1795</v>
      </c>
    </row>
    <row r="2" spans="1:12">
      <c r="A2" s="625" t="str">
        <f>"Peoplesoft Download for the period ended " &amp;Master!$B$5</f>
        <v>Peoplesoft Download for the period ended 31st March 2025</v>
      </c>
    </row>
    <row r="3" spans="1:12" ht="5.0999999999999996" customHeight="1"/>
    <row r="4" spans="1:12" ht="36">
      <c r="A4" s="629" t="s">
        <v>519</v>
      </c>
      <c r="B4" s="630" t="s">
        <v>724</v>
      </c>
      <c r="C4" s="631" t="s">
        <v>258</v>
      </c>
      <c r="D4" s="1372" t="s">
        <v>1796</v>
      </c>
      <c r="E4" s="1372" t="s">
        <v>1797</v>
      </c>
      <c r="F4" s="631" t="s">
        <v>2376</v>
      </c>
      <c r="G4" s="631" t="s">
        <v>2377</v>
      </c>
      <c r="H4" s="631" t="s">
        <v>2378</v>
      </c>
      <c r="I4" s="631" t="s">
        <v>2379</v>
      </c>
      <c r="J4" s="631" t="s">
        <v>2380</v>
      </c>
      <c r="K4" s="631" t="s">
        <v>2381</v>
      </c>
      <c r="L4" s="631" t="s">
        <v>2382</v>
      </c>
    </row>
    <row r="5" spans="1:12">
      <c r="A5" s="632">
        <v>101300</v>
      </c>
      <c r="B5" s="633" t="s">
        <v>2396</v>
      </c>
      <c r="C5" s="634">
        <f>IFERROR(VLOOKUP(A5,'[103]TB for financial'!$A$5:$S$1092,19,FALSE),0)</f>
        <v>0</v>
      </c>
      <c r="D5" s="626" t="e">
        <f>VLOOKUP(A5,'BS Gr'!A:A,1,FALSE)</f>
        <v>#N/A</v>
      </c>
      <c r="E5" s="626" t="e">
        <f>VLOOKUP(A5,'TB for financial'!A:A,1,0)</f>
        <v>#N/A</v>
      </c>
      <c r="F5" s="1351" t="e">
        <f>VLOOKUP(A5,'TB for financial'!A:D,4,FALSE)</f>
        <v>#N/A</v>
      </c>
      <c r="G5" s="1350" t="e">
        <f>+C5-F5</f>
        <v>#N/A</v>
      </c>
      <c r="H5" s="626" t="s">
        <v>2383</v>
      </c>
      <c r="I5" s="626" t="e">
        <f>_xlfn.XLOOKUP(A5,'People Soft to Nessie to IRIS'!C:C,'People Soft to Nessie to IRIS'!A:A)</f>
        <v>#N/A</v>
      </c>
      <c r="K5" s="626" t="s">
        <v>2384</v>
      </c>
      <c r="L5" s="626" t="str">
        <f>VLOOKUP(A5,'BSPL Grouping'!A:D,4,FALSE)</f>
        <v>Advance to related parties</v>
      </c>
    </row>
    <row r="6" spans="1:12">
      <c r="A6" s="632">
        <v>106810</v>
      </c>
      <c r="B6" s="633" t="s">
        <v>2397</v>
      </c>
      <c r="C6" s="634">
        <f>IFERROR(VLOOKUP(A6,'[103]TB for financial'!$A$5:$S$1092,19,FALSE),0)</f>
        <v>-8625780</v>
      </c>
      <c r="D6" s="626">
        <f>VLOOKUP(A6,'BS Gr'!A:A,1,FALSE)</f>
        <v>106810</v>
      </c>
      <c r="E6" s="626">
        <f>VLOOKUP(A6,'TB for financial'!A:A,1,0)</f>
        <v>106810</v>
      </c>
      <c r="F6" s="1351">
        <f>VLOOKUP(A6,'TB for financial'!A:D,4,FALSE)</f>
        <v>0</v>
      </c>
      <c r="G6" s="1350">
        <f t="shared" ref="G6:G73" si="0">+C6-F6</f>
        <v>-8625780</v>
      </c>
      <c r="H6" s="626" t="s">
        <v>2383</v>
      </c>
      <c r="I6" s="626" t="e">
        <f>_xlfn.XLOOKUP(A6,'People Soft to Nessie to IRIS'!C:C,'People Soft to Nessie to IRIS'!A:A)</f>
        <v>#N/A</v>
      </c>
      <c r="K6" s="626" t="s">
        <v>2384</v>
      </c>
      <c r="L6" s="626" t="e">
        <f>VLOOKUP(A6,'BSPL Grouping'!A:D,4,FALSE)</f>
        <v>#N/A</v>
      </c>
    </row>
    <row r="7" spans="1:12">
      <c r="A7" s="632">
        <v>106960</v>
      </c>
      <c r="B7" s="633" t="s">
        <v>2398</v>
      </c>
      <c r="C7" s="634">
        <f>IFERROR(VLOOKUP(A7,'[103]TB for financial'!$A$5:$S$1092,19,FALSE),0)</f>
        <v>209786072.00164101</v>
      </c>
      <c r="D7" s="626">
        <f>VLOOKUP(A7,'BS Gr'!A:A,1,FALSE)</f>
        <v>106960</v>
      </c>
      <c r="E7" s="626">
        <f>VLOOKUP(A7,'TB for financial'!A:A,1,0)</f>
        <v>106960</v>
      </c>
      <c r="F7" s="1351">
        <f>VLOOKUP(A7,'TB for financial'!A:D,4,FALSE)</f>
        <v>0</v>
      </c>
      <c r="G7" s="1350">
        <f t="shared" si="0"/>
        <v>209786072.00164101</v>
      </c>
      <c r="H7" s="626" t="s">
        <v>2383</v>
      </c>
      <c r="I7" s="626" t="e">
        <f>_xlfn.XLOOKUP(A7,'People Soft to Nessie to IRIS'!C:C,'People Soft to Nessie to IRIS'!A:A)</f>
        <v>#N/A</v>
      </c>
      <c r="K7" s="626" t="s">
        <v>2384</v>
      </c>
      <c r="L7" s="626" t="e">
        <f>VLOOKUP(A7,'BSPL Grouping'!A:D,4,FALSE)</f>
        <v>#N/A</v>
      </c>
    </row>
    <row r="8" spans="1:12">
      <c r="A8" s="632">
        <v>110000</v>
      </c>
      <c r="B8" s="633" t="s">
        <v>2400</v>
      </c>
      <c r="C8" s="634">
        <f>IFERROR(VLOOKUP(A8,'[103]TB for financial'!$A$5:$S$1092,19,FALSE),0)</f>
        <v>-201256537.99814799</v>
      </c>
      <c r="D8" s="626">
        <f>VLOOKUP(A8,'BS Gr'!A:A,1,FALSE)</f>
        <v>110000</v>
      </c>
      <c r="E8" s="626">
        <f>VLOOKUP(A8,'TB for financial'!A:A,1,0)</f>
        <v>110000</v>
      </c>
      <c r="F8" s="1351">
        <f>VLOOKUP(A8,'TB for financial'!A:D,4,FALSE)</f>
        <v>-15206188.530000001</v>
      </c>
      <c r="G8" s="1350">
        <f t="shared" si="0"/>
        <v>-186050349.46814799</v>
      </c>
      <c r="H8" s="626" t="s">
        <v>2383</v>
      </c>
      <c r="I8" s="626" t="e">
        <f>_xlfn.XLOOKUP(A8,'People Soft to Nessie to IRIS'!C:C,'People Soft to Nessie to IRIS'!A:A)</f>
        <v>#N/A</v>
      </c>
      <c r="K8" s="626" t="s">
        <v>2384</v>
      </c>
      <c r="L8" s="626" t="e">
        <f>VLOOKUP(A8,'BSPL Grouping'!A:D,4,FALSE)</f>
        <v>#N/A</v>
      </c>
    </row>
    <row r="9" spans="1:12">
      <c r="A9" s="632">
        <v>155000</v>
      </c>
      <c r="B9" s="633" t="s">
        <v>2401</v>
      </c>
      <c r="C9" s="634">
        <f>IFERROR(VLOOKUP(A9,'[103]TB for financial'!$A$5:$S$1092,19,FALSE),0)</f>
        <v>6793146.2806400005</v>
      </c>
      <c r="D9" s="626">
        <f>VLOOKUP(A9,'BS Gr'!A:A,1,FALSE)</f>
        <v>155000</v>
      </c>
      <c r="E9" s="626">
        <f>VLOOKUP(A9,'TB for financial'!A:A,1,0)</f>
        <v>155000</v>
      </c>
      <c r="F9" s="1351">
        <f>VLOOKUP(A9,'TB for financial'!A:D,4,FALSE)</f>
        <v>0</v>
      </c>
      <c r="G9" s="1350">
        <f t="shared" si="0"/>
        <v>6793146.2806400005</v>
      </c>
      <c r="H9" s="626" t="s">
        <v>2383</v>
      </c>
      <c r="I9" s="626" t="e">
        <f>_xlfn.XLOOKUP(A9,'People Soft to Nessie to IRIS'!C:C,'People Soft to Nessie to IRIS'!A:A)</f>
        <v>#N/A</v>
      </c>
      <c r="K9" s="626" t="s">
        <v>2384</v>
      </c>
      <c r="L9" s="626" t="e">
        <f>VLOOKUP(A9,'BSPL Grouping'!A:D,4,FALSE)</f>
        <v>#N/A</v>
      </c>
    </row>
    <row r="10" spans="1:12">
      <c r="A10" s="632">
        <v>159200</v>
      </c>
      <c r="B10" s="633" t="s">
        <v>2402</v>
      </c>
      <c r="C10" s="634">
        <f>IFERROR(VLOOKUP(A10,'[103]TB for financial'!$A$5:$S$1092,19,FALSE),0)</f>
        <v>-290624</v>
      </c>
      <c r="D10" s="626">
        <f>VLOOKUP(A10,'BS Gr'!A:A,1,FALSE)</f>
        <v>159200</v>
      </c>
      <c r="E10" s="626">
        <f>VLOOKUP(A10,'TB for financial'!A:A,1,0)</f>
        <v>159200</v>
      </c>
      <c r="F10" s="1351">
        <f>VLOOKUP(A10,'TB for financial'!A:D,4,FALSE)</f>
        <v>683144</v>
      </c>
      <c r="G10" s="1350">
        <f t="shared" si="0"/>
        <v>-973768</v>
      </c>
      <c r="H10" s="626" t="s">
        <v>2383</v>
      </c>
      <c r="I10" s="626" t="e">
        <f>_xlfn.XLOOKUP(A10,'People Soft to Nessie to IRIS'!C:C,'People Soft to Nessie to IRIS'!A:A)</f>
        <v>#N/A</v>
      </c>
      <c r="K10" s="626" t="s">
        <v>2384</v>
      </c>
      <c r="L10" s="626" t="e">
        <f>VLOOKUP(A10,'BSPL Grouping'!A:D,4,FALSE)</f>
        <v>#N/A</v>
      </c>
    </row>
    <row r="11" spans="1:12">
      <c r="A11" s="632">
        <v>159300</v>
      </c>
      <c r="B11" s="633" t="s">
        <v>2479</v>
      </c>
      <c r="C11" s="634">
        <f>IFERROR(VLOOKUP(A11,'[103]TB for financial'!$A$5:$S$1092,19,FALSE),0)</f>
        <v>952448</v>
      </c>
      <c r="D11" s="626">
        <f>VLOOKUP(A11,'BS Gr'!A:A,1,FALSE)</f>
        <v>159300</v>
      </c>
      <c r="E11" s="626">
        <f>VLOOKUP(A11,'TB for financial'!A:A,1,0)</f>
        <v>159300</v>
      </c>
      <c r="F11" s="1351">
        <f>VLOOKUP(A11,'TB for financial'!A:D,4,FALSE)</f>
        <v>0</v>
      </c>
      <c r="G11" s="1350">
        <f t="shared" si="0"/>
        <v>952448</v>
      </c>
      <c r="H11" s="626" t="s">
        <v>2383</v>
      </c>
      <c r="I11" s="626" t="e">
        <f>_xlfn.XLOOKUP(A11,'People Soft to Nessie to IRIS'!C:C,'People Soft to Nessie to IRIS'!A:A)</f>
        <v>#N/A</v>
      </c>
      <c r="K11" s="626" t="s">
        <v>2384</v>
      </c>
      <c r="L11" s="626" t="e">
        <f>VLOOKUP(A11,'BSPL Grouping'!A:D,4,FALSE)</f>
        <v>#N/A</v>
      </c>
    </row>
    <row r="12" spans="1:12">
      <c r="A12" s="632">
        <v>167211</v>
      </c>
      <c r="B12" s="633" t="s">
        <v>2551</v>
      </c>
      <c r="C12" s="634">
        <f>IFERROR(VLOOKUP(A12,'[103]TB for financial'!$A$5:$S$1092,19,FALSE),0)</f>
        <v>0</v>
      </c>
      <c r="D12" s="626">
        <f>VLOOKUP(A12,'BS Gr'!A:A,1,FALSE)</f>
        <v>167211</v>
      </c>
      <c r="E12" s="626">
        <f>VLOOKUP(A12,'TB for financial'!A:A,1,0)</f>
        <v>167211</v>
      </c>
      <c r="F12" s="1351">
        <f>VLOOKUP(A12,'TB for financial'!A:D,4,FALSE)</f>
        <v>0</v>
      </c>
      <c r="G12" s="1350">
        <f t="shared" si="0"/>
        <v>0</v>
      </c>
      <c r="H12" s="626" t="s">
        <v>2383</v>
      </c>
      <c r="I12" s="626" t="e">
        <f>_xlfn.XLOOKUP(A12,'People Soft to Nessie to IRIS'!C:C,'People Soft to Nessie to IRIS'!A:A)</f>
        <v>#N/A</v>
      </c>
      <c r="K12" s="626" t="s">
        <v>2384</v>
      </c>
      <c r="L12" s="626" t="e">
        <f>VLOOKUP(A12,'BSPL Grouping'!A:D,4,FALSE)</f>
        <v>#N/A</v>
      </c>
    </row>
    <row r="13" spans="1:12">
      <c r="A13" s="632">
        <v>168100</v>
      </c>
      <c r="B13" s="633" t="s">
        <v>2480</v>
      </c>
      <c r="C13" s="634">
        <f>IFERROR(VLOOKUP(A13,'[103]TB for financial'!$A$5:$S$1092,19,FALSE),0)</f>
        <v>6997244</v>
      </c>
      <c r="D13" s="626">
        <f>VLOOKUP(A13,'BS Gr'!A:A,1,FALSE)</f>
        <v>168100</v>
      </c>
      <c r="E13" s="626">
        <f>VLOOKUP(A13,'TB for financial'!A:A,1,0)</f>
        <v>168100</v>
      </c>
      <c r="F13" s="1351">
        <f>VLOOKUP(A13,'TB for financial'!A:D,4,FALSE)</f>
        <v>234403873.10000014</v>
      </c>
      <c r="G13" s="1350">
        <f t="shared" si="0"/>
        <v>-227406629.10000014</v>
      </c>
      <c r="H13" s="626" t="s">
        <v>2383</v>
      </c>
      <c r="I13" s="626" t="e">
        <f>_xlfn.XLOOKUP(A13,'People Soft to Nessie to IRIS'!C:C,'People Soft to Nessie to IRIS'!A:A)</f>
        <v>#N/A</v>
      </c>
      <c r="K13" s="626" t="s">
        <v>2384</v>
      </c>
      <c r="L13" s="626" t="e">
        <f>VLOOKUP(A13,'BSPL Grouping'!A:D,4,FALSE)</f>
        <v>#N/A</v>
      </c>
    </row>
    <row r="14" spans="1:12">
      <c r="A14" s="632">
        <v>205000</v>
      </c>
      <c r="B14" s="633" t="s">
        <v>2453</v>
      </c>
      <c r="C14" s="634">
        <f>IFERROR(VLOOKUP(A14,'[103]TB for financial'!$A$5:$S$1092,19,FALSE),0)</f>
        <v>0</v>
      </c>
      <c r="D14" s="626">
        <f>VLOOKUP(A14,'BS Gr'!A:A,1,FALSE)</f>
        <v>205000</v>
      </c>
      <c r="E14" s="626">
        <f>VLOOKUP(A14,'TB for financial'!A:A,1,0)</f>
        <v>205000</v>
      </c>
      <c r="F14" s="1351">
        <f>VLOOKUP(A14,'TB for financial'!A:D,4,FALSE)</f>
        <v>0</v>
      </c>
      <c r="G14" s="1350">
        <f t="shared" si="0"/>
        <v>0</v>
      </c>
      <c r="H14" s="626" t="s">
        <v>2383</v>
      </c>
      <c r="I14" s="626" t="e">
        <f>_xlfn.XLOOKUP(A14,'People Soft to Nessie to IRIS'!C:C,'People Soft to Nessie to IRIS'!A:A)</f>
        <v>#N/A</v>
      </c>
      <c r="K14" s="626" t="s">
        <v>2384</v>
      </c>
      <c r="L14" s="626" t="e">
        <f>VLOOKUP(A14,'BSPL Grouping'!A:D,4,FALSE)</f>
        <v>#N/A</v>
      </c>
    </row>
    <row r="15" spans="1:12">
      <c r="A15" s="632">
        <v>215500</v>
      </c>
      <c r="B15" s="633" t="s">
        <v>2451</v>
      </c>
      <c r="C15" s="634">
        <f>IFERROR(VLOOKUP(A15,'[103]TB for financial'!$A$5:$S$1092,19,FALSE),0)</f>
        <v>0</v>
      </c>
      <c r="D15" s="626">
        <f>VLOOKUP(A15,'BS Gr'!A:A,1,FALSE)</f>
        <v>215500</v>
      </c>
      <c r="E15" s="626">
        <f>VLOOKUP(A15,'TB for financial'!A:A,1,0)</f>
        <v>215500</v>
      </c>
      <c r="F15" s="1351">
        <f>VLOOKUP(A15,'TB for financial'!A:D,4,FALSE)</f>
        <v>0</v>
      </c>
      <c r="G15" s="1350">
        <f t="shared" si="0"/>
        <v>0</v>
      </c>
      <c r="H15" s="626" t="s">
        <v>2383</v>
      </c>
      <c r="I15" s="626" t="e">
        <f>_xlfn.XLOOKUP(A15,'People Soft to Nessie to IRIS'!C:C,'People Soft to Nessie to IRIS'!A:A)</f>
        <v>#N/A</v>
      </c>
      <c r="K15" s="626" t="s">
        <v>2384</v>
      </c>
      <c r="L15" s="626" t="e">
        <f>VLOOKUP(A15,'BSPL Grouping'!A:D,4,FALSE)</f>
        <v>#N/A</v>
      </c>
    </row>
    <row r="16" spans="1:12">
      <c r="A16" s="632">
        <v>217000</v>
      </c>
      <c r="B16" s="633" t="s">
        <v>2546</v>
      </c>
      <c r="C16" s="634">
        <f>IFERROR(VLOOKUP(A16,'[103]TB for financial'!$A$5:$S$1092,19,FALSE),0)</f>
        <v>0</v>
      </c>
      <c r="D16" s="626">
        <f>VLOOKUP(A16,'BS Gr'!A:A,1,FALSE)</f>
        <v>217000</v>
      </c>
      <c r="E16" s="626">
        <f>VLOOKUP(A16,'TB for financial'!A:A,1,0)</f>
        <v>217000</v>
      </c>
      <c r="F16" s="1351">
        <f>VLOOKUP(A16,'TB for financial'!A:D,4,FALSE)</f>
        <v>0</v>
      </c>
      <c r="G16" s="1350">
        <f t="shared" si="0"/>
        <v>0</v>
      </c>
      <c r="H16" s="626" t="s">
        <v>2383</v>
      </c>
      <c r="I16" s="626" t="e">
        <f>_xlfn.XLOOKUP(A16,'People Soft to Nessie to IRIS'!C:C,'People Soft to Nessie to IRIS'!A:A)</f>
        <v>#N/A</v>
      </c>
      <c r="K16" s="626" t="s">
        <v>2384</v>
      </c>
      <c r="L16" s="626" t="e">
        <f>VLOOKUP(A16,'BSPL Grouping'!A:D,4,FALSE)</f>
        <v>#N/A</v>
      </c>
    </row>
    <row r="17" spans="1:12">
      <c r="A17" s="632">
        <v>219000</v>
      </c>
      <c r="B17" s="633" t="s">
        <v>2452</v>
      </c>
      <c r="C17" s="634">
        <f>IFERROR(VLOOKUP(A17,'[103]TB for financial'!$A$5:$S$1092,19,FALSE),0)</f>
        <v>0</v>
      </c>
      <c r="D17" s="626">
        <f>VLOOKUP(A17,'BS Gr'!A:A,1,FALSE)</f>
        <v>219000</v>
      </c>
      <c r="E17" s="626">
        <f>VLOOKUP(A17,'TB for financial'!A:A,1,0)</f>
        <v>219000</v>
      </c>
      <c r="F17" s="1351">
        <f>VLOOKUP(A17,'TB for financial'!A:D,4,FALSE)</f>
        <v>0</v>
      </c>
      <c r="G17" s="1350">
        <f t="shared" si="0"/>
        <v>0</v>
      </c>
      <c r="H17" s="626" t="s">
        <v>2383</v>
      </c>
      <c r="I17" s="626" t="e">
        <f>_xlfn.XLOOKUP(A17,'People Soft to Nessie to IRIS'!C:C,'People Soft to Nessie to IRIS'!A:A)</f>
        <v>#N/A</v>
      </c>
      <c r="K17" s="626" t="s">
        <v>2384</v>
      </c>
      <c r="L17" s="626" t="e">
        <f>VLOOKUP(A17,'BSPL Grouping'!A:D,4,FALSE)</f>
        <v>#N/A</v>
      </c>
    </row>
    <row r="18" spans="1:12">
      <c r="A18" s="632">
        <v>275000</v>
      </c>
      <c r="B18" s="633" t="s">
        <v>2481</v>
      </c>
      <c r="C18" s="634">
        <f>IFERROR(VLOOKUP(A18,'[103]TB for financial'!$A$5:$S$1092,19,FALSE),0)</f>
        <v>0</v>
      </c>
      <c r="D18" s="626">
        <f>VLOOKUP(A18,'BS Gr'!A:A,1,FALSE)</f>
        <v>275000</v>
      </c>
      <c r="E18" s="626">
        <f>VLOOKUP(A18,'TB for financial'!A:A,1,0)</f>
        <v>275000</v>
      </c>
      <c r="F18" s="1351">
        <f>VLOOKUP(A18,'TB for financial'!A:D,4,FALSE)</f>
        <v>0</v>
      </c>
      <c r="G18" s="1350">
        <f t="shared" si="0"/>
        <v>0</v>
      </c>
      <c r="H18" s="626" t="s">
        <v>2383</v>
      </c>
      <c r="I18" s="626" t="e">
        <f>_xlfn.XLOOKUP(A18,'People Soft to Nessie to IRIS'!C:C,'People Soft to Nessie to IRIS'!A:A)</f>
        <v>#N/A</v>
      </c>
      <c r="K18" s="626" t="s">
        <v>2384</v>
      </c>
      <c r="L18" s="626" t="e">
        <f>VLOOKUP(A18,'BSPL Grouping'!A:D,4,FALSE)</f>
        <v>#N/A</v>
      </c>
    </row>
    <row r="19" spans="1:12">
      <c r="A19" s="632">
        <v>276840</v>
      </c>
      <c r="B19" s="633" t="s">
        <v>2405</v>
      </c>
      <c r="C19" s="634">
        <f>IFERROR(VLOOKUP(A19,'[103]TB for financial'!$A$5:$S$1092,19,FALSE),0)</f>
        <v>198980.83000000194</v>
      </c>
      <c r="D19" s="626">
        <f>VLOOKUP(A19,'BS Gr'!A:A,1,FALSE)</f>
        <v>276840</v>
      </c>
      <c r="E19" s="626">
        <f>VLOOKUP(A19,'TB for financial'!A:A,1,0)</f>
        <v>276840</v>
      </c>
      <c r="F19" s="1351">
        <f>VLOOKUP(A19,'TB for financial'!A:D,4,FALSE)</f>
        <v>258343.94000000134</v>
      </c>
      <c r="G19" s="1350">
        <f t="shared" si="0"/>
        <v>-59363.109999999404</v>
      </c>
      <c r="H19" s="626" t="s">
        <v>2383</v>
      </c>
      <c r="I19" s="626" t="e">
        <f>_xlfn.XLOOKUP(A19,'People Soft to Nessie to IRIS'!C:C,'People Soft to Nessie to IRIS'!A:A)</f>
        <v>#N/A</v>
      </c>
      <c r="K19" s="626" t="s">
        <v>2384</v>
      </c>
      <c r="L19" s="626" t="e">
        <f>VLOOKUP(A19,'BSPL Grouping'!A:D,4,FALSE)</f>
        <v>#N/A</v>
      </c>
    </row>
    <row r="20" spans="1:12">
      <c r="A20" s="632">
        <v>280500</v>
      </c>
      <c r="B20" s="633" t="s">
        <v>2456</v>
      </c>
      <c r="C20" s="634">
        <f>IFERROR(VLOOKUP(A20,'[103]TB for financial'!$A$5:$S$1092,19,FALSE),0)</f>
        <v>0</v>
      </c>
      <c r="D20" s="626">
        <f>VLOOKUP(A20,'BS Gr'!A:A,1,FALSE)</f>
        <v>280500</v>
      </c>
      <c r="E20" s="626">
        <f>VLOOKUP(A20,'TB for financial'!A:A,1,0)</f>
        <v>280500</v>
      </c>
      <c r="F20" s="1351">
        <f>VLOOKUP(A20,'TB for financial'!A:D,4,FALSE)</f>
        <v>0</v>
      </c>
      <c r="G20" s="1350">
        <f t="shared" si="0"/>
        <v>0</v>
      </c>
      <c r="H20" s="626" t="s">
        <v>2383</v>
      </c>
      <c r="I20" s="626" t="e">
        <f>_xlfn.XLOOKUP(A20,'People Soft to Nessie to IRIS'!C:C,'People Soft to Nessie to IRIS'!A:A)</f>
        <v>#N/A</v>
      </c>
      <c r="K20" s="626" t="s">
        <v>2384</v>
      </c>
      <c r="L20" s="626" t="e">
        <f>VLOOKUP(A20,'BSPL Grouping'!A:D,4,FALSE)</f>
        <v>#N/A</v>
      </c>
    </row>
    <row r="21" spans="1:12">
      <c r="A21" s="632">
        <v>281550</v>
      </c>
      <c r="B21" s="633" t="s">
        <v>2454</v>
      </c>
      <c r="C21" s="634">
        <f>IFERROR(VLOOKUP(A21,'[103]TB for financial'!$A$5:$S$1092,19,FALSE),0)</f>
        <v>0</v>
      </c>
      <c r="D21" s="626">
        <f>VLOOKUP(A21,'BS Gr'!A:A,1,FALSE)</f>
        <v>281550</v>
      </c>
      <c r="E21" s="626">
        <f>VLOOKUP(A21,'TB for financial'!A:A,1,0)</f>
        <v>281550</v>
      </c>
      <c r="F21" s="1351">
        <f>VLOOKUP(A21,'TB for financial'!A:D,4,FALSE)</f>
        <v>0</v>
      </c>
      <c r="G21" s="1350">
        <f t="shared" si="0"/>
        <v>0</v>
      </c>
      <c r="H21" s="626" t="s">
        <v>2383</v>
      </c>
      <c r="I21" s="626" t="e">
        <f>_xlfn.XLOOKUP(A21,'People Soft to Nessie to IRIS'!C:C,'People Soft to Nessie to IRIS'!A:A)</f>
        <v>#N/A</v>
      </c>
      <c r="K21" s="626" t="s">
        <v>2384</v>
      </c>
      <c r="L21" s="626" t="e">
        <f>VLOOKUP(A21,'BSPL Grouping'!A:D,4,FALSE)</f>
        <v>#N/A</v>
      </c>
    </row>
    <row r="22" spans="1:12">
      <c r="A22" s="632">
        <v>281700</v>
      </c>
      <c r="B22" s="633" t="s">
        <v>2547</v>
      </c>
      <c r="C22" s="634">
        <f>IFERROR(VLOOKUP(A22,'[103]TB for financial'!$A$5:$S$1092,19,FALSE),0)</f>
        <v>0</v>
      </c>
      <c r="D22" s="626">
        <f>VLOOKUP(A22,'BS Gr'!A:A,1,FALSE)</f>
        <v>281700</v>
      </c>
      <c r="E22" s="626">
        <f>VLOOKUP(A22,'TB for financial'!A:A,1,0)</f>
        <v>281700</v>
      </c>
      <c r="F22" s="1351">
        <f>VLOOKUP(A22,'TB for financial'!A:D,4,FALSE)</f>
        <v>0</v>
      </c>
      <c r="G22" s="1350">
        <f t="shared" si="0"/>
        <v>0</v>
      </c>
      <c r="H22" s="626" t="s">
        <v>2383</v>
      </c>
      <c r="I22" s="626" t="e">
        <f>_xlfn.XLOOKUP(A22,'People Soft to Nessie to IRIS'!C:C,'People Soft to Nessie to IRIS'!A:A)</f>
        <v>#N/A</v>
      </c>
      <c r="K22" s="626" t="s">
        <v>2384</v>
      </c>
      <c r="L22" s="626" t="e">
        <f>VLOOKUP(A22,'BSPL Grouping'!A:D,4,FALSE)</f>
        <v>#N/A</v>
      </c>
    </row>
    <row r="23" spans="1:12">
      <c r="A23" s="632">
        <v>281900</v>
      </c>
      <c r="B23" s="633" t="s">
        <v>2655</v>
      </c>
      <c r="C23" s="634">
        <f>IFERROR(VLOOKUP(A23,'[103]TB for financial'!$A$5:$S$1092,19,FALSE),0)</f>
        <v>0</v>
      </c>
      <c r="D23" s="626">
        <f>VLOOKUP(A23,'BS Gr'!A:A,1,FALSE)</f>
        <v>281900</v>
      </c>
      <c r="E23" s="626">
        <f>VLOOKUP(A23,'TB for financial'!A:A,1,0)</f>
        <v>281900</v>
      </c>
      <c r="F23" s="1351">
        <f>VLOOKUP(A23,'TB for financial'!A:D,4,FALSE)</f>
        <v>0</v>
      </c>
      <c r="G23" s="1350">
        <f t="shared" si="0"/>
        <v>0</v>
      </c>
      <c r="H23" s="626" t="s">
        <v>2383</v>
      </c>
      <c r="I23" s="626" t="e">
        <f>_xlfn.XLOOKUP(A23,'People Soft to Nessie to IRIS'!C:C,'People Soft to Nessie to IRIS'!A:A)</f>
        <v>#N/A</v>
      </c>
      <c r="K23" s="626" t="s">
        <v>2384</v>
      </c>
      <c r="L23" s="626" t="e">
        <f>VLOOKUP(A23,'BSPL Grouping'!A:D,4,FALSE)</f>
        <v>#N/A</v>
      </c>
    </row>
    <row r="24" spans="1:12">
      <c r="A24" s="632">
        <v>401100</v>
      </c>
      <c r="B24" s="633" t="s">
        <v>2482</v>
      </c>
      <c r="C24" s="634">
        <f>IFERROR(VLOOKUP(A24,'[103]TB for financial'!$A$5:$S$1092,19,FALSE),0)</f>
        <v>106588.20000000019</v>
      </c>
      <c r="D24" s="626">
        <f>VLOOKUP(A24,'BS Gr'!A:A,1,FALSE)</f>
        <v>401100</v>
      </c>
      <c r="E24" s="626">
        <f>VLOOKUP(A24,'TB for financial'!A:A,1,0)</f>
        <v>401100</v>
      </c>
      <c r="F24" s="1351">
        <f>VLOOKUP(A24,'TB for financial'!A:D,4,FALSE)</f>
        <v>18590.800000000279</v>
      </c>
      <c r="G24" s="1350">
        <f t="shared" si="0"/>
        <v>87997.399999999907</v>
      </c>
      <c r="H24" s="626" t="s">
        <v>2383</v>
      </c>
      <c r="I24" s="626" t="e">
        <f>_xlfn.XLOOKUP(A24,'People Soft to Nessie to IRIS'!C:C,'People Soft to Nessie to IRIS'!A:A)</f>
        <v>#N/A</v>
      </c>
      <c r="K24" s="626" t="s">
        <v>2384</v>
      </c>
      <c r="L24" s="626" t="e">
        <f>VLOOKUP(A24,'BSPL Grouping'!A:D,4,FALSE)</f>
        <v>#N/A</v>
      </c>
    </row>
    <row r="25" spans="1:12">
      <c r="A25" s="632">
        <v>401450</v>
      </c>
      <c r="B25" s="633" t="s">
        <v>2483</v>
      </c>
      <c r="C25" s="634">
        <f>IFERROR(VLOOKUP(A25,'[103]TB for financial'!$A$5:$S$1092,19,FALSE),0)</f>
        <v>36542.069999999832</v>
      </c>
      <c r="D25" s="626">
        <f>VLOOKUP(A25,'BS Gr'!A:A,1,FALSE)</f>
        <v>401450</v>
      </c>
      <c r="E25" s="626">
        <f>VLOOKUP(A25,'TB for financial'!A:A,1,0)</f>
        <v>401450</v>
      </c>
      <c r="F25" s="1351">
        <f>VLOOKUP(A25,'TB for financial'!A:D,4,FALSE)</f>
        <v>-196860.13000000035</v>
      </c>
      <c r="G25" s="1350">
        <f t="shared" si="0"/>
        <v>233402.20000000019</v>
      </c>
      <c r="H25" s="626" t="s">
        <v>2383</v>
      </c>
      <c r="I25" s="626" t="e">
        <f>_xlfn.XLOOKUP(A25,'People Soft to Nessie to IRIS'!C:C,'People Soft to Nessie to IRIS'!A:A)</f>
        <v>#N/A</v>
      </c>
      <c r="K25" s="626" t="s">
        <v>2384</v>
      </c>
      <c r="L25" s="626" t="e">
        <f>VLOOKUP(A25,'BSPL Grouping'!A:D,4,FALSE)</f>
        <v>#N/A</v>
      </c>
    </row>
    <row r="26" spans="1:12">
      <c r="A26" s="632">
        <v>401500</v>
      </c>
      <c r="B26" s="633" t="s">
        <v>2482</v>
      </c>
      <c r="C26" s="634">
        <f>IFERROR(VLOOKUP(A26,'[103]TB for financial'!$A$5:$S$1092,19,FALSE),0)</f>
        <v>6476.5000000018626</v>
      </c>
      <c r="D26" s="626">
        <f>VLOOKUP(A26,'BS Gr'!A:A,1,FALSE)</f>
        <v>401500</v>
      </c>
      <c r="E26" s="626">
        <f>VLOOKUP(A26,'TB for financial'!A:A,1,0)</f>
        <v>401500</v>
      </c>
      <c r="F26" s="1351">
        <f>VLOOKUP(A26,'TB for financial'!A:D,4,FALSE)</f>
        <v>-544586.62999999523</v>
      </c>
      <c r="G26" s="1350">
        <f t="shared" si="0"/>
        <v>551063.12999999709</v>
      </c>
      <c r="H26" s="626" t="s">
        <v>2383</v>
      </c>
      <c r="I26" s="626" t="e">
        <f>_xlfn.XLOOKUP(A26,'People Soft to Nessie to IRIS'!C:C,'People Soft to Nessie to IRIS'!A:A)</f>
        <v>#N/A</v>
      </c>
      <c r="K26" s="626" t="s">
        <v>2384</v>
      </c>
      <c r="L26" s="626" t="e">
        <f>VLOOKUP(A26,'BSPL Grouping'!A:D,4,FALSE)</f>
        <v>#N/A</v>
      </c>
    </row>
    <row r="27" spans="1:12">
      <c r="A27" s="632">
        <v>401998</v>
      </c>
      <c r="B27" s="633" t="s">
        <v>2685</v>
      </c>
      <c r="C27" s="634">
        <f>IFERROR(VLOOKUP(A27,'[103]TB for financial'!$A$5:$S$1092,19,FALSE),0)</f>
        <v>135578.2785106377</v>
      </c>
      <c r="D27" s="626">
        <f>VLOOKUP(A27,'BS Gr'!A:A,1,FALSE)</f>
        <v>401998</v>
      </c>
      <c r="E27" s="626">
        <f>VLOOKUP(A27,'TB for financial'!A:A,1,0)</f>
        <v>401998</v>
      </c>
      <c r="F27" s="1351">
        <f>VLOOKUP(A27,'TB for financial'!A:D,4,FALSE)</f>
        <v>35301.250000003725</v>
      </c>
      <c r="G27" s="1350">
        <f t="shared" si="0"/>
        <v>100277.02851063397</v>
      </c>
      <c r="H27" s="626" t="s">
        <v>2383</v>
      </c>
      <c r="I27" s="626" t="e">
        <f>_xlfn.XLOOKUP(A27,'People Soft to Nessie to IRIS'!C:C,'People Soft to Nessie to IRIS'!A:A)</f>
        <v>#N/A</v>
      </c>
      <c r="K27" s="626" t="s">
        <v>2384</v>
      </c>
      <c r="L27" s="626" t="e">
        <f>VLOOKUP(A27,'BSPL Grouping'!A:D,4,FALSE)</f>
        <v>#N/A</v>
      </c>
    </row>
    <row r="28" spans="1:12">
      <c r="A28" s="632">
        <v>408120</v>
      </c>
      <c r="B28" s="633" t="s">
        <v>2656</v>
      </c>
      <c r="C28" s="634">
        <f>IFERROR(VLOOKUP(A28,'[103]TB for financial'!$A$5:$S$1092,19,FALSE),0)</f>
        <v>82343.270000000484</v>
      </c>
      <c r="D28" s="626">
        <f>VLOOKUP(A28,'BS Gr'!A:A,1,FALSE)</f>
        <v>408120</v>
      </c>
      <c r="E28" s="626">
        <f>VLOOKUP(A28,'TB for financial'!A:A,1,0)</f>
        <v>408120</v>
      </c>
      <c r="F28" s="1351">
        <f>VLOOKUP(A28,'TB for financial'!A:D,4,FALSE)</f>
        <v>65670.680000000168</v>
      </c>
      <c r="G28" s="1350">
        <f t="shared" si="0"/>
        <v>16672.590000000317</v>
      </c>
      <c r="H28" s="626" t="s">
        <v>2383</v>
      </c>
      <c r="I28" s="626" t="e">
        <f>_xlfn.XLOOKUP(A28,'People Soft to Nessie to IRIS'!C:C,'People Soft to Nessie to IRIS'!A:A)</f>
        <v>#N/A</v>
      </c>
      <c r="K28" s="626" t="s">
        <v>2384</v>
      </c>
      <c r="L28" s="626" t="e">
        <f>VLOOKUP(A28,'BSPL Grouping'!A:D,4,FALSE)</f>
        <v>#N/A</v>
      </c>
    </row>
    <row r="29" spans="1:12">
      <c r="A29" s="632">
        <v>408151</v>
      </c>
      <c r="B29" s="633" t="s">
        <v>2410</v>
      </c>
      <c r="C29" s="634">
        <f>IFERROR(VLOOKUP(A29,'[103]TB for financial'!$A$5:$S$1092,19,FALSE),0)</f>
        <v>-466779</v>
      </c>
      <c r="D29" s="626">
        <f>VLOOKUP(A29,'BS Gr'!A:A,1,FALSE)</f>
        <v>408151</v>
      </c>
      <c r="E29" s="626">
        <f>VLOOKUP(A29,'TB for financial'!A:A,1,0)</f>
        <v>408151</v>
      </c>
      <c r="F29" s="1351">
        <f>VLOOKUP(A29,'TB for financial'!A:D,4,FALSE)</f>
        <v>-373007.96000000089</v>
      </c>
      <c r="G29" s="1350">
        <f t="shared" si="0"/>
        <v>-93771.039999999106</v>
      </c>
      <c r="H29" s="626" t="s">
        <v>2383</v>
      </c>
      <c r="I29" s="626" t="e">
        <f>_xlfn.XLOOKUP(A29,'People Soft to Nessie to IRIS'!C:C,'People Soft to Nessie to IRIS'!A:A)</f>
        <v>#N/A</v>
      </c>
      <c r="K29" s="626" t="s">
        <v>2384</v>
      </c>
      <c r="L29" s="626" t="e">
        <f>VLOOKUP(A29,'BSPL Grouping'!A:D,4,FALSE)</f>
        <v>#N/A</v>
      </c>
    </row>
    <row r="30" spans="1:12">
      <c r="A30" s="632">
        <v>408500</v>
      </c>
      <c r="B30" s="633" t="s">
        <v>2657</v>
      </c>
      <c r="C30" s="634">
        <f>IFERROR(VLOOKUP(A30,'[103]TB for financial'!$A$5:$S$1092,19,FALSE),0)</f>
        <v>-506083.58000000007</v>
      </c>
      <c r="D30" s="626">
        <f>VLOOKUP(A30,'BS Gr'!A:A,1,FALSE)</f>
        <v>408500</v>
      </c>
      <c r="E30" s="626">
        <f>VLOOKUP(A30,'TB for financial'!A:A,1,0)</f>
        <v>408500</v>
      </c>
      <c r="F30" s="1351">
        <f>VLOOKUP(A30,'TB for financial'!A:D,4,FALSE)</f>
        <v>419228.65000000037</v>
      </c>
      <c r="G30" s="1350">
        <f t="shared" si="0"/>
        <v>-925312.23000000045</v>
      </c>
      <c r="H30" s="626" t="s">
        <v>2383</v>
      </c>
      <c r="I30" s="626" t="e">
        <f>_xlfn.XLOOKUP(A30,'People Soft to Nessie to IRIS'!C:C,'People Soft to Nessie to IRIS'!A:A)</f>
        <v>#N/A</v>
      </c>
      <c r="K30" s="626" t="s">
        <v>2384</v>
      </c>
      <c r="L30" s="626" t="e">
        <f>VLOOKUP(A30,'BSPL Grouping'!A:D,4,FALSE)</f>
        <v>#N/A</v>
      </c>
    </row>
    <row r="31" spans="1:12">
      <c r="A31" s="632">
        <v>409100</v>
      </c>
      <c r="B31" s="633" t="s">
        <v>2658</v>
      </c>
      <c r="C31" s="634">
        <f>IFERROR(VLOOKUP(A31,'[103]TB for financial'!$A$5:$S$1092,19,FALSE),0)</f>
        <v>211323</v>
      </c>
      <c r="D31" s="626">
        <f>VLOOKUP(A31,'BS Gr'!A:A,1,FALSE)</f>
        <v>409100</v>
      </c>
      <c r="E31" s="626">
        <f>VLOOKUP(A31,'TB for financial'!A:A,1,0)</f>
        <v>409100</v>
      </c>
      <c r="F31" s="1351">
        <f>VLOOKUP(A31,'TB for financial'!A:D,4,FALSE)</f>
        <v>151075</v>
      </c>
      <c r="G31" s="1350">
        <f t="shared" si="0"/>
        <v>60248</v>
      </c>
      <c r="H31" s="626" t="s">
        <v>2383</v>
      </c>
      <c r="I31" s="626" t="e">
        <f>_xlfn.XLOOKUP(A31,'People Soft to Nessie to IRIS'!C:C,'People Soft to Nessie to IRIS'!A:A)</f>
        <v>#N/A</v>
      </c>
      <c r="K31" s="626" t="s">
        <v>2384</v>
      </c>
      <c r="L31" s="626" t="e">
        <f>VLOOKUP(A31,'BSPL Grouping'!A:D,4,FALSE)</f>
        <v>#N/A</v>
      </c>
    </row>
    <row r="32" spans="1:12">
      <c r="A32" s="632">
        <v>411450</v>
      </c>
      <c r="B32" s="633" t="s">
        <v>2487</v>
      </c>
      <c r="C32" s="634">
        <f>IFERROR(VLOOKUP(A32,'[103]TB for financial'!$A$5:$S$1092,19,FALSE),0)</f>
        <v>-4683741.709999999</v>
      </c>
      <c r="D32" s="626">
        <f>VLOOKUP(A32,'BS Gr'!A:A,1,FALSE)</f>
        <v>411450</v>
      </c>
      <c r="E32" s="626">
        <f>VLOOKUP(A32,'TB for financial'!A:A,1,0)</f>
        <v>411450</v>
      </c>
      <c r="F32" s="1351">
        <f>VLOOKUP(A32,'TB for financial'!A:D,4,FALSE)</f>
        <v>6547523.25</v>
      </c>
      <c r="G32" s="1350">
        <f t="shared" si="0"/>
        <v>-11231264.959999999</v>
      </c>
      <c r="H32" s="626" t="s">
        <v>2383</v>
      </c>
      <c r="I32" s="626" t="e">
        <f>_xlfn.XLOOKUP(A32,'People Soft to Nessie to IRIS'!C:C,'People Soft to Nessie to IRIS'!A:A)</f>
        <v>#N/A</v>
      </c>
      <c r="K32" s="626" t="s">
        <v>2384</v>
      </c>
      <c r="L32" s="626" t="e">
        <f>VLOOKUP(A32,'BSPL Grouping'!A:D,4,FALSE)</f>
        <v>#N/A</v>
      </c>
    </row>
    <row r="33" spans="1:12">
      <c r="A33" s="632">
        <v>411500</v>
      </c>
      <c r="B33" s="633" t="s">
        <v>2488</v>
      </c>
      <c r="C33" s="634">
        <f>IFERROR(VLOOKUP(A33,'[103]TB for financial'!$A$5:$S$1092,19,FALSE),0)</f>
        <v>0</v>
      </c>
      <c r="D33" s="626">
        <f>VLOOKUP(A33,'BS Gr'!A:A,1,FALSE)</f>
        <v>411500</v>
      </c>
      <c r="E33" s="626">
        <f>VLOOKUP(A33,'TB for financial'!A:A,1,0)</f>
        <v>411500</v>
      </c>
      <c r="F33" s="1351">
        <f>VLOOKUP(A33,'TB for financial'!A:D,4,FALSE)</f>
        <v>-98431</v>
      </c>
      <c r="G33" s="1350">
        <f t="shared" si="0"/>
        <v>98431</v>
      </c>
      <c r="H33" s="626" t="s">
        <v>2383</v>
      </c>
      <c r="I33" s="626" t="e">
        <f>_xlfn.XLOOKUP(A33,'People Soft to Nessie to IRIS'!C:C,'People Soft to Nessie to IRIS'!A:A)</f>
        <v>#N/A</v>
      </c>
      <c r="K33" s="626" t="s">
        <v>2384</v>
      </c>
      <c r="L33" s="626" t="e">
        <f>VLOOKUP(A33,'BSPL Grouping'!A:D,4,FALSE)</f>
        <v>#N/A</v>
      </c>
    </row>
    <row r="34" spans="1:12">
      <c r="A34" s="632">
        <v>411700</v>
      </c>
      <c r="B34" s="633" t="s">
        <v>2450</v>
      </c>
      <c r="C34" s="634">
        <f>IFERROR(VLOOKUP(A34,'[103]TB for financial'!$A$5:$S$1092,19,FALSE),0)</f>
        <v>144240</v>
      </c>
      <c r="D34" s="626">
        <f>VLOOKUP(A34,'BS Gr'!A:A,1,FALSE)</f>
        <v>411700</v>
      </c>
      <c r="E34" s="626">
        <f>VLOOKUP(A34,'TB for financial'!A:A,1,0)</f>
        <v>411700</v>
      </c>
      <c r="F34" s="1351">
        <f>VLOOKUP(A34,'TB for financial'!A:D,4,FALSE)</f>
        <v>-144240</v>
      </c>
      <c r="G34" s="1350">
        <f t="shared" si="0"/>
        <v>288480</v>
      </c>
      <c r="H34" s="626" t="s">
        <v>2383</v>
      </c>
      <c r="I34" s="626" t="e">
        <f>_xlfn.XLOOKUP(A34,'People Soft to Nessie to IRIS'!C:C,'People Soft to Nessie to IRIS'!A:A)</f>
        <v>#N/A</v>
      </c>
      <c r="K34" s="626" t="s">
        <v>2384</v>
      </c>
      <c r="L34" s="626" t="e">
        <f>VLOOKUP(A34,'BSPL Grouping'!A:D,4,FALSE)</f>
        <v>#N/A</v>
      </c>
    </row>
    <row r="35" spans="1:12">
      <c r="A35" s="632">
        <v>411998</v>
      </c>
      <c r="B35" s="633" t="s">
        <v>2686</v>
      </c>
      <c r="C35" s="634">
        <f>IFERROR(VLOOKUP(A35,'[103]TB for financial'!$A$5:$S$1092,19,FALSE),0)</f>
        <v>-470210.9</v>
      </c>
      <c r="D35" s="626">
        <f>VLOOKUP(A35,'BS Gr'!A:A,1,FALSE)</f>
        <v>411998</v>
      </c>
      <c r="E35" s="626">
        <f>VLOOKUP(A35,'TB for financial'!A:A,1,0)</f>
        <v>411998</v>
      </c>
      <c r="F35" s="1351">
        <f>VLOOKUP(A35,'TB for financial'!A:D,4,FALSE)</f>
        <v>-36271</v>
      </c>
      <c r="G35" s="1350">
        <f t="shared" si="0"/>
        <v>-433939.9</v>
      </c>
      <c r="H35" s="626" t="s">
        <v>2383</v>
      </c>
      <c r="I35" s="626" t="e">
        <f>_xlfn.XLOOKUP(A35,'People Soft to Nessie to IRIS'!C:C,'People Soft to Nessie to IRIS'!A:A)</f>
        <v>#N/A</v>
      </c>
      <c r="K35" s="626" t="s">
        <v>2384</v>
      </c>
      <c r="L35" s="626" t="e">
        <f>VLOOKUP(A35,'BSPL Grouping'!A:D,4,FALSE)</f>
        <v>#N/A</v>
      </c>
    </row>
    <row r="36" spans="1:12">
      <c r="A36" s="632">
        <v>418150</v>
      </c>
      <c r="B36" s="633" t="s">
        <v>2489</v>
      </c>
      <c r="C36" s="634">
        <f>IFERROR(VLOOKUP(A36,'[103]TB for financial'!$A$5:$S$1092,19,FALSE),0)</f>
        <v>0</v>
      </c>
      <c r="D36" s="626">
        <f>VLOOKUP(A36,'BS Gr'!A:A,1,FALSE)</f>
        <v>418150</v>
      </c>
      <c r="E36" s="626">
        <f>VLOOKUP(A36,'TB for financial'!A:A,1,0)</f>
        <v>418150</v>
      </c>
      <c r="F36" s="1351">
        <f>VLOOKUP(A36,'TB for financial'!A:D,4,FALSE)</f>
        <v>-60007</v>
      </c>
      <c r="G36" s="1350">
        <f t="shared" si="0"/>
        <v>60007</v>
      </c>
      <c r="H36" s="626" t="s">
        <v>2383</v>
      </c>
      <c r="I36" s="626" t="e">
        <f>_xlfn.XLOOKUP(A36,'People Soft to Nessie to IRIS'!C:C,'People Soft to Nessie to IRIS'!A:A)</f>
        <v>#N/A</v>
      </c>
      <c r="K36" s="626" t="s">
        <v>2384</v>
      </c>
      <c r="L36" s="626" t="e">
        <f>VLOOKUP(A36,'BSPL Grouping'!A:D,4,FALSE)</f>
        <v>#N/A</v>
      </c>
    </row>
    <row r="37" spans="1:12">
      <c r="A37" s="632">
        <v>425000</v>
      </c>
      <c r="B37" s="633" t="s">
        <v>2416</v>
      </c>
      <c r="C37" s="634">
        <f>IFERROR(VLOOKUP(A37,'[103]TB for financial'!$A$5:$S$1092,19,FALSE),0)</f>
        <v>151443</v>
      </c>
      <c r="D37" s="626">
        <f>VLOOKUP(A37,'BS Gr'!A:A,1,FALSE)</f>
        <v>425000</v>
      </c>
      <c r="E37" s="626">
        <f>VLOOKUP(A37,'TB for financial'!A:A,1,0)</f>
        <v>425000</v>
      </c>
      <c r="F37" s="1351">
        <f>VLOOKUP(A37,'TB for financial'!A:D,4,FALSE)</f>
        <v>-151443</v>
      </c>
      <c r="G37" s="1350">
        <f t="shared" si="0"/>
        <v>302886</v>
      </c>
      <c r="H37" s="626" t="s">
        <v>2383</v>
      </c>
      <c r="I37" s="626" t="e">
        <f>_xlfn.XLOOKUP(A37,'People Soft to Nessie to IRIS'!C:C,'People Soft to Nessie to IRIS'!A:A)</f>
        <v>#N/A</v>
      </c>
      <c r="K37" s="626" t="s">
        <v>2384</v>
      </c>
      <c r="L37" s="626" t="e">
        <f>VLOOKUP(A37,'BSPL Grouping'!A:D,4,FALSE)</f>
        <v>#N/A</v>
      </c>
    </row>
    <row r="38" spans="1:12">
      <c r="A38" s="632">
        <v>425004</v>
      </c>
      <c r="B38" s="633" t="s">
        <v>2417</v>
      </c>
      <c r="C38" s="634">
        <f>IFERROR(VLOOKUP(A38,'[103]TB for financial'!$A$5:$S$1092,19,FALSE),0)</f>
        <v>300000</v>
      </c>
      <c r="D38" s="626">
        <f>VLOOKUP(A38,'BS Gr'!A:A,1,FALSE)</f>
        <v>425004</v>
      </c>
      <c r="E38" s="626">
        <f>VLOOKUP(A38,'TB for financial'!A:A,1,0)</f>
        <v>425004</v>
      </c>
      <c r="F38" s="1351">
        <f>VLOOKUP(A38,'TB for financial'!A:D,4,FALSE)</f>
        <v>-250005</v>
      </c>
      <c r="G38" s="1350">
        <f t="shared" si="0"/>
        <v>550005</v>
      </c>
      <c r="H38" s="626" t="s">
        <v>2383</v>
      </c>
      <c r="I38" s="626" t="e">
        <f>_xlfn.XLOOKUP(A38,'People Soft to Nessie to IRIS'!C:C,'People Soft to Nessie to IRIS'!A:A)</f>
        <v>#N/A</v>
      </c>
      <c r="K38" s="626" t="s">
        <v>2384</v>
      </c>
      <c r="L38" s="626" t="e">
        <f>VLOOKUP(A38,'BSPL Grouping'!A:D,4,FALSE)</f>
        <v>#N/A</v>
      </c>
    </row>
    <row r="39" spans="1:12">
      <c r="A39" s="632">
        <v>427100</v>
      </c>
      <c r="B39" s="633" t="s">
        <v>2418</v>
      </c>
      <c r="C39" s="634">
        <f>IFERROR(VLOOKUP(A39,'[103]TB for financial'!$A$5:$S$1092,19,FALSE),0)</f>
        <v>151227</v>
      </c>
      <c r="D39" s="626">
        <f>VLOOKUP(A39,'BS Gr'!A:A,1,FALSE)</f>
        <v>427100</v>
      </c>
      <c r="E39" s="626">
        <f>VLOOKUP(A39,'TB for financial'!A:A,1,0)</f>
        <v>427100</v>
      </c>
      <c r="F39" s="1351">
        <f>VLOOKUP(A39,'TB for financial'!A:D,4,FALSE)</f>
        <v>245898.99999999988</v>
      </c>
      <c r="G39" s="1350">
        <f t="shared" si="0"/>
        <v>-94671.999999999884</v>
      </c>
      <c r="H39" s="626" t="s">
        <v>2383</v>
      </c>
      <c r="I39" s="626" t="e">
        <f>_xlfn.XLOOKUP(A39,'People Soft to Nessie to IRIS'!C:C,'People Soft to Nessie to IRIS'!A:A)</f>
        <v>#N/A</v>
      </c>
      <c r="K39" s="626" t="s">
        <v>2384</v>
      </c>
      <c r="L39" s="626" t="e">
        <f>VLOOKUP(A39,'BSPL Grouping'!A:D,4,FALSE)</f>
        <v>#N/A</v>
      </c>
    </row>
    <row r="40" spans="1:12">
      <c r="A40" s="632">
        <v>427101</v>
      </c>
      <c r="B40" s="633" t="s">
        <v>2419</v>
      </c>
      <c r="C40" s="634">
        <f>IFERROR(VLOOKUP(A40,'[103]TB for financial'!$A$5:$S$1092,19,FALSE),0)</f>
        <v>-135385</v>
      </c>
      <c r="D40" s="626">
        <f>VLOOKUP(A40,'BS Gr'!A:A,1,FALSE)</f>
        <v>427101</v>
      </c>
      <c r="E40" s="626">
        <f>VLOOKUP(A40,'TB for financial'!A:A,1,0)</f>
        <v>427101</v>
      </c>
      <c r="F40" s="1351">
        <f>VLOOKUP(A40,'TB for financial'!A:D,4,FALSE)</f>
        <v>135385</v>
      </c>
      <c r="G40" s="1350">
        <f t="shared" si="0"/>
        <v>-270770</v>
      </c>
      <c r="H40" s="626" t="s">
        <v>2383</v>
      </c>
      <c r="I40" s="626" t="e">
        <f>_xlfn.XLOOKUP(A40,'People Soft to Nessie to IRIS'!C:C,'People Soft to Nessie to IRIS'!A:A)</f>
        <v>#N/A</v>
      </c>
      <c r="K40" s="626" t="s">
        <v>2384</v>
      </c>
      <c r="L40" s="626" t="e">
        <f>VLOOKUP(A40,'BSPL Grouping'!A:D,4,FALSE)</f>
        <v>#N/A</v>
      </c>
    </row>
    <row r="41" spans="1:12">
      <c r="A41" s="632">
        <v>427103</v>
      </c>
      <c r="B41" s="633" t="s">
        <v>2420</v>
      </c>
      <c r="C41" s="634">
        <f>IFERROR(VLOOKUP(A41,'[103]TB for financial'!$A$5:$S$1092,19,FALSE),0)</f>
        <v>-12750</v>
      </c>
      <c r="D41" s="626">
        <f>VLOOKUP(A41,'BS Gr'!A:A,1,FALSE)</f>
        <v>427103</v>
      </c>
      <c r="E41" s="626">
        <f>VLOOKUP(A41,'TB for financial'!A:A,1,0)</f>
        <v>427103</v>
      </c>
      <c r="F41" s="1351">
        <f>VLOOKUP(A41,'TB for financial'!A:D,4,FALSE)</f>
        <v>47570</v>
      </c>
      <c r="G41" s="1350">
        <f t="shared" si="0"/>
        <v>-60320</v>
      </c>
      <c r="H41" s="626" t="s">
        <v>2383</v>
      </c>
      <c r="I41" s="626" t="e">
        <f>_xlfn.XLOOKUP(A41,'People Soft to Nessie to IRIS'!C:C,'People Soft to Nessie to IRIS'!A:A)</f>
        <v>#N/A</v>
      </c>
      <c r="K41" s="626" t="s">
        <v>2384</v>
      </c>
      <c r="L41" s="626" t="e">
        <f>VLOOKUP(A41,'BSPL Grouping'!A:D,4,FALSE)</f>
        <v>#N/A</v>
      </c>
    </row>
    <row r="42" spans="1:12">
      <c r="A42" s="632">
        <v>428200</v>
      </c>
      <c r="B42" s="633" t="s">
        <v>2421</v>
      </c>
      <c r="C42" s="634">
        <f>IFERROR(VLOOKUP(A42,'[103]TB for financial'!$A$5:$S$1092,19,FALSE),0)</f>
        <v>-54743</v>
      </c>
      <c r="D42" s="626">
        <f>VLOOKUP(A42,'BS Gr'!A:A,1,FALSE)</f>
        <v>428200</v>
      </c>
      <c r="E42" s="626">
        <f>VLOOKUP(A42,'TB for financial'!A:A,1,0)</f>
        <v>428200</v>
      </c>
      <c r="F42" s="1351">
        <f>VLOOKUP(A42,'TB for financial'!A:D,4,FALSE)</f>
        <v>-49436</v>
      </c>
      <c r="G42" s="1350">
        <f t="shared" si="0"/>
        <v>-5307</v>
      </c>
      <c r="H42" s="626" t="s">
        <v>2383</v>
      </c>
      <c r="I42" s="626" t="e">
        <f>_xlfn.XLOOKUP(A42,'People Soft to Nessie to IRIS'!C:C,'People Soft to Nessie to IRIS'!A:A)</f>
        <v>#N/A</v>
      </c>
      <c r="K42" s="626" t="s">
        <v>2384</v>
      </c>
      <c r="L42" s="626" t="e">
        <f>VLOOKUP(A42,'BSPL Grouping'!A:D,4,FALSE)</f>
        <v>#N/A</v>
      </c>
    </row>
    <row r="43" spans="1:12">
      <c r="A43" s="632">
        <v>428400</v>
      </c>
      <c r="B43" s="633" t="s">
        <v>2422</v>
      </c>
      <c r="C43" s="634">
        <f>IFERROR(VLOOKUP(A43,'[103]TB for financial'!$A$5:$S$1092,19,FALSE),0)</f>
        <v>0</v>
      </c>
      <c r="D43" s="626">
        <f>VLOOKUP(A43,'BS Gr'!A:A,1,FALSE)</f>
        <v>428400</v>
      </c>
      <c r="E43" s="626">
        <f>VLOOKUP(A43,'TB for financial'!A:A,1,0)</f>
        <v>428400</v>
      </c>
      <c r="F43" s="1351">
        <f>VLOOKUP(A43,'TB for financial'!A:D,4,FALSE)</f>
        <v>0</v>
      </c>
      <c r="G43" s="1350">
        <f t="shared" si="0"/>
        <v>0</v>
      </c>
      <c r="H43" s="626" t="s">
        <v>2383</v>
      </c>
      <c r="I43" s="626" t="e">
        <f>_xlfn.XLOOKUP(A43,'People Soft to Nessie to IRIS'!C:C,'People Soft to Nessie to IRIS'!A:A)</f>
        <v>#N/A</v>
      </c>
      <c r="K43" s="626" t="s">
        <v>2384</v>
      </c>
      <c r="L43" s="626" t="e">
        <f>VLOOKUP(A43,'BSPL Grouping'!A:D,4,FALSE)</f>
        <v>#N/A</v>
      </c>
    </row>
    <row r="44" spans="1:12">
      <c r="A44" s="632">
        <v>428610</v>
      </c>
      <c r="B44" s="633" t="s">
        <v>2423</v>
      </c>
      <c r="C44" s="634">
        <f>IFERROR(VLOOKUP(A44,'[103]TB for financial'!$A$5:$S$1092,19,FALSE),0)</f>
        <v>-61985</v>
      </c>
      <c r="D44" s="626">
        <f>VLOOKUP(A44,'BS Gr'!A:A,1,FALSE)</f>
        <v>428610</v>
      </c>
      <c r="E44" s="626">
        <f>VLOOKUP(A44,'TB for financial'!A:A,1,0)</f>
        <v>428610</v>
      </c>
      <c r="F44" s="1351">
        <f>VLOOKUP(A44,'TB for financial'!A:D,4,FALSE)</f>
        <v>-91983.290000000008</v>
      </c>
      <c r="G44" s="1350">
        <f t="shared" si="0"/>
        <v>29998.290000000008</v>
      </c>
      <c r="H44" s="626" t="s">
        <v>2383</v>
      </c>
      <c r="I44" s="626" t="e">
        <f>_xlfn.XLOOKUP(A44,'People Soft to Nessie to IRIS'!C:C,'People Soft to Nessie to IRIS'!A:A)</f>
        <v>#N/A</v>
      </c>
      <c r="K44" s="626" t="s">
        <v>2384</v>
      </c>
      <c r="L44" s="626" t="e">
        <f>VLOOKUP(A44,'BSPL Grouping'!A:D,4,FALSE)</f>
        <v>#N/A</v>
      </c>
    </row>
    <row r="45" spans="1:12">
      <c r="A45" s="632">
        <v>428611</v>
      </c>
      <c r="B45" s="633" t="s">
        <v>2844</v>
      </c>
      <c r="C45" s="634">
        <f>IFERROR(VLOOKUP(A45,'[103]TB for financial'!$A$5:$S$1092,19,FALSE),0)</f>
        <v>-32160</v>
      </c>
      <c r="F45" s="1351"/>
      <c r="G45" s="1350"/>
    </row>
    <row r="46" spans="1:12">
      <c r="A46" s="632">
        <v>428616</v>
      </c>
      <c r="B46" s="633" t="s">
        <v>2424</v>
      </c>
      <c r="C46" s="634">
        <f>IFERROR(VLOOKUP(A46,'[103]TB for financial'!$A$5:$S$1092,19,FALSE),0)</f>
        <v>-20000</v>
      </c>
      <c r="D46" s="626">
        <f>VLOOKUP(A46,'BS Gr'!A:A,1,FALSE)</f>
        <v>428616</v>
      </c>
      <c r="E46" s="626">
        <f>VLOOKUP(A46,'TB for financial'!A:A,1,0)</f>
        <v>428616</v>
      </c>
      <c r="F46" s="1351">
        <f>VLOOKUP(A46,'TB for financial'!A:D,4,FALSE)</f>
        <v>5171</v>
      </c>
      <c r="G46" s="1350">
        <f t="shared" si="0"/>
        <v>-25171</v>
      </c>
      <c r="H46" s="626" t="s">
        <v>2383</v>
      </c>
      <c r="I46" s="626" t="e">
        <f>_xlfn.XLOOKUP(A46,'People Soft to Nessie to IRIS'!C:C,'People Soft to Nessie to IRIS'!A:A)</f>
        <v>#N/A</v>
      </c>
      <c r="K46" s="626" t="s">
        <v>2384</v>
      </c>
      <c r="L46" s="626" t="e">
        <f>VLOOKUP(A46,'BSPL Grouping'!A:D,4,FALSE)</f>
        <v>#N/A</v>
      </c>
    </row>
    <row r="47" spans="1:12">
      <c r="A47" s="632">
        <v>437000</v>
      </c>
      <c r="B47" s="633" t="s">
        <v>2845</v>
      </c>
      <c r="C47" s="634">
        <f>IFERROR(VLOOKUP(A47,'[103]TB for financial'!$A$5:$S$1092,19,FALSE),0)</f>
        <v>-22701</v>
      </c>
      <c r="F47" s="1351"/>
      <c r="G47" s="1350"/>
    </row>
    <row r="48" spans="1:12">
      <c r="A48" s="632">
        <v>437200</v>
      </c>
      <c r="B48" s="633" t="s">
        <v>2426</v>
      </c>
      <c r="C48" s="634">
        <f>IFERROR(VLOOKUP(A48,'[103]TB for financial'!$A$5:$S$1092,19,FALSE),0)</f>
        <v>600</v>
      </c>
      <c r="D48" s="626">
        <f>VLOOKUP(A48,'BS Gr'!A:A,1,FALSE)</f>
        <v>437200</v>
      </c>
      <c r="E48" s="626">
        <f>VLOOKUP(A48,'TB for financial'!A:A,1,0)</f>
        <v>437200</v>
      </c>
      <c r="F48" s="1351">
        <f>VLOOKUP(A48,'TB for financial'!A:D,4,FALSE)</f>
        <v>100</v>
      </c>
      <c r="G48" s="1350">
        <f t="shared" si="0"/>
        <v>500</v>
      </c>
      <c r="H48" s="626" t="s">
        <v>2383</v>
      </c>
      <c r="I48" s="626" t="e">
        <f>_xlfn.XLOOKUP(A48,'People Soft to Nessie to IRIS'!C:C,'People Soft to Nessie to IRIS'!A:A)</f>
        <v>#N/A</v>
      </c>
      <c r="K48" s="626" t="s">
        <v>2384</v>
      </c>
      <c r="L48" s="626" t="e">
        <f>VLOOKUP(A48,'BSPL Grouping'!A:D,4,FALSE)</f>
        <v>#N/A</v>
      </c>
    </row>
    <row r="49" spans="1:12">
      <c r="A49" s="632">
        <v>437407</v>
      </c>
      <c r="B49" s="633" t="s">
        <v>1427</v>
      </c>
      <c r="C49" s="634">
        <f>IFERROR(VLOOKUP(A49,'[103]TB for financial'!$A$5:$S$1092,19,FALSE),0)</f>
        <v>15889.700000000208</v>
      </c>
      <c r="D49" s="626">
        <f>VLOOKUP(A49,'BS Gr'!A:A,1,FALSE)</f>
        <v>437407</v>
      </c>
      <c r="E49" s="626">
        <f>VLOOKUP(A49,'TB for financial'!A:A,1,0)</f>
        <v>437407</v>
      </c>
      <c r="F49" s="1351">
        <f>VLOOKUP(A49,'TB for financial'!A:D,4,FALSE)</f>
        <v>-1272.8000000007451</v>
      </c>
      <c r="G49" s="1350">
        <f t="shared" si="0"/>
        <v>17162.500000000953</v>
      </c>
      <c r="H49" s="626" t="s">
        <v>2383</v>
      </c>
      <c r="I49" s="626" t="e">
        <f>_xlfn.XLOOKUP(A49,'People Soft to Nessie to IRIS'!C:C,'People Soft to Nessie to IRIS'!A:A)</f>
        <v>#N/A</v>
      </c>
      <c r="K49" s="626" t="s">
        <v>2384</v>
      </c>
      <c r="L49" s="626" t="e">
        <f>VLOOKUP(A49,'BSPL Grouping'!A:D,4,FALSE)</f>
        <v>#N/A</v>
      </c>
    </row>
    <row r="50" spans="1:12">
      <c r="A50" s="632">
        <v>437408</v>
      </c>
      <c r="B50" s="633" t="s">
        <v>2427</v>
      </c>
      <c r="C50" s="634">
        <f>IFERROR(VLOOKUP(A50,'[103]TB for financial'!$A$5:$S$1092,19,FALSE),0)</f>
        <v>185788.77999999991</v>
      </c>
      <c r="D50" s="626">
        <f>VLOOKUP(A50,'BS Gr'!A:A,1,FALSE)</f>
        <v>437408</v>
      </c>
      <c r="E50" s="626">
        <f>VLOOKUP(A50,'TB for financial'!A:A,1,0)</f>
        <v>437408</v>
      </c>
      <c r="F50" s="1351">
        <f>VLOOKUP(A50,'TB for financial'!A:D,4,FALSE)</f>
        <v>-32162.850000000559</v>
      </c>
      <c r="G50" s="1350">
        <f t="shared" si="0"/>
        <v>217951.63000000047</v>
      </c>
      <c r="H50" s="626" t="s">
        <v>2383</v>
      </c>
      <c r="I50" s="626" t="e">
        <f>_xlfn.XLOOKUP(A50,'People Soft to Nessie to IRIS'!C:C,'People Soft to Nessie to IRIS'!A:A)</f>
        <v>#N/A</v>
      </c>
      <c r="K50" s="626" t="s">
        <v>2384</v>
      </c>
      <c r="L50" s="626" t="e">
        <f>VLOOKUP(A50,'BSPL Grouping'!A:D,4,FALSE)</f>
        <v>#N/A</v>
      </c>
    </row>
    <row r="51" spans="1:12">
      <c r="A51" s="632">
        <v>437409</v>
      </c>
      <c r="B51" s="633" t="s">
        <v>2659</v>
      </c>
      <c r="C51" s="634">
        <f>IFERROR(VLOOKUP(A51,'[103]TB for financial'!$A$5:$S$1092,19,FALSE),0)</f>
        <v>-42606.880000000005</v>
      </c>
      <c r="D51" s="626">
        <f>VLOOKUP(A51,'BS Gr'!A:A,1,FALSE)</f>
        <v>437409</v>
      </c>
      <c r="E51" s="626">
        <f>VLOOKUP(A51,'TB for financial'!A:A,1,0)</f>
        <v>437409</v>
      </c>
      <c r="F51" s="1351">
        <f>VLOOKUP(A51,'TB for financial'!A:D,4,FALSE)</f>
        <v>10600.159999999916</v>
      </c>
      <c r="G51" s="1350">
        <f t="shared" si="0"/>
        <v>-53207.039999999921</v>
      </c>
      <c r="H51" s="626" t="s">
        <v>2383</v>
      </c>
      <c r="I51" s="626" t="e">
        <f>_xlfn.XLOOKUP(A51,'People Soft to Nessie to IRIS'!C:C,'People Soft to Nessie to IRIS'!A:A)</f>
        <v>#N/A</v>
      </c>
      <c r="K51" s="626" t="s">
        <v>2384</v>
      </c>
      <c r="L51" s="626" t="e">
        <f>VLOOKUP(A51,'BSPL Grouping'!A:D,4,FALSE)</f>
        <v>#N/A</v>
      </c>
    </row>
    <row r="52" spans="1:12">
      <c r="A52" s="632">
        <v>437425</v>
      </c>
      <c r="B52" s="633" t="s">
        <v>2428</v>
      </c>
      <c r="C52" s="634">
        <f>IFERROR(VLOOKUP(A52,'[103]TB for financial'!$A$5:$S$1092,19,FALSE),0)</f>
        <v>2733.5800000000163</v>
      </c>
      <c r="D52" s="626">
        <f>VLOOKUP(A52,'BS Gr'!A:A,1,FALSE)</f>
        <v>437425</v>
      </c>
      <c r="E52" s="626">
        <f>VLOOKUP(A52,'TB for financial'!A:A,1,0)</f>
        <v>437425</v>
      </c>
      <c r="F52" s="1351">
        <f>VLOOKUP(A52,'TB for financial'!A:D,4,FALSE)</f>
        <v>9075</v>
      </c>
      <c r="G52" s="1350">
        <f t="shared" si="0"/>
        <v>-6341.4199999999837</v>
      </c>
      <c r="H52" s="626" t="s">
        <v>2383</v>
      </c>
      <c r="I52" s="626" t="e">
        <f>_xlfn.XLOOKUP(A52,'People Soft to Nessie to IRIS'!C:C,'People Soft to Nessie to IRIS'!A:A)</f>
        <v>#N/A</v>
      </c>
      <c r="K52" s="626" t="s">
        <v>2384</v>
      </c>
      <c r="L52" s="626" t="e">
        <f>VLOOKUP(A52,'BSPL Grouping'!A:D,4,FALSE)</f>
        <v>#N/A</v>
      </c>
    </row>
    <row r="53" spans="1:12">
      <c r="A53" s="632">
        <v>437427</v>
      </c>
      <c r="B53" s="633" t="s">
        <v>2429</v>
      </c>
      <c r="C53" s="634">
        <f>IFERROR(VLOOKUP(A53,'[103]TB for financial'!$A$5:$S$1092,19,FALSE),0)</f>
        <v>20</v>
      </c>
      <c r="D53" s="626">
        <f>VLOOKUP(A53,'BS Gr'!A:A,1,FALSE)</f>
        <v>437427</v>
      </c>
      <c r="E53" s="626">
        <f>VLOOKUP(A53,'TB for financial'!A:A,1,0)</f>
        <v>437427</v>
      </c>
      <c r="F53" s="1351">
        <f>VLOOKUP(A53,'TB for financial'!A:D,4,FALSE)</f>
        <v>20</v>
      </c>
      <c r="G53" s="1350">
        <f t="shared" si="0"/>
        <v>0</v>
      </c>
      <c r="H53" s="626" t="s">
        <v>2383</v>
      </c>
      <c r="I53" s="626" t="e">
        <f>_xlfn.XLOOKUP(A53,'People Soft to Nessie to IRIS'!C:C,'People Soft to Nessie to IRIS'!A:A)</f>
        <v>#N/A</v>
      </c>
      <c r="K53" s="626" t="s">
        <v>2384</v>
      </c>
      <c r="L53" s="626" t="e">
        <f>VLOOKUP(A53,'BSPL Grouping'!A:D,4,FALSE)</f>
        <v>#N/A</v>
      </c>
    </row>
    <row r="54" spans="1:12">
      <c r="A54" s="632">
        <v>437522</v>
      </c>
      <c r="B54" s="633" t="s">
        <v>2491</v>
      </c>
      <c r="C54" s="634">
        <f>IFERROR(VLOOKUP(A54,'[103]TB for financial'!$A$5:$S$1092,19,FALSE),0)</f>
        <v>0</v>
      </c>
      <c r="D54" s="626">
        <f>VLOOKUP(A54,'BS Gr'!A:A,1,FALSE)</f>
        <v>437522</v>
      </c>
      <c r="E54" s="626">
        <f>VLOOKUP(A54,'TB for financial'!A:A,1,0)</f>
        <v>437522</v>
      </c>
      <c r="F54" s="1351">
        <f>VLOOKUP(A54,'TB for financial'!A:D,4,FALSE)</f>
        <v>400</v>
      </c>
      <c r="G54" s="1350">
        <f t="shared" si="0"/>
        <v>-400</v>
      </c>
      <c r="H54" s="626" t="s">
        <v>2383</v>
      </c>
      <c r="I54" s="626" t="e">
        <f>_xlfn.XLOOKUP(A54,'People Soft to Nessie to IRIS'!C:C,'People Soft to Nessie to IRIS'!A:A)</f>
        <v>#N/A</v>
      </c>
      <c r="K54" s="626" t="s">
        <v>2384</v>
      </c>
      <c r="L54" s="626" t="e">
        <f>VLOOKUP(A54,'BSPL Grouping'!A:D,4,FALSE)</f>
        <v>#N/A</v>
      </c>
    </row>
    <row r="55" spans="1:12">
      <c r="A55" s="632">
        <v>438666</v>
      </c>
      <c r="B55" s="633" t="s">
        <v>2431</v>
      </c>
      <c r="C55" s="634">
        <f>IFERROR(VLOOKUP(A55,'[103]TB for financial'!$A$5:$S$1092,19,FALSE),0)</f>
        <v>17569</v>
      </c>
      <c r="D55" s="626">
        <f>VLOOKUP(A55,'BS Gr'!A:A,1,FALSE)</f>
        <v>438666</v>
      </c>
      <c r="E55" s="626">
        <f>VLOOKUP(A55,'TB for financial'!A:A,1,0)</f>
        <v>438666</v>
      </c>
      <c r="F55" s="1351">
        <f>VLOOKUP(A55,'TB for financial'!A:D,4,FALSE)</f>
        <v>72338</v>
      </c>
      <c r="G55" s="1350">
        <f t="shared" si="0"/>
        <v>-54769</v>
      </c>
      <c r="H55" s="626" t="s">
        <v>2383</v>
      </c>
      <c r="I55" s="626" t="e">
        <f>_xlfn.XLOOKUP(A55,'People Soft to Nessie to IRIS'!C:C,'People Soft to Nessie to IRIS'!A:A)</f>
        <v>#N/A</v>
      </c>
      <c r="K55" s="626" t="s">
        <v>2384</v>
      </c>
      <c r="L55" s="626" t="e">
        <f>VLOOKUP(A55,'BSPL Grouping'!A:D,4,FALSE)</f>
        <v>#N/A</v>
      </c>
    </row>
    <row r="56" spans="1:12">
      <c r="A56" s="632">
        <v>444000</v>
      </c>
      <c r="B56" s="633" t="s">
        <v>2432</v>
      </c>
      <c r="C56" s="634">
        <f>IFERROR(VLOOKUP(A56,'[103]TB for financial'!$A$5:$S$1092,19,FALSE),0)</f>
        <v>-595400</v>
      </c>
      <c r="D56" s="626">
        <f>VLOOKUP(A56,'BS Gr'!A:A,1,FALSE)</f>
        <v>444000</v>
      </c>
      <c r="E56" s="626">
        <f>VLOOKUP(A56,'TB for financial'!A:A,1,0)</f>
        <v>444000</v>
      </c>
      <c r="F56" s="1351">
        <f>VLOOKUP(A56,'TB for financial'!A:D,4,FALSE)</f>
        <v>0</v>
      </c>
      <c r="G56" s="1350">
        <f t="shared" si="0"/>
        <v>-595400</v>
      </c>
      <c r="H56" s="626" t="s">
        <v>2383</v>
      </c>
      <c r="I56" s="626" t="e">
        <f>_xlfn.XLOOKUP(A56,'People Soft to Nessie to IRIS'!C:C,'People Soft to Nessie to IRIS'!A:A)</f>
        <v>#N/A</v>
      </c>
      <c r="K56" s="626" t="s">
        <v>2384</v>
      </c>
      <c r="L56" s="626" t="e">
        <f>VLOOKUP(A56,'BSPL Grouping'!A:D,4,FALSE)</f>
        <v>#N/A</v>
      </c>
    </row>
    <row r="57" spans="1:12">
      <c r="A57" s="632">
        <v>444400</v>
      </c>
      <c r="B57" s="633" t="s">
        <v>2542</v>
      </c>
      <c r="C57" s="634">
        <f>IFERROR(VLOOKUP(A57,'[103]TB for financial'!$A$5:$S$1092,19,FALSE),0)</f>
        <v>-13804781.7250554</v>
      </c>
      <c r="D57" s="626">
        <f>VLOOKUP(A57,'BS Gr'!A:A,1,FALSE)</f>
        <v>444400</v>
      </c>
      <c r="E57" s="626">
        <f>VLOOKUP(A57,'TB for financial'!A:A,1,0)</f>
        <v>444400</v>
      </c>
      <c r="F57" s="1351">
        <f>VLOOKUP(A57,'TB for financial'!A:D,4,FALSE)</f>
        <v>0</v>
      </c>
      <c r="G57" s="1350">
        <f t="shared" si="0"/>
        <v>-13804781.7250554</v>
      </c>
      <c r="H57" s="626" t="s">
        <v>2383</v>
      </c>
      <c r="I57" s="626" t="e">
        <f>_xlfn.XLOOKUP(A57,'People Soft to Nessie to IRIS'!C:C,'People Soft to Nessie to IRIS'!A:A)</f>
        <v>#N/A</v>
      </c>
      <c r="K57" s="626" t="s">
        <v>2384</v>
      </c>
      <c r="L57" s="626" t="e">
        <f>VLOOKUP(A57,'BSPL Grouping'!A:D,4,FALSE)</f>
        <v>#N/A</v>
      </c>
    </row>
    <row r="58" spans="1:12">
      <c r="A58" s="632">
        <v>444410</v>
      </c>
      <c r="B58" s="633" t="s">
        <v>2543</v>
      </c>
      <c r="C58" s="634">
        <f>IFERROR(VLOOKUP(A58,'[103]TB for financial'!$A$5:$S$1092,19,FALSE),0)</f>
        <v>12501924.629999999</v>
      </c>
      <c r="D58" s="626">
        <f>VLOOKUP(A58,'BS Gr'!A:A,1,FALSE)</f>
        <v>444410</v>
      </c>
      <c r="E58" s="626">
        <f>VLOOKUP(A58,'TB for financial'!A:A,1,0)</f>
        <v>444410</v>
      </c>
      <c r="F58" s="1351">
        <f>VLOOKUP(A58,'TB for financial'!A:D,4,FALSE)</f>
        <v>0</v>
      </c>
      <c r="G58" s="1350">
        <f t="shared" si="0"/>
        <v>12501924.629999999</v>
      </c>
      <c r="H58" s="626" t="s">
        <v>2383</v>
      </c>
      <c r="I58" s="626" t="e">
        <f>_xlfn.XLOOKUP(A58,'People Soft to Nessie to IRIS'!C:C,'People Soft to Nessie to IRIS'!A:A)</f>
        <v>#N/A</v>
      </c>
      <c r="K58" s="626" t="s">
        <v>2384</v>
      </c>
      <c r="L58" s="626" t="e">
        <f>VLOOKUP(A58,'BSPL Grouping'!A:D,4,FALSE)</f>
        <v>#N/A</v>
      </c>
    </row>
    <row r="59" spans="1:12">
      <c r="A59" s="632">
        <v>444508</v>
      </c>
      <c r="B59" s="633" t="s">
        <v>2687</v>
      </c>
      <c r="C59" s="634">
        <f>IFERROR(VLOOKUP(A59,'[103]TB for financial'!$A$5:$S$1092,19,FALSE),0)</f>
        <v>2500000</v>
      </c>
      <c r="D59" s="626">
        <f>VLOOKUP(A59,'BS Gr'!A:A,1,FALSE)</f>
        <v>444508</v>
      </c>
      <c r="E59" s="626">
        <f>VLOOKUP(A59,'TB for financial'!A:A,1,0)</f>
        <v>444508</v>
      </c>
      <c r="F59" s="1351">
        <f>VLOOKUP(A59,'TB for financial'!A:D,4,FALSE)</f>
        <v>0</v>
      </c>
      <c r="G59" s="1350">
        <f t="shared" si="0"/>
        <v>2500000</v>
      </c>
      <c r="H59" s="626" t="s">
        <v>2383</v>
      </c>
      <c r="I59" s="626" t="e">
        <f>_xlfn.XLOOKUP(A59,'People Soft to Nessie to IRIS'!C:C,'People Soft to Nessie to IRIS'!A:A)</f>
        <v>#N/A</v>
      </c>
      <c r="K59" s="626" t="s">
        <v>2384</v>
      </c>
      <c r="L59" s="626" t="e">
        <f>VLOOKUP(A59,'BSPL Grouping'!A:D,4,FALSE)</f>
        <v>#N/A</v>
      </c>
    </row>
    <row r="60" spans="1:12">
      <c r="A60" s="632">
        <v>444550</v>
      </c>
      <c r="B60" s="633" t="s">
        <v>2434</v>
      </c>
      <c r="C60" s="634">
        <f>IFERROR(VLOOKUP(A60,'[103]TB for financial'!$A$5:$S$1092,19,FALSE),0)</f>
        <v>0</v>
      </c>
      <c r="D60" s="626">
        <f>VLOOKUP(A60,'BS Gr'!A:A,1,FALSE)</f>
        <v>444550</v>
      </c>
      <c r="E60" s="626">
        <f>VLOOKUP(A60,'TB for financial'!A:A,1,0)</f>
        <v>444550</v>
      </c>
      <c r="F60" s="1351">
        <f>VLOOKUP(A60,'TB for financial'!A:D,4,FALSE)</f>
        <v>0</v>
      </c>
      <c r="G60" s="1350">
        <f t="shared" si="0"/>
        <v>0</v>
      </c>
      <c r="H60" s="626" t="s">
        <v>2383</v>
      </c>
      <c r="I60" s="626" t="e">
        <f>_xlfn.XLOOKUP(A60,'People Soft to Nessie to IRIS'!C:C,'People Soft to Nessie to IRIS'!A:A)</f>
        <v>#N/A</v>
      </c>
      <c r="K60" s="626" t="s">
        <v>2384</v>
      </c>
      <c r="L60" s="626" t="e">
        <f>VLOOKUP(A60,'BSPL Grouping'!A:D,4,FALSE)</f>
        <v>#N/A</v>
      </c>
    </row>
    <row r="61" spans="1:12">
      <c r="A61" s="632">
        <v>444562</v>
      </c>
      <c r="B61" s="633" t="s">
        <v>2493</v>
      </c>
      <c r="C61" s="634">
        <f>IFERROR(VLOOKUP(A61,'[103]TB for financial'!$A$5:$S$1092,19,FALSE),0)</f>
        <v>421824.3899999999</v>
      </c>
      <c r="D61" s="626">
        <f>VLOOKUP(A61,'BS Gr'!A:A,1,FALSE)</f>
        <v>444562</v>
      </c>
      <c r="E61" s="626">
        <f>VLOOKUP(A61,'TB for financial'!A:A,1,0)</f>
        <v>444562</v>
      </c>
      <c r="F61" s="1351">
        <f>VLOOKUP(A61,'TB for financial'!A:D,4,FALSE)</f>
        <v>1105802.6499999999</v>
      </c>
      <c r="G61" s="1350">
        <f t="shared" si="0"/>
        <v>-683978.26</v>
      </c>
      <c r="H61" s="626" t="s">
        <v>2383</v>
      </c>
      <c r="I61" s="626" t="e">
        <f>_xlfn.XLOOKUP(A61,'People Soft to Nessie to IRIS'!C:C,'People Soft to Nessie to IRIS'!A:A)</f>
        <v>#N/A</v>
      </c>
      <c r="K61" s="626" t="s">
        <v>2384</v>
      </c>
      <c r="L61" s="626" t="e">
        <f>VLOOKUP(A61,'BSPL Grouping'!A:D,4,FALSE)</f>
        <v>#N/A</v>
      </c>
    </row>
    <row r="62" spans="1:12">
      <c r="A62" s="632">
        <v>444566</v>
      </c>
      <c r="B62" s="633" t="s">
        <v>2688</v>
      </c>
      <c r="C62" s="634">
        <f>IFERROR(VLOOKUP(A62,'[103]TB for financial'!$A$5:$S$1092,19,FALSE),0)</f>
        <v>0</v>
      </c>
      <c r="D62" s="626">
        <f>VLOOKUP(A62,'BS Gr'!A:A,1,FALSE)</f>
        <v>444566</v>
      </c>
      <c r="E62" s="626">
        <f>VLOOKUP(A62,'TB for financial'!A:A,1,0)</f>
        <v>444566</v>
      </c>
      <c r="F62" s="1351">
        <f>VLOOKUP(A62,'TB for financial'!A:D,4,FALSE)</f>
        <v>0</v>
      </c>
      <c r="G62" s="1350">
        <f t="shared" si="0"/>
        <v>0</v>
      </c>
      <c r="H62" s="626" t="s">
        <v>2383</v>
      </c>
      <c r="I62" s="626" t="e">
        <f>_xlfn.XLOOKUP(A62,'People Soft to Nessie to IRIS'!C:C,'People Soft to Nessie to IRIS'!A:A)</f>
        <v>#N/A</v>
      </c>
      <c r="K62" s="626" t="s">
        <v>2384</v>
      </c>
      <c r="L62" s="626" t="e">
        <f>VLOOKUP(A62,'BSPL Grouping'!A:D,4,FALSE)</f>
        <v>#N/A</v>
      </c>
    </row>
    <row r="63" spans="1:12">
      <c r="A63" s="632">
        <v>445614</v>
      </c>
      <c r="B63" s="633" t="s">
        <v>1228</v>
      </c>
      <c r="C63" s="634">
        <f>IFERROR(VLOOKUP(A63,'[103]TB for financial'!$A$5:$S$1092,19,FALSE),0)</f>
        <v>0</v>
      </c>
      <c r="D63" s="626">
        <f>VLOOKUP(A63,'BS Gr'!A:A,1,FALSE)</f>
        <v>445614</v>
      </c>
      <c r="E63" s="626">
        <f>VLOOKUP(A63,'TB for financial'!A:A,1,0)</f>
        <v>445614</v>
      </c>
      <c r="F63" s="1351">
        <f>VLOOKUP(A63,'TB for financial'!A:D,4,FALSE)</f>
        <v>0</v>
      </c>
      <c r="G63" s="1350">
        <f t="shared" si="0"/>
        <v>0</v>
      </c>
      <c r="H63" s="626" t="s">
        <v>2383</v>
      </c>
      <c r="I63" s="626" t="e">
        <f>_xlfn.XLOOKUP(A63,'People Soft to Nessie to IRIS'!C:C,'People Soft to Nessie to IRIS'!A:A)</f>
        <v>#N/A</v>
      </c>
      <c r="K63" s="626" t="s">
        <v>2384</v>
      </c>
      <c r="L63" s="626" t="e">
        <f>VLOOKUP(A63,'BSPL Grouping'!A:D,4,FALSE)</f>
        <v>#N/A</v>
      </c>
    </row>
    <row r="64" spans="1:12">
      <c r="A64" s="632">
        <v>445780</v>
      </c>
      <c r="B64" s="633" t="s">
        <v>1449</v>
      </c>
      <c r="C64" s="634">
        <f>IFERROR(VLOOKUP(A64,'[103]TB for financial'!$A$5:$S$1092,19,FALSE),0)</f>
        <v>-8722</v>
      </c>
      <c r="D64" s="626">
        <f>VLOOKUP(A64,'BS Gr'!A:A,1,FALSE)</f>
        <v>445780</v>
      </c>
      <c r="E64" s="626">
        <f>VLOOKUP(A64,'TB for financial'!A:A,1,0)</f>
        <v>445780</v>
      </c>
      <c r="F64" s="1351">
        <f>VLOOKUP(A64,'TB for financial'!A:D,4,FALSE)</f>
        <v>0</v>
      </c>
      <c r="G64" s="1350">
        <f t="shared" si="0"/>
        <v>-8722</v>
      </c>
      <c r="H64" s="626" t="s">
        <v>2383</v>
      </c>
      <c r="I64" s="626" t="e">
        <f>_xlfn.XLOOKUP(A64,'People Soft to Nessie to IRIS'!C:C,'People Soft to Nessie to IRIS'!A:A)</f>
        <v>#N/A</v>
      </c>
      <c r="K64" s="626" t="s">
        <v>2384</v>
      </c>
      <c r="L64" s="626" t="e">
        <f>VLOOKUP(A64,'BSPL Grouping'!A:D,4,FALSE)</f>
        <v>#N/A</v>
      </c>
    </row>
    <row r="65" spans="1:12">
      <c r="A65" s="632">
        <v>445882</v>
      </c>
      <c r="B65" s="633" t="s">
        <v>2436</v>
      </c>
      <c r="C65" s="634">
        <f>IFERROR(VLOOKUP(A65,'[103]TB for financial'!$A$5:$S$1092,19,FALSE),0)</f>
        <v>0</v>
      </c>
      <c r="D65" s="626">
        <f>VLOOKUP(A65,'BS Gr'!A:A,1,FALSE)</f>
        <v>445882</v>
      </c>
      <c r="E65" s="626">
        <f>VLOOKUP(A65,'TB for financial'!A:A,1,0)</f>
        <v>445882</v>
      </c>
      <c r="F65" s="1351">
        <f>VLOOKUP(A65,'TB for financial'!A:D,4,FALSE)</f>
        <v>0</v>
      </c>
      <c r="G65" s="1350">
        <f t="shared" si="0"/>
        <v>0</v>
      </c>
      <c r="H65" s="626" t="s">
        <v>2383</v>
      </c>
      <c r="I65" s="626" t="e">
        <f>_xlfn.XLOOKUP(A65,'People Soft to Nessie to IRIS'!C:C,'People Soft to Nessie to IRIS'!A:A)</f>
        <v>#N/A</v>
      </c>
      <c r="K65" s="626" t="s">
        <v>2384</v>
      </c>
      <c r="L65" s="626" t="e">
        <f>VLOOKUP(A65,'BSPL Grouping'!A:D,4,FALSE)</f>
        <v>#N/A</v>
      </c>
    </row>
    <row r="66" spans="1:12">
      <c r="A66" s="632">
        <v>445889</v>
      </c>
      <c r="B66" s="633" t="s">
        <v>2846</v>
      </c>
      <c r="C66" s="634">
        <f>IFERROR(VLOOKUP(A66,'[103]TB for financial'!$A$5:$S$1092,19,FALSE),0)</f>
        <v>3.24</v>
      </c>
      <c r="F66" s="1351"/>
      <c r="G66" s="1350"/>
    </row>
    <row r="67" spans="1:12">
      <c r="A67" s="632">
        <v>445890</v>
      </c>
      <c r="B67" s="633" t="s">
        <v>2847</v>
      </c>
      <c r="C67" s="634">
        <f>IFERROR(VLOOKUP(A67,'[103]TB for financial'!$A$5:$S$1092,19,FALSE),0)</f>
        <v>3.24</v>
      </c>
      <c r="F67" s="1351"/>
      <c r="G67" s="1350"/>
    </row>
    <row r="68" spans="1:12">
      <c r="A68" s="632">
        <v>445891</v>
      </c>
      <c r="B68" s="633" t="s">
        <v>2660</v>
      </c>
      <c r="C68" s="634">
        <f>IFERROR(VLOOKUP(A68,'[103]TB for financial'!$A$5:$S$1092,19,FALSE),0)</f>
        <v>9072</v>
      </c>
      <c r="D68" s="626">
        <f>VLOOKUP(A68,'BS Gr'!A:A,1,FALSE)</f>
        <v>445891</v>
      </c>
      <c r="E68" s="626">
        <f>VLOOKUP(A68,'TB for financial'!A:A,1,0)</f>
        <v>445891</v>
      </c>
      <c r="F68" s="1351">
        <f>VLOOKUP(A68,'TB for financial'!A:D,4,FALSE)</f>
        <v>3024</v>
      </c>
      <c r="G68" s="1350">
        <f t="shared" si="0"/>
        <v>6048</v>
      </c>
      <c r="H68" s="626" t="s">
        <v>2383</v>
      </c>
      <c r="I68" s="626" t="e">
        <f>_xlfn.XLOOKUP(A68,'People Soft to Nessie to IRIS'!C:C,'People Soft to Nessie to IRIS'!A:A)</f>
        <v>#N/A</v>
      </c>
      <c r="K68" s="626" t="s">
        <v>2384</v>
      </c>
      <c r="L68" s="626" t="e">
        <f>VLOOKUP(A68,'BSPL Grouping'!A:D,4,FALSE)</f>
        <v>#N/A</v>
      </c>
    </row>
    <row r="69" spans="1:12">
      <c r="A69" s="632">
        <v>445960</v>
      </c>
      <c r="B69" s="633" t="s">
        <v>1208</v>
      </c>
      <c r="C69" s="634">
        <f>IFERROR(VLOOKUP(A69,'[103]TB for financial'!$A$5:$S$1092,19,FALSE),0)</f>
        <v>0</v>
      </c>
      <c r="D69" s="626">
        <f>VLOOKUP(A69,'BS Gr'!A:A,1,FALSE)</f>
        <v>445960</v>
      </c>
      <c r="E69" s="626">
        <f>VLOOKUP(A69,'TB for financial'!A:A,1,0)</f>
        <v>445960</v>
      </c>
      <c r="F69" s="1351">
        <f>VLOOKUP(A69,'TB for financial'!A:D,4,FALSE)</f>
        <v>0</v>
      </c>
      <c r="G69" s="1350">
        <f t="shared" si="0"/>
        <v>0</v>
      </c>
      <c r="H69" s="626" t="s">
        <v>2383</v>
      </c>
      <c r="I69" s="626" t="e">
        <f>_xlfn.XLOOKUP(A69,'People Soft to Nessie to IRIS'!C:C,'People Soft to Nessie to IRIS'!A:A)</f>
        <v>#N/A</v>
      </c>
      <c r="K69" s="626" t="s">
        <v>2384</v>
      </c>
      <c r="L69" s="626" t="e">
        <f>VLOOKUP(A69,'BSPL Grouping'!A:D,4,FALSE)</f>
        <v>#N/A</v>
      </c>
    </row>
    <row r="70" spans="1:12">
      <c r="A70" s="632">
        <v>445970</v>
      </c>
      <c r="B70" s="633" t="s">
        <v>1207</v>
      </c>
      <c r="C70" s="634">
        <f>IFERROR(VLOOKUP(A70,'[103]TB for financial'!$A$5:$S$1092,19,FALSE),0)</f>
        <v>0</v>
      </c>
      <c r="D70" s="626">
        <f>VLOOKUP(A70,'BS Gr'!A:A,1,FALSE)</f>
        <v>445970</v>
      </c>
      <c r="E70" s="626">
        <f>VLOOKUP(A70,'TB for financial'!A:A,1,0)</f>
        <v>445970</v>
      </c>
      <c r="F70" s="1351">
        <f>VLOOKUP(A70,'TB for financial'!A:D,4,FALSE)</f>
        <v>0</v>
      </c>
      <c r="G70" s="1350">
        <f t="shared" si="0"/>
        <v>0</v>
      </c>
      <c r="H70" s="626" t="s">
        <v>2383</v>
      </c>
      <c r="I70" s="626" t="e">
        <f>_xlfn.XLOOKUP(A70,'People Soft to Nessie to IRIS'!C:C,'People Soft to Nessie to IRIS'!A:A)</f>
        <v>#N/A</v>
      </c>
      <c r="K70" s="626" t="s">
        <v>2384</v>
      </c>
      <c r="L70" s="626" t="e">
        <f>VLOOKUP(A70,'BSPL Grouping'!A:D,4,FALSE)</f>
        <v>#N/A</v>
      </c>
    </row>
    <row r="71" spans="1:12">
      <c r="A71" s="632">
        <v>445980</v>
      </c>
      <c r="B71" s="633" t="s">
        <v>1209</v>
      </c>
      <c r="C71" s="634">
        <f>IFERROR(VLOOKUP(A71,'[103]TB for financial'!$A$5:$S$1092,19,FALSE),0)</f>
        <v>0</v>
      </c>
      <c r="D71" s="626">
        <f>VLOOKUP(A71,'BS Gr'!A:A,1,FALSE)</f>
        <v>445980</v>
      </c>
      <c r="E71" s="626">
        <f>VLOOKUP(A71,'TB for financial'!A:A,1,0)</f>
        <v>445980</v>
      </c>
      <c r="F71" s="1351">
        <f>VLOOKUP(A71,'TB for financial'!A:D,4,FALSE)</f>
        <v>0</v>
      </c>
      <c r="G71" s="1350">
        <f t="shared" si="0"/>
        <v>0</v>
      </c>
      <c r="H71" s="626" t="s">
        <v>2383</v>
      </c>
      <c r="I71" s="626" t="e">
        <f>_xlfn.XLOOKUP(A71,'People Soft to Nessie to IRIS'!C:C,'People Soft to Nessie to IRIS'!A:A)</f>
        <v>#N/A</v>
      </c>
      <c r="K71" s="626" t="s">
        <v>2384</v>
      </c>
      <c r="L71" s="626" t="e">
        <f>VLOOKUP(A71,'BSPL Grouping'!A:D,4,FALSE)</f>
        <v>#N/A</v>
      </c>
    </row>
    <row r="72" spans="1:12">
      <c r="A72" s="632">
        <v>451099</v>
      </c>
      <c r="B72" s="633" t="s">
        <v>2437</v>
      </c>
      <c r="C72" s="634">
        <f>IFERROR(VLOOKUP(A72,'[103]TB for financial'!$A$5:$S$1092,19,FALSE),0)</f>
        <v>-48418.948510638322</v>
      </c>
      <c r="D72" s="626">
        <f>VLOOKUP(A72,'BS Gr'!A:A,1,FALSE)</f>
        <v>451099</v>
      </c>
      <c r="E72" s="626">
        <f>VLOOKUP(A72,'TB for financial'!A:A,1,0)</f>
        <v>451099</v>
      </c>
      <c r="F72" s="1351">
        <f>VLOOKUP(A72,'TB for financial'!A:D,4,FALSE)</f>
        <v>0</v>
      </c>
      <c r="G72" s="1350">
        <f t="shared" si="0"/>
        <v>-48418.948510638322</v>
      </c>
      <c r="H72" s="626" t="s">
        <v>2383</v>
      </c>
      <c r="I72" s="626" t="e">
        <f>_xlfn.XLOOKUP(A72,'People Soft to Nessie to IRIS'!C:C,'People Soft to Nessie to IRIS'!A:A)</f>
        <v>#N/A</v>
      </c>
      <c r="K72" s="626" t="s">
        <v>2384</v>
      </c>
      <c r="L72" s="626" t="e">
        <f>VLOOKUP(A72,'BSPL Grouping'!A:D,4,FALSE)</f>
        <v>#N/A</v>
      </c>
    </row>
    <row r="73" spans="1:12">
      <c r="A73" s="632">
        <v>451115</v>
      </c>
      <c r="B73" s="633" t="s">
        <v>2438</v>
      </c>
      <c r="C73" s="634">
        <f>IFERROR(VLOOKUP(A73,'[103]TB for financial'!$A$5:$S$1092,19,FALSE),0)</f>
        <v>0</v>
      </c>
      <c r="D73" s="626">
        <f>VLOOKUP(A73,'BS Gr'!A:A,1,FALSE)</f>
        <v>451115</v>
      </c>
      <c r="E73" s="626">
        <f>VLOOKUP(A73,'TB for financial'!A:A,1,0)</f>
        <v>451115</v>
      </c>
      <c r="F73" s="1351">
        <f>VLOOKUP(A73,'TB for financial'!A:D,4,FALSE)</f>
        <v>0</v>
      </c>
      <c r="G73" s="1350">
        <f t="shared" si="0"/>
        <v>0</v>
      </c>
      <c r="H73" s="626" t="s">
        <v>2383</v>
      </c>
      <c r="I73" s="626" t="e">
        <f>_xlfn.XLOOKUP(A73,'People Soft to Nessie to IRIS'!C:C,'People Soft to Nessie to IRIS'!A:A)</f>
        <v>#N/A</v>
      </c>
      <c r="K73" s="626" t="s">
        <v>2384</v>
      </c>
      <c r="L73" s="626" t="e">
        <f>VLOOKUP(A73,'BSPL Grouping'!A:D,4,FALSE)</f>
        <v>#N/A</v>
      </c>
    </row>
    <row r="74" spans="1:12">
      <c r="A74" s="632">
        <v>451998</v>
      </c>
      <c r="B74" s="633" t="s">
        <v>2439</v>
      </c>
      <c r="C74" s="634">
        <f>IFERROR(VLOOKUP(A74,'[103]TB for financial'!$A$5:$S$1092,19,FALSE),0)</f>
        <v>0</v>
      </c>
      <c r="D74" s="626">
        <f>VLOOKUP(A74,'BS Gr'!A:A,1,FALSE)</f>
        <v>451998</v>
      </c>
      <c r="E74" s="626">
        <f>VLOOKUP(A74,'TB for financial'!A:A,1,0)</f>
        <v>451998</v>
      </c>
      <c r="F74" s="1351">
        <f>VLOOKUP(A74,'TB for financial'!A:D,4,FALSE)</f>
        <v>0</v>
      </c>
      <c r="G74" s="1350">
        <f t="shared" ref="G74:G89" si="1">+C74-F74</f>
        <v>0</v>
      </c>
      <c r="H74" s="626" t="s">
        <v>2383</v>
      </c>
      <c r="I74" s="626" t="e">
        <f>_xlfn.XLOOKUP(A74,'People Soft to Nessie to IRIS'!C:C,'People Soft to Nessie to IRIS'!A:A)</f>
        <v>#N/A</v>
      </c>
      <c r="K74" s="626" t="s">
        <v>2384</v>
      </c>
      <c r="L74" s="626" t="e">
        <f>VLOOKUP(A74,'BSPL Grouping'!A:D,4,FALSE)</f>
        <v>#N/A</v>
      </c>
    </row>
    <row r="75" spans="1:12">
      <c r="A75" s="632">
        <v>457000</v>
      </c>
      <c r="B75" s="633" t="s">
        <v>2549</v>
      </c>
      <c r="C75" s="634">
        <f>IFERROR(VLOOKUP(A75,'[103]TB for financial'!$A$5:$S$1092,19,FALSE),0)</f>
        <v>3360</v>
      </c>
      <c r="D75" s="626">
        <f>VLOOKUP(A75,'BS Gr'!A:A,1,FALSE)</f>
        <v>457000</v>
      </c>
      <c r="E75" s="626">
        <f>VLOOKUP(A75,'TB for financial'!A:A,1,0)</f>
        <v>457000</v>
      </c>
      <c r="F75" s="1351">
        <f>VLOOKUP(A75,'TB for financial'!A:D,4,FALSE)</f>
        <v>3360</v>
      </c>
      <c r="G75" s="1350">
        <f t="shared" si="1"/>
        <v>0</v>
      </c>
      <c r="H75" s="626" t="s">
        <v>2383</v>
      </c>
      <c r="I75" s="626" t="e">
        <f>_xlfn.XLOOKUP(A75,'People Soft to Nessie to IRIS'!C:C,'People Soft to Nessie to IRIS'!A:A)</f>
        <v>#N/A</v>
      </c>
      <c r="K75" s="626" t="s">
        <v>2384</v>
      </c>
      <c r="L75" s="626" t="e">
        <f>VLOOKUP(A75,'BSPL Grouping'!A:D,4,FALSE)</f>
        <v>#N/A</v>
      </c>
    </row>
    <row r="76" spans="1:12">
      <c r="A76" s="632">
        <v>467010</v>
      </c>
      <c r="B76" s="633" t="s">
        <v>2440</v>
      </c>
      <c r="C76" s="634">
        <f>IFERROR(VLOOKUP(A76,'[103]TB for financial'!$A$5:$S$1092,19,FALSE),0)</f>
        <v>-43863</v>
      </c>
      <c r="D76" s="626">
        <f>VLOOKUP(A76,'BS Gr'!A:A,1,FALSE)</f>
        <v>467010</v>
      </c>
      <c r="E76" s="626">
        <f>VLOOKUP(A76,'TB for financial'!A:A,1,0)</f>
        <v>467010</v>
      </c>
      <c r="F76" s="1351">
        <f>VLOOKUP(A76,'TB for financial'!A:D,4,FALSE)</f>
        <v>0</v>
      </c>
      <c r="G76" s="1350">
        <f t="shared" si="1"/>
        <v>-43863</v>
      </c>
      <c r="H76" s="626" t="s">
        <v>2383</v>
      </c>
      <c r="I76" s="626" t="e">
        <f>_xlfn.XLOOKUP(A76,'People Soft to Nessie to IRIS'!C:C,'People Soft to Nessie to IRIS'!A:A)</f>
        <v>#N/A</v>
      </c>
      <c r="K76" s="626" t="s">
        <v>2384</v>
      </c>
      <c r="L76" s="626" t="e">
        <f>VLOOKUP(A76,'BSPL Grouping'!A:D,4,FALSE)</f>
        <v>#N/A</v>
      </c>
    </row>
    <row r="77" spans="1:12">
      <c r="A77" s="632">
        <v>467100</v>
      </c>
      <c r="B77" s="633" t="s">
        <v>2548</v>
      </c>
      <c r="C77" s="634">
        <f>IFERROR(VLOOKUP(A77,'[103]TB for financial'!$A$5:$S$1092,19,FALSE),0)</f>
        <v>-100000</v>
      </c>
      <c r="D77" s="626">
        <f>VLOOKUP(A77,'BS Gr'!A:A,1,FALSE)</f>
        <v>467100</v>
      </c>
      <c r="E77" s="626">
        <f>VLOOKUP(A77,'TB for financial'!A:A,1,0)</f>
        <v>467100</v>
      </c>
      <c r="F77" s="1351">
        <f>VLOOKUP(A77,'TB for financial'!A:D,4,FALSE)</f>
        <v>0</v>
      </c>
      <c r="G77" s="1350">
        <f t="shared" si="1"/>
        <v>-100000</v>
      </c>
      <c r="H77" s="626" t="s">
        <v>2383</v>
      </c>
      <c r="I77" s="626" t="e">
        <f>_xlfn.XLOOKUP(A77,'People Soft to Nessie to IRIS'!C:C,'People Soft to Nessie to IRIS'!A:A)</f>
        <v>#N/A</v>
      </c>
      <c r="K77" s="626" t="s">
        <v>2384</v>
      </c>
      <c r="L77" s="626" t="e">
        <f>VLOOKUP(A77,'BSPL Grouping'!A:D,4,FALSE)</f>
        <v>#N/A</v>
      </c>
    </row>
    <row r="78" spans="1:12">
      <c r="A78" s="632">
        <v>468701</v>
      </c>
      <c r="B78" s="633" t="s">
        <v>2441</v>
      </c>
      <c r="C78" s="634">
        <f>IFERROR(VLOOKUP(A78,'[103]TB for financial'!$A$5:$S$1092,19,FALSE),0)</f>
        <v>0</v>
      </c>
      <c r="D78" s="626">
        <f>VLOOKUP(A78,'BS Gr'!A:A,1,FALSE)</f>
        <v>468701</v>
      </c>
      <c r="E78" s="626">
        <f>VLOOKUP(A78,'TB for financial'!A:A,1,0)</f>
        <v>468701</v>
      </c>
      <c r="F78" s="1351">
        <f>VLOOKUP(A78,'TB for financial'!A:D,4,FALSE)</f>
        <v>0</v>
      </c>
      <c r="G78" s="1350">
        <f t="shared" si="1"/>
        <v>0</v>
      </c>
      <c r="H78" s="626" t="s">
        <v>2383</v>
      </c>
      <c r="I78" s="626" t="e">
        <f>_xlfn.XLOOKUP(A78,'People Soft to Nessie to IRIS'!C:C,'People Soft to Nessie to IRIS'!A:A)</f>
        <v>#N/A</v>
      </c>
      <c r="K78" s="626" t="s">
        <v>2384</v>
      </c>
      <c r="L78" s="626" t="e">
        <f>VLOOKUP(A78,'BSPL Grouping'!A:D,4,FALSE)</f>
        <v>#N/A</v>
      </c>
    </row>
    <row r="79" spans="1:12">
      <c r="A79" s="632">
        <v>486200</v>
      </c>
      <c r="B79" s="633" t="s">
        <v>2495</v>
      </c>
      <c r="C79" s="634">
        <f>IFERROR(VLOOKUP(A79,'[103]TB for financial'!$A$5:$S$1092,19,FALSE),0)</f>
        <v>-26609</v>
      </c>
      <c r="D79" s="626">
        <f>VLOOKUP(A79,'BS Gr'!A:A,1,FALSE)</f>
        <v>486200</v>
      </c>
      <c r="E79" s="626">
        <f>VLOOKUP(A79,'TB for financial'!A:A,1,0)</f>
        <v>486200</v>
      </c>
      <c r="F79" s="1351">
        <f>VLOOKUP(A79,'TB for financial'!A:D,4,FALSE)</f>
        <v>0</v>
      </c>
      <c r="G79" s="1350">
        <f t="shared" si="1"/>
        <v>-26609</v>
      </c>
      <c r="H79" s="626" t="s">
        <v>2383</v>
      </c>
      <c r="I79" s="626" t="e">
        <f>_xlfn.XLOOKUP(A79,'People Soft to Nessie to IRIS'!C:C,'People Soft to Nessie to IRIS'!A:A)</f>
        <v>#N/A</v>
      </c>
      <c r="K79" s="626" t="s">
        <v>2384</v>
      </c>
      <c r="L79" s="626" t="e">
        <f>VLOOKUP(A79,'BSPL Grouping'!A:D,4,FALSE)</f>
        <v>#N/A</v>
      </c>
    </row>
    <row r="80" spans="1:12">
      <c r="A80" s="632">
        <v>488000</v>
      </c>
      <c r="B80" s="633" t="s">
        <v>2443</v>
      </c>
      <c r="C80" s="634">
        <f>IFERROR(VLOOKUP(A80,'[103]TB for financial'!$A$5:$S$1092,19,FALSE),0)</f>
        <v>-3661502.9999999995</v>
      </c>
      <c r="D80" s="626">
        <f>VLOOKUP(A80,'BS Gr'!A:A,1,FALSE)</f>
        <v>488000</v>
      </c>
      <c r="E80" s="626">
        <f>VLOOKUP(A80,'TB for financial'!A:A,1,0)</f>
        <v>488000</v>
      </c>
      <c r="F80" s="1351">
        <f>VLOOKUP(A80,'TB for financial'!A:D,4,FALSE)</f>
        <v>-2676094</v>
      </c>
      <c r="G80" s="1350">
        <f t="shared" si="1"/>
        <v>-985408.99999999953</v>
      </c>
      <c r="H80" s="626" t="s">
        <v>2383</v>
      </c>
      <c r="I80" s="626" t="e">
        <f>_xlfn.XLOOKUP(A80,'People Soft to Nessie to IRIS'!C:C,'People Soft to Nessie to IRIS'!A:A)</f>
        <v>#N/A</v>
      </c>
      <c r="K80" s="626" t="s">
        <v>2384</v>
      </c>
      <c r="L80" s="626" t="e">
        <f>VLOOKUP(A80,'BSPL Grouping'!A:D,4,FALSE)</f>
        <v>#N/A</v>
      </c>
    </row>
    <row r="81" spans="1:12">
      <c r="A81" s="632">
        <v>488120</v>
      </c>
      <c r="B81" s="633" t="s">
        <v>2550</v>
      </c>
      <c r="C81" s="634">
        <f>IFERROR(VLOOKUP(A81,'[103]TB for financial'!$A$5:$S$1092,19,FALSE),0)</f>
        <v>2846895</v>
      </c>
      <c r="D81" s="626">
        <f>VLOOKUP(A81,'BS Gr'!A:A,1,FALSE)</f>
        <v>488120</v>
      </c>
      <c r="E81" s="626">
        <f>VLOOKUP(A81,'TB for financial'!A:A,1,0)</f>
        <v>488120</v>
      </c>
      <c r="F81" s="1351">
        <f>VLOOKUP(A81,'TB for financial'!A:D,4,FALSE)</f>
        <v>0</v>
      </c>
      <c r="G81" s="1350">
        <f t="shared" si="1"/>
        <v>2846895</v>
      </c>
      <c r="H81" s="626" t="s">
        <v>2383</v>
      </c>
      <c r="I81" s="626" t="e">
        <f>_xlfn.XLOOKUP(A81,'People Soft to Nessie to IRIS'!C:C,'People Soft to Nessie to IRIS'!A:A)</f>
        <v>#N/A</v>
      </c>
      <c r="K81" s="626" t="s">
        <v>2384</v>
      </c>
      <c r="L81" s="626" t="e">
        <f>VLOOKUP(A81,'BSPL Grouping'!A:D,4,FALSE)</f>
        <v>#N/A</v>
      </c>
    </row>
    <row r="82" spans="1:12">
      <c r="A82" s="632">
        <v>508226</v>
      </c>
      <c r="B82" s="633" t="s">
        <v>2661</v>
      </c>
      <c r="C82" s="634">
        <f>IFERROR(VLOOKUP(A82,'[103]TB for financial'!$A$5:$S$1092,19,FALSE),0)</f>
        <v>16500000</v>
      </c>
      <c r="D82" s="626">
        <f>VLOOKUP(A82,'BS Gr'!A:A,1,FALSE)</f>
        <v>508226</v>
      </c>
      <c r="E82" s="626">
        <f>VLOOKUP(A82,'TB for financial'!A:A,1,0)</f>
        <v>508226</v>
      </c>
      <c r="F82" s="1351">
        <f>VLOOKUP(A82,'TB for financial'!A:D,4,FALSE)</f>
        <v>-238700000</v>
      </c>
      <c r="G82" s="1350">
        <f t="shared" si="1"/>
        <v>255200000</v>
      </c>
      <c r="H82" s="626" t="s">
        <v>2383</v>
      </c>
      <c r="I82" s="626" t="e">
        <f>_xlfn.XLOOKUP(A82,'People Soft to Nessie to IRIS'!C:C,'People Soft to Nessie to IRIS'!A:A)</f>
        <v>#N/A</v>
      </c>
      <c r="K82" s="626" t="s">
        <v>2384</v>
      </c>
      <c r="L82" s="626" t="e">
        <f>VLOOKUP(A82,'BSPL Grouping'!A:D,4,FALSE)</f>
        <v>#N/A</v>
      </c>
    </row>
    <row r="83" spans="1:12">
      <c r="A83" s="632">
        <v>508227</v>
      </c>
      <c r="B83" s="633" t="s">
        <v>2662</v>
      </c>
      <c r="C83" s="634">
        <f>IFERROR(VLOOKUP(A83,'[103]TB for financial'!$A$5:$S$1092,19,FALSE),0)</f>
        <v>-1750000</v>
      </c>
      <c r="D83" s="626">
        <f>VLOOKUP(A83,'BS Gr'!A:A,1,FALSE)</f>
        <v>508227</v>
      </c>
      <c r="E83" s="626">
        <f>VLOOKUP(A83,'TB for financial'!A:A,1,0)</f>
        <v>508227</v>
      </c>
      <c r="F83" s="1351">
        <f>VLOOKUP(A83,'TB for financial'!A:D,4,FALSE)</f>
        <v>238750000</v>
      </c>
      <c r="G83" s="1350">
        <f t="shared" si="1"/>
        <v>-240500000</v>
      </c>
      <c r="H83" s="626" t="s">
        <v>2383</v>
      </c>
      <c r="I83" s="626" t="e">
        <f>_xlfn.XLOOKUP(A83,'People Soft to Nessie to IRIS'!C:C,'People Soft to Nessie to IRIS'!A:A)</f>
        <v>#N/A</v>
      </c>
      <c r="K83" s="626" t="s">
        <v>2384</v>
      </c>
      <c r="L83" s="626" t="e">
        <f>VLOOKUP(A83,'BSPL Grouping'!A:D,4,FALSE)</f>
        <v>#N/A</v>
      </c>
    </row>
    <row r="84" spans="1:12">
      <c r="A84" s="632">
        <v>511998</v>
      </c>
      <c r="B84" s="633" t="s">
        <v>2689</v>
      </c>
      <c r="C84" s="634">
        <f>IFERROR(VLOOKUP(A84,'[103]TB for financial'!$A$5:$S$1092,19,FALSE),0)</f>
        <v>-13702.719999999972</v>
      </c>
      <c r="D84" s="626">
        <f>VLOOKUP(A84,'BS Gr'!A:A,1,FALSE)</f>
        <v>511998</v>
      </c>
      <c r="E84" s="626">
        <f>VLOOKUP(A84,'TB for financial'!A:A,1,0)</f>
        <v>511998</v>
      </c>
      <c r="F84" s="1351">
        <f>VLOOKUP(A84,'TB for financial'!A:D,4,FALSE)</f>
        <v>-87942.840000000084</v>
      </c>
      <c r="G84" s="1350">
        <f t="shared" si="1"/>
        <v>74240.120000000112</v>
      </c>
      <c r="H84" s="626" t="s">
        <v>2383</v>
      </c>
      <c r="I84" s="626" t="e">
        <f>_xlfn.XLOOKUP(A84,'People Soft to Nessie to IRIS'!C:C,'People Soft to Nessie to IRIS'!A:A)</f>
        <v>#N/A</v>
      </c>
      <c r="K84" s="626" t="s">
        <v>2384</v>
      </c>
      <c r="L84" s="626" t="e">
        <f>VLOOKUP(A84,'BSPL Grouping'!A:D,4,FALSE)</f>
        <v>#N/A</v>
      </c>
    </row>
    <row r="85" spans="1:12">
      <c r="A85" s="632">
        <v>602050</v>
      </c>
      <c r="B85" s="633" t="s">
        <v>2848</v>
      </c>
      <c r="C85" s="634">
        <f>IFERROR(VLOOKUP(A85,'[103]TB for financial'!$A$5:$S$1092,19,FALSE),0)</f>
        <v>269840.42000000004</v>
      </c>
      <c r="F85" s="1351"/>
      <c r="G85" s="1350"/>
    </row>
    <row r="86" spans="1:12">
      <c r="A86" s="632">
        <v>604160</v>
      </c>
      <c r="B86" s="633" t="s">
        <v>2663</v>
      </c>
      <c r="C86" s="634">
        <f>IFERROR(VLOOKUP(A86,'[103]TB for financial'!$A$5:$S$1092,19,FALSE),0)</f>
        <v>3643027.1099999994</v>
      </c>
      <c r="D86" s="626">
        <f>VLOOKUP(A86,'PL Gr'!A:A,1,FALSE)</f>
        <v>604160</v>
      </c>
      <c r="E86" s="626">
        <f>VLOOKUP(A86,'TB for financial'!A:A,1,0)</f>
        <v>604160</v>
      </c>
      <c r="F86" s="1351">
        <f>VLOOKUP(A86,'TB for financial'!A:D,4,FALSE)</f>
        <v>4436913.84</v>
      </c>
      <c r="G86" s="1350">
        <f t="shared" si="1"/>
        <v>-793886.73000000045</v>
      </c>
      <c r="H86" s="626" t="s">
        <v>2383</v>
      </c>
      <c r="I86" s="626" t="e">
        <f>_xlfn.XLOOKUP(A86,'People Soft to Nessie to IRIS'!C:C,'People Soft to Nessie to IRIS'!A:A)</f>
        <v>#N/A</v>
      </c>
      <c r="K86" s="626" t="s">
        <v>2384</v>
      </c>
      <c r="L86" s="626" t="e">
        <f>VLOOKUP(A86,'BSPL Grouping'!A:D,4,FALSE)</f>
        <v>#N/A</v>
      </c>
    </row>
    <row r="87" spans="1:12">
      <c r="A87" s="632">
        <v>604230</v>
      </c>
      <c r="B87" s="633" t="s">
        <v>2664</v>
      </c>
      <c r="C87" s="634">
        <f>IFERROR(VLOOKUP(A87,'[103]TB for financial'!$A$5:$S$1092,19,FALSE),0)</f>
        <v>-6558.72</v>
      </c>
      <c r="D87" s="626">
        <f>VLOOKUP(A87,'PL Gr'!A:A,1,FALSE)</f>
        <v>604230</v>
      </c>
      <c r="E87" s="626">
        <f>VLOOKUP(A87,'TB for financial'!A:A,1,0)</f>
        <v>604230</v>
      </c>
      <c r="F87" s="1351">
        <f>VLOOKUP(A87,'TB for financial'!A:D,4,FALSE)</f>
        <v>4083.0600000000004</v>
      </c>
      <c r="G87" s="1350">
        <f t="shared" si="1"/>
        <v>-10641.78</v>
      </c>
      <c r="H87" s="626" t="s">
        <v>2383</v>
      </c>
      <c r="I87" s="626" t="e">
        <f>_xlfn.XLOOKUP(A87,'People Soft to Nessie to IRIS'!C:C,'People Soft to Nessie to IRIS'!A:A)</f>
        <v>#N/A</v>
      </c>
      <c r="K87" s="626" t="s">
        <v>2384</v>
      </c>
      <c r="L87" s="626" t="e">
        <f>VLOOKUP(A87,'BSPL Grouping'!A:D,4,FALSE)</f>
        <v>#N/A</v>
      </c>
    </row>
    <row r="88" spans="1:12">
      <c r="A88" s="632">
        <v>606130</v>
      </c>
      <c r="B88" s="633" t="s">
        <v>2497</v>
      </c>
      <c r="C88" s="634">
        <f>IFERROR(VLOOKUP(A88,'[103]TB for financial'!$A$5:$S$1092,19,FALSE),0)</f>
        <v>477215</v>
      </c>
      <c r="D88" s="626">
        <f>VLOOKUP(A88,'PL Gr'!A:A,1,FALSE)</f>
        <v>606130</v>
      </c>
      <c r="E88" s="626">
        <f>VLOOKUP(A88,'TB for financial'!A:A,1,0)</f>
        <v>606130</v>
      </c>
      <c r="F88" s="1351">
        <f>VLOOKUP(A88,'TB for financial'!A:D,4,FALSE)</f>
        <v>303534</v>
      </c>
      <c r="G88" s="1350">
        <f t="shared" si="1"/>
        <v>173681</v>
      </c>
      <c r="H88" s="626" t="s">
        <v>2383</v>
      </c>
      <c r="I88" s="626" t="e">
        <f>_xlfn.XLOOKUP(A88,'People Soft to Nessie to IRIS'!C:C,'People Soft to Nessie to IRIS'!A:A)</f>
        <v>#N/A</v>
      </c>
      <c r="K88" s="626" t="s">
        <v>2384</v>
      </c>
      <c r="L88" s="626" t="e">
        <f>VLOOKUP(A88,'BSPL Grouping'!A:D,4,FALSE)</f>
        <v>#N/A</v>
      </c>
    </row>
    <row r="89" spans="1:12">
      <c r="A89" s="632">
        <v>606300</v>
      </c>
      <c r="B89" s="633" t="s">
        <v>2665</v>
      </c>
      <c r="C89" s="634">
        <f>IFERROR(VLOOKUP(A89,'[103]TB for financial'!$A$5:$S$1092,19,FALSE),0)</f>
        <v>0</v>
      </c>
      <c r="D89" s="626">
        <f>VLOOKUP(A89,'PL Gr'!A:A,1,FALSE)</f>
        <v>606300</v>
      </c>
      <c r="E89" s="626">
        <f>VLOOKUP(A89,'TB for financial'!A:A,1,0)</f>
        <v>606300</v>
      </c>
      <c r="F89" s="1351">
        <f>VLOOKUP(A89,'TB for financial'!A:D,4,FALSE)</f>
        <v>0</v>
      </c>
      <c r="G89" s="1350">
        <f t="shared" si="1"/>
        <v>0</v>
      </c>
      <c r="H89" s="626" t="s">
        <v>2383</v>
      </c>
      <c r="I89" s="626" t="e">
        <f>_xlfn.XLOOKUP(A89,'People Soft to Nessie to IRIS'!C:C,'People Soft to Nessie to IRIS'!A:A)</f>
        <v>#N/A</v>
      </c>
      <c r="K89" s="626" t="s">
        <v>2384</v>
      </c>
      <c r="L89" s="626" t="e">
        <f>VLOOKUP(A89,'BSPL Grouping'!A:D,4,FALSE)</f>
        <v>#N/A</v>
      </c>
    </row>
    <row r="90" spans="1:12">
      <c r="A90" s="632">
        <v>613200</v>
      </c>
      <c r="B90" s="633" t="s">
        <v>2498</v>
      </c>
      <c r="C90" s="634">
        <f>IFERROR(VLOOKUP(A90,'[103]TB for financial'!$A$5:$S$1092,19,FALSE),0)</f>
        <v>3635112</v>
      </c>
      <c r="D90" s="626">
        <f>VLOOKUP(A90,'PL Gr'!A:A,1,FALSE)</f>
        <v>613200</v>
      </c>
      <c r="F90" s="1351">
        <f>VLOOKUP(A90,'TB for financial'!A:D,4,FALSE)</f>
        <v>3816912</v>
      </c>
      <c r="G90" s="1350"/>
    </row>
    <row r="91" spans="1:12">
      <c r="A91" s="632">
        <v>613207</v>
      </c>
      <c r="B91" s="633" t="s">
        <v>2554</v>
      </c>
      <c r="C91" s="634">
        <f>IFERROR(VLOOKUP(A91,'[103]TB for financial'!$A$5:$S$1092,19,FALSE),0)</f>
        <v>0</v>
      </c>
      <c r="D91" s="626">
        <f>VLOOKUP(A91,'PL Gr'!A:A,1,FALSE)</f>
        <v>613207</v>
      </c>
      <c r="E91" s="626">
        <f>VLOOKUP(A91,'TB for financial'!A:A,1,0)</f>
        <v>613207</v>
      </c>
      <c r="F91" s="1351">
        <f>VLOOKUP(A91,'TB for financial'!A:D,4,FALSE)</f>
        <v>0</v>
      </c>
      <c r="G91" s="1350">
        <f t="shared" ref="G91:G163" si="2">+C91-F91</f>
        <v>0</v>
      </c>
      <c r="H91" s="626" t="s">
        <v>2533</v>
      </c>
      <c r="I91" s="626" t="e">
        <f>_xlfn.XLOOKUP(A91,'People Soft to Nessie to IRIS'!A:A,'People Soft to Nessie to IRIS'!C:C)</f>
        <v>#N/A</v>
      </c>
      <c r="K91" s="626" t="s">
        <v>2384</v>
      </c>
      <c r="L91" s="626" t="e">
        <f>VLOOKUP(I91,'BSPL Grouping'!A:D,4,FALSE)</f>
        <v>#N/A</v>
      </c>
    </row>
    <row r="92" spans="1:12">
      <c r="A92" s="632">
        <v>615260</v>
      </c>
      <c r="B92" s="633" t="s">
        <v>2849</v>
      </c>
      <c r="C92" s="634">
        <f>IFERROR(VLOOKUP(A92,'[103]TB for financial'!$A$5:$S$1092,19,FALSE),0)</f>
        <v>1</v>
      </c>
      <c r="F92" s="1351"/>
      <c r="G92" s="1350"/>
    </row>
    <row r="93" spans="1:12">
      <c r="A93" s="632">
        <v>615290</v>
      </c>
      <c r="B93" s="633" t="s">
        <v>2499</v>
      </c>
      <c r="C93" s="634">
        <f>IFERROR(VLOOKUP(A93,'[103]TB for financial'!$A$5:$S$1092,19,FALSE),0)</f>
        <v>0</v>
      </c>
      <c r="D93" s="626">
        <f>VLOOKUP(A93,'PL Gr'!A:A,1,FALSE)</f>
        <v>615290</v>
      </c>
      <c r="E93" s="626">
        <f>VLOOKUP(A93,'TB for financial'!A:A,1,0)</f>
        <v>615290</v>
      </c>
      <c r="F93" s="1351">
        <f>VLOOKUP(A93,'TB for financial'!A:D,4,FALSE)</f>
        <v>0</v>
      </c>
      <c r="G93" s="1350">
        <f t="shared" si="2"/>
        <v>0</v>
      </c>
      <c r="H93" s="626" t="s">
        <v>2533</v>
      </c>
      <c r="I93" s="626" t="e">
        <f>_xlfn.XLOOKUP(A93,'People Soft to Nessie to IRIS'!A:A,'People Soft to Nessie to IRIS'!C:C)</f>
        <v>#N/A</v>
      </c>
      <c r="K93" s="626" t="s">
        <v>2384</v>
      </c>
      <c r="L93" s="626" t="e">
        <f>VLOOKUP(I93,'BSPL Grouping'!A:D,4,FALSE)</f>
        <v>#N/A</v>
      </c>
    </row>
    <row r="94" spans="1:12">
      <c r="A94" s="632">
        <v>615605</v>
      </c>
      <c r="B94" s="633" t="s">
        <v>2850</v>
      </c>
      <c r="C94" s="634">
        <f>IFERROR(VLOOKUP(A94,'[103]TB for financial'!$A$5:$S$1092,19,FALSE),0)</f>
        <v>-1</v>
      </c>
      <c r="F94" s="1351"/>
      <c r="G94" s="1350"/>
    </row>
    <row r="95" spans="1:12">
      <c r="A95" s="632">
        <v>616400</v>
      </c>
      <c r="B95" s="633" t="s">
        <v>2851</v>
      </c>
      <c r="C95" s="634">
        <f>IFERROR(VLOOKUP(A95,'[103]TB for financial'!$A$5:$S$1092,19,FALSE),0)</f>
        <v>211</v>
      </c>
      <c r="F95" s="1351"/>
      <c r="G95" s="1350"/>
    </row>
    <row r="96" spans="1:12">
      <c r="A96" s="632">
        <v>622500</v>
      </c>
      <c r="B96" s="633" t="s">
        <v>2690</v>
      </c>
      <c r="C96" s="634">
        <f>IFERROR(VLOOKUP(A96,'[103]TB for financial'!$A$5:$S$1092,19,FALSE),0)</f>
        <v>4835.1499999999996</v>
      </c>
      <c r="D96" s="626">
        <f>VLOOKUP(A96,'PL Gr'!A:A,1,FALSE)</f>
        <v>622500</v>
      </c>
      <c r="E96" s="626">
        <f>VLOOKUP(A96,'TB for financial'!A:A,1,0)</f>
        <v>622500</v>
      </c>
      <c r="F96" s="1351">
        <f>VLOOKUP(A96,'TB for financial'!A:D,4,FALSE)</f>
        <v>28200</v>
      </c>
      <c r="G96" s="1350">
        <f t="shared" si="2"/>
        <v>-23364.85</v>
      </c>
      <c r="H96" s="626" t="s">
        <v>2533</v>
      </c>
      <c r="I96" s="626" t="e">
        <f>_xlfn.XLOOKUP(A96,'People Soft to Nessie to IRIS'!A:A,'People Soft to Nessie to IRIS'!C:C)</f>
        <v>#N/A</v>
      </c>
      <c r="K96" s="626" t="s">
        <v>2384</v>
      </c>
      <c r="L96" s="626" t="e">
        <f>VLOOKUP(I96,'BSPL Grouping'!A:D,4,FALSE)</f>
        <v>#N/A</v>
      </c>
    </row>
    <row r="97" spans="1:12">
      <c r="A97" s="632">
        <v>622600</v>
      </c>
      <c r="B97" s="633" t="s">
        <v>2501</v>
      </c>
      <c r="C97" s="634">
        <f>IFERROR(VLOOKUP(A97,'[103]TB for financial'!$A$5:$S$1092,19,FALSE),0)</f>
        <v>222600</v>
      </c>
      <c r="D97" s="626">
        <f>VLOOKUP(A97,'PL Gr'!A:A,1,FALSE)</f>
        <v>622600</v>
      </c>
      <c r="E97" s="626">
        <f>VLOOKUP(A97,'TB for financial'!A:A,1,0)</f>
        <v>622600</v>
      </c>
      <c r="F97" s="1351">
        <f>VLOOKUP(A97,'TB for financial'!A:D,4,FALSE)</f>
        <v>307399.96000000043</v>
      </c>
      <c r="G97" s="1350">
        <f t="shared" si="2"/>
        <v>-84799.960000000428</v>
      </c>
      <c r="H97" s="626" t="s">
        <v>2533</v>
      </c>
      <c r="I97" s="626" t="e">
        <f>_xlfn.XLOOKUP(A97,'People Soft to Nessie to IRIS'!A:A,'People Soft to Nessie to IRIS'!C:C)</f>
        <v>#N/A</v>
      </c>
      <c r="K97" s="626" t="s">
        <v>2384</v>
      </c>
      <c r="L97" s="626" t="e">
        <f>VLOOKUP(I97,'BSPL Grouping'!A:D,4,FALSE)</f>
        <v>#N/A</v>
      </c>
    </row>
    <row r="98" spans="1:12">
      <c r="A98" s="632">
        <v>622800</v>
      </c>
      <c r="B98" s="633" t="s">
        <v>2502</v>
      </c>
      <c r="C98" s="634">
        <f>IFERROR(VLOOKUP(A98,'[103]TB for financial'!$A$5:$S$1092,19,FALSE),0)</f>
        <v>1160570.58</v>
      </c>
      <c r="D98" s="626">
        <f>VLOOKUP(A98,'PL Gr'!A:A,1,FALSE)</f>
        <v>622800</v>
      </c>
      <c r="E98" s="626">
        <f>VLOOKUP(A98,'TB for financial'!A:A,1,0)</f>
        <v>622800</v>
      </c>
      <c r="F98" s="1351">
        <f>VLOOKUP(A98,'TB for financial'!A:D,4,FALSE)</f>
        <v>1310998.0600000005</v>
      </c>
      <c r="G98" s="1350">
        <f t="shared" si="2"/>
        <v>-150427.48000000045</v>
      </c>
      <c r="H98" s="626" t="s">
        <v>2533</v>
      </c>
      <c r="I98" s="626" t="e">
        <f>_xlfn.XLOOKUP(A98,'People Soft to Nessie to IRIS'!A:A,'People Soft to Nessie to IRIS'!C:C)</f>
        <v>#N/A</v>
      </c>
      <c r="K98" s="626" t="s">
        <v>2384</v>
      </c>
      <c r="L98" s="626" t="e">
        <f>VLOOKUP(I98,'BSPL Grouping'!A:D,4,FALSE)</f>
        <v>#N/A</v>
      </c>
    </row>
    <row r="99" spans="1:12">
      <c r="A99" s="632">
        <v>625714</v>
      </c>
      <c r="B99" s="633" t="s">
        <v>2503</v>
      </c>
      <c r="C99" s="634">
        <f>IFERROR(VLOOKUP(A99,'[103]TB for financial'!$A$5:$S$1092,19,FALSE),0)</f>
        <v>-2200</v>
      </c>
      <c r="D99" s="626">
        <f>VLOOKUP(A99,'PL Gr'!A:A,1,FALSE)</f>
        <v>625714</v>
      </c>
      <c r="E99" s="626">
        <f>VLOOKUP(A99,'TB for financial'!A:A,1,0)</f>
        <v>625714</v>
      </c>
      <c r="F99" s="1351">
        <f>VLOOKUP(A99,'TB for financial'!A:D,4,FALSE)</f>
        <v>0</v>
      </c>
      <c r="G99" s="1350">
        <f t="shared" si="2"/>
        <v>-2200</v>
      </c>
      <c r="H99" s="626" t="s">
        <v>2533</v>
      </c>
      <c r="I99" s="626" t="e">
        <f>_xlfn.XLOOKUP(A99,'People Soft to Nessie to IRIS'!A:A,'People Soft to Nessie to IRIS'!C:C)</f>
        <v>#N/A</v>
      </c>
      <c r="K99" s="626" t="s">
        <v>2384</v>
      </c>
      <c r="L99" s="626" t="e">
        <f>VLOOKUP(I99,'BSPL Grouping'!A:D,4,FALSE)</f>
        <v>#N/A</v>
      </c>
    </row>
    <row r="100" spans="1:12">
      <c r="A100" s="632">
        <v>626424</v>
      </c>
      <c r="B100" s="633" t="s">
        <v>2504</v>
      </c>
      <c r="C100" s="634">
        <f>IFERROR(VLOOKUP(A100,'[103]TB for financial'!$A$5:$S$1092,19,FALSE),0)</f>
        <v>15000</v>
      </c>
      <c r="D100" s="626">
        <f>VLOOKUP(A100,'PL Gr'!A:A,1,FALSE)</f>
        <v>626424</v>
      </c>
      <c r="E100" s="626">
        <f>VLOOKUP(A100,'TB for financial'!A:A,1,0)</f>
        <v>626424</v>
      </c>
      <c r="F100" s="1351">
        <f>VLOOKUP(A100,'TB for financial'!A:D,4,FALSE)</f>
        <v>60000</v>
      </c>
      <c r="G100" s="1350">
        <f t="shared" si="2"/>
        <v>-45000</v>
      </c>
      <c r="H100" s="626" t="s">
        <v>2533</v>
      </c>
      <c r="I100" s="1370">
        <v>201242</v>
      </c>
      <c r="K100" s="626" t="s">
        <v>2384</v>
      </c>
      <c r="L100" s="626" t="str">
        <f>VLOOKUP(I100,'BSPL Grouping'!A:D,4,FALSE)</f>
        <v>Provision for unutilized leaves and gratuity</v>
      </c>
    </row>
    <row r="101" spans="1:12">
      <c r="A101" s="632">
        <v>627100</v>
      </c>
      <c r="B101" s="633" t="s">
        <v>2505</v>
      </c>
      <c r="C101" s="634">
        <f>IFERROR(VLOOKUP(A101,'[103]TB for financial'!$A$5:$S$1092,19,FALSE),0)</f>
        <v>141058</v>
      </c>
      <c r="D101" s="626">
        <f>VLOOKUP(A101,'PL Gr'!A:A,1,FALSE)</f>
        <v>627100</v>
      </c>
      <c r="E101" s="626">
        <f>VLOOKUP(A101,'TB for financial'!A:A,1,0)</f>
        <v>627100</v>
      </c>
      <c r="F101" s="1351">
        <f>VLOOKUP(A101,'TB for financial'!A:D,4,FALSE)</f>
        <v>27779.320000000007</v>
      </c>
      <c r="G101" s="1350">
        <f t="shared" si="2"/>
        <v>113278.68</v>
      </c>
      <c r="H101" s="626" t="s">
        <v>2533</v>
      </c>
      <c r="I101" s="626" t="e">
        <f>_xlfn.XLOOKUP(A101,'People Soft to Nessie to IRIS'!A:A,'People Soft to Nessie to IRIS'!C:C)</f>
        <v>#N/A</v>
      </c>
      <c r="K101" s="626" t="s">
        <v>2384</v>
      </c>
      <c r="L101" s="626" t="e">
        <f>VLOOKUP(I101,'BSPL Grouping'!A:D,4,FALSE)</f>
        <v>#N/A</v>
      </c>
    </row>
    <row r="102" spans="1:12">
      <c r="A102" s="632">
        <v>627800</v>
      </c>
      <c r="B102" s="633" t="s">
        <v>2666</v>
      </c>
      <c r="C102" s="634">
        <f>IFERROR(VLOOKUP(A102,'[103]TB for financial'!$A$5:$S$1092,19,FALSE),0)</f>
        <v>4528.03</v>
      </c>
      <c r="D102" s="626">
        <f>VLOOKUP(A102,'PL Gr'!A:A,1,FALSE)</f>
        <v>627800</v>
      </c>
      <c r="E102" s="626">
        <f>VLOOKUP(A102,'TB for financial'!A:A,1,0)</f>
        <v>627800</v>
      </c>
      <c r="F102" s="1351">
        <f>VLOOKUP(A102,'TB for financial'!A:D,4,FALSE)</f>
        <v>2245.5900000000006</v>
      </c>
      <c r="G102" s="1350">
        <f t="shared" si="2"/>
        <v>2282.4399999999991</v>
      </c>
      <c r="H102" s="626" t="s">
        <v>2533</v>
      </c>
      <c r="I102" s="626" t="e">
        <f>_xlfn.XLOOKUP(A102,'People Soft to Nessie to IRIS'!A:A,'People Soft to Nessie to IRIS'!C:C)</f>
        <v>#N/A</v>
      </c>
      <c r="K102" s="626" t="s">
        <v>2384</v>
      </c>
      <c r="L102" s="626" t="e">
        <f>VLOOKUP(I102,'BSPL Grouping'!A:D,4,FALSE)</f>
        <v>#N/A</v>
      </c>
    </row>
    <row r="103" spans="1:12">
      <c r="A103" s="632">
        <v>633300</v>
      </c>
      <c r="B103" s="633" t="s">
        <v>2667</v>
      </c>
      <c r="C103" s="634">
        <f>IFERROR(VLOOKUP(A103,'[103]TB for financial'!$A$5:$S$1092,19,FALSE),0)</f>
        <v>0</v>
      </c>
      <c r="D103" s="626">
        <f>VLOOKUP(A103,'PL Gr'!A:A,1,FALSE)</f>
        <v>633300</v>
      </c>
      <c r="E103" s="626">
        <f>VLOOKUP(A103,'TB for financial'!A:A,1,0)</f>
        <v>633300</v>
      </c>
      <c r="F103" s="1351">
        <f>VLOOKUP(A103,'TB for financial'!A:D,4,FALSE)</f>
        <v>0</v>
      </c>
      <c r="G103" s="1350">
        <f t="shared" si="2"/>
        <v>0</v>
      </c>
      <c r="H103" s="626" t="s">
        <v>2533</v>
      </c>
      <c r="I103" s="626" t="e">
        <f>_xlfn.XLOOKUP(A103,'People Soft to Nessie to IRIS'!A:A,'People Soft to Nessie to IRIS'!C:C)</f>
        <v>#N/A</v>
      </c>
      <c r="K103" s="626" t="s">
        <v>2384</v>
      </c>
      <c r="L103" s="626" t="e">
        <f>VLOOKUP(I103,'BSPL Grouping'!A:D,4,FALSE)</f>
        <v>#N/A</v>
      </c>
    </row>
    <row r="104" spans="1:12">
      <c r="A104" s="632">
        <v>635130</v>
      </c>
      <c r="B104" s="633" t="s">
        <v>2607</v>
      </c>
      <c r="C104" s="634">
        <f>IFERROR(VLOOKUP(A104,'[103]TB for financial'!$A$5:$S$1092,19,FALSE),0)</f>
        <v>8722</v>
      </c>
      <c r="D104" s="626">
        <f>VLOOKUP(A104,'PL Gr'!A:A,1,FALSE)</f>
        <v>635130</v>
      </c>
      <c r="E104" s="626">
        <f>VLOOKUP(A104,'TB for financial'!A:A,1,0)</f>
        <v>635130</v>
      </c>
      <c r="F104" s="1351">
        <f>VLOOKUP(A104,'TB for financial'!A:D,4,FALSE)</f>
        <v>14000</v>
      </c>
      <c r="G104" s="1350">
        <f t="shared" si="2"/>
        <v>-5278</v>
      </c>
      <c r="H104" s="626" t="s">
        <v>2533</v>
      </c>
      <c r="I104" s="626" t="e">
        <f>_xlfn.XLOOKUP(A104,'People Soft to Nessie to IRIS'!A:A,'People Soft to Nessie to IRIS'!C:C)</f>
        <v>#N/A</v>
      </c>
      <c r="K104" s="626" t="s">
        <v>2384</v>
      </c>
      <c r="L104" s="626" t="e">
        <f>VLOOKUP(I104,'BSPL Grouping'!A:D,4,FALSE)</f>
        <v>#N/A</v>
      </c>
    </row>
    <row r="105" spans="1:12">
      <c r="A105" s="632">
        <v>637803</v>
      </c>
      <c r="B105" s="633" t="s">
        <v>2558</v>
      </c>
      <c r="C105" s="634">
        <f>IFERROR(VLOOKUP(A105,'[103]TB for financial'!$A$5:$S$1092,19,FALSE),0)</f>
        <v>0</v>
      </c>
      <c r="D105" s="626">
        <f>VLOOKUP(A105,'PL Gr'!A:A,1,FALSE)</f>
        <v>637803</v>
      </c>
      <c r="E105" s="626">
        <f>VLOOKUP(A105,'TB for financial'!A:A,1,0)</f>
        <v>637803</v>
      </c>
      <c r="F105" s="1351">
        <f>VLOOKUP(A105,'TB for financial'!A:D,4,FALSE)</f>
        <v>0</v>
      </c>
      <c r="G105" s="1350">
        <f t="shared" si="2"/>
        <v>0</v>
      </c>
      <c r="H105" s="626" t="s">
        <v>2533</v>
      </c>
      <c r="I105" s="626" t="e">
        <f>_xlfn.XLOOKUP(A105,'People Soft to Nessie to IRIS'!A:A,'People Soft to Nessie to IRIS'!C:C)</f>
        <v>#N/A</v>
      </c>
      <c r="K105" s="626" t="s">
        <v>2384</v>
      </c>
      <c r="L105" s="626" t="e">
        <f>VLOOKUP(I105,'BSPL Grouping'!A:D,4,FALSE)</f>
        <v>#N/A</v>
      </c>
    </row>
    <row r="106" spans="1:12">
      <c r="A106" s="632">
        <v>641100</v>
      </c>
      <c r="B106" s="633" t="s">
        <v>2506</v>
      </c>
      <c r="C106" s="634">
        <f>IFERROR(VLOOKUP(A106,'[103]TB for financial'!$A$5:$S$1092,19,FALSE),0)</f>
        <v>836707</v>
      </c>
      <c r="D106" s="626">
        <f>VLOOKUP(A106,'PL Gr'!A:A,1,FALSE)</f>
        <v>641100</v>
      </c>
      <c r="E106" s="626">
        <f>VLOOKUP(A106,'TB for financial'!A:A,1,0)</f>
        <v>641100</v>
      </c>
      <c r="F106" s="1351">
        <f>VLOOKUP(A106,'TB for financial'!A:D,4,FALSE)</f>
        <v>2194721</v>
      </c>
      <c r="G106" s="1350">
        <f t="shared" si="2"/>
        <v>-1358014</v>
      </c>
      <c r="H106" s="626" t="s">
        <v>2533</v>
      </c>
      <c r="I106" s="626" t="e">
        <f>_xlfn.XLOOKUP(A106,'People Soft to Nessie to IRIS'!A:A,'People Soft to Nessie to IRIS'!C:C)</f>
        <v>#N/A</v>
      </c>
      <c r="K106" s="626" t="s">
        <v>2384</v>
      </c>
      <c r="L106" s="626" t="e">
        <f>VLOOKUP(I106,'BSPL Grouping'!A:D,4,FALSE)</f>
        <v>#N/A</v>
      </c>
    </row>
    <row r="107" spans="1:12">
      <c r="A107" s="632">
        <v>641111</v>
      </c>
      <c r="B107" s="633" t="s">
        <v>2852</v>
      </c>
      <c r="C107" s="634">
        <f>IFERROR(VLOOKUP(A107,'[103]TB for financial'!$A$5:$S$1092,19,FALSE),0)</f>
        <v>4250</v>
      </c>
      <c r="F107" s="1351"/>
      <c r="G107" s="1350"/>
    </row>
    <row r="108" spans="1:12">
      <c r="A108" s="632">
        <v>641203</v>
      </c>
      <c r="B108" s="633" t="s">
        <v>2507</v>
      </c>
      <c r="C108" s="634">
        <f>IFERROR(VLOOKUP(A108,'[103]TB for financial'!$A$5:$S$1092,19,FALSE),0)</f>
        <v>71073</v>
      </c>
      <c r="D108" s="626">
        <f>VLOOKUP(A108,'PL Gr'!A:A,1,FALSE)</f>
        <v>641203</v>
      </c>
      <c r="E108" s="626">
        <f>VLOOKUP(A108,'TB for financial'!A:A,1,0)</f>
        <v>641203</v>
      </c>
      <c r="F108" s="1351">
        <f>VLOOKUP(A108,'TB for financial'!A:D,4,FALSE)</f>
        <v>27812</v>
      </c>
      <c r="G108" s="1350">
        <f t="shared" si="2"/>
        <v>43261</v>
      </c>
      <c r="H108" s="626" t="s">
        <v>2533</v>
      </c>
      <c r="I108" s="626" t="e">
        <f>_xlfn.XLOOKUP(A108,'People Soft to Nessie to IRIS'!A:A,'People Soft to Nessie to IRIS'!C:C)</f>
        <v>#N/A</v>
      </c>
      <c r="K108" s="626" t="s">
        <v>2384</v>
      </c>
      <c r="L108" s="626" t="e">
        <f>VLOOKUP(I108,'BSPL Grouping'!A:D,4,FALSE)</f>
        <v>#N/A</v>
      </c>
    </row>
    <row r="109" spans="1:12">
      <c r="A109" s="632">
        <v>641300</v>
      </c>
      <c r="B109" s="633" t="s">
        <v>2508</v>
      </c>
      <c r="C109" s="634">
        <f>IFERROR(VLOOKUP(A109,'[103]TB for financial'!$A$5:$S$1092,19,FALSE),0)</f>
        <v>564606</v>
      </c>
      <c r="D109" s="626">
        <f>VLOOKUP(A109,'PL Gr'!A:A,1,FALSE)</f>
        <v>641300</v>
      </c>
      <c r="E109" s="626">
        <f>VLOOKUP(A109,'TB for financial'!A:A,1,0)</f>
        <v>641300</v>
      </c>
      <c r="F109" s="1351">
        <f>VLOOKUP(A109,'TB for financial'!A:D,4,FALSE)</f>
        <v>309770.28999999998</v>
      </c>
      <c r="G109" s="1350">
        <f t="shared" si="2"/>
        <v>254835.71000000002</v>
      </c>
      <c r="H109" s="626" t="s">
        <v>2533</v>
      </c>
      <c r="I109" s="626" t="e">
        <f>_xlfn.XLOOKUP(A109,'People Soft to Nessie to IRIS'!A:A,'People Soft to Nessie to IRIS'!C:C)</f>
        <v>#N/A</v>
      </c>
      <c r="K109" s="626" t="s">
        <v>2384</v>
      </c>
      <c r="L109" s="626" t="e">
        <f>VLOOKUP(I109,'BSPL Grouping'!A:D,4,FALSE)</f>
        <v>#N/A</v>
      </c>
    </row>
    <row r="110" spans="1:12">
      <c r="A110" s="632">
        <v>641310</v>
      </c>
      <c r="B110" s="633" t="s">
        <v>2509</v>
      </c>
      <c r="C110" s="634">
        <f>IFERROR(VLOOKUP(A110,'[103]TB for financial'!$A$5:$S$1092,19,FALSE),0)</f>
        <v>0</v>
      </c>
      <c r="D110" s="626">
        <f>VLOOKUP(A110,'PL Gr'!A:A,1,FALSE)</f>
        <v>641310</v>
      </c>
      <c r="E110" s="626">
        <f>VLOOKUP(A110,'TB for financial'!A:A,1,0)</f>
        <v>641310</v>
      </c>
      <c r="F110" s="1351">
        <f>VLOOKUP(A110,'TB for financial'!A:D,4,FALSE)</f>
        <v>0</v>
      </c>
      <c r="G110" s="1350">
        <f t="shared" si="2"/>
        <v>0</v>
      </c>
      <c r="H110" s="626" t="s">
        <v>2533</v>
      </c>
      <c r="I110" s="626" t="e">
        <f>_xlfn.XLOOKUP(A110,'People Soft to Nessie to IRIS'!A:A,'People Soft to Nessie to IRIS'!C:C)</f>
        <v>#N/A</v>
      </c>
      <c r="K110" s="626" t="s">
        <v>2384</v>
      </c>
      <c r="L110" s="626" t="e">
        <f>VLOOKUP(I110,'BSPL Grouping'!A:D,4,FALSE)</f>
        <v>#N/A</v>
      </c>
    </row>
    <row r="111" spans="1:12">
      <c r="A111" s="632">
        <v>641404</v>
      </c>
      <c r="B111" s="633" t="s">
        <v>2853</v>
      </c>
      <c r="C111" s="634">
        <f>IFERROR(VLOOKUP(A111,'[103]TB for financial'!$A$5:$S$1092,19,FALSE),0)</f>
        <v>61908</v>
      </c>
      <c r="F111" s="1351"/>
      <c r="G111" s="1350"/>
    </row>
    <row r="112" spans="1:12">
      <c r="A112" s="632">
        <v>641702</v>
      </c>
      <c r="B112" s="633" t="s">
        <v>2510</v>
      </c>
      <c r="C112" s="634">
        <f>IFERROR(VLOOKUP(A112,'[103]TB for financial'!$A$5:$S$1092,19,FALSE),0)</f>
        <v>6534241</v>
      </c>
      <c r="D112" s="626">
        <f>VLOOKUP(A112,'PL Gr'!A:A,1,FALSE)</f>
        <v>641702</v>
      </c>
      <c r="E112" s="626">
        <f>VLOOKUP(A112,'TB for financial'!A:A,1,0)</f>
        <v>641702</v>
      </c>
      <c r="F112" s="1351">
        <f>VLOOKUP(A112,'TB for financial'!A:D,4,FALSE)</f>
        <v>3461072</v>
      </c>
      <c r="G112" s="1350">
        <f t="shared" si="2"/>
        <v>3073169</v>
      </c>
      <c r="H112" s="626" t="s">
        <v>2533</v>
      </c>
      <c r="I112" s="626" t="e">
        <f>_xlfn.XLOOKUP(A112,'People Soft to Nessie to IRIS'!A:A,'People Soft to Nessie to IRIS'!C:C)</f>
        <v>#N/A</v>
      </c>
      <c r="K112" s="626" t="s">
        <v>2384</v>
      </c>
      <c r="L112" s="626" t="e">
        <f>VLOOKUP(I112,'BSPL Grouping'!A:D,4,FALSE)</f>
        <v>#N/A</v>
      </c>
    </row>
    <row r="113" spans="1:12">
      <c r="A113" s="632">
        <v>641704</v>
      </c>
      <c r="B113" s="633" t="s">
        <v>2668</v>
      </c>
      <c r="C113" s="634">
        <f>IFERROR(VLOOKUP(A113,'[103]TB for financial'!$A$5:$S$1092,19,FALSE),0)</f>
        <v>18750</v>
      </c>
      <c r="D113" s="626">
        <f>VLOOKUP(A113,'PL Gr'!A:A,1,FALSE)</f>
        <v>641704</v>
      </c>
      <c r="E113" s="626">
        <f>VLOOKUP(A113,'TB for financial'!A:A,1,0)</f>
        <v>641704</v>
      </c>
      <c r="F113" s="1351">
        <f>VLOOKUP(A113,'TB for financial'!A:D,4,FALSE)</f>
        <v>6250</v>
      </c>
      <c r="G113" s="1350">
        <f t="shared" si="2"/>
        <v>12500</v>
      </c>
      <c r="H113" s="626" t="s">
        <v>2533</v>
      </c>
      <c r="I113" s="626" t="e">
        <f>_xlfn.XLOOKUP(A113,'People Soft to Nessie to IRIS'!A:A,'People Soft to Nessie to IRIS'!C:C)</f>
        <v>#N/A</v>
      </c>
      <c r="K113" s="626" t="s">
        <v>2384</v>
      </c>
      <c r="L113" s="626" t="e">
        <f>VLOOKUP(I113,'BSPL Grouping'!A:D,4,FALSE)</f>
        <v>#N/A</v>
      </c>
    </row>
    <row r="114" spans="1:12">
      <c r="A114" s="632">
        <v>641711</v>
      </c>
      <c r="B114" s="633" t="s">
        <v>156</v>
      </c>
      <c r="C114" s="634">
        <f>IFERROR(VLOOKUP(A114,'[103]TB for financial'!$A$5:$S$1092,19,FALSE),0)</f>
        <v>213589</v>
      </c>
      <c r="D114" s="626">
        <f>VLOOKUP(A114,'PL Gr'!A:A,1,FALSE)</f>
        <v>641711</v>
      </c>
      <c r="E114" s="626">
        <f>VLOOKUP(A114,'TB for financial'!A:A,1,0)</f>
        <v>641711</v>
      </c>
      <c r="F114" s="1351">
        <f>VLOOKUP(A114,'TB for financial'!A:D,4,FALSE)</f>
        <v>45374</v>
      </c>
      <c r="G114" s="1350">
        <f t="shared" si="2"/>
        <v>168215</v>
      </c>
      <c r="H114" s="626" t="s">
        <v>2533</v>
      </c>
      <c r="I114" s="626" t="e">
        <f>_xlfn.XLOOKUP(A114,'People Soft to Nessie to IRIS'!A:A,'People Soft to Nessie to IRIS'!C:C)</f>
        <v>#N/A</v>
      </c>
      <c r="K114" s="626" t="s">
        <v>2384</v>
      </c>
      <c r="L114" s="626" t="e">
        <f>VLOOKUP(I114,'BSPL Grouping'!A:D,4,FALSE)</f>
        <v>#N/A</v>
      </c>
    </row>
    <row r="115" spans="1:12">
      <c r="A115" s="632">
        <v>641713</v>
      </c>
      <c r="B115" s="633" t="s">
        <v>2511</v>
      </c>
      <c r="C115" s="634">
        <f>IFERROR(VLOOKUP(A115,'[103]TB for financial'!$A$5:$S$1092,19,FALSE),0)</f>
        <v>132173</v>
      </c>
      <c r="D115" s="626">
        <f>VLOOKUP(A115,'PL Gr'!A:A,1,FALSE)</f>
        <v>641713</v>
      </c>
      <c r="E115" s="626">
        <f>VLOOKUP(A115,'TB for financial'!A:A,1,0)</f>
        <v>641713</v>
      </c>
      <c r="F115" s="1351">
        <f>VLOOKUP(A115,'TB for financial'!A:D,4,FALSE)</f>
        <v>102600</v>
      </c>
      <c r="G115" s="1350">
        <f t="shared" si="2"/>
        <v>29573</v>
      </c>
      <c r="H115" s="626" t="s">
        <v>2533</v>
      </c>
      <c r="I115" s="626" t="e">
        <f>_xlfn.XLOOKUP(A115,'People Soft to Nessie to IRIS'!A:A,'People Soft to Nessie to IRIS'!C:C)</f>
        <v>#N/A</v>
      </c>
      <c r="K115" s="626" t="s">
        <v>2384</v>
      </c>
      <c r="L115" s="626" t="e">
        <f>VLOOKUP(I115,'BSPL Grouping'!A:D,4,FALSE)</f>
        <v>#N/A</v>
      </c>
    </row>
    <row r="116" spans="1:12">
      <c r="A116" s="632">
        <v>641716</v>
      </c>
      <c r="B116" s="633" t="s">
        <v>2512</v>
      </c>
      <c r="C116" s="634">
        <f>IFERROR(VLOOKUP(A116,'[103]TB for financial'!$A$5:$S$1092,19,FALSE),0)</f>
        <v>5576.21</v>
      </c>
      <c r="D116" s="626">
        <f>VLOOKUP(A116,'PL Gr'!A:A,1,FALSE)</f>
        <v>641716</v>
      </c>
      <c r="E116" s="626">
        <f>VLOOKUP(A116,'TB for financial'!A:A,1,0)</f>
        <v>641716</v>
      </c>
      <c r="F116" s="1351">
        <f>VLOOKUP(A116,'TB for financial'!A:D,4,FALSE)</f>
        <v>4725</v>
      </c>
      <c r="G116" s="1350">
        <f t="shared" si="2"/>
        <v>851.21</v>
      </c>
      <c r="H116" s="626" t="s">
        <v>2533</v>
      </c>
      <c r="I116" s="626">
        <v>205040</v>
      </c>
      <c r="K116" s="626" t="s">
        <v>2384</v>
      </c>
      <c r="L116" s="626" t="str">
        <f>VLOOKUP(I116,'BSPL Grouping'!A:D,4,FALSE)</f>
        <v>Sundry Creditors</v>
      </c>
    </row>
    <row r="117" spans="1:12">
      <c r="A117" s="632">
        <v>641721</v>
      </c>
      <c r="B117" s="633" t="s">
        <v>2513</v>
      </c>
      <c r="C117" s="634">
        <f>IFERROR(VLOOKUP(A117,'[103]TB for financial'!$A$5:$S$1092,19,FALSE),0)</f>
        <v>5400</v>
      </c>
      <c r="D117" s="626">
        <f>VLOOKUP(A117,'PL Gr'!A:A,1,FALSE)</f>
        <v>641721</v>
      </c>
      <c r="E117" s="626">
        <f>VLOOKUP(A117,'TB for financial'!A:A,1,0)</f>
        <v>641721</v>
      </c>
      <c r="F117" s="1351">
        <f>VLOOKUP(A117,'TB for financial'!A:D,4,FALSE)</f>
        <v>21600</v>
      </c>
      <c r="G117" s="1350">
        <f t="shared" si="2"/>
        <v>-16200</v>
      </c>
      <c r="H117" s="626" t="s">
        <v>2533</v>
      </c>
      <c r="I117" s="626" t="e">
        <f>_xlfn.XLOOKUP(A117,'People Soft to Nessie to IRIS'!A:A,'People Soft to Nessie to IRIS'!C:C)</f>
        <v>#N/A</v>
      </c>
      <c r="K117" s="626" t="s">
        <v>2384</v>
      </c>
      <c r="L117" s="626" t="e">
        <f>VLOOKUP(I117,'BSPL Grouping'!A:D,4,FALSE)</f>
        <v>#N/A</v>
      </c>
    </row>
    <row r="118" spans="1:12">
      <c r="A118" s="632">
        <v>641722</v>
      </c>
      <c r="B118" s="633" t="s">
        <v>2514</v>
      </c>
      <c r="C118" s="634">
        <f>IFERROR(VLOOKUP(A118,'[103]TB for financial'!$A$5:$S$1092,19,FALSE),0)</f>
        <v>2700</v>
      </c>
      <c r="D118" s="626">
        <f>VLOOKUP(A118,'PL Gr'!A:A,1,FALSE)</f>
        <v>641722</v>
      </c>
      <c r="E118" s="626">
        <f>VLOOKUP(A118,'TB for financial'!A:A,1,0)</f>
        <v>641722</v>
      </c>
      <c r="F118" s="1351">
        <f>VLOOKUP(A118,'TB for financial'!A:D,4,FALSE)</f>
        <v>10800</v>
      </c>
      <c r="G118" s="1350">
        <f t="shared" si="2"/>
        <v>-8100</v>
      </c>
      <c r="H118" s="626" t="s">
        <v>2533</v>
      </c>
      <c r="I118" s="626" t="e">
        <f>_xlfn.XLOOKUP(A118,'People Soft to Nessie to IRIS'!A:A,'People Soft to Nessie to IRIS'!C:C)</f>
        <v>#N/A</v>
      </c>
      <c r="K118" s="626" t="s">
        <v>2384</v>
      </c>
      <c r="L118" s="626" t="e">
        <f>VLOOKUP(I118,'BSPL Grouping'!A:D,4,FALSE)</f>
        <v>#N/A</v>
      </c>
    </row>
    <row r="119" spans="1:12">
      <c r="A119" s="632">
        <v>645004</v>
      </c>
      <c r="B119" s="633" t="s">
        <v>2515</v>
      </c>
      <c r="C119" s="634">
        <f>IFERROR(VLOOKUP(A119,'[103]TB for financial'!$A$5:$S$1092,19,FALSE),0)</f>
        <v>55108</v>
      </c>
      <c r="D119" s="626">
        <f>VLOOKUP(A119,'PL Gr'!A:A,1,FALSE)</f>
        <v>645004</v>
      </c>
      <c r="E119" s="626">
        <f>VLOOKUP(A119,'TB for financial'!A:A,1,0)</f>
        <v>645004</v>
      </c>
      <c r="F119" s="1351">
        <f>VLOOKUP(A119,'TB for financial'!A:D,4,FALSE)</f>
        <v>238810.19999999995</v>
      </c>
      <c r="G119" s="1350">
        <f t="shared" si="2"/>
        <v>-183702.19999999995</v>
      </c>
      <c r="H119" s="626" t="s">
        <v>2533</v>
      </c>
      <c r="I119" s="626" t="e">
        <f>_xlfn.XLOOKUP(A119,'People Soft to Nessie to IRIS'!A:A,'People Soft to Nessie to IRIS'!C:C)</f>
        <v>#N/A</v>
      </c>
      <c r="K119" s="626" t="s">
        <v>2384</v>
      </c>
      <c r="L119" s="626" t="e">
        <f>VLOOKUP(I119,'BSPL Grouping'!A:D,4,FALSE)</f>
        <v>#N/A</v>
      </c>
    </row>
    <row r="120" spans="1:12">
      <c r="A120" s="632">
        <v>645643</v>
      </c>
      <c r="B120" s="633" t="s">
        <v>2516</v>
      </c>
      <c r="C120" s="634">
        <f>IFERROR(VLOOKUP(A120,'[103]TB for financial'!$A$5:$S$1092,19,FALSE),0)</f>
        <v>5507.21</v>
      </c>
      <c r="D120" s="626">
        <f>VLOOKUP(A120,'PL Gr'!A:A,1,FALSE)</f>
        <v>645643</v>
      </c>
      <c r="E120" s="626">
        <f>VLOOKUP(A120,'TB for financial'!A:A,1,0)</f>
        <v>645643</v>
      </c>
      <c r="F120" s="1351">
        <f>VLOOKUP(A120,'TB for financial'!A:D,4,FALSE)</f>
        <v>4275</v>
      </c>
      <c r="G120" s="1350">
        <f t="shared" si="2"/>
        <v>1232.21</v>
      </c>
      <c r="H120" s="626" t="s">
        <v>2533</v>
      </c>
      <c r="I120" s="626" t="e">
        <f>_xlfn.XLOOKUP(A120,'People Soft to Nessie to IRIS'!A:A,'People Soft to Nessie to IRIS'!C:C)</f>
        <v>#N/A</v>
      </c>
      <c r="K120" s="626" t="s">
        <v>2384</v>
      </c>
      <c r="L120" s="626" t="e">
        <f>VLOOKUP(I120,'BSPL Grouping'!A:D,4,FALSE)</f>
        <v>#N/A</v>
      </c>
    </row>
    <row r="121" spans="1:12">
      <c r="A121" s="632">
        <v>645700</v>
      </c>
      <c r="B121" s="633" t="s">
        <v>2669</v>
      </c>
      <c r="C121" s="634">
        <f>IFERROR(VLOOKUP(A121,'[103]TB for financial'!$A$5:$S$1092,19,FALSE),0)</f>
        <v>0</v>
      </c>
      <c r="D121" s="626">
        <f>VLOOKUP(A121,'PL Gr'!A:A,1,FALSE)</f>
        <v>645700</v>
      </c>
      <c r="E121" s="626">
        <f>VLOOKUP(A121,'TB for financial'!A:A,1,0)</f>
        <v>645700</v>
      </c>
      <c r="F121" s="1351">
        <f>VLOOKUP(A121,'TB for financial'!A:D,4,FALSE)</f>
        <v>195323</v>
      </c>
      <c r="G121" s="1350">
        <f t="shared" si="2"/>
        <v>-195323</v>
      </c>
      <c r="H121" s="626" t="s">
        <v>2533</v>
      </c>
      <c r="I121" s="626" t="e">
        <f>_xlfn.XLOOKUP(A121,'People Soft to Nessie to IRIS'!A:A,'People Soft to Nessie to IRIS'!C:C)</f>
        <v>#N/A</v>
      </c>
      <c r="K121" s="626" t="s">
        <v>2384</v>
      </c>
      <c r="L121" s="626" t="e">
        <f>VLOOKUP(I121,'BSPL Grouping'!A:D,4,FALSE)</f>
        <v>#N/A</v>
      </c>
    </row>
    <row r="122" spans="1:12">
      <c r="A122" s="632">
        <v>647500</v>
      </c>
      <c r="B122" s="633" t="s">
        <v>2670</v>
      </c>
      <c r="C122" s="634">
        <f>IFERROR(VLOOKUP(A122,'[103]TB for financial'!$A$5:$S$1092,19,FALSE),0)</f>
        <v>0</v>
      </c>
      <c r="D122" s="626">
        <f>VLOOKUP(A122,'PL Gr'!A:A,1,FALSE)</f>
        <v>647500</v>
      </c>
      <c r="E122" s="626">
        <f>VLOOKUP(A122,'TB for financial'!A:A,1,0)</f>
        <v>647500</v>
      </c>
      <c r="F122" s="1351">
        <f>VLOOKUP(A122,'TB for financial'!A:D,4,FALSE)</f>
        <v>0</v>
      </c>
      <c r="G122" s="1350">
        <f t="shared" si="2"/>
        <v>0</v>
      </c>
      <c r="H122" s="626" t="s">
        <v>2533</v>
      </c>
      <c r="I122" s="626" t="e">
        <f>_xlfn.XLOOKUP(A122,'People Soft to Nessie to IRIS'!A:A,'People Soft to Nessie to IRIS'!C:C)</f>
        <v>#N/A</v>
      </c>
      <c r="K122" s="626" t="s">
        <v>2384</v>
      </c>
      <c r="L122" s="626" t="e">
        <f>VLOOKUP(I122,'BSPL Grouping'!A:D,4,FALSE)</f>
        <v>#N/A</v>
      </c>
    </row>
    <row r="123" spans="1:12">
      <c r="A123" s="632">
        <v>647600</v>
      </c>
      <c r="B123" s="633" t="s">
        <v>2671</v>
      </c>
      <c r="C123" s="634">
        <f>IFERROR(VLOOKUP(A123,'[103]TB for financial'!$A$5:$S$1092,19,FALSE),0)</f>
        <v>28600.000000000004</v>
      </c>
      <c r="D123" s="626">
        <f>VLOOKUP(A123,'PL Gr'!A:A,1,FALSE)</f>
        <v>647600</v>
      </c>
      <c r="E123" s="626">
        <f>VLOOKUP(A123,'TB for financial'!A:A,1,0)</f>
        <v>647600</v>
      </c>
      <c r="F123" s="1351">
        <f>VLOOKUP(A123,'TB for financial'!A:D,4,FALSE)</f>
        <v>26400</v>
      </c>
      <c r="G123" s="1350">
        <f t="shared" si="2"/>
        <v>2200.0000000000036</v>
      </c>
      <c r="H123" s="626" t="s">
        <v>2533</v>
      </c>
      <c r="I123" s="626" t="e">
        <f>_xlfn.XLOOKUP(A123,'People Soft to Nessie to IRIS'!A:A,'People Soft to Nessie to IRIS'!C:C)</f>
        <v>#N/A</v>
      </c>
      <c r="K123" s="626" t="s">
        <v>2384</v>
      </c>
      <c r="L123" s="626" t="e">
        <f>VLOOKUP(I123,'BSPL Grouping'!A:D,4,FALSE)</f>
        <v>#N/A</v>
      </c>
    </row>
    <row r="124" spans="1:12">
      <c r="A124" s="632">
        <v>656000</v>
      </c>
      <c r="B124" s="633" t="s">
        <v>2672</v>
      </c>
      <c r="C124" s="634">
        <f>IFERROR(VLOOKUP(A124,'[103]TB for financial'!$A$5:$S$1092,19,FALSE),0)</f>
        <v>31852.639999999956</v>
      </c>
      <c r="D124" s="626">
        <f>VLOOKUP(A124,'PL Gr'!A:A,1,FALSE)</f>
        <v>656000</v>
      </c>
      <c r="E124" s="626">
        <f>VLOOKUP(A124,'TB for financial'!A:A,1,0)</f>
        <v>656000</v>
      </c>
      <c r="F124" s="1351">
        <f>VLOOKUP(A124,'TB for financial'!A:D,4,FALSE)</f>
        <v>200596.69000000006</v>
      </c>
      <c r="G124" s="1350">
        <f t="shared" si="2"/>
        <v>-168744.0500000001</v>
      </c>
      <c r="H124" s="626" t="s">
        <v>2533</v>
      </c>
      <c r="I124" s="626" t="e">
        <f>_xlfn.XLOOKUP(A124,'People Soft to Nessie to IRIS'!A:A,'People Soft to Nessie to IRIS'!C:C)</f>
        <v>#N/A</v>
      </c>
      <c r="K124" s="626" t="s">
        <v>2384</v>
      </c>
      <c r="L124" s="626" t="e">
        <f>VLOOKUP(I124,'BSPL Grouping'!A:D,4,FALSE)</f>
        <v>#N/A</v>
      </c>
    </row>
    <row r="125" spans="1:12">
      <c r="A125" s="632">
        <v>656100</v>
      </c>
      <c r="B125" s="633" t="s">
        <v>2854</v>
      </c>
      <c r="C125" s="634">
        <f>IFERROR(VLOOKUP(A125,'[103]TB for financial'!$A$5:$S$1092,19,FALSE),0)</f>
        <v>6525.8300000000008</v>
      </c>
      <c r="F125" s="1351"/>
      <c r="G125" s="1350"/>
    </row>
    <row r="126" spans="1:12">
      <c r="A126" s="632">
        <v>656103</v>
      </c>
      <c r="B126" s="633" t="s">
        <v>2855</v>
      </c>
      <c r="C126" s="634">
        <f>IFERROR(VLOOKUP(A126,'[103]TB for financial'!$A$5:$S$1092,19,FALSE),0)</f>
        <v>19358.95</v>
      </c>
      <c r="F126" s="1351"/>
      <c r="G126" s="1350"/>
    </row>
    <row r="127" spans="1:12">
      <c r="A127" s="632">
        <v>658000</v>
      </c>
      <c r="B127" s="633" t="s">
        <v>2673</v>
      </c>
      <c r="C127" s="634">
        <f>IFERROR(VLOOKUP(A127,'[103]TB for financial'!$A$5:$S$1092,19,FALSE),0)</f>
        <v>-119355.63</v>
      </c>
      <c r="D127" s="626">
        <f>VLOOKUP(A127,'PL Gr'!A:A,1,FALSE)</f>
        <v>658000</v>
      </c>
      <c r="E127" s="626">
        <f>VLOOKUP(A127,'TB for financial'!A:A,1,0)</f>
        <v>658000</v>
      </c>
      <c r="F127" s="1351">
        <f>VLOOKUP(A127,'TB for financial'!A:D,4,FALSE)</f>
        <v>0</v>
      </c>
      <c r="G127" s="1350">
        <f t="shared" si="2"/>
        <v>-119355.63</v>
      </c>
      <c r="H127" s="626" t="s">
        <v>2533</v>
      </c>
      <c r="I127" s="626" t="e">
        <f>_xlfn.XLOOKUP(A127,'People Soft to Nessie to IRIS'!A:A,'People Soft to Nessie to IRIS'!C:C)</f>
        <v>#N/A</v>
      </c>
      <c r="K127" s="626" t="s">
        <v>2384</v>
      </c>
      <c r="L127" s="626" t="e">
        <f>VLOOKUP(I127,'BSPL Grouping'!A:D,4,FALSE)</f>
        <v>#N/A</v>
      </c>
    </row>
    <row r="128" spans="1:12">
      <c r="A128" s="632">
        <v>658003</v>
      </c>
      <c r="B128" s="633" t="s">
        <v>2674</v>
      </c>
      <c r="C128" s="634">
        <f>IFERROR(VLOOKUP(A128,'[103]TB for financial'!$A$5:$S$1092,19,FALSE),0)</f>
        <v>240037</v>
      </c>
      <c r="D128" s="626">
        <f>VLOOKUP(A128,'PL Gr'!A:A,1,FALSE)</f>
        <v>658003</v>
      </c>
      <c r="E128" s="626">
        <f>VLOOKUP(A128,'TB for financial'!A:A,1,0)</f>
        <v>658003</v>
      </c>
      <c r="F128" s="1351">
        <f>VLOOKUP(A128,'TB for financial'!A:D,4,FALSE)</f>
        <v>147496.89999999991</v>
      </c>
      <c r="G128" s="1350">
        <f t="shared" si="2"/>
        <v>92540.100000000093</v>
      </c>
      <c r="H128" s="626" t="s">
        <v>2533</v>
      </c>
      <c r="I128" s="626" t="e">
        <f>_xlfn.XLOOKUP(A128,'People Soft to Nessie to IRIS'!A:A,'People Soft to Nessie to IRIS'!C:C)</f>
        <v>#N/A</v>
      </c>
      <c r="K128" s="626" t="s">
        <v>2384</v>
      </c>
      <c r="L128" s="626" t="e">
        <f>VLOOKUP(I128,'BSPL Grouping'!A:D,4,FALSE)</f>
        <v>#N/A</v>
      </c>
    </row>
    <row r="129" spans="1:12">
      <c r="A129" s="632">
        <v>658013</v>
      </c>
      <c r="B129" s="633" t="s">
        <v>2517</v>
      </c>
      <c r="C129" s="634">
        <f>IFERROR(VLOOKUP(A129,'[103]TB for financial'!$A$5:$S$1092,19,FALSE),0)</f>
        <v>23000</v>
      </c>
      <c r="D129" s="626">
        <f>VLOOKUP(A129,'PL Gr'!A:A,1,FALSE)</f>
        <v>658013</v>
      </c>
      <c r="E129" s="626">
        <f>VLOOKUP(A129,'TB for financial'!A:A,1,0)</f>
        <v>658013</v>
      </c>
      <c r="F129" s="1351">
        <f>VLOOKUP(A129,'TB for financial'!A:D,4,FALSE)</f>
        <v>17829</v>
      </c>
      <c r="G129" s="1350">
        <f t="shared" si="2"/>
        <v>5171</v>
      </c>
      <c r="H129" s="626" t="s">
        <v>2533</v>
      </c>
      <c r="I129" s="626" t="e">
        <f>_xlfn.XLOOKUP(A129,'People Soft to Nessie to IRIS'!A:A,'People Soft to Nessie to IRIS'!C:C)</f>
        <v>#N/A</v>
      </c>
      <c r="K129" s="626" t="s">
        <v>2384</v>
      </c>
      <c r="L129" s="626" t="e">
        <f>VLOOKUP(I129,'BSPL Grouping'!A:D,4,FALSE)</f>
        <v>#N/A</v>
      </c>
    </row>
    <row r="130" spans="1:12">
      <c r="A130" s="632">
        <v>661510</v>
      </c>
      <c r="B130" s="633" t="s">
        <v>2608</v>
      </c>
      <c r="C130" s="634">
        <f>IFERROR(VLOOKUP(A130,'[103]TB for financial'!$A$5:$S$1092,19,FALSE),0)</f>
        <v>0</v>
      </c>
      <c r="D130" s="626">
        <f>VLOOKUP(A130,'PL Gr'!A:A,1,FALSE)</f>
        <v>661510</v>
      </c>
      <c r="E130" s="626">
        <f>VLOOKUP(A130,'TB for financial'!A:A,1,0)</f>
        <v>661510</v>
      </c>
      <c r="F130" s="1351">
        <f>VLOOKUP(A130,'TB for financial'!A:D,4,FALSE)</f>
        <v>0</v>
      </c>
      <c r="G130" s="1350">
        <f t="shared" si="2"/>
        <v>0</v>
      </c>
      <c r="H130" s="626" t="s">
        <v>2533</v>
      </c>
      <c r="I130" s="626" t="e">
        <f>_xlfn.XLOOKUP(A130,'People Soft to Nessie to IRIS'!A:A,'People Soft to Nessie to IRIS'!C:C)</f>
        <v>#N/A</v>
      </c>
      <c r="K130" s="626" t="s">
        <v>2384</v>
      </c>
      <c r="L130" s="626" t="e">
        <f>VLOOKUP(I130,'BSPL Grouping'!A:D,4,FALSE)</f>
        <v>#N/A</v>
      </c>
    </row>
    <row r="131" spans="1:12">
      <c r="A131" s="632">
        <v>664011</v>
      </c>
      <c r="B131" s="633" t="s">
        <v>2555</v>
      </c>
      <c r="C131" s="634">
        <f>IFERROR(VLOOKUP(A131,'[103]TB for financial'!$A$5:$S$1092,19,FALSE),0)</f>
        <v>0</v>
      </c>
      <c r="D131" s="626">
        <f>VLOOKUP(A131,'PL Gr'!A:A,1,FALSE)</f>
        <v>664011</v>
      </c>
      <c r="E131" s="626">
        <f>VLOOKUP(A131,'TB for financial'!A:A,1,0)</f>
        <v>664011</v>
      </c>
      <c r="F131" s="1351">
        <f>VLOOKUP(A131,'TB for financial'!A:D,4,FALSE)</f>
        <v>0</v>
      </c>
      <c r="G131" s="1350">
        <f t="shared" si="2"/>
        <v>0</v>
      </c>
      <c r="H131" s="626" t="s">
        <v>2533</v>
      </c>
      <c r="I131" s="626" t="e">
        <f>_xlfn.XLOOKUP(A131,'People Soft to Nessie to IRIS'!A:A,'People Soft to Nessie to IRIS'!C:C)</f>
        <v>#N/A</v>
      </c>
      <c r="K131" s="626" t="s">
        <v>2384</v>
      </c>
      <c r="L131" s="626" t="e">
        <f>VLOOKUP(I131,'BSPL Grouping'!A:D,4,FALSE)</f>
        <v>#N/A</v>
      </c>
    </row>
    <row r="132" spans="1:12">
      <c r="A132" s="632">
        <v>666000</v>
      </c>
      <c r="B132" s="633" t="s">
        <v>2675</v>
      </c>
      <c r="C132" s="634">
        <f>IFERROR(VLOOKUP(A132,'[103]TB for financial'!$A$5:$S$1092,19,FALSE),0)</f>
        <v>752503.62625008519</v>
      </c>
      <c r="D132" s="626">
        <f>VLOOKUP(A132,'PL Gr'!A:A,1,FALSE)</f>
        <v>666000</v>
      </c>
      <c r="E132" s="626">
        <f>VLOOKUP(A132,'TB for financial'!A:A,1,0)</f>
        <v>666000</v>
      </c>
      <c r="F132" s="1351">
        <f>VLOOKUP(A132,'TB for financial'!A:D,4,FALSE)</f>
        <v>929863.81</v>
      </c>
      <c r="G132" s="1350">
        <f t="shared" si="2"/>
        <v>-177360.18374991487</v>
      </c>
      <c r="H132" s="626" t="s">
        <v>2533</v>
      </c>
      <c r="I132" s="626" t="e">
        <f>_xlfn.XLOOKUP(A132,'People Soft to Nessie to IRIS'!A:A,'People Soft to Nessie to IRIS'!C:C)</f>
        <v>#N/A</v>
      </c>
      <c r="K132" s="626" t="s">
        <v>2384</v>
      </c>
      <c r="L132" s="626" t="e">
        <f>VLOOKUP(I132,'BSPL Grouping'!A:D,4,FALSE)</f>
        <v>#N/A</v>
      </c>
    </row>
    <row r="133" spans="1:12">
      <c r="A133" s="632">
        <v>666400</v>
      </c>
      <c r="B133" s="633" t="s">
        <v>2691</v>
      </c>
      <c r="C133" s="634">
        <f>IFERROR(VLOOKUP(A133,'[103]TB for financial'!$A$5:$S$1092,19,FALSE),0)</f>
        <v>22322.07000000004</v>
      </c>
      <c r="D133" s="626">
        <f>VLOOKUP(A133,'PL Gr'!A:A,1,FALSE)</f>
        <v>666400</v>
      </c>
      <c r="E133" s="626">
        <f>VLOOKUP(A133,'TB for financial'!A:A,1,0)</f>
        <v>666400</v>
      </c>
      <c r="F133" s="1351">
        <f>VLOOKUP(A133,'TB for financial'!A:D,4,FALSE)</f>
        <v>82210.100000000006</v>
      </c>
      <c r="G133" s="1350">
        <f t="shared" si="2"/>
        <v>-59888.02999999997</v>
      </c>
      <c r="H133" s="626" t="s">
        <v>2533</v>
      </c>
      <c r="I133" s="626" t="e">
        <f>_xlfn.XLOOKUP(A133,'People Soft to Nessie to IRIS'!A:A,'People Soft to Nessie to IRIS'!C:C)</f>
        <v>#N/A</v>
      </c>
      <c r="K133" s="626" t="s">
        <v>2384</v>
      </c>
      <c r="L133" s="626" t="e">
        <f>VLOOKUP(I133,'BSPL Grouping'!A:D,4,FALSE)</f>
        <v>#N/A</v>
      </c>
    </row>
    <row r="134" spans="1:12">
      <c r="A134" s="632">
        <v>681210</v>
      </c>
      <c r="B134" s="633" t="s">
        <v>2556</v>
      </c>
      <c r="C134" s="634">
        <f>IFERROR(VLOOKUP(A134,'[103]TB for financial'!$A$5:$S$1092,19,FALSE),0)</f>
        <v>0</v>
      </c>
      <c r="D134" s="626">
        <f>VLOOKUP(A134,'PL Gr'!A:A,1,FALSE)</f>
        <v>681210</v>
      </c>
      <c r="E134" s="626">
        <f>VLOOKUP(A134,'TB for financial'!A:A,1,0)</f>
        <v>681210</v>
      </c>
      <c r="F134" s="1351">
        <f>VLOOKUP(A134,'TB for financial'!A:D,4,FALSE)</f>
        <v>0</v>
      </c>
      <c r="G134" s="1350">
        <f t="shared" si="2"/>
        <v>0</v>
      </c>
      <c r="H134" s="626" t="s">
        <v>2533</v>
      </c>
      <c r="I134" s="626" t="e">
        <f>_xlfn.XLOOKUP(A134,'People Soft to Nessie to IRIS'!A:A,'People Soft to Nessie to IRIS'!C:C)</f>
        <v>#N/A</v>
      </c>
      <c r="K134" s="626" t="s">
        <v>2384</v>
      </c>
      <c r="L134" s="626" t="e">
        <f>VLOOKUP(I134,'BSPL Grouping'!A:D,4,FALSE)</f>
        <v>#N/A</v>
      </c>
    </row>
    <row r="135" spans="1:12">
      <c r="A135" s="1526">
        <v>695000</v>
      </c>
      <c r="B135" s="1527" t="s">
        <v>2560</v>
      </c>
      <c r="C135" s="634">
        <f>IFERROR(VLOOKUP(A135,'[103]TB for financial'!$A$5:$S$1092,19,FALSE),0)</f>
        <v>1064831.9473236464</v>
      </c>
      <c r="D135" s="626">
        <f>VLOOKUP(A135,'PL Gr'!A:A,1,FALSE)</f>
        <v>695000</v>
      </c>
      <c r="F135" s="1351"/>
      <c r="G135" s="1350"/>
    </row>
    <row r="136" spans="1:12">
      <c r="A136" s="632">
        <v>695900</v>
      </c>
      <c r="B136" s="633" t="s">
        <v>2557</v>
      </c>
      <c r="C136" s="634">
        <f>IFERROR(VLOOKUP(A136,'[103]TB for financial'!$A$5:$S$1092,19,FALSE),0)</f>
        <v>-5510777.1806400008</v>
      </c>
      <c r="D136" s="626">
        <f>VLOOKUP(A136,'PL Gr'!A:A,1,FALSE)</f>
        <v>695900</v>
      </c>
      <c r="E136" s="626">
        <f>VLOOKUP(A136,'TB for financial'!A:A,1,0)</f>
        <v>695900</v>
      </c>
      <c r="F136" s="1351">
        <f>VLOOKUP(A136,'TB for financial'!A:D,4,FALSE)</f>
        <v>2676094</v>
      </c>
      <c r="G136" s="1350">
        <f t="shared" si="2"/>
        <v>-8186871.1806400008</v>
      </c>
      <c r="H136" s="626" t="s">
        <v>2533</v>
      </c>
      <c r="I136" s="626" t="e">
        <f>_xlfn.XLOOKUP(A136,'People Soft to Nessie to IRIS'!A:A,'People Soft to Nessie to IRIS'!C:C)</f>
        <v>#N/A</v>
      </c>
      <c r="K136" s="626" t="s">
        <v>2384</v>
      </c>
      <c r="L136" s="626" t="e">
        <f>VLOOKUP(I136,'BSPL Grouping'!A:D,4,FALSE)</f>
        <v>#N/A</v>
      </c>
    </row>
    <row r="137" spans="1:12">
      <c r="A137" s="632">
        <v>702310</v>
      </c>
      <c r="B137" s="633" t="s">
        <v>2519</v>
      </c>
      <c r="C137" s="634">
        <f>IFERROR(VLOOKUP(A137,'[103]TB for financial'!$A$5:$S$1092,19,FALSE),0)</f>
        <v>-7000604</v>
      </c>
      <c r="D137" s="626">
        <f>VLOOKUP(A137,'PL Gr'!A:A,1,FALSE)</f>
        <v>702310</v>
      </c>
      <c r="E137" s="626">
        <f>VLOOKUP(A137,'TB for financial'!A:A,1,0)</f>
        <v>702310</v>
      </c>
      <c r="F137" s="1351">
        <f>VLOOKUP(A137,'TB for financial'!A:D,4,FALSE)</f>
        <v>11359209</v>
      </c>
      <c r="G137" s="1350">
        <f t="shared" si="2"/>
        <v>-18359813</v>
      </c>
      <c r="H137" s="626" t="s">
        <v>2533</v>
      </c>
      <c r="I137" s="626" t="e">
        <f>_xlfn.XLOOKUP(A137,'People Soft to Nessie to IRIS'!A:A,'People Soft to Nessie to IRIS'!C:C)</f>
        <v>#N/A</v>
      </c>
      <c r="K137" s="626" t="s">
        <v>2384</v>
      </c>
      <c r="L137" s="626" t="e">
        <f>VLOOKUP(I137,'BSPL Grouping'!A:D,4,FALSE)</f>
        <v>#N/A</v>
      </c>
    </row>
    <row r="138" spans="1:12">
      <c r="A138" s="632">
        <v>704040</v>
      </c>
      <c r="B138" s="633" t="s">
        <v>2520</v>
      </c>
      <c r="C138" s="634">
        <f>IFERROR(VLOOKUP(A138,'[103]TB for financial'!$A$5:$S$1092,19,FALSE),0)</f>
        <v>-15878069.190000001</v>
      </c>
      <c r="D138" s="626">
        <f>VLOOKUP(A138,'PL Gr'!A:A,1,FALSE)</f>
        <v>704040</v>
      </c>
      <c r="E138" s="626">
        <f>VLOOKUP(A138,'TB for financial'!A:A,1,0)</f>
        <v>704040</v>
      </c>
      <c r="F138" s="1351">
        <f>VLOOKUP(A138,'TB for financial'!A:D,4,FALSE)</f>
        <v>4094148.4700000007</v>
      </c>
      <c r="G138" s="1350">
        <f t="shared" si="2"/>
        <v>-19972217.660000004</v>
      </c>
      <c r="H138" s="626" t="s">
        <v>2533</v>
      </c>
      <c r="I138" s="626" t="e">
        <f>_xlfn.XLOOKUP(A138,'People Soft to Nessie to IRIS'!A:A,'People Soft to Nessie to IRIS'!C:C)</f>
        <v>#N/A</v>
      </c>
      <c r="K138" s="626" t="s">
        <v>2384</v>
      </c>
      <c r="L138" s="626" t="e">
        <f>VLOOKUP(I138,'BSPL Grouping'!A:D,4,FALSE)</f>
        <v>#N/A</v>
      </c>
    </row>
    <row r="139" spans="1:12">
      <c r="A139" s="1526">
        <v>704670</v>
      </c>
      <c r="B139" s="1527" t="s">
        <v>2798</v>
      </c>
      <c r="C139" s="634">
        <f>IFERROR(VLOOKUP(A139,'[103]TB for financial'!$A$5:$S$1092,19,FALSE),0)</f>
        <v>100000</v>
      </c>
      <c r="F139" s="1351"/>
      <c r="G139" s="1350"/>
    </row>
    <row r="140" spans="1:12">
      <c r="A140" s="632">
        <v>706361</v>
      </c>
      <c r="B140" s="633" t="s">
        <v>2521</v>
      </c>
      <c r="C140" s="634">
        <f>IFERROR(VLOOKUP(A140,'[103]TB for financial'!$A$5:$S$1092,19,FALSE),0)</f>
        <v>-13298075.340000002</v>
      </c>
      <c r="D140" s="626">
        <f>VLOOKUP(A140,'PL Gr'!A:A,1,FALSE)</f>
        <v>706361</v>
      </c>
      <c r="E140" s="626">
        <f>VLOOKUP(A140,'TB for financial'!A:A,1,0)</f>
        <v>706361</v>
      </c>
      <c r="F140" s="1351">
        <f>VLOOKUP(A140,'TB for financial'!A:D,4,FALSE)</f>
        <v>-10587550.82</v>
      </c>
      <c r="G140" s="1350">
        <f t="shared" si="2"/>
        <v>-2710524.5200000014</v>
      </c>
      <c r="H140" s="626" t="s">
        <v>2533</v>
      </c>
      <c r="I140" s="626" t="e">
        <f>_xlfn.XLOOKUP(A140,'People Soft to Nessie to IRIS'!A:A,'People Soft to Nessie to IRIS'!C:C)</f>
        <v>#N/A</v>
      </c>
      <c r="K140" s="626" t="s">
        <v>2384</v>
      </c>
      <c r="L140" s="626" t="e">
        <f>VLOOKUP(I140,'BSPL Grouping'!A:D,4,FALSE)</f>
        <v>#N/A</v>
      </c>
    </row>
    <row r="141" spans="1:12">
      <c r="A141" s="632">
        <v>758000</v>
      </c>
      <c r="B141" s="633" t="s">
        <v>2676</v>
      </c>
      <c r="C141" s="634">
        <f>IFERROR(VLOOKUP(A141,'[103]TB for financial'!$A$5:$S$1092,19,FALSE),0)</f>
        <v>0</v>
      </c>
      <c r="D141" s="626" t="e">
        <f>VLOOKUP(A141,'PL Gr'!A:A,1,FALSE)</f>
        <v>#N/A</v>
      </c>
      <c r="E141" s="626">
        <f>VLOOKUP(A141,'TB for financial'!A:A,1,0)</f>
        <v>758000</v>
      </c>
      <c r="F141" s="1351">
        <f>VLOOKUP(A141,'TB for financial'!A:D,4,FALSE)</f>
        <v>0</v>
      </c>
      <c r="G141" s="1350">
        <f t="shared" si="2"/>
        <v>0</v>
      </c>
      <c r="H141" s="626" t="s">
        <v>2533</v>
      </c>
      <c r="I141" s="626" t="e">
        <f>_xlfn.XLOOKUP(A141,'People Soft to Nessie to IRIS'!A:A,'People Soft to Nessie to IRIS'!C:C)</f>
        <v>#N/A</v>
      </c>
      <c r="K141" s="626" t="s">
        <v>2384</v>
      </c>
      <c r="L141" s="626" t="e">
        <f>VLOOKUP(I141,'BSPL Grouping'!A:D,4,FALSE)</f>
        <v>#N/A</v>
      </c>
    </row>
    <row r="142" spans="1:12">
      <c r="A142" s="632">
        <v>762510</v>
      </c>
      <c r="B142" s="633" t="s">
        <v>2522</v>
      </c>
      <c r="C142" s="634">
        <f>IFERROR(VLOOKUP(A142,'[103]TB for financial'!$A$5:$S$1092,19,FALSE),0)</f>
        <v>-5679</v>
      </c>
      <c r="D142" s="626">
        <f>VLOOKUP(A142,'PL Gr'!A:A,1,FALSE)</f>
        <v>762510</v>
      </c>
      <c r="E142" s="626">
        <f>VLOOKUP(A142,'TB for financial'!A:A,1,0)</f>
        <v>762510</v>
      </c>
      <c r="F142" s="1351">
        <f>VLOOKUP(A142,'TB for financial'!A:D,4,FALSE)</f>
        <v>-6928</v>
      </c>
      <c r="G142" s="1350">
        <f t="shared" si="2"/>
        <v>1249</v>
      </c>
      <c r="H142" s="626" t="s">
        <v>2533</v>
      </c>
      <c r="I142" s="626" t="e">
        <f>_xlfn.XLOOKUP(A142,'People Soft to Nessie to IRIS'!A:A,'People Soft to Nessie to IRIS'!C:C)</f>
        <v>#N/A</v>
      </c>
      <c r="K142" s="626" t="s">
        <v>2384</v>
      </c>
      <c r="L142" s="626" t="e">
        <f>VLOOKUP(I142,'BSPL Grouping'!A:D,4,FALSE)</f>
        <v>#N/A</v>
      </c>
    </row>
    <row r="143" spans="1:12">
      <c r="A143" s="632">
        <v>762511</v>
      </c>
      <c r="B143" s="633" t="s">
        <v>2553</v>
      </c>
      <c r="C143" s="634">
        <f>IFERROR(VLOOKUP(A143,'[103]TB for financial'!$A$5:$S$1092,19,FALSE),0)</f>
        <v>0</v>
      </c>
      <c r="D143" s="626">
        <f>VLOOKUP(A143,'PL Gr'!A:A,1,FALSE)</f>
        <v>762511</v>
      </c>
      <c r="E143" s="626">
        <f>VLOOKUP(A143,'TB for financial'!A:A,1,0)</f>
        <v>762511</v>
      </c>
      <c r="F143" s="1351">
        <f>VLOOKUP(A143,'TB for financial'!A:D,4,FALSE)</f>
        <v>0</v>
      </c>
      <c r="G143" s="1350">
        <f t="shared" si="2"/>
        <v>0</v>
      </c>
      <c r="H143" s="626" t="s">
        <v>2533</v>
      </c>
      <c r="I143" s="626" t="e">
        <f>_xlfn.XLOOKUP(A143,'People Soft to Nessie to IRIS'!A:A,'People Soft to Nessie to IRIS'!C:C)</f>
        <v>#N/A</v>
      </c>
      <c r="K143" s="626" t="s">
        <v>2384</v>
      </c>
      <c r="L143" s="626" t="e">
        <f>VLOOKUP(I143,'BSPL Grouping'!A:D,4,FALSE)</f>
        <v>#N/A</v>
      </c>
    </row>
    <row r="144" spans="1:12">
      <c r="A144" s="632">
        <v>766000</v>
      </c>
      <c r="B144" s="633" t="s">
        <v>2677</v>
      </c>
      <c r="C144" s="634">
        <f>IFERROR(VLOOKUP(A144,'[103]TB for financial'!$A$5:$S$1092,19,FALSE),0)</f>
        <v>-1235937.6674282791</v>
      </c>
      <c r="D144" s="626">
        <f>VLOOKUP(A144,'PL Gr'!A:A,1,FALSE)</f>
        <v>766000</v>
      </c>
      <c r="E144" s="626">
        <f>VLOOKUP(A144,'TB for financial'!A:A,1,0)</f>
        <v>766000</v>
      </c>
      <c r="F144" s="1351">
        <f>VLOOKUP(A144,'TB for financial'!A:D,4,FALSE)</f>
        <v>-876174.12000000011</v>
      </c>
      <c r="G144" s="1350">
        <f t="shared" si="2"/>
        <v>-359763.54742827895</v>
      </c>
      <c r="H144" s="626" t="s">
        <v>2533</v>
      </c>
      <c r="I144" s="626" t="e">
        <f>_xlfn.XLOOKUP(A144,'People Soft to Nessie to IRIS'!A:A,'People Soft to Nessie to IRIS'!C:C)</f>
        <v>#N/A</v>
      </c>
      <c r="K144" s="626" t="s">
        <v>2384</v>
      </c>
      <c r="L144" s="626" t="e">
        <f>VLOOKUP(I144,'BSPL Grouping'!A:D,4,FALSE)</f>
        <v>#N/A</v>
      </c>
    </row>
    <row r="145" spans="1:12">
      <c r="A145" s="632">
        <v>766200</v>
      </c>
      <c r="B145" s="633" t="s">
        <v>2523</v>
      </c>
      <c r="C145" s="634">
        <f>IFERROR(VLOOKUP(A145,'[103]TB for financial'!$A$5:$S$1092,19,FALSE),0)</f>
        <v>238025.14999999967</v>
      </c>
      <c r="D145" s="626">
        <f>VLOOKUP(A145,'PL Gr'!A:A,1,FALSE)</f>
        <v>766200</v>
      </c>
      <c r="E145" s="626">
        <f>VLOOKUP(A145,'TB for financial'!A:A,1,0)</f>
        <v>766200</v>
      </c>
      <c r="F145" s="1351">
        <f>VLOOKUP(A145,'TB for financial'!A:D,4,FALSE)</f>
        <v>0</v>
      </c>
      <c r="G145" s="1350">
        <f t="shared" si="2"/>
        <v>238025.14999999967</v>
      </c>
      <c r="H145" s="626" t="s">
        <v>2533</v>
      </c>
      <c r="I145" s="626" t="e">
        <f>_xlfn.XLOOKUP(A145,'People Soft to Nessie to IRIS'!A:A,'People Soft to Nessie to IRIS'!C:C)</f>
        <v>#N/A</v>
      </c>
      <c r="K145" s="626" t="s">
        <v>2384</v>
      </c>
      <c r="L145" s="626" t="e">
        <f>VLOOKUP(I145,'BSPL Grouping'!A:D,4,FALSE)</f>
        <v>#N/A</v>
      </c>
    </row>
    <row r="146" spans="1:12">
      <c r="A146" s="632">
        <v>766300</v>
      </c>
      <c r="B146" s="633" t="s">
        <v>2692</v>
      </c>
      <c r="C146" s="634">
        <f>IFERROR(VLOOKUP(A146,'[103]TB for financial'!$A$5:$S$1092,19,FALSE),0)</f>
        <v>13702.719999999992</v>
      </c>
      <c r="D146" s="626">
        <f>VLOOKUP(A146,'PL Gr'!A:A,1,FALSE)</f>
        <v>766300</v>
      </c>
      <c r="E146" s="626">
        <f>VLOOKUP(A146,'TB for financial'!A:A,1,0)</f>
        <v>766300</v>
      </c>
      <c r="F146" s="1351">
        <f>VLOOKUP(A146,'TB for financial'!A:D,4,FALSE)</f>
        <v>4515.51</v>
      </c>
      <c r="G146" s="1350">
        <f t="shared" si="2"/>
        <v>9187.2099999999919</v>
      </c>
      <c r="H146" s="626" t="s">
        <v>2533</v>
      </c>
      <c r="I146" s="626">
        <v>206042</v>
      </c>
      <c r="K146" s="626" t="s">
        <v>2384</v>
      </c>
      <c r="L146" s="626" t="str">
        <f>VLOOKUP(I146,'BSPL Grouping'!A:D,4,FALSE)</f>
        <v>Advance Income Taxes</v>
      </c>
    </row>
    <row r="147" spans="1:12">
      <c r="A147" s="632">
        <v>766400</v>
      </c>
      <c r="B147" s="633" t="s">
        <v>2693</v>
      </c>
      <c r="C147" s="634">
        <f>IFERROR(VLOOKUP(A147,'[103]TB for financial'!$A$5:$S$1092,19,FALSE),0)</f>
        <v>448399.38</v>
      </c>
      <c r="D147" s="626">
        <f>VLOOKUP(A147,'PL Gr'!A:A,1,FALSE)</f>
        <v>766400</v>
      </c>
      <c r="E147" s="626">
        <f>VLOOKUP(A147,'TB for financial'!A:A,1,0)</f>
        <v>766400</v>
      </c>
      <c r="F147" s="1351">
        <f>VLOOKUP(A147,'TB for financial'!A:D,4,FALSE)</f>
        <v>-170652.82</v>
      </c>
      <c r="G147" s="1350">
        <f t="shared" si="2"/>
        <v>619052.19999999995</v>
      </c>
      <c r="H147" s="626" t="s">
        <v>2533</v>
      </c>
      <c r="I147" s="626" t="e">
        <f>_xlfn.XLOOKUP(A147,'People Soft to Nessie to IRIS'!A:A,'People Soft to Nessie to IRIS'!C:C)</f>
        <v>#N/A</v>
      </c>
      <c r="K147" s="626" t="s">
        <v>2384</v>
      </c>
      <c r="L147" s="626" t="e">
        <f>VLOOKUP(I147,'BSPL Grouping'!A:D,4,FALSE)</f>
        <v>#N/A</v>
      </c>
    </row>
    <row r="148" spans="1:12">
      <c r="A148" s="632">
        <v>779000</v>
      </c>
      <c r="B148" s="633" t="s">
        <v>2609</v>
      </c>
      <c r="C148" s="634">
        <f>IFERROR(VLOOKUP(A148,'[103]TB for financial'!$A$5:$S$1092,19,FALSE),0)</f>
        <v>-1221293.348730159</v>
      </c>
      <c r="D148" s="626">
        <f>VLOOKUP(A148,'PL Gr'!A:A,1,FALSE)</f>
        <v>779000</v>
      </c>
      <c r="E148" s="626">
        <f>VLOOKUP(A148,'TB for financial'!A:A,1,0)</f>
        <v>779000</v>
      </c>
      <c r="F148" s="1351">
        <f>VLOOKUP(A148,'TB for financial'!A:D,4,FALSE)</f>
        <v>-182265.87</v>
      </c>
      <c r="G148" s="1350">
        <f t="shared" si="2"/>
        <v>-1039027.478730159</v>
      </c>
      <c r="H148" s="626" t="s">
        <v>2533</v>
      </c>
      <c r="I148" s="626" t="e">
        <f>_xlfn.XLOOKUP(A148,'People Soft to Nessie to IRIS'!A:A,'People Soft to Nessie to IRIS'!C:C)</f>
        <v>#N/A</v>
      </c>
      <c r="K148" s="626" t="s">
        <v>2384</v>
      </c>
      <c r="L148" s="626" t="e">
        <f>VLOOKUP(I148,'BSPL Grouping'!A:D,4,FALSE)</f>
        <v>#N/A</v>
      </c>
    </row>
    <row r="149" spans="1:12">
      <c r="A149" s="632">
        <v>1013001</v>
      </c>
      <c r="B149" s="633" t="s">
        <v>2396</v>
      </c>
      <c r="C149" s="634">
        <f>IFERROR(VLOOKUP(A149,'[103]TB for financial'!$A$5:$S$1092,19,FALSE),0)</f>
        <v>-54000</v>
      </c>
      <c r="D149" s="626">
        <f>VLOOKUP(A149,'BS Gr'!A:A,1,FALSE)</f>
        <v>1013001</v>
      </c>
      <c r="E149" s="626">
        <f>VLOOKUP(A149,'TB for financial'!A:A,1,0)</f>
        <v>1013001</v>
      </c>
      <c r="F149" s="1351">
        <f>VLOOKUP(A149,'TB for financial'!A:D,4,FALSE)</f>
        <v>0</v>
      </c>
      <c r="G149" s="1350">
        <f t="shared" si="2"/>
        <v>-54000</v>
      </c>
      <c r="H149" s="626" t="s">
        <v>2533</v>
      </c>
      <c r="I149" s="626" t="e">
        <f>_xlfn.XLOOKUP(A149,'People Soft to Nessie to IRIS'!A:A,'People Soft to Nessie to IRIS'!C:C)</f>
        <v>#N/A</v>
      </c>
      <c r="K149" s="626" t="s">
        <v>2384</v>
      </c>
      <c r="L149" s="626" t="e">
        <f>VLOOKUP(I149,'BSPL Grouping'!A:D,4,FALSE)</f>
        <v>#N/A</v>
      </c>
    </row>
    <row r="150" spans="1:12">
      <c r="A150" s="632">
        <v>4014500</v>
      </c>
      <c r="B150" s="633" t="s">
        <v>2694</v>
      </c>
      <c r="C150" s="634">
        <f>IFERROR(VLOOKUP(A150,'[103]TB for financial'!$A$5:$S$1092,19,FALSE),0)</f>
        <v>535614.2300000001</v>
      </c>
      <c r="D150" s="626">
        <f>VLOOKUP(A150,'BS Gr'!A:A,1,FALSE)</f>
        <v>4014500</v>
      </c>
      <c r="E150" s="626">
        <f>VLOOKUP(A150,'TB for financial'!A:A,1,0)</f>
        <v>4014500</v>
      </c>
      <c r="F150" s="1351">
        <f>VLOOKUP(A150,'TB for financial'!A:D,4,FALSE)</f>
        <v>0</v>
      </c>
      <c r="G150" s="1350">
        <f t="shared" si="2"/>
        <v>535614.2300000001</v>
      </c>
      <c r="H150" s="626" t="s">
        <v>2533</v>
      </c>
      <c r="I150" s="626" t="e">
        <f>_xlfn.XLOOKUP(A150,'People Soft to Nessie to IRIS'!A:A,'People Soft to Nessie to IRIS'!C:C)</f>
        <v>#N/A</v>
      </c>
      <c r="K150" s="626" t="s">
        <v>2384</v>
      </c>
      <c r="L150" s="626" t="e">
        <f>VLOOKUP(I150,'BSPL Grouping'!A:D,4,FALSE)</f>
        <v>#N/A</v>
      </c>
    </row>
    <row r="151" spans="1:12">
      <c r="A151" s="632">
        <v>4015000</v>
      </c>
      <c r="B151" s="633" t="s">
        <v>2407</v>
      </c>
      <c r="C151" s="634">
        <f>IFERROR(VLOOKUP(A151,'[103]TB for financial'!$A$5:$S$1092,19,FALSE),0)</f>
        <v>3360</v>
      </c>
      <c r="D151" s="626">
        <f>VLOOKUP(A151,'BS Gr'!A:A,1,FALSE)</f>
        <v>4015000</v>
      </c>
      <c r="E151" s="626">
        <f>VLOOKUP(A151,'TB for financial'!A:A,1,0)</f>
        <v>4015000</v>
      </c>
      <c r="F151" s="1351">
        <f>VLOOKUP(A151,'TB for financial'!A:D,4,FALSE)</f>
        <v>0</v>
      </c>
      <c r="G151" s="1350">
        <f t="shared" si="2"/>
        <v>3360</v>
      </c>
      <c r="H151" s="626" t="s">
        <v>2533</v>
      </c>
      <c r="I151" s="626" t="e">
        <f>_xlfn.XLOOKUP(A151,'People Soft to Nessie to IRIS'!A:A,'People Soft to Nessie to IRIS'!C:C)</f>
        <v>#N/A</v>
      </c>
      <c r="K151" s="626" t="s">
        <v>2384</v>
      </c>
      <c r="L151" s="626" t="e">
        <f>VLOOKUP(I151,'BSPL Grouping'!A:D,4,FALSE)</f>
        <v>#N/A</v>
      </c>
    </row>
    <row r="152" spans="1:12">
      <c r="A152" s="632">
        <v>4081510</v>
      </c>
      <c r="B152" s="633" t="s">
        <v>2410</v>
      </c>
      <c r="C152" s="634">
        <f>IFERROR(VLOOKUP(A152,'[103]TB for financial'!$A$5:$S$1092,19,FALSE),0)</f>
        <v>452660.81000000238</v>
      </c>
      <c r="D152" s="626">
        <f>VLOOKUP(A152,'BS Gr'!A:A,1,FALSE)</f>
        <v>4081510</v>
      </c>
      <c r="E152" s="626">
        <f>VLOOKUP(A152,'TB for financial'!A:A,1,0)</f>
        <v>4081510</v>
      </c>
      <c r="F152" s="1351">
        <f>VLOOKUP(A152,'TB for financial'!A:D,4,FALSE)</f>
        <v>0</v>
      </c>
      <c r="G152" s="1350">
        <f t="shared" si="2"/>
        <v>452660.81000000238</v>
      </c>
      <c r="H152" s="626" t="s">
        <v>2533</v>
      </c>
      <c r="I152" s="626" t="e">
        <f>_xlfn.XLOOKUP(A152,'People Soft to Nessie to IRIS'!A:A,'People Soft to Nessie to IRIS'!C:C)</f>
        <v>#N/A</v>
      </c>
      <c r="K152" s="626" t="s">
        <v>2384</v>
      </c>
      <c r="L152" s="626" t="e">
        <f>VLOOKUP(I152,'BSPL Grouping'!A:D,4,FALSE)</f>
        <v>#N/A</v>
      </c>
    </row>
    <row r="153" spans="1:12">
      <c r="A153" s="632">
        <v>4085000</v>
      </c>
      <c r="B153" s="633" t="s">
        <v>2657</v>
      </c>
      <c r="C153" s="634">
        <f>IFERROR(VLOOKUP(A153,'[103]TB for financial'!$A$5:$S$1092,19,FALSE),0)</f>
        <v>-97259</v>
      </c>
      <c r="D153" s="626">
        <f>VLOOKUP(A153,'BS Gr'!A:A,1,FALSE)</f>
        <v>4085000</v>
      </c>
      <c r="E153" s="626">
        <f>VLOOKUP(A153,'TB for financial'!A:A,1,0)</f>
        <v>4085000</v>
      </c>
      <c r="F153" s="1351">
        <f>VLOOKUP(A153,'TB for financial'!A:D,4,FALSE)</f>
        <v>0</v>
      </c>
      <c r="G153" s="1350">
        <f t="shared" si="2"/>
        <v>-97259</v>
      </c>
      <c r="H153" s="626" t="s">
        <v>2533</v>
      </c>
      <c r="I153" s="626" t="e">
        <f>_xlfn.XLOOKUP(A153,'People Soft to Nessie to IRIS'!A:A,'People Soft to Nessie to IRIS'!C:C)</f>
        <v>#N/A</v>
      </c>
      <c r="K153" s="626" t="s">
        <v>2384</v>
      </c>
      <c r="L153" s="626" t="e">
        <f>VLOOKUP(I153,'BSPL Grouping'!A:D,4,FALSE)</f>
        <v>#N/A</v>
      </c>
    </row>
    <row r="154" spans="1:12">
      <c r="A154" s="632">
        <v>4115000</v>
      </c>
      <c r="B154" s="633" t="s">
        <v>2413</v>
      </c>
      <c r="C154" s="634">
        <f>IFERROR(VLOOKUP(A154,'[103]TB for financial'!$A$5:$S$1092,19,FALSE),0)</f>
        <v>-241132.81000000238</v>
      </c>
      <c r="D154" s="626">
        <f>VLOOKUP(A154,'BS Gr'!A:A,1,FALSE)</f>
        <v>4115000</v>
      </c>
      <c r="E154" s="626">
        <f>VLOOKUP(A154,'TB for financial'!A:A,1,0)</f>
        <v>4115000</v>
      </c>
      <c r="F154" s="1351">
        <f>VLOOKUP(A154,'TB for financial'!A:D,4,FALSE)</f>
        <v>0</v>
      </c>
      <c r="G154" s="1350">
        <f t="shared" si="2"/>
        <v>-241132.81000000238</v>
      </c>
      <c r="H154" s="626" t="s">
        <v>2533</v>
      </c>
      <c r="I154" s="626" t="e">
        <f>_xlfn.XLOOKUP(A154,'People Soft to Nessie to IRIS'!A:A,'People Soft to Nessie to IRIS'!C:C)</f>
        <v>#N/A</v>
      </c>
      <c r="K154" s="626" t="s">
        <v>2384</v>
      </c>
      <c r="L154" s="626" t="e">
        <f>VLOOKUP(I154,'BSPL Grouping'!A:D,4,FALSE)</f>
        <v>#N/A</v>
      </c>
    </row>
    <row r="155" spans="1:12">
      <c r="A155" s="632">
        <v>4117000</v>
      </c>
      <c r="B155" s="633" t="s">
        <v>2450</v>
      </c>
      <c r="C155" s="634">
        <f>IFERROR(VLOOKUP(A155,'[103]TB for financial'!$A$5:$S$1092,19,FALSE),0)</f>
        <v>0</v>
      </c>
      <c r="D155" s="626" t="e">
        <f>VLOOKUP(A155,'BS Gr'!A:A,1,FALSE)</f>
        <v>#N/A</v>
      </c>
      <c r="E155" s="626" t="e">
        <f>VLOOKUP(A155,'TB for financial'!A:A,1,0)</f>
        <v>#N/A</v>
      </c>
      <c r="F155" s="1351" t="e">
        <f>VLOOKUP(A155,'TB for financial'!A:D,4,FALSE)</f>
        <v>#N/A</v>
      </c>
      <c r="G155" s="1350" t="e">
        <f t="shared" si="2"/>
        <v>#N/A</v>
      </c>
      <c r="H155" s="626" t="s">
        <v>2533</v>
      </c>
      <c r="I155" s="626" t="e">
        <f>_xlfn.XLOOKUP(A155,'People Soft to Nessie to IRIS'!A:A,'People Soft to Nessie to IRIS'!C:C)</f>
        <v>#N/A</v>
      </c>
      <c r="K155" s="626" t="s">
        <v>2384</v>
      </c>
      <c r="L155" s="626" t="e">
        <f>VLOOKUP(I155,'BSPL Grouping'!A:D,4,FALSE)</f>
        <v>#N/A</v>
      </c>
    </row>
    <row r="156" spans="1:12">
      <c r="A156" s="632">
        <v>4181500</v>
      </c>
      <c r="B156" s="633" t="s">
        <v>2489</v>
      </c>
      <c r="C156" s="634">
        <f>IFERROR(VLOOKUP(A156,'[103]TB for financial'!$A$5:$S$1092,19,FALSE),0)</f>
        <v>-626977.15009164729</v>
      </c>
      <c r="D156" s="626">
        <f>VLOOKUP(A156,'BS Gr'!A:A,1,FALSE)</f>
        <v>4181500</v>
      </c>
      <c r="E156" s="626">
        <f>VLOOKUP(A156,'TB for financial'!A:A,1,0)</f>
        <v>4181500</v>
      </c>
      <c r="F156" s="1351">
        <f>VLOOKUP(A156,'TB for financial'!A:D,4,FALSE)</f>
        <v>0</v>
      </c>
      <c r="G156" s="1350">
        <f t="shared" si="2"/>
        <v>-626977.15009164729</v>
      </c>
      <c r="H156" s="626" t="s">
        <v>2533</v>
      </c>
      <c r="I156" s="626" t="e">
        <f>_xlfn.XLOOKUP(A156,'People Soft to Nessie to IRIS'!A:A,'People Soft to Nessie to IRIS'!C:C)</f>
        <v>#N/A</v>
      </c>
      <c r="K156" s="626" t="s">
        <v>2384</v>
      </c>
      <c r="L156" s="626" t="e">
        <f>VLOOKUP(I156,'BSPL Grouping'!A:D,4,FALSE)</f>
        <v>#N/A</v>
      </c>
    </row>
    <row r="157" spans="1:12">
      <c r="A157" s="632">
        <v>4210100</v>
      </c>
      <c r="B157" s="633" t="s">
        <v>2695</v>
      </c>
      <c r="C157" s="634">
        <f>IFERROR(VLOOKUP(A157,'[103]TB for financial'!$A$5:$S$1092,19,FALSE),0)</f>
        <v>-431377</v>
      </c>
      <c r="D157" s="626">
        <f>VLOOKUP(A157,'BS Gr'!A:A,1,FALSE)</f>
        <v>4210100</v>
      </c>
      <c r="E157" s="626">
        <f>VLOOKUP(A157,'TB for financial'!A:A,1,0)</f>
        <v>4210100</v>
      </c>
      <c r="F157" s="1351">
        <f>VLOOKUP(A157,'TB for financial'!A:D,4,FALSE)</f>
        <v>0</v>
      </c>
      <c r="G157" s="1350">
        <f t="shared" si="2"/>
        <v>-431377</v>
      </c>
      <c r="H157" s="626" t="s">
        <v>2533</v>
      </c>
      <c r="I157" s="626" t="e">
        <f>_xlfn.XLOOKUP(A157,'People Soft to Nessie to IRIS'!A:A,'People Soft to Nessie to IRIS'!C:C)</f>
        <v>#N/A</v>
      </c>
      <c r="K157" s="626" t="s">
        <v>2384</v>
      </c>
      <c r="L157" s="626" t="e">
        <f>VLOOKUP(I157,'BSPL Grouping'!A:D,4,FALSE)</f>
        <v>#N/A</v>
      </c>
    </row>
    <row r="158" spans="1:12">
      <c r="A158" s="632">
        <v>4282000</v>
      </c>
      <c r="B158" s="633" t="s">
        <v>2421</v>
      </c>
      <c r="C158" s="634">
        <f>IFERROR(VLOOKUP(A158,'[103]TB for financial'!$A$5:$S$1092,19,FALSE),0)</f>
        <v>0</v>
      </c>
      <c r="D158" s="626" t="e">
        <f>VLOOKUP(A158,'BS Gr'!A:A,1,FALSE)</f>
        <v>#N/A</v>
      </c>
      <c r="E158" s="626" t="e">
        <f>VLOOKUP(A158,'TB for financial'!A:A,1,0)</f>
        <v>#N/A</v>
      </c>
      <c r="F158" s="1351" t="e">
        <f>VLOOKUP(A158,'TB for financial'!A:D,4,FALSE)</f>
        <v>#N/A</v>
      </c>
      <c r="G158" s="1350" t="e">
        <f t="shared" si="2"/>
        <v>#N/A</v>
      </c>
      <c r="H158" s="626" t="s">
        <v>2533</v>
      </c>
      <c r="I158" s="626" t="e">
        <f>_xlfn.XLOOKUP(A158,'People Soft to Nessie to IRIS'!A:A,'People Soft to Nessie to IRIS'!C:C)</f>
        <v>#N/A</v>
      </c>
      <c r="K158" s="626" t="s">
        <v>2384</v>
      </c>
      <c r="L158" s="626" t="e">
        <f>VLOOKUP(I158,'BSPL Grouping'!A:D,4,FALSE)</f>
        <v>#N/A</v>
      </c>
    </row>
    <row r="159" spans="1:12">
      <c r="A159" s="632">
        <v>4286100</v>
      </c>
      <c r="B159" s="633" t="s">
        <v>2423</v>
      </c>
      <c r="C159" s="634">
        <f>IFERROR(VLOOKUP(A159,'[103]TB for financial'!$A$5:$S$1092,19,FALSE),0)</f>
        <v>-8793</v>
      </c>
      <c r="D159" s="626">
        <f>VLOOKUP(A159,'BS Gr'!A:A,1,FALSE)</f>
        <v>4286100</v>
      </c>
      <c r="E159" s="626">
        <f>VLOOKUP(A159,'TB for financial'!A:A,1,0)</f>
        <v>4286100</v>
      </c>
      <c r="F159" s="1351">
        <f>VLOOKUP(A159,'TB for financial'!A:D,4,FALSE)</f>
        <v>0</v>
      </c>
      <c r="G159" s="1350">
        <f t="shared" si="2"/>
        <v>-8793</v>
      </c>
      <c r="H159" s="626" t="s">
        <v>2533</v>
      </c>
      <c r="I159" s="626" t="e">
        <f>_xlfn.XLOOKUP(A159,'People Soft to Nessie to IRIS'!A:A,'People Soft to Nessie to IRIS'!C:C)</f>
        <v>#N/A</v>
      </c>
      <c r="K159" s="626" t="s">
        <v>2384</v>
      </c>
      <c r="L159" s="626" t="e">
        <f>VLOOKUP(I159,'BSPL Grouping'!A:D,4,FALSE)</f>
        <v>#N/A</v>
      </c>
    </row>
    <row r="160" spans="1:12">
      <c r="A160" s="632">
        <v>4372000</v>
      </c>
      <c r="B160" s="633" t="s">
        <v>2426</v>
      </c>
      <c r="C160" s="634">
        <f>IFERROR(VLOOKUP(A160,'[103]TB for financial'!$A$5:$S$1092,19,FALSE),0)</f>
        <v>-650</v>
      </c>
      <c r="D160" s="626">
        <f>VLOOKUP(A160,'BS Gr'!A:A,1,FALSE)</f>
        <v>4372000</v>
      </c>
      <c r="E160" s="626">
        <f>VLOOKUP(A160,'TB for financial'!A:A,1,0)</f>
        <v>4372000</v>
      </c>
      <c r="F160" s="1351">
        <f>VLOOKUP(A160,'TB for financial'!A:D,4,FALSE)</f>
        <v>0</v>
      </c>
      <c r="G160" s="1350">
        <f t="shared" si="2"/>
        <v>-650</v>
      </c>
      <c r="H160" s="626" t="s">
        <v>2533</v>
      </c>
      <c r="I160" s="626" t="e">
        <f>_xlfn.XLOOKUP(A160,'People Soft to Nessie to IRIS'!A:A,'People Soft to Nessie to IRIS'!C:C)</f>
        <v>#N/A</v>
      </c>
      <c r="K160" s="626" t="s">
        <v>2384</v>
      </c>
      <c r="L160" s="626" t="e">
        <f>VLOOKUP(I160,'BSPL Grouping'!A:D,4,FALSE)</f>
        <v>#N/A</v>
      </c>
    </row>
    <row r="161" spans="1:12">
      <c r="A161" s="632">
        <v>4373000</v>
      </c>
      <c r="B161" s="633" t="s">
        <v>2682</v>
      </c>
      <c r="C161" s="634">
        <f>IFERROR(VLOOKUP(A161,'[103]TB for financial'!$A$5:$S$1092,19,FALSE),0)</f>
        <v>434</v>
      </c>
      <c r="D161" s="626">
        <f>VLOOKUP(A161,'BS Gr'!A:A,1,FALSE)</f>
        <v>4373000</v>
      </c>
      <c r="E161" s="626">
        <f>VLOOKUP(A161,'TB for financial'!A:A,1,0)</f>
        <v>4373000</v>
      </c>
      <c r="F161" s="1351">
        <f>VLOOKUP(A161,'TB for financial'!A:D,4,FALSE)</f>
        <v>0</v>
      </c>
      <c r="G161" s="1350">
        <f t="shared" si="2"/>
        <v>434</v>
      </c>
      <c r="H161" s="626" t="s">
        <v>2533</v>
      </c>
      <c r="I161" s="626" t="e">
        <f>_xlfn.XLOOKUP(A161,'People Soft to Nessie to IRIS'!A:A,'People Soft to Nessie to IRIS'!C:C)</f>
        <v>#N/A</v>
      </c>
      <c r="K161" s="626" t="s">
        <v>2384</v>
      </c>
      <c r="L161" s="626" t="e">
        <f>VLOOKUP(I161,'BSPL Grouping'!A:D,4,FALSE)</f>
        <v>#N/A</v>
      </c>
    </row>
    <row r="162" spans="1:12">
      <c r="A162" s="1369">
        <v>4374070</v>
      </c>
      <c r="B162" s="633" t="s">
        <v>1427</v>
      </c>
      <c r="C162" s="634">
        <f>IFERROR(VLOOKUP(A162,'[103]TB for financial'!$A$5:$S$1092,19,FALSE),0)</f>
        <v>-10786.1</v>
      </c>
      <c r="D162" s="626">
        <f>VLOOKUP(A162,'BS Gr'!A:A,1,FALSE)</f>
        <v>4374070</v>
      </c>
      <c r="E162" s="626">
        <f>VLOOKUP(A162,'TB for financial'!A:A,1,0)</f>
        <v>4374070</v>
      </c>
      <c r="F162" s="1351">
        <f>VLOOKUP(A162,'TB for financial'!A:D,4,FALSE)</f>
        <v>0</v>
      </c>
      <c r="G162" s="1350">
        <f t="shared" si="2"/>
        <v>-10786.1</v>
      </c>
      <c r="H162" s="626" t="s">
        <v>2533</v>
      </c>
      <c r="I162" s="1370">
        <v>100451</v>
      </c>
      <c r="K162" s="626" t="s">
        <v>2384</v>
      </c>
      <c r="L162" s="626" t="str">
        <f>VLOOKUP(I162,'BSPL Grouping'!A:D,4,FALSE)</f>
        <v>Balance in Current Account</v>
      </c>
    </row>
    <row r="163" spans="1:12">
      <c r="A163" s="632">
        <v>4374080</v>
      </c>
      <c r="B163" s="633" t="s">
        <v>2427</v>
      </c>
      <c r="C163" s="634">
        <f>IFERROR(VLOOKUP(A163,'[103]TB for financial'!$A$5:$S$1092,19,FALSE),0)</f>
        <v>21199</v>
      </c>
      <c r="D163" s="626">
        <f>VLOOKUP(A163,'BS Gr'!A:A,1,FALSE)</f>
        <v>4374080</v>
      </c>
      <c r="E163" s="626">
        <f>VLOOKUP(A163,'TB for financial'!A:A,1,0)</f>
        <v>4374080</v>
      </c>
      <c r="F163" s="1351">
        <f>VLOOKUP(A163,'TB for financial'!A:D,4,FALSE)</f>
        <v>0</v>
      </c>
      <c r="G163" s="1350">
        <f t="shared" si="2"/>
        <v>21199</v>
      </c>
      <c r="H163" s="626" t="s">
        <v>2533</v>
      </c>
      <c r="I163" s="626">
        <v>100451</v>
      </c>
      <c r="K163" s="626" t="s">
        <v>2384</v>
      </c>
      <c r="L163" s="626" t="str">
        <f>VLOOKUP(I163,'BSPL Grouping'!A:D,4,FALSE)</f>
        <v>Balance in Current Account</v>
      </c>
    </row>
    <row r="164" spans="1:12">
      <c r="A164" s="632">
        <v>4386660</v>
      </c>
      <c r="B164" s="633" t="s">
        <v>2431</v>
      </c>
      <c r="C164" s="634">
        <f>IFERROR(VLOOKUP(A164,'[103]TB for financial'!$A$5:$S$1092,19,FALSE),0)</f>
        <v>9011</v>
      </c>
      <c r="D164" s="626">
        <f>VLOOKUP(A164,'BS Gr'!A:A,1,FALSE)</f>
        <v>4386660</v>
      </c>
      <c r="E164" s="626">
        <f>VLOOKUP(A164,'TB for financial'!A:A,1,0)</f>
        <v>4386660</v>
      </c>
      <c r="F164" s="1351">
        <f>VLOOKUP(A164,'TB for financial'!A:D,4,FALSE)</f>
        <v>0</v>
      </c>
      <c r="G164" s="1350">
        <f t="shared" ref="G164:G171" si="3">+C164-F164</f>
        <v>9011</v>
      </c>
      <c r="H164" s="626" t="s">
        <v>2533</v>
      </c>
      <c r="I164" s="626">
        <v>100452</v>
      </c>
      <c r="K164" s="626" t="s">
        <v>2384</v>
      </c>
      <c r="L164" s="626" t="str">
        <f>VLOOKUP(I164,'BSPL Grouping'!A:D,4,FALSE)</f>
        <v>Balance in Current Account</v>
      </c>
    </row>
    <row r="165" spans="1:12">
      <c r="A165" s="1369">
        <v>4458600</v>
      </c>
      <c r="B165" s="633" t="s">
        <v>2696</v>
      </c>
      <c r="C165" s="634">
        <f>IFERROR(VLOOKUP(A165,'[103]TB for financial'!$A$5:$S$1092,19,FALSE),0)</f>
        <v>0</v>
      </c>
      <c r="D165" s="626" t="e">
        <f>VLOOKUP(A165,'BS Gr'!A:A,1,FALSE)</f>
        <v>#N/A</v>
      </c>
      <c r="E165" s="626" t="e">
        <f>VLOOKUP(A165,'TB for financial'!A:A,1,0)</f>
        <v>#N/A</v>
      </c>
      <c r="F165" s="1351" t="e">
        <f>VLOOKUP(A165,'TB for financial'!A:D,4,FALSE)</f>
        <v>#N/A</v>
      </c>
      <c r="G165" s="1350" t="e">
        <f t="shared" si="3"/>
        <v>#N/A</v>
      </c>
      <c r="H165" s="626" t="s">
        <v>2533</v>
      </c>
      <c r="I165" s="1370">
        <v>100451</v>
      </c>
      <c r="K165" s="626" t="s">
        <v>2384</v>
      </c>
      <c r="L165" s="626" t="str">
        <f>VLOOKUP(I165,'BSPL Grouping'!A:D,4,FALSE)</f>
        <v>Balance in Current Account</v>
      </c>
    </row>
    <row r="166" spans="1:12">
      <c r="A166" s="632">
        <v>4458700</v>
      </c>
      <c r="B166" s="633" t="s">
        <v>2697</v>
      </c>
      <c r="C166" s="634">
        <f>IFERROR(VLOOKUP(A166,'[103]TB for financial'!$A$5:$S$1092,19,FALSE),0)</f>
        <v>0</v>
      </c>
      <c r="D166" s="626">
        <f>VLOOKUP(A166,'BS Gr'!A:A,1,FALSE)</f>
        <v>4458700</v>
      </c>
      <c r="E166" s="626">
        <f>VLOOKUP(A166,'TB for financial'!A:A,1,0)</f>
        <v>4458700</v>
      </c>
      <c r="F166" s="1351">
        <f>VLOOKUP(A166,'TB for financial'!A:D,4,FALSE)</f>
        <v>0</v>
      </c>
      <c r="G166" s="1350">
        <f t="shared" si="3"/>
        <v>0</v>
      </c>
      <c r="H166" s="626" t="s">
        <v>2533</v>
      </c>
      <c r="I166" s="626">
        <v>100451</v>
      </c>
      <c r="K166" s="626" t="s">
        <v>2384</v>
      </c>
      <c r="L166" s="626" t="str">
        <f>VLOOKUP(I166,'BSPL Grouping'!A:D,4,FALSE)</f>
        <v>Balance in Current Account</v>
      </c>
    </row>
    <row r="167" spans="1:12">
      <c r="A167" s="632">
        <v>4459160</v>
      </c>
      <c r="B167" s="633" t="s">
        <v>2698</v>
      </c>
      <c r="C167" s="634">
        <f>IFERROR(VLOOKUP(A167,'[103]TB for financial'!$A$5:$S$1092,19,FALSE),0)</f>
        <v>0</v>
      </c>
      <c r="D167" s="626">
        <f>VLOOKUP(A167,'BS Gr'!A:A,1,FALSE)</f>
        <v>4459160</v>
      </c>
      <c r="E167" s="626">
        <f>VLOOKUP(A167,'TB for financial'!A:A,1,0)</f>
        <v>4459160</v>
      </c>
      <c r="F167" s="1351">
        <f>VLOOKUP(A167,'TB for financial'!A:D,4,FALSE)</f>
        <v>0</v>
      </c>
      <c r="G167" s="1350">
        <f t="shared" si="3"/>
        <v>0</v>
      </c>
      <c r="H167" s="626" t="s">
        <v>2533</v>
      </c>
      <c r="I167" s="626">
        <v>100452</v>
      </c>
      <c r="K167" s="626" t="s">
        <v>2384</v>
      </c>
      <c r="L167" s="626" t="str">
        <f>VLOOKUP(I167,'BSPL Grouping'!A:D,4,FALSE)</f>
        <v>Balance in Current Account</v>
      </c>
    </row>
    <row r="168" spans="1:12">
      <c r="A168" s="1369">
        <v>4510000</v>
      </c>
      <c r="B168" s="633" t="s">
        <v>2699</v>
      </c>
      <c r="C168" s="634">
        <f>IFERROR(VLOOKUP(A168,'[103]TB for financial'!$A$5:$S$1092,19,FALSE),0)</f>
        <v>442591.41000000015</v>
      </c>
      <c r="D168" s="626">
        <f>VLOOKUP(A168,'BS Gr'!A:A,1,FALSE)</f>
        <v>4510000</v>
      </c>
      <c r="E168" s="626">
        <f>VLOOKUP(A168,'TB for financial'!A:A,1,0)</f>
        <v>4510000</v>
      </c>
      <c r="F168" s="1351">
        <f>VLOOKUP(A168,'TB for financial'!A:D,4,FALSE)</f>
        <v>0</v>
      </c>
      <c r="G168" s="1350">
        <f t="shared" si="3"/>
        <v>442591.41000000015</v>
      </c>
      <c r="H168" s="626" t="s">
        <v>2533</v>
      </c>
      <c r="I168" s="1370">
        <v>100451</v>
      </c>
      <c r="K168" s="626" t="s">
        <v>2384</v>
      </c>
      <c r="L168" s="626" t="str">
        <f>VLOOKUP(I168,'BSPL Grouping'!A:D,4,FALSE)</f>
        <v>Balance in Current Account</v>
      </c>
    </row>
    <row r="169" spans="1:12">
      <c r="A169" s="632">
        <v>4550000</v>
      </c>
      <c r="B169" s="633" t="s">
        <v>2684</v>
      </c>
      <c r="C169" s="634">
        <f>IFERROR(VLOOKUP(A169,'[103]TB for financial'!$A$5:$S$1092,19,FALSE),0)</f>
        <v>-623284.12000000011</v>
      </c>
      <c r="D169" s="626">
        <f>VLOOKUP(A169,'BS Gr'!A:A,1,FALSE)</f>
        <v>4550000</v>
      </c>
      <c r="E169" s="626">
        <f>VLOOKUP(A169,'TB for financial'!A:A,1,0)</f>
        <v>4550000</v>
      </c>
      <c r="F169" s="1351">
        <f>VLOOKUP(A169,'TB for financial'!A:D,4,FALSE)</f>
        <v>0</v>
      </c>
      <c r="G169" s="1350">
        <f t="shared" si="3"/>
        <v>-623284.12000000011</v>
      </c>
      <c r="H169" s="626" t="s">
        <v>2533</v>
      </c>
      <c r="I169" s="626" t="e">
        <f>_xlfn.XLOOKUP(A169,'People Soft to Nessie to IRIS'!A:A,'People Soft to Nessie to IRIS'!C:C)</f>
        <v>#N/A</v>
      </c>
      <c r="K169" s="626" t="s">
        <v>2384</v>
      </c>
      <c r="L169" s="626" t="e">
        <f>VLOOKUP(I169,'BSPL Grouping'!A:D,4,FALSE)</f>
        <v>#N/A</v>
      </c>
    </row>
    <row r="170" spans="1:12">
      <c r="A170" s="632">
        <v>4670100</v>
      </c>
      <c r="B170" s="633" t="s">
        <v>2700</v>
      </c>
      <c r="C170" s="634">
        <f>IFERROR(VLOOKUP(A170,'[103]TB for financial'!$A$5:$S$1092,19,FALSE),0)</f>
        <v>0</v>
      </c>
      <c r="D170" s="626" t="e">
        <f>VLOOKUP(A170,'BS Gr'!A:A,1,FALSE)</f>
        <v>#N/A</v>
      </c>
      <c r="E170" s="626" t="e">
        <f>VLOOKUP(A170,'TB for financial'!A:A,1,0)</f>
        <v>#N/A</v>
      </c>
      <c r="F170" s="1351" t="e">
        <f>VLOOKUP(A170,'TB for financial'!A:D,4,FALSE)</f>
        <v>#N/A</v>
      </c>
      <c r="G170" s="1350" t="e">
        <f t="shared" si="3"/>
        <v>#N/A</v>
      </c>
      <c r="H170" s="626" t="s">
        <v>2533</v>
      </c>
      <c r="I170" s="626" t="e">
        <f>_xlfn.XLOOKUP(A170,'People Soft to Nessie to IRIS'!A:A,'People Soft to Nessie to IRIS'!C:C)</f>
        <v>#N/A</v>
      </c>
      <c r="K170" s="626" t="s">
        <v>2384</v>
      </c>
      <c r="L170" s="626" t="e">
        <f>VLOOKUP(I170,'BSPL Grouping'!A:D,4,FALSE)</f>
        <v>#N/A</v>
      </c>
    </row>
    <row r="171" spans="1:12">
      <c r="A171" s="1369">
        <v>4880000</v>
      </c>
      <c r="B171" s="633" t="s">
        <v>2443</v>
      </c>
      <c r="C171" s="634">
        <f>IFERROR(VLOOKUP(A171,'[103]TB for financial'!$A$5:$S$1092,19,FALSE),0)</f>
        <v>-182719.09999999998</v>
      </c>
      <c r="D171" s="626">
        <f>VLOOKUP(A171,'BS Gr'!A:A,1,FALSE)</f>
        <v>4880000</v>
      </c>
      <c r="E171" s="626">
        <f>VLOOKUP(A171,'TB for financial'!A:A,1,0)</f>
        <v>4880000</v>
      </c>
      <c r="F171" s="1351">
        <f>VLOOKUP(A171,'TB for financial'!A:D,4,FALSE)</f>
        <v>0</v>
      </c>
      <c r="G171" s="1350">
        <f t="shared" si="3"/>
        <v>-182719.09999999998</v>
      </c>
      <c r="H171" s="626" t="s">
        <v>2533</v>
      </c>
      <c r="I171" s="1370">
        <v>100451</v>
      </c>
      <c r="K171" s="626" t="s">
        <v>2384</v>
      </c>
      <c r="L171" s="626" t="str">
        <f>VLOOKUP(I171,'BSPL Grouping'!A:D,4,FALSE)</f>
        <v>Balance in Current Account</v>
      </c>
    </row>
    <row r="172" spans="1:12">
      <c r="A172" s="632">
        <v>5120276</v>
      </c>
      <c r="B172" s="633" t="s">
        <v>2678</v>
      </c>
      <c r="C172" s="634">
        <f>IFERROR(VLOOKUP(A172,'[103]TB for financial'!$A$5:$S$1092,19,FALSE),0)</f>
        <v>-88603.710000000894</v>
      </c>
      <c r="D172" s="626">
        <f>VLOOKUP(A172,'BS Gr'!A:A,1,FALSE)</f>
        <v>5120276</v>
      </c>
      <c r="E172" s="626">
        <f>VLOOKUP(A172,'TB for financial'!A:A,1,0)</f>
        <v>5120276</v>
      </c>
      <c r="F172" s="1351">
        <f>VLOOKUP(A172,'TB for financial'!A:D,4,FALSE)</f>
        <v>87942.839999999851</v>
      </c>
      <c r="G172" s="1350"/>
    </row>
    <row r="173" spans="1:12">
      <c r="A173" s="632">
        <v>51120215</v>
      </c>
      <c r="B173" s="633" t="s">
        <v>2526</v>
      </c>
      <c r="C173" s="634">
        <f>IFERROR(VLOOKUP(A173,'[103]TB for financial'!$A$5:$S$1092,19,FALSE),0)</f>
        <v>3000000</v>
      </c>
      <c r="D173" s="626">
        <f>VLOOKUP(A173,'BS Gr'!A:A,1,FALSE)</f>
        <v>51120215</v>
      </c>
      <c r="E173" s="626">
        <f>VLOOKUP(A173,'TB for financial'!A:A,1,0)</f>
        <v>51120215</v>
      </c>
      <c r="F173" s="1351">
        <f>VLOOKUP(A173,'TB for financial'!A:D,4,FALSE)</f>
        <v>0</v>
      </c>
      <c r="G173" s="1350">
        <f t="shared" ref="G173:G204" si="4">+C173-F173</f>
        <v>3000000</v>
      </c>
      <c r="H173" s="626" t="s">
        <v>2383</v>
      </c>
      <c r="K173" s="626" t="s">
        <v>2385</v>
      </c>
      <c r="L173" s="626" t="e">
        <f>VLOOKUP(A173,'BSPL Grouping'!A:D,4,FALSE)</f>
        <v>#N/A</v>
      </c>
    </row>
    <row r="174" spans="1:12">
      <c r="A174" s="632">
        <v>51120217</v>
      </c>
      <c r="B174" s="633" t="s">
        <v>2526</v>
      </c>
      <c r="C174" s="634">
        <f>IFERROR(VLOOKUP(A174,'[103]TB for financial'!$A$5:$S$1092,19,FALSE),0)</f>
        <v>20900000</v>
      </c>
      <c r="D174" s="626">
        <f>VLOOKUP(A174,'BS Gr'!A:A,1,FALSE)</f>
        <v>51120217</v>
      </c>
      <c r="E174" s="626">
        <f>VLOOKUP(A174,'TB for financial'!A:A,1,0)</f>
        <v>51120217</v>
      </c>
      <c r="F174" s="1351">
        <f>VLOOKUP(A174,'TB for financial'!A:D,4,FALSE)</f>
        <v>0</v>
      </c>
      <c r="G174" s="1350">
        <f t="shared" si="4"/>
        <v>20900000</v>
      </c>
      <c r="H174" s="626" t="s">
        <v>2383</v>
      </c>
      <c r="K174" s="626" t="s">
        <v>2385</v>
      </c>
      <c r="L174" s="626" t="e">
        <f>VLOOKUP(A174,'BSPL Grouping'!A:D,4,FALSE)</f>
        <v>#N/A</v>
      </c>
    </row>
    <row r="175" spans="1:12">
      <c r="A175" s="632">
        <v>51150215</v>
      </c>
      <c r="B175" s="633" t="s">
        <v>2527</v>
      </c>
      <c r="C175" s="634">
        <f>IFERROR(VLOOKUP(A175,'[103]TB for financial'!$A$5:$S$1092,19,FALSE),0)</f>
        <v>-1259372</v>
      </c>
      <c r="D175" s="626">
        <f>VLOOKUP(A175,'BS Gr'!A:A,1,FALSE)</f>
        <v>51150215</v>
      </c>
      <c r="E175" s="626">
        <f>VLOOKUP(A175,'TB for financial'!A:A,1,0)</f>
        <v>51150215</v>
      </c>
      <c r="F175" s="1351">
        <f>VLOOKUP(A175,'TB for financial'!A:D,4,FALSE)</f>
        <v>0</v>
      </c>
      <c r="G175" s="1350">
        <f t="shared" si="4"/>
        <v>-1259372</v>
      </c>
      <c r="H175" s="626" t="s">
        <v>2383</v>
      </c>
      <c r="K175" s="626" t="s">
        <v>2385</v>
      </c>
      <c r="L175" s="626" t="e">
        <f>VLOOKUP(A175,'BSPL Grouping'!A:D,4,FALSE)</f>
        <v>#N/A</v>
      </c>
    </row>
    <row r="176" spans="1:12">
      <c r="A176" s="632">
        <v>51150216</v>
      </c>
      <c r="B176" s="633" t="s">
        <v>2527</v>
      </c>
      <c r="C176" s="634">
        <f>IFERROR(VLOOKUP(A176,'[103]TB for financial'!$A$5:$S$1092,19,FALSE),0)</f>
        <v>-431085</v>
      </c>
      <c r="D176" s="626">
        <f>VLOOKUP(A176,'BS Gr'!A:A,1,FALSE)</f>
        <v>51150216</v>
      </c>
      <c r="E176" s="626">
        <f>VLOOKUP(A176,'TB for financial'!A:A,1,0)</f>
        <v>51150216</v>
      </c>
      <c r="F176" s="1351">
        <f>VLOOKUP(A176,'TB for financial'!A:D,4,FALSE)</f>
        <v>0</v>
      </c>
      <c r="G176" s="1350">
        <f t="shared" si="4"/>
        <v>-431085</v>
      </c>
      <c r="H176" s="626" t="s">
        <v>2383</v>
      </c>
      <c r="K176" s="626" t="s">
        <v>2385</v>
      </c>
      <c r="L176" s="626" t="e">
        <f>VLOOKUP(A176,'BSPL Grouping'!A:D,4,FALSE)</f>
        <v>#N/A</v>
      </c>
    </row>
    <row r="177" spans="1:12">
      <c r="A177" s="632">
        <v>51150217</v>
      </c>
      <c r="B177" s="633" t="s">
        <v>2527</v>
      </c>
      <c r="C177" s="634">
        <f>IFERROR(VLOOKUP(A177,'[103]TB for financial'!$A$5:$S$1092,19,FALSE),0)</f>
        <v>-22000000</v>
      </c>
      <c r="D177" s="626">
        <f>VLOOKUP(A177,'BS Gr'!A:A,1,FALSE)</f>
        <v>51150217</v>
      </c>
      <c r="E177" s="626">
        <f>VLOOKUP(A177,'TB for financial'!A:A,1,0)</f>
        <v>51150217</v>
      </c>
      <c r="F177" s="1351">
        <f>VLOOKUP(A177,'TB for financial'!A:D,4,FALSE)</f>
        <v>0</v>
      </c>
      <c r="G177" s="1350">
        <f t="shared" si="4"/>
        <v>-22000000</v>
      </c>
      <c r="H177" s="626" t="s">
        <v>2383</v>
      </c>
      <c r="K177" s="626" t="s">
        <v>2385</v>
      </c>
      <c r="L177" s="626" t="e">
        <f>VLOOKUP(A177,'BSPL Grouping'!A:D,4,FALSE)</f>
        <v>#N/A</v>
      </c>
    </row>
    <row r="178" spans="1:12">
      <c r="A178" s="632">
        <v>51200208</v>
      </c>
      <c r="B178" s="633" t="s">
        <v>2447</v>
      </c>
      <c r="C178" s="634">
        <f>IFERROR(VLOOKUP(A178,'[103]TB for financial'!$A$5:$S$1092,19,FALSE),0)</f>
        <v>0</v>
      </c>
      <c r="D178" s="626">
        <f>VLOOKUP(A178,'BS Gr'!A:A,1,FALSE)</f>
        <v>51200208</v>
      </c>
      <c r="E178" s="626">
        <f>VLOOKUP(A178,'TB for financial'!A:A,1,0)</f>
        <v>51200208</v>
      </c>
      <c r="F178" s="1351">
        <f>VLOOKUP(A178,'TB for financial'!A:D,4,FALSE)</f>
        <v>0</v>
      </c>
      <c r="G178" s="1350">
        <f t="shared" si="4"/>
        <v>0</v>
      </c>
      <c r="H178" s="626" t="s">
        <v>2383</v>
      </c>
      <c r="K178" s="626" t="s">
        <v>2385</v>
      </c>
      <c r="L178" s="626" t="e">
        <f>VLOOKUP(A178,'BSPL Grouping'!A:D,4,FALSE)</f>
        <v>#N/A</v>
      </c>
    </row>
    <row r="179" spans="1:12">
      <c r="A179" s="632">
        <v>51200215</v>
      </c>
      <c r="B179" s="633" t="s">
        <v>2448</v>
      </c>
      <c r="C179" s="634">
        <f>IFERROR(VLOOKUP(A179,'[103]TB for financial'!$A$5:$S$1092,19,FALSE),0)</f>
        <v>-1537995.9400000162</v>
      </c>
      <c r="D179" s="626">
        <f>VLOOKUP(A179,'BS Gr'!A:A,1,FALSE)</f>
        <v>51200215</v>
      </c>
      <c r="E179" s="626">
        <f>VLOOKUP(A179,'TB for financial'!A:A,1,0)</f>
        <v>51200215</v>
      </c>
      <c r="F179" s="1351">
        <f>VLOOKUP(A179,'TB for financial'!A:D,4,FALSE)</f>
        <v>-195665.94000005722</v>
      </c>
      <c r="G179" s="1350">
        <f t="shared" si="4"/>
        <v>-1342329.999999959</v>
      </c>
      <c r="H179" s="626" t="s">
        <v>2383</v>
      </c>
      <c r="K179" s="626" t="s">
        <v>2385</v>
      </c>
      <c r="L179" s="626" t="e">
        <f>VLOOKUP(A179,'BSPL Grouping'!A:D,4,FALSE)</f>
        <v>#N/A</v>
      </c>
    </row>
    <row r="180" spans="1:12">
      <c r="A180" s="632">
        <v>51200217</v>
      </c>
      <c r="B180" s="633" t="s">
        <v>2448</v>
      </c>
      <c r="C180" s="634">
        <f>IFERROR(VLOOKUP(A180,'[103]TB for financial'!$A$5:$S$1092,19,FALSE),0)</f>
        <v>1100000</v>
      </c>
      <c r="D180" s="626">
        <f>VLOOKUP(A180,'BS Gr'!A:A,1,FALSE)</f>
        <v>51200217</v>
      </c>
      <c r="E180" s="626">
        <f>VLOOKUP(A180,'TB for financial'!A:A,1,0)</f>
        <v>51200217</v>
      </c>
      <c r="F180" s="1351">
        <f>VLOOKUP(A180,'TB for financial'!A:D,4,FALSE)</f>
        <v>0</v>
      </c>
      <c r="G180" s="1350">
        <f t="shared" si="4"/>
        <v>1100000</v>
      </c>
      <c r="H180" s="626" t="s">
        <v>2383</v>
      </c>
      <c r="K180" s="626" t="s">
        <v>2385</v>
      </c>
      <c r="L180" s="626" t="e">
        <f>VLOOKUP(A180,'BSPL Grouping'!A:D,4,FALSE)</f>
        <v>#N/A</v>
      </c>
    </row>
    <row r="181" spans="1:12">
      <c r="A181" s="632"/>
      <c r="B181" s="633"/>
      <c r="C181" s="634">
        <f>IFERROR(VLOOKUP(A181,'[103]TB for financial'!$A$5:$S$1092,19,FALSE),0)</f>
        <v>0</v>
      </c>
      <c r="D181" s="626" t="e">
        <f>VLOOKUP(A181,'PL Gr'!A:A,1,FALSE)</f>
        <v>#N/A</v>
      </c>
      <c r="E181" s="626" t="e">
        <f>VLOOKUP(A181,'TB for financial'!A:A,1,0)</f>
        <v>#N/A</v>
      </c>
      <c r="F181" s="1351" t="e">
        <f>VLOOKUP(A181,'TB for financial'!A:D,4,FALSE)</f>
        <v>#N/A</v>
      </c>
      <c r="G181" s="1350" t="e">
        <f t="shared" si="4"/>
        <v>#N/A</v>
      </c>
      <c r="H181" s="626" t="s">
        <v>2383</v>
      </c>
      <c r="K181" s="626" t="s">
        <v>2385</v>
      </c>
      <c r="L181" s="626" t="e">
        <f>VLOOKUP(A181,'BSPL Grouping'!A:D,4,FALSE)</f>
        <v>#N/A</v>
      </c>
    </row>
    <row r="182" spans="1:12">
      <c r="A182" s="632"/>
      <c r="B182" s="633"/>
      <c r="C182" s="634">
        <f>IFERROR(VLOOKUP(A182,'[103]TB for financial'!$A$5:$S$1092,19,FALSE),0)</f>
        <v>0</v>
      </c>
      <c r="D182" s="626" t="e">
        <f>VLOOKUP(A182,'PL Gr'!A:A,1,FALSE)</f>
        <v>#N/A</v>
      </c>
      <c r="E182" s="626" t="e">
        <f>VLOOKUP(A182,'TB for financial'!A:A,1,0)</f>
        <v>#N/A</v>
      </c>
      <c r="F182" s="1351" t="e">
        <f>VLOOKUP(A182,'TB for financial'!A:D,4,FALSE)</f>
        <v>#N/A</v>
      </c>
      <c r="G182" s="1350" t="e">
        <f t="shared" si="4"/>
        <v>#N/A</v>
      </c>
      <c r="H182" s="626" t="s">
        <v>2383</v>
      </c>
      <c r="K182" s="626" t="s">
        <v>2385</v>
      </c>
      <c r="L182" s="626" t="e">
        <f>VLOOKUP(A182,'BSPL Grouping'!A:D,4,FALSE)</f>
        <v>#N/A</v>
      </c>
    </row>
    <row r="183" spans="1:12">
      <c r="A183" s="632"/>
      <c r="B183" s="633"/>
      <c r="C183" s="634">
        <f>IFERROR(VLOOKUP(A183,'[103]TB for financial'!$A$5:$S$1092,19,FALSE),0)</f>
        <v>0</v>
      </c>
      <c r="D183" s="626" t="e">
        <f>VLOOKUP(A183,'PL Gr'!A:A,1,FALSE)</f>
        <v>#N/A</v>
      </c>
      <c r="E183" s="626" t="e">
        <f>VLOOKUP(A183,'TB for financial'!A:A,1,0)</f>
        <v>#N/A</v>
      </c>
      <c r="F183" s="1351" t="e">
        <f>VLOOKUP(A183,'TB for financial'!A:D,4,FALSE)</f>
        <v>#N/A</v>
      </c>
      <c r="G183" s="1350" t="e">
        <f t="shared" si="4"/>
        <v>#N/A</v>
      </c>
      <c r="H183" s="626" t="s">
        <v>2383</v>
      </c>
      <c r="K183" s="626" t="s">
        <v>2385</v>
      </c>
      <c r="L183" s="626" t="e">
        <f>VLOOKUP(A183,'BSPL Grouping'!A:D,4,FALSE)</f>
        <v>#N/A</v>
      </c>
    </row>
    <row r="184" spans="1:12">
      <c r="A184" s="632"/>
      <c r="B184" s="633"/>
      <c r="C184" s="634">
        <f>IFERROR(VLOOKUP(A184,'[103]TB for financial'!$A$5:$S$1092,19,FALSE),0)</f>
        <v>0</v>
      </c>
      <c r="D184" s="626" t="e">
        <f>VLOOKUP(A184,'PL Gr'!A:A,1,FALSE)</f>
        <v>#N/A</v>
      </c>
      <c r="E184" s="626" t="e">
        <f>VLOOKUP(A184,'TB for financial'!A:A,1,0)</f>
        <v>#N/A</v>
      </c>
      <c r="F184" s="1351" t="e">
        <f>VLOOKUP(A184,'TB for financial'!A:D,4,FALSE)</f>
        <v>#N/A</v>
      </c>
      <c r="G184" s="1350" t="e">
        <f t="shared" si="4"/>
        <v>#N/A</v>
      </c>
      <c r="H184" s="626" t="s">
        <v>2383</v>
      </c>
      <c r="K184" s="626" t="s">
        <v>2385</v>
      </c>
      <c r="L184" s="626" t="e">
        <f>VLOOKUP(A184,'BSPL Grouping'!A:D,4,FALSE)</f>
        <v>#N/A</v>
      </c>
    </row>
    <row r="185" spans="1:12">
      <c r="A185" s="632"/>
      <c r="B185" s="633"/>
      <c r="C185" s="634">
        <f>IFERROR(VLOOKUP(A185,'[103]TB for financial'!$A$5:$S$1092,19,FALSE),0)</f>
        <v>0</v>
      </c>
      <c r="D185" s="626" t="e">
        <f>VLOOKUP(A185,'PL Gr'!A:A,1,FALSE)</f>
        <v>#N/A</v>
      </c>
      <c r="E185" s="626" t="e">
        <f>VLOOKUP(A185,'TB for financial'!A:A,1,0)</f>
        <v>#N/A</v>
      </c>
      <c r="F185" s="1351" t="e">
        <f>VLOOKUP(A185,'TB for financial'!A:D,4,FALSE)</f>
        <v>#N/A</v>
      </c>
      <c r="G185" s="1350" t="e">
        <f t="shared" si="4"/>
        <v>#N/A</v>
      </c>
      <c r="H185" s="626" t="s">
        <v>2383</v>
      </c>
      <c r="K185" s="626" t="s">
        <v>2385</v>
      </c>
      <c r="L185" s="626" t="e">
        <f>VLOOKUP(A185,'BSPL Grouping'!A:D,4,FALSE)</f>
        <v>#N/A</v>
      </c>
    </row>
    <row r="186" spans="1:12">
      <c r="A186" s="632"/>
      <c r="B186" s="633"/>
      <c r="C186" s="634">
        <f>IFERROR(VLOOKUP(A186,'[103]TB for financial'!$A$5:$S$1092,19,FALSE),0)</f>
        <v>0</v>
      </c>
      <c r="D186" s="626" t="e">
        <f>VLOOKUP(A186,'PL Gr'!A:A,1,FALSE)</f>
        <v>#N/A</v>
      </c>
      <c r="E186" s="626" t="e">
        <f>VLOOKUP(A186,'TB for financial'!A:A,1,0)</f>
        <v>#N/A</v>
      </c>
      <c r="F186" s="1351" t="e">
        <f>VLOOKUP(A186,'TB for financial'!A:D,4,FALSE)</f>
        <v>#N/A</v>
      </c>
      <c r="G186" s="1350" t="e">
        <f t="shared" si="4"/>
        <v>#N/A</v>
      </c>
      <c r="H186" s="626" t="s">
        <v>2383</v>
      </c>
      <c r="K186" s="626" t="s">
        <v>2385</v>
      </c>
      <c r="L186" s="626" t="e">
        <f>VLOOKUP(A186,'BSPL Grouping'!A:D,4,FALSE)</f>
        <v>#N/A</v>
      </c>
    </row>
    <row r="187" spans="1:12">
      <c r="A187" s="632"/>
      <c r="B187" s="633"/>
      <c r="C187" s="634">
        <f>IFERROR(VLOOKUP(A187,'[103]TB for financial'!$A$5:$S$1092,19,FALSE),0)</f>
        <v>0</v>
      </c>
      <c r="D187" s="626" t="e">
        <f>VLOOKUP(A187,'PL Gr'!A:A,1,FALSE)</f>
        <v>#N/A</v>
      </c>
      <c r="E187" s="626" t="e">
        <f>VLOOKUP(A187,'TB for financial'!A:A,1,0)</f>
        <v>#N/A</v>
      </c>
      <c r="F187" s="1351" t="e">
        <f>VLOOKUP(A187,'TB for financial'!A:D,4,FALSE)</f>
        <v>#N/A</v>
      </c>
      <c r="G187" s="1350" t="e">
        <f t="shared" si="4"/>
        <v>#N/A</v>
      </c>
      <c r="H187" s="626" t="s">
        <v>2383</v>
      </c>
      <c r="K187" s="626" t="s">
        <v>2385</v>
      </c>
      <c r="L187" s="626" t="e">
        <f>VLOOKUP(A187,'BSPL Grouping'!A:D,4,FALSE)</f>
        <v>#N/A</v>
      </c>
    </row>
    <row r="188" spans="1:12">
      <c r="A188" s="632"/>
      <c r="B188" s="633"/>
      <c r="C188" s="634">
        <f>IFERROR(VLOOKUP(A188,'[103]TB for financial'!$A$5:$S$1092,19,FALSE),0)</f>
        <v>0</v>
      </c>
      <c r="D188" s="626" t="e">
        <f>VLOOKUP(A188,'PL Gr'!A:A,1,FALSE)</f>
        <v>#N/A</v>
      </c>
      <c r="E188" s="626" t="e">
        <f>VLOOKUP(A188,'TB for financial'!A:A,1,0)</f>
        <v>#N/A</v>
      </c>
      <c r="F188" s="1351" t="e">
        <f>VLOOKUP(A188,'TB for financial'!A:D,4,FALSE)</f>
        <v>#N/A</v>
      </c>
      <c r="G188" s="1350" t="e">
        <f t="shared" si="4"/>
        <v>#N/A</v>
      </c>
      <c r="H188" s="626" t="s">
        <v>2383</v>
      </c>
      <c r="K188" s="626" t="s">
        <v>2385</v>
      </c>
      <c r="L188" s="626" t="e">
        <f>VLOOKUP(A188,'BSPL Grouping'!A:D,4,FALSE)</f>
        <v>#N/A</v>
      </c>
    </row>
    <row r="189" spans="1:12">
      <c r="A189" s="632"/>
      <c r="B189" s="633"/>
      <c r="C189" s="634">
        <f>IFERROR(VLOOKUP(A189,'[103]TB for financial'!$A$5:$S$1092,19,FALSE),0)</f>
        <v>0</v>
      </c>
      <c r="D189" s="626" t="e">
        <f>VLOOKUP(A189,'PL Gr'!A:A,1,FALSE)</f>
        <v>#N/A</v>
      </c>
      <c r="E189" s="626" t="e">
        <f>VLOOKUP(A189,'TB for financial'!A:A,1,0)</f>
        <v>#N/A</v>
      </c>
      <c r="F189" s="1351" t="e">
        <f>VLOOKUP(A189,'TB for financial'!A:D,4,FALSE)</f>
        <v>#N/A</v>
      </c>
      <c r="G189" s="1350" t="e">
        <f t="shared" si="4"/>
        <v>#N/A</v>
      </c>
      <c r="H189" s="626" t="s">
        <v>2383</v>
      </c>
      <c r="K189" s="626" t="s">
        <v>2385</v>
      </c>
      <c r="L189" s="626" t="e">
        <f>VLOOKUP(A189,'BSPL Grouping'!A:D,4,FALSE)</f>
        <v>#N/A</v>
      </c>
    </row>
    <row r="190" spans="1:12">
      <c r="A190" s="632"/>
      <c r="B190" s="633"/>
      <c r="C190" s="634">
        <f>IFERROR(VLOOKUP(A190,'[103]TB for financial'!$A$5:$S$1092,19,FALSE),0)</f>
        <v>0</v>
      </c>
      <c r="D190" s="626" t="e">
        <f>VLOOKUP(A190,'PL Gr'!A:A,1,FALSE)</f>
        <v>#N/A</v>
      </c>
      <c r="E190" s="626" t="e">
        <f>VLOOKUP(A190,'TB for financial'!A:A,1,0)</f>
        <v>#N/A</v>
      </c>
      <c r="F190" s="1351" t="e">
        <f>VLOOKUP(A190,'TB for financial'!A:D,4,FALSE)</f>
        <v>#N/A</v>
      </c>
      <c r="G190" s="1350" t="e">
        <f t="shared" si="4"/>
        <v>#N/A</v>
      </c>
      <c r="H190" s="626" t="s">
        <v>2383</v>
      </c>
      <c r="K190" s="626" t="s">
        <v>2385</v>
      </c>
      <c r="L190" s="626" t="e">
        <f>VLOOKUP(A190,'BSPL Grouping'!A:D,4,FALSE)</f>
        <v>#N/A</v>
      </c>
    </row>
    <row r="191" spans="1:12">
      <c r="A191" s="632"/>
      <c r="B191" s="633"/>
      <c r="C191" s="634">
        <f>IFERROR(VLOOKUP(A191,'[103]TB for financial'!$A$5:$S$1092,19,FALSE),0)</f>
        <v>0</v>
      </c>
      <c r="D191" s="626" t="e">
        <f>VLOOKUP(A191,'PL Gr'!A:A,1,FALSE)</f>
        <v>#N/A</v>
      </c>
      <c r="E191" s="626" t="e">
        <f>VLOOKUP(A191,'TB for financial'!A:A,1,0)</f>
        <v>#N/A</v>
      </c>
      <c r="F191" s="1351" t="e">
        <f>VLOOKUP(A191,'TB for financial'!A:D,4,FALSE)</f>
        <v>#N/A</v>
      </c>
      <c r="G191" s="1350" t="e">
        <f t="shared" si="4"/>
        <v>#N/A</v>
      </c>
      <c r="H191" s="626" t="s">
        <v>2383</v>
      </c>
      <c r="K191" s="626" t="s">
        <v>2385</v>
      </c>
      <c r="L191" s="626" t="e">
        <f>VLOOKUP(A191,'BSPL Grouping'!A:D,4,FALSE)</f>
        <v>#N/A</v>
      </c>
    </row>
    <row r="192" spans="1:12">
      <c r="A192" s="632"/>
      <c r="B192" s="633"/>
      <c r="C192" s="634">
        <f>IFERROR(VLOOKUP(A192,'[103]TB for financial'!$A$5:$S$1092,19,FALSE),0)</f>
        <v>0</v>
      </c>
      <c r="D192" s="626" t="e">
        <f>VLOOKUP(A192,'PL Gr'!A:A,1,FALSE)</f>
        <v>#N/A</v>
      </c>
      <c r="E192" s="626" t="e">
        <f>VLOOKUP(A192,'TB for financial'!A:A,1,0)</f>
        <v>#N/A</v>
      </c>
      <c r="F192" s="1351" t="e">
        <f>VLOOKUP(A192,'TB for financial'!A:D,4,FALSE)</f>
        <v>#N/A</v>
      </c>
      <c r="G192" s="1350" t="e">
        <f t="shared" si="4"/>
        <v>#N/A</v>
      </c>
      <c r="H192" s="626" t="s">
        <v>2383</v>
      </c>
      <c r="K192" s="626" t="s">
        <v>2385</v>
      </c>
      <c r="L192" s="626" t="e">
        <f>VLOOKUP(A192,'BSPL Grouping'!A:D,4,FALSE)</f>
        <v>#N/A</v>
      </c>
    </row>
    <row r="193" spans="1:12">
      <c r="A193" s="632"/>
      <c r="B193" s="633"/>
      <c r="C193" s="634">
        <f>IFERROR(VLOOKUP(A193,'[103]TB for financial'!$A$5:$S$1092,19,FALSE),0)</f>
        <v>0</v>
      </c>
      <c r="D193" s="626" t="e">
        <f>VLOOKUP(A193,'PL Gr'!A:A,1,FALSE)</f>
        <v>#N/A</v>
      </c>
      <c r="E193" s="626" t="e">
        <f>VLOOKUP(A193,'TB for financial'!A:A,1,0)</f>
        <v>#N/A</v>
      </c>
      <c r="F193" s="1351" t="e">
        <f>VLOOKUP(A193,'TB for financial'!A:D,4,FALSE)</f>
        <v>#N/A</v>
      </c>
      <c r="G193" s="1350" t="e">
        <f t="shared" si="4"/>
        <v>#N/A</v>
      </c>
      <c r="H193" s="626" t="s">
        <v>2383</v>
      </c>
      <c r="K193" s="626" t="s">
        <v>2385</v>
      </c>
      <c r="L193" s="626" t="e">
        <f>VLOOKUP(A193,'BSPL Grouping'!A:D,4,FALSE)</f>
        <v>#N/A</v>
      </c>
    </row>
    <row r="194" spans="1:12">
      <c r="A194" s="632"/>
      <c r="B194" s="633"/>
      <c r="C194" s="634">
        <f>IFERROR(VLOOKUP(A194,'[103]TB for financial'!$A$5:$S$1092,19,FALSE),0)</f>
        <v>0</v>
      </c>
      <c r="D194" s="626" t="e">
        <f>VLOOKUP(A194,'PL Gr'!A:A,1,FALSE)</f>
        <v>#N/A</v>
      </c>
      <c r="E194" s="626" t="e">
        <f>VLOOKUP(A194,'TB for financial'!A:A,1,0)</f>
        <v>#N/A</v>
      </c>
      <c r="F194" s="1351" t="e">
        <f>VLOOKUP(A194,'TB for financial'!A:D,4,FALSE)</f>
        <v>#N/A</v>
      </c>
      <c r="G194" s="1350" t="e">
        <f t="shared" si="4"/>
        <v>#N/A</v>
      </c>
      <c r="H194" s="626" t="s">
        <v>2383</v>
      </c>
      <c r="K194" s="626" t="s">
        <v>2385</v>
      </c>
      <c r="L194" s="626" t="e">
        <f>VLOOKUP(A194,'BSPL Grouping'!A:D,4,FALSE)</f>
        <v>#N/A</v>
      </c>
    </row>
    <row r="195" spans="1:12">
      <c r="A195" s="632"/>
      <c r="B195" s="633"/>
      <c r="C195" s="634">
        <f>IFERROR(VLOOKUP(A195,'[103]TB for financial'!$A$5:$S$1092,19,FALSE),0)</f>
        <v>0</v>
      </c>
      <c r="D195" s="626" t="e">
        <f>VLOOKUP(A195,'PL Gr'!A:A,1,FALSE)</f>
        <v>#N/A</v>
      </c>
      <c r="E195" s="626" t="e">
        <f>VLOOKUP(A195,'TB for financial'!A:A,1,0)</f>
        <v>#N/A</v>
      </c>
      <c r="F195" s="1351" t="e">
        <f>VLOOKUP(A195,'TB for financial'!A:D,4,FALSE)</f>
        <v>#N/A</v>
      </c>
      <c r="G195" s="1350" t="e">
        <f t="shared" si="4"/>
        <v>#N/A</v>
      </c>
      <c r="H195" s="626" t="s">
        <v>2383</v>
      </c>
      <c r="K195" s="626" t="s">
        <v>2385</v>
      </c>
      <c r="L195" s="626" t="e">
        <f>VLOOKUP(A195,'BSPL Grouping'!A:D,4,FALSE)</f>
        <v>#N/A</v>
      </c>
    </row>
    <row r="196" spans="1:12">
      <c r="A196" s="632"/>
      <c r="B196" s="633"/>
      <c r="C196" s="634">
        <f>IFERROR(VLOOKUP(A196,'[103]TB for financial'!$A$5:$S$1092,19,FALSE),0)</f>
        <v>0</v>
      </c>
      <c r="D196" s="626" t="e">
        <f>VLOOKUP(A196,'PL Gr'!A:A,1,FALSE)</f>
        <v>#N/A</v>
      </c>
      <c r="E196" s="626" t="e">
        <f>VLOOKUP(A196,'TB for financial'!A:A,1,0)</f>
        <v>#N/A</v>
      </c>
      <c r="F196" s="1351" t="e">
        <f>VLOOKUP(A196,'TB for financial'!A:D,4,FALSE)</f>
        <v>#N/A</v>
      </c>
      <c r="G196" s="1350" t="e">
        <f t="shared" si="4"/>
        <v>#N/A</v>
      </c>
      <c r="H196" s="626" t="s">
        <v>2383</v>
      </c>
      <c r="K196" s="626" t="s">
        <v>2385</v>
      </c>
      <c r="L196" s="626" t="e">
        <f>VLOOKUP(A196,'BSPL Grouping'!A:D,4,FALSE)</f>
        <v>#N/A</v>
      </c>
    </row>
    <row r="197" spans="1:12">
      <c r="A197" s="632"/>
      <c r="B197" s="633"/>
      <c r="C197" s="634">
        <f>IFERROR(VLOOKUP(A197,'[103]TB for financial'!$A$5:$S$1092,19,FALSE),0)</f>
        <v>0</v>
      </c>
      <c r="D197" s="626" t="e">
        <f>VLOOKUP(A197,'PL Gr'!A:A,1,FALSE)</f>
        <v>#N/A</v>
      </c>
      <c r="E197" s="626" t="e">
        <f>VLOOKUP(A197,'TB for financial'!A:A,1,0)</f>
        <v>#N/A</v>
      </c>
      <c r="F197" s="1351" t="e">
        <f>VLOOKUP(A197,'TB for financial'!A:D,4,FALSE)</f>
        <v>#N/A</v>
      </c>
      <c r="G197" s="1350" t="e">
        <f t="shared" si="4"/>
        <v>#N/A</v>
      </c>
      <c r="H197" s="626" t="s">
        <v>2383</v>
      </c>
      <c r="K197" s="626" t="s">
        <v>2385</v>
      </c>
      <c r="L197" s="626" t="e">
        <f>VLOOKUP(A197,'BSPL Grouping'!A:D,4,FALSE)</f>
        <v>#N/A</v>
      </c>
    </row>
    <row r="198" spans="1:12">
      <c r="A198" s="632"/>
      <c r="B198" s="633"/>
      <c r="C198" s="634">
        <f>IFERROR(VLOOKUP(A198,'[103]TB for financial'!$A$5:$S$1092,19,FALSE),0)</f>
        <v>0</v>
      </c>
      <c r="D198" s="626" t="e">
        <f>VLOOKUP(A198,'PL Gr'!A:A,1,FALSE)</f>
        <v>#N/A</v>
      </c>
      <c r="E198" s="626" t="e">
        <f>VLOOKUP(A198,'TB for financial'!A:A,1,0)</f>
        <v>#N/A</v>
      </c>
      <c r="F198" s="1351" t="e">
        <f>VLOOKUP(A198,'TB for financial'!A:D,4,FALSE)</f>
        <v>#N/A</v>
      </c>
      <c r="G198" s="1350" t="e">
        <f t="shared" si="4"/>
        <v>#N/A</v>
      </c>
      <c r="H198" s="626" t="s">
        <v>2383</v>
      </c>
      <c r="K198" s="626" t="s">
        <v>2385</v>
      </c>
      <c r="L198" s="626" t="e">
        <f>VLOOKUP(A198,'BSPL Grouping'!A:D,4,FALSE)</f>
        <v>#N/A</v>
      </c>
    </row>
    <row r="199" spans="1:12">
      <c r="A199" s="632"/>
      <c r="B199" s="633"/>
      <c r="C199" s="634">
        <f>IFERROR(VLOOKUP(A199,'[103]TB for financial'!$A$5:$S$1092,19,FALSE),0)</f>
        <v>0</v>
      </c>
      <c r="D199" s="626" t="e">
        <f>VLOOKUP(A199,'PL Gr'!A:A,1,FALSE)</f>
        <v>#N/A</v>
      </c>
      <c r="E199" s="626" t="e">
        <f>VLOOKUP(A199,'TB for financial'!A:A,1,0)</f>
        <v>#N/A</v>
      </c>
      <c r="F199" s="1351" t="e">
        <f>VLOOKUP(A199,'TB for financial'!A:D,4,FALSE)</f>
        <v>#N/A</v>
      </c>
      <c r="G199" s="1350" t="e">
        <f t="shared" si="4"/>
        <v>#N/A</v>
      </c>
      <c r="H199" s="626" t="s">
        <v>2383</v>
      </c>
      <c r="K199" s="626" t="s">
        <v>2385</v>
      </c>
      <c r="L199" s="626" t="e">
        <f>VLOOKUP(A199,'BSPL Grouping'!A:D,4,FALSE)</f>
        <v>#N/A</v>
      </c>
    </row>
    <row r="200" spans="1:12">
      <c r="A200" s="632"/>
      <c r="B200" s="633"/>
      <c r="C200" s="634">
        <f>IFERROR(VLOOKUP(A200,'[103]TB for financial'!$A$5:$S$1092,19,FALSE),0)</f>
        <v>0</v>
      </c>
      <c r="D200" s="626" t="e">
        <f>VLOOKUP(A200,'PL Gr'!A:A,1,FALSE)</f>
        <v>#N/A</v>
      </c>
      <c r="E200" s="626" t="e">
        <f>VLOOKUP(A200,'TB for financial'!A:A,1,0)</f>
        <v>#N/A</v>
      </c>
      <c r="F200" s="1351" t="e">
        <f>VLOOKUP(A200,'TB for financial'!A:D,4,FALSE)</f>
        <v>#N/A</v>
      </c>
      <c r="G200" s="1350" t="e">
        <f t="shared" si="4"/>
        <v>#N/A</v>
      </c>
      <c r="H200" s="626" t="s">
        <v>2383</v>
      </c>
      <c r="K200" s="626" t="s">
        <v>2385</v>
      </c>
      <c r="L200" s="626" t="e">
        <f>VLOOKUP(A200,'BSPL Grouping'!A:D,4,FALSE)</f>
        <v>#N/A</v>
      </c>
    </row>
    <row r="201" spans="1:12">
      <c r="A201" s="632"/>
      <c r="B201" s="633"/>
      <c r="C201" s="634">
        <f>IFERROR(VLOOKUP(A201,'[103]TB for financial'!$A$5:$S$1092,19,FALSE),0)</f>
        <v>0</v>
      </c>
      <c r="D201" s="626" t="e">
        <f>VLOOKUP(A201,'PL Gr'!A:A,1,FALSE)</f>
        <v>#N/A</v>
      </c>
      <c r="E201" s="626" t="e">
        <f>VLOOKUP(A201,'TB for financial'!A:A,1,0)</f>
        <v>#N/A</v>
      </c>
      <c r="F201" s="1351" t="e">
        <f>VLOOKUP(A201,'TB for financial'!A:D,4,FALSE)</f>
        <v>#N/A</v>
      </c>
      <c r="G201" s="1350" t="e">
        <f t="shared" si="4"/>
        <v>#N/A</v>
      </c>
      <c r="H201" s="626" t="s">
        <v>2383</v>
      </c>
      <c r="K201" s="626" t="s">
        <v>2385</v>
      </c>
      <c r="L201" s="626" t="e">
        <f>VLOOKUP(A201,'BSPL Grouping'!A:D,4,FALSE)</f>
        <v>#N/A</v>
      </c>
    </row>
    <row r="202" spans="1:12">
      <c r="A202" s="632"/>
      <c r="B202" s="633"/>
      <c r="C202" s="634">
        <f>IFERROR(VLOOKUP(A202,'[103]TB for financial'!$A$5:$S$1092,19,FALSE),0)</f>
        <v>0</v>
      </c>
      <c r="D202" s="626" t="e">
        <f>VLOOKUP(A202,'PL Gr'!A:A,1,FALSE)</f>
        <v>#N/A</v>
      </c>
      <c r="E202" s="626" t="e">
        <f>VLOOKUP(A202,'TB for financial'!A:A,1,0)</f>
        <v>#N/A</v>
      </c>
      <c r="F202" s="1351" t="e">
        <f>VLOOKUP(A202,'TB for financial'!A:D,4,FALSE)</f>
        <v>#N/A</v>
      </c>
      <c r="G202" s="1350" t="e">
        <f t="shared" si="4"/>
        <v>#N/A</v>
      </c>
      <c r="H202" s="626" t="s">
        <v>2383</v>
      </c>
      <c r="K202" s="626" t="s">
        <v>2385</v>
      </c>
      <c r="L202" s="626" t="e">
        <f>VLOOKUP(A202,'BSPL Grouping'!A:D,4,FALSE)</f>
        <v>#N/A</v>
      </c>
    </row>
    <row r="203" spans="1:12">
      <c r="A203" s="632"/>
      <c r="B203" s="633"/>
      <c r="C203" s="634">
        <f>IFERROR(VLOOKUP(A203,'[103]TB for financial'!$A$5:$S$1092,19,FALSE),0)</f>
        <v>0</v>
      </c>
      <c r="D203" s="626" t="e">
        <f>VLOOKUP(A203,'PL Gr'!A:A,1,FALSE)</f>
        <v>#N/A</v>
      </c>
      <c r="E203" s="626" t="e">
        <f>VLOOKUP(A203,'TB for financial'!A:A,1,0)</f>
        <v>#N/A</v>
      </c>
      <c r="F203" s="1351" t="e">
        <f>VLOOKUP(A203,'TB for financial'!A:D,4,FALSE)</f>
        <v>#N/A</v>
      </c>
      <c r="G203" s="1350" t="e">
        <f t="shared" si="4"/>
        <v>#N/A</v>
      </c>
      <c r="H203" s="626" t="s">
        <v>2383</v>
      </c>
      <c r="K203" s="626" t="s">
        <v>2385</v>
      </c>
      <c r="L203" s="626" t="e">
        <f>VLOOKUP(A203,'BSPL Grouping'!A:D,4,FALSE)</f>
        <v>#N/A</v>
      </c>
    </row>
    <row r="204" spans="1:12">
      <c r="A204" s="632"/>
      <c r="B204" s="633"/>
      <c r="C204" s="634">
        <f>IFERROR(VLOOKUP(A204,'[103]TB for financial'!$A$5:$S$1092,19,FALSE),0)</f>
        <v>0</v>
      </c>
      <c r="D204" s="626" t="e">
        <f>VLOOKUP(A204,'PL Gr'!A:A,1,FALSE)</f>
        <v>#N/A</v>
      </c>
      <c r="E204" s="626" t="e">
        <f>VLOOKUP(A204,'TB for financial'!A:A,1,0)</f>
        <v>#N/A</v>
      </c>
      <c r="F204" s="1351" t="e">
        <f>VLOOKUP(A204,'TB for financial'!A:D,4,FALSE)</f>
        <v>#N/A</v>
      </c>
      <c r="G204" s="1350" t="e">
        <f t="shared" si="4"/>
        <v>#N/A</v>
      </c>
      <c r="H204" s="626" t="s">
        <v>2383</v>
      </c>
      <c r="K204" s="626" t="s">
        <v>2385</v>
      </c>
      <c r="L204" s="626" t="e">
        <f>VLOOKUP(A204,'BSPL Grouping'!A:D,4,FALSE)</f>
        <v>#N/A</v>
      </c>
    </row>
    <row r="205" spans="1:12">
      <c r="A205" s="632"/>
      <c r="B205" s="633"/>
      <c r="C205" s="634">
        <f>IFERROR(VLOOKUP(A205,'[103]TB for financial'!$A$5:$S$1092,19,FALSE),0)</f>
        <v>0</v>
      </c>
      <c r="D205" s="626" t="e">
        <f>VLOOKUP(A205,'PL Gr'!A:A,1,FALSE)</f>
        <v>#N/A</v>
      </c>
      <c r="E205" s="626" t="e">
        <f>VLOOKUP(A205,'TB for financial'!A:A,1,0)</f>
        <v>#N/A</v>
      </c>
      <c r="F205" s="1351" t="e">
        <f>VLOOKUP(A205,'TB for financial'!A:D,4,FALSE)</f>
        <v>#N/A</v>
      </c>
      <c r="G205" s="1350" t="e">
        <f t="shared" ref="G205:G227" si="5">+C205-F205</f>
        <v>#N/A</v>
      </c>
      <c r="H205" s="626" t="s">
        <v>2383</v>
      </c>
      <c r="K205" s="626" t="s">
        <v>2385</v>
      </c>
      <c r="L205" s="626" t="e">
        <f>VLOOKUP(A205,'BSPL Grouping'!A:D,4,FALSE)</f>
        <v>#N/A</v>
      </c>
    </row>
    <row r="206" spans="1:12">
      <c r="A206" s="632"/>
      <c r="B206" s="633"/>
      <c r="C206" s="634">
        <f>IFERROR(VLOOKUP(A206,'[103]TB for financial'!$A$5:$S$1092,19,FALSE),0)</f>
        <v>0</v>
      </c>
      <c r="D206" s="626" t="e">
        <f>VLOOKUP(A206,'PL Gr'!A:A,1,FALSE)</f>
        <v>#N/A</v>
      </c>
      <c r="E206" s="626" t="e">
        <f>VLOOKUP(A206,'TB for financial'!A:A,1,0)</f>
        <v>#N/A</v>
      </c>
      <c r="F206" s="1351" t="e">
        <f>VLOOKUP(A206,'TB for financial'!A:D,4,FALSE)</f>
        <v>#N/A</v>
      </c>
      <c r="G206" s="1350" t="e">
        <f t="shared" si="5"/>
        <v>#N/A</v>
      </c>
      <c r="H206" s="626" t="s">
        <v>2383</v>
      </c>
      <c r="K206" s="626" t="s">
        <v>2385</v>
      </c>
      <c r="L206" s="626" t="e">
        <f>VLOOKUP(A206,'BSPL Grouping'!A:D,4,FALSE)</f>
        <v>#N/A</v>
      </c>
    </row>
    <row r="207" spans="1:12">
      <c r="A207" s="632"/>
      <c r="B207" s="633"/>
      <c r="C207" s="634">
        <f>IFERROR(VLOOKUP(A207,'[103]TB for financial'!$A$5:$S$1092,19,FALSE),0)</f>
        <v>0</v>
      </c>
      <c r="D207" s="626" t="e">
        <f>VLOOKUP(A207,'PL Gr'!A:A,1,FALSE)</f>
        <v>#N/A</v>
      </c>
      <c r="E207" s="626" t="e">
        <f>VLOOKUP(A207,'TB for financial'!A:A,1,0)</f>
        <v>#N/A</v>
      </c>
      <c r="F207" s="1351" t="e">
        <f>VLOOKUP(A207,'TB for financial'!A:D,4,FALSE)</f>
        <v>#N/A</v>
      </c>
      <c r="G207" s="1350" t="e">
        <f t="shared" si="5"/>
        <v>#N/A</v>
      </c>
      <c r="H207" s="626" t="s">
        <v>2383</v>
      </c>
      <c r="K207" s="626" t="s">
        <v>2385</v>
      </c>
      <c r="L207" s="626" t="e">
        <f>VLOOKUP(A207,'BSPL Grouping'!A:D,4,FALSE)</f>
        <v>#N/A</v>
      </c>
    </row>
    <row r="208" spans="1:12">
      <c r="A208" s="632"/>
      <c r="B208" s="633"/>
      <c r="C208" s="634">
        <f>IFERROR(VLOOKUP(A208,'[103]TB for financial'!$A$5:$S$1092,19,FALSE),0)</f>
        <v>0</v>
      </c>
      <c r="D208" s="626" t="e">
        <f>VLOOKUP(A208,'PL Gr'!A:A,1,FALSE)</f>
        <v>#N/A</v>
      </c>
      <c r="E208" s="626" t="e">
        <f>VLOOKUP(A208,'TB for financial'!A:A,1,0)</f>
        <v>#N/A</v>
      </c>
      <c r="F208" s="1351" t="e">
        <f>VLOOKUP(A208,'TB for financial'!A:D,4,FALSE)</f>
        <v>#N/A</v>
      </c>
      <c r="G208" s="1350" t="e">
        <f t="shared" si="5"/>
        <v>#N/A</v>
      </c>
      <c r="H208" s="626" t="s">
        <v>2383</v>
      </c>
      <c r="K208" s="626" t="s">
        <v>2385</v>
      </c>
      <c r="L208" s="626" t="e">
        <f>VLOOKUP(A208,'BSPL Grouping'!A:D,4,FALSE)</f>
        <v>#N/A</v>
      </c>
    </row>
    <row r="209" spans="1:12">
      <c r="A209" s="632"/>
      <c r="B209" s="633"/>
      <c r="C209" s="634">
        <f>IFERROR(VLOOKUP(A209,'[103]TB for financial'!$A$5:$S$1092,19,FALSE),0)</f>
        <v>0</v>
      </c>
      <c r="D209" s="626" t="e">
        <f>VLOOKUP(A209,'PL Gr'!A:A,1,FALSE)</f>
        <v>#N/A</v>
      </c>
      <c r="E209" s="626" t="e">
        <f>VLOOKUP(A209,'TB for financial'!A:A,1,0)</f>
        <v>#N/A</v>
      </c>
      <c r="F209" s="1351" t="e">
        <f>VLOOKUP(A209,'TB for financial'!A:D,4,FALSE)</f>
        <v>#N/A</v>
      </c>
      <c r="G209" s="1350" t="e">
        <f t="shared" si="5"/>
        <v>#N/A</v>
      </c>
      <c r="H209" s="626" t="s">
        <v>2383</v>
      </c>
      <c r="K209" s="626" t="s">
        <v>2385</v>
      </c>
      <c r="L209" s="626" t="e">
        <f>VLOOKUP(A209,'BSPL Grouping'!A:D,4,FALSE)</f>
        <v>#N/A</v>
      </c>
    </row>
    <row r="210" spans="1:12">
      <c r="A210" s="632"/>
      <c r="B210" s="633"/>
      <c r="C210" s="634">
        <f>IFERROR(VLOOKUP(A210,'[103]TB for financial'!$A$5:$S$1092,19,FALSE),0)</f>
        <v>0</v>
      </c>
      <c r="D210" s="626" t="e">
        <f>VLOOKUP(A210,'PL Gr'!A:A,1,FALSE)</f>
        <v>#N/A</v>
      </c>
      <c r="E210" s="626" t="e">
        <f>VLOOKUP(A210,'TB for financial'!A:A,1,0)</f>
        <v>#N/A</v>
      </c>
      <c r="F210" s="1351" t="e">
        <f>VLOOKUP(A210,'TB for financial'!A:D,4,FALSE)</f>
        <v>#N/A</v>
      </c>
      <c r="G210" s="1350" t="e">
        <f t="shared" si="5"/>
        <v>#N/A</v>
      </c>
      <c r="H210" s="626" t="s">
        <v>2383</v>
      </c>
      <c r="K210" s="626" t="s">
        <v>2385</v>
      </c>
      <c r="L210" s="626" t="e">
        <f>VLOOKUP(A210,'BSPL Grouping'!A:D,4,FALSE)</f>
        <v>#N/A</v>
      </c>
    </row>
    <row r="211" spans="1:12">
      <c r="A211" s="632"/>
      <c r="B211" s="633"/>
      <c r="C211" s="634">
        <f>IFERROR(VLOOKUP(A211,'[103]TB for financial'!$A$5:$S$1092,19,FALSE),0)</f>
        <v>0</v>
      </c>
      <c r="D211" s="626" t="e">
        <f>VLOOKUP(A211,'PL Gr'!A:A,1,FALSE)</f>
        <v>#N/A</v>
      </c>
      <c r="E211" s="626" t="e">
        <f>VLOOKUP(A211,'TB for financial'!A:A,1,0)</f>
        <v>#N/A</v>
      </c>
      <c r="F211" s="1351" t="e">
        <f>VLOOKUP(A211,'TB for financial'!A:D,4,FALSE)</f>
        <v>#N/A</v>
      </c>
      <c r="G211" s="1350" t="e">
        <f t="shared" si="5"/>
        <v>#N/A</v>
      </c>
      <c r="H211" s="626" t="s">
        <v>2383</v>
      </c>
      <c r="K211" s="626" t="s">
        <v>2385</v>
      </c>
      <c r="L211" s="626" t="e">
        <f>VLOOKUP(A211,'BSPL Grouping'!A:D,4,FALSE)</f>
        <v>#N/A</v>
      </c>
    </row>
    <row r="212" spans="1:12">
      <c r="A212" s="632"/>
      <c r="B212" s="633"/>
      <c r="C212" s="634">
        <f>IFERROR(VLOOKUP(A212,'[103]TB for financial'!$A$5:$S$1092,19,FALSE),0)</f>
        <v>0</v>
      </c>
      <c r="D212" s="626" t="e">
        <f>VLOOKUP(A212,'PL Gr'!A:A,1,FALSE)</f>
        <v>#N/A</v>
      </c>
      <c r="E212" s="626" t="e">
        <f>VLOOKUP(A212,'TB for financial'!A:A,1,0)</f>
        <v>#N/A</v>
      </c>
      <c r="F212" s="1351" t="e">
        <f>VLOOKUP(A212,'TB for financial'!A:D,4,FALSE)</f>
        <v>#N/A</v>
      </c>
      <c r="G212" s="1350" t="e">
        <f t="shared" si="5"/>
        <v>#N/A</v>
      </c>
      <c r="H212" s="626" t="s">
        <v>2383</v>
      </c>
      <c r="K212" s="626" t="s">
        <v>2385</v>
      </c>
      <c r="L212" s="626" t="e">
        <f>VLOOKUP(A212,'BSPL Grouping'!A:D,4,FALSE)</f>
        <v>#N/A</v>
      </c>
    </row>
    <row r="213" spans="1:12">
      <c r="A213" s="632"/>
      <c r="B213" s="633"/>
      <c r="C213" s="634">
        <f>IFERROR(VLOOKUP(A213,'[103]TB for financial'!$A$5:$S$1092,19,FALSE),0)</f>
        <v>0</v>
      </c>
      <c r="D213" s="626" t="e">
        <f>VLOOKUP(A213,'PL Gr'!A:A,1,FALSE)</f>
        <v>#N/A</v>
      </c>
      <c r="E213" s="626" t="e">
        <f>VLOOKUP(A213,'TB for financial'!A:A,1,0)</f>
        <v>#N/A</v>
      </c>
      <c r="F213" s="1351" t="e">
        <f>VLOOKUP(A213,'TB for financial'!A:D,4,FALSE)</f>
        <v>#N/A</v>
      </c>
      <c r="G213" s="1350" t="e">
        <f t="shared" si="5"/>
        <v>#N/A</v>
      </c>
      <c r="H213" s="626" t="s">
        <v>2383</v>
      </c>
      <c r="K213" s="626" t="s">
        <v>2385</v>
      </c>
      <c r="L213" s="626" t="e">
        <f>VLOOKUP(A213,'BSPL Grouping'!A:D,4,FALSE)</f>
        <v>#N/A</v>
      </c>
    </row>
    <row r="214" spans="1:12">
      <c r="A214" s="632"/>
      <c r="B214" s="633"/>
      <c r="C214" s="634">
        <f>IFERROR(VLOOKUP(A214,'[103]TB for financial'!$A$5:$S$1092,19,FALSE),0)</f>
        <v>0</v>
      </c>
      <c r="D214" s="626" t="e">
        <f>VLOOKUP(A214,'PL Gr'!A:A,1,FALSE)</f>
        <v>#N/A</v>
      </c>
      <c r="E214" s="626" t="e">
        <f>VLOOKUP(A214,'TB for financial'!A:A,1,0)</f>
        <v>#N/A</v>
      </c>
      <c r="F214" s="1351" t="e">
        <f>VLOOKUP(A214,'TB for financial'!A:D,4,FALSE)</f>
        <v>#N/A</v>
      </c>
      <c r="G214" s="1350" t="e">
        <f t="shared" si="5"/>
        <v>#N/A</v>
      </c>
      <c r="H214" s="626" t="s">
        <v>2383</v>
      </c>
      <c r="K214" s="626" t="s">
        <v>2385</v>
      </c>
      <c r="L214" s="626" t="e">
        <f>VLOOKUP(A214,'BSPL Grouping'!A:D,4,FALSE)</f>
        <v>#N/A</v>
      </c>
    </row>
    <row r="215" spans="1:12">
      <c r="A215" s="632"/>
      <c r="B215" s="633"/>
      <c r="C215" s="634">
        <f>IFERROR(VLOOKUP(A215,'[103]TB for financial'!$A$5:$S$1092,19,FALSE),0)</f>
        <v>0</v>
      </c>
      <c r="D215" s="626" t="e">
        <f>VLOOKUP(A215,'PL Gr'!A:A,1,FALSE)</f>
        <v>#N/A</v>
      </c>
      <c r="E215" s="626" t="e">
        <f>VLOOKUP(A215,'TB for financial'!A:A,1,0)</f>
        <v>#N/A</v>
      </c>
      <c r="F215" s="1351" t="e">
        <f>VLOOKUP(A215,'TB for financial'!A:D,4,FALSE)</f>
        <v>#N/A</v>
      </c>
      <c r="G215" s="1350" t="e">
        <f t="shared" si="5"/>
        <v>#N/A</v>
      </c>
      <c r="H215" s="626" t="s">
        <v>2383</v>
      </c>
      <c r="K215" s="626" t="s">
        <v>2385</v>
      </c>
      <c r="L215" s="626" t="e">
        <f>VLOOKUP(A215,'BSPL Grouping'!A:D,4,FALSE)</f>
        <v>#N/A</v>
      </c>
    </row>
    <row r="216" spans="1:12">
      <c r="A216" s="632"/>
      <c r="B216" s="633"/>
      <c r="C216" s="634">
        <f>IFERROR(VLOOKUP(A216,'[103]TB for financial'!$A$5:$S$1092,19,FALSE),0)</f>
        <v>0</v>
      </c>
      <c r="D216" s="626" t="e">
        <f>VLOOKUP(A216,'PL Gr'!A:A,1,FALSE)</f>
        <v>#N/A</v>
      </c>
      <c r="E216" s="626" t="e">
        <f>VLOOKUP(A216,'TB for financial'!A:A,1,0)</f>
        <v>#N/A</v>
      </c>
      <c r="F216" s="1351" t="e">
        <f>VLOOKUP(A216,'TB for financial'!A:D,4,FALSE)</f>
        <v>#N/A</v>
      </c>
      <c r="G216" s="1350" t="e">
        <f t="shared" si="5"/>
        <v>#N/A</v>
      </c>
      <c r="H216" s="626" t="s">
        <v>2383</v>
      </c>
      <c r="K216" s="626" t="s">
        <v>2385</v>
      </c>
      <c r="L216" s="626" t="e">
        <f>VLOOKUP(A216,'BSPL Grouping'!A:D,4,FALSE)</f>
        <v>#N/A</v>
      </c>
    </row>
    <row r="217" spans="1:12">
      <c r="A217" s="632"/>
      <c r="B217" s="633"/>
      <c r="C217" s="634">
        <f>IFERROR(VLOOKUP(A217,'[103]TB for financial'!$A$5:$S$1092,19,FALSE),0)</f>
        <v>0</v>
      </c>
      <c r="D217" s="626" t="e">
        <f>VLOOKUP(A217,'PL Gr'!A:A,1,FALSE)</f>
        <v>#N/A</v>
      </c>
      <c r="E217" s="626" t="e">
        <f>VLOOKUP(A217,'TB for financial'!A:A,1,0)</f>
        <v>#N/A</v>
      </c>
      <c r="F217" s="1351" t="e">
        <f>VLOOKUP(A217,'TB for financial'!A:D,4,FALSE)</f>
        <v>#N/A</v>
      </c>
      <c r="G217" s="1350" t="e">
        <f t="shared" si="5"/>
        <v>#N/A</v>
      </c>
      <c r="H217" s="626" t="s">
        <v>2383</v>
      </c>
      <c r="K217" s="626" t="s">
        <v>2385</v>
      </c>
      <c r="L217" s="626" t="e">
        <f>VLOOKUP(A217,'BSPL Grouping'!A:D,4,FALSE)</f>
        <v>#N/A</v>
      </c>
    </row>
    <row r="218" spans="1:12">
      <c r="A218" s="632"/>
      <c r="B218" s="633"/>
      <c r="C218" s="634">
        <f>IFERROR(VLOOKUP(A218,'[103]TB for financial'!$A$5:$S$1092,19,FALSE),0)</f>
        <v>0</v>
      </c>
      <c r="D218" s="626" t="e">
        <f>VLOOKUP(A218,'PL Gr'!A:A,1,FALSE)</f>
        <v>#N/A</v>
      </c>
      <c r="E218" s="626" t="e">
        <f>VLOOKUP(A218,'TB for financial'!A:A,1,0)</f>
        <v>#N/A</v>
      </c>
      <c r="F218" s="1351" t="e">
        <f>VLOOKUP(A218,'TB for financial'!A:D,4,FALSE)</f>
        <v>#N/A</v>
      </c>
      <c r="G218" s="1350" t="e">
        <f t="shared" si="5"/>
        <v>#N/A</v>
      </c>
      <c r="H218" s="626" t="s">
        <v>2383</v>
      </c>
      <c r="K218" s="626" t="s">
        <v>2385</v>
      </c>
      <c r="L218" s="626" t="e">
        <f>VLOOKUP(A218,'BSPL Grouping'!A:D,4,FALSE)</f>
        <v>#N/A</v>
      </c>
    </row>
    <row r="219" spans="1:12">
      <c r="A219" s="632"/>
      <c r="B219" s="633"/>
      <c r="C219" s="634">
        <f>IFERROR(VLOOKUP(A219,'[103]TB for financial'!$A$5:$S$1092,19,FALSE),0)</f>
        <v>0</v>
      </c>
      <c r="D219" s="626" t="e">
        <f>VLOOKUP(A219,'PL Gr'!A:A,1,FALSE)</f>
        <v>#N/A</v>
      </c>
      <c r="E219" s="626" t="e">
        <f>VLOOKUP(A219,'TB for financial'!A:A,1,0)</f>
        <v>#N/A</v>
      </c>
      <c r="F219" s="1351" t="e">
        <f>VLOOKUP(A219,'TB for financial'!A:D,4,FALSE)</f>
        <v>#N/A</v>
      </c>
      <c r="G219" s="1350" t="e">
        <f t="shared" si="5"/>
        <v>#N/A</v>
      </c>
      <c r="H219" s="626" t="s">
        <v>2383</v>
      </c>
      <c r="K219" s="626" t="s">
        <v>2385</v>
      </c>
      <c r="L219" s="626" t="e">
        <f>VLOOKUP(A219,'BSPL Grouping'!A:D,4,FALSE)</f>
        <v>#N/A</v>
      </c>
    </row>
    <row r="220" spans="1:12">
      <c r="A220" s="632"/>
      <c r="B220" s="633"/>
      <c r="C220" s="634">
        <f>IFERROR(VLOOKUP(A220,'[103]TB for financial'!$A$5:$S$1092,19,FALSE),0)</f>
        <v>0</v>
      </c>
      <c r="D220" s="626" t="e">
        <f>VLOOKUP(A220,'PL Gr'!A:A,1,FALSE)</f>
        <v>#N/A</v>
      </c>
      <c r="E220" s="626" t="e">
        <f>VLOOKUP(A220,'TB for financial'!A:A,1,0)</f>
        <v>#N/A</v>
      </c>
      <c r="F220" s="1351" t="e">
        <f>VLOOKUP(A220,'TB for financial'!A:D,4,FALSE)</f>
        <v>#N/A</v>
      </c>
      <c r="G220" s="1350" t="e">
        <f t="shared" si="5"/>
        <v>#N/A</v>
      </c>
      <c r="H220" s="626" t="s">
        <v>2383</v>
      </c>
      <c r="K220" s="626" t="s">
        <v>2385</v>
      </c>
      <c r="L220" s="626" t="e">
        <f>VLOOKUP(A220,'BSPL Grouping'!A:D,4,FALSE)</f>
        <v>#N/A</v>
      </c>
    </row>
    <row r="221" spans="1:12">
      <c r="A221" s="632"/>
      <c r="B221" s="633"/>
      <c r="C221" s="634">
        <f>IFERROR(VLOOKUP(A221,'[103]TB for financial'!$A$5:$S$1092,19,FALSE),0)</f>
        <v>0</v>
      </c>
      <c r="D221" s="626" t="e">
        <f>VLOOKUP(A221,'PL Gr'!A:A,1,FALSE)</f>
        <v>#N/A</v>
      </c>
      <c r="E221" s="626" t="e">
        <f>VLOOKUP(A221,'TB for financial'!A:A,1,0)</f>
        <v>#N/A</v>
      </c>
      <c r="F221" s="1351" t="e">
        <f>VLOOKUP(A221,'TB for financial'!A:D,4,FALSE)</f>
        <v>#N/A</v>
      </c>
      <c r="G221" s="1350" t="e">
        <f t="shared" si="5"/>
        <v>#N/A</v>
      </c>
      <c r="H221" s="626" t="s">
        <v>2383</v>
      </c>
      <c r="K221" s="626" t="s">
        <v>2385</v>
      </c>
      <c r="L221" s="626" t="e">
        <f>VLOOKUP(A221,'BSPL Grouping'!A:D,4,FALSE)</f>
        <v>#N/A</v>
      </c>
    </row>
    <row r="222" spans="1:12">
      <c r="A222" s="632"/>
      <c r="B222" s="633"/>
      <c r="C222" s="634">
        <f>IFERROR(VLOOKUP(A222,'[103]TB for financial'!$A$5:$S$1092,19,FALSE),0)</f>
        <v>0</v>
      </c>
      <c r="D222" s="626" t="e">
        <f>VLOOKUP(A222,'PL Gr'!A:A,1,FALSE)</f>
        <v>#N/A</v>
      </c>
      <c r="E222" s="626" t="e">
        <f>VLOOKUP(A222,'TB for financial'!A:A,1,0)</f>
        <v>#N/A</v>
      </c>
      <c r="F222" s="1351" t="e">
        <f>VLOOKUP(A222,'TB for financial'!A:D,4,FALSE)</f>
        <v>#N/A</v>
      </c>
      <c r="G222" s="1350" t="e">
        <f t="shared" si="5"/>
        <v>#N/A</v>
      </c>
      <c r="H222" s="626" t="s">
        <v>2383</v>
      </c>
      <c r="K222" s="626" t="s">
        <v>2385</v>
      </c>
      <c r="L222" s="626" t="e">
        <f>VLOOKUP(A222,'BSPL Grouping'!A:D,4,FALSE)</f>
        <v>#N/A</v>
      </c>
    </row>
    <row r="223" spans="1:12">
      <c r="A223" s="632"/>
      <c r="B223" s="633"/>
      <c r="C223" s="634">
        <f>IFERROR(VLOOKUP(A223,'[103]TB for financial'!$A$5:$S$1092,19,FALSE),0)</f>
        <v>0</v>
      </c>
      <c r="D223" s="626" t="e">
        <f>VLOOKUP(A223,'PL Gr'!A:A,1,FALSE)</f>
        <v>#N/A</v>
      </c>
      <c r="E223" s="626" t="e">
        <f>VLOOKUP(A223,'TB for financial'!A:A,1,0)</f>
        <v>#N/A</v>
      </c>
      <c r="F223" s="1351" t="e">
        <f>VLOOKUP(A223,'TB for financial'!A:D,4,FALSE)</f>
        <v>#N/A</v>
      </c>
      <c r="G223" s="1350" t="e">
        <f t="shared" si="5"/>
        <v>#N/A</v>
      </c>
      <c r="H223" s="626" t="s">
        <v>2383</v>
      </c>
      <c r="K223" s="626" t="s">
        <v>2385</v>
      </c>
      <c r="L223" s="626" t="e">
        <f>VLOOKUP(A223,'BSPL Grouping'!A:D,4,FALSE)</f>
        <v>#N/A</v>
      </c>
    </row>
    <row r="224" spans="1:12">
      <c r="A224" s="632"/>
      <c r="B224" s="633"/>
      <c r="C224" s="634">
        <f>IFERROR(VLOOKUP(A224,'[103]TB for financial'!$A$5:$S$1092,19,FALSE),0)</f>
        <v>0</v>
      </c>
      <c r="D224" s="626" t="e">
        <f>VLOOKUP(A224,'PL Gr'!A:A,1,FALSE)</f>
        <v>#N/A</v>
      </c>
      <c r="E224" s="626" t="e">
        <f>VLOOKUP(A224,'TB for financial'!A:A,1,0)</f>
        <v>#N/A</v>
      </c>
      <c r="F224" s="1351" t="e">
        <f>VLOOKUP(A224,'TB for financial'!A:D,4,FALSE)</f>
        <v>#N/A</v>
      </c>
      <c r="G224" s="1350" t="e">
        <f t="shared" si="5"/>
        <v>#N/A</v>
      </c>
      <c r="H224" s="626" t="s">
        <v>2383</v>
      </c>
      <c r="K224" s="626" t="s">
        <v>2385</v>
      </c>
      <c r="L224" s="626" t="e">
        <f>VLOOKUP(A224,'BSPL Grouping'!A:D,4,FALSE)</f>
        <v>#N/A</v>
      </c>
    </row>
    <row r="225" spans="1:12">
      <c r="A225" s="632"/>
      <c r="B225" s="633"/>
      <c r="C225" s="634">
        <f>IFERROR(VLOOKUP(A225,'[103]TB for financial'!$A$5:$S$1092,19,FALSE),0)</f>
        <v>0</v>
      </c>
      <c r="D225" s="626" t="e">
        <f>VLOOKUP(A225,'PL Gr'!A:A,1,FALSE)</f>
        <v>#N/A</v>
      </c>
      <c r="E225" s="626" t="e">
        <f>VLOOKUP(A225,'TB for financial'!A:A,1,0)</f>
        <v>#N/A</v>
      </c>
      <c r="F225" s="1351" t="e">
        <f>VLOOKUP(A225,'TB for financial'!A:D,4,FALSE)</f>
        <v>#N/A</v>
      </c>
      <c r="G225" s="1350" t="e">
        <f t="shared" si="5"/>
        <v>#N/A</v>
      </c>
      <c r="H225" s="626" t="s">
        <v>2383</v>
      </c>
      <c r="K225" s="626" t="s">
        <v>2385</v>
      </c>
      <c r="L225" s="626" t="e">
        <f>VLOOKUP(A225,'BSPL Grouping'!A:D,4,FALSE)</f>
        <v>#N/A</v>
      </c>
    </row>
    <row r="226" spans="1:12">
      <c r="A226" s="632"/>
      <c r="B226" s="633"/>
      <c r="C226" s="634">
        <f>IFERROR(VLOOKUP(A226,'[103]TB for financial'!$A$5:$S$1092,19,FALSE),0)</f>
        <v>0</v>
      </c>
      <c r="D226" s="626" t="e">
        <f>VLOOKUP(A226,'PL Gr'!A:A,1,FALSE)</f>
        <v>#N/A</v>
      </c>
      <c r="E226" s="626" t="e">
        <f>VLOOKUP(A226,'TB for financial'!A:A,1,0)</f>
        <v>#N/A</v>
      </c>
      <c r="F226" s="1351" t="e">
        <f>VLOOKUP(A226,'TB for financial'!A:D,4,FALSE)</f>
        <v>#N/A</v>
      </c>
      <c r="G226" s="1350" t="e">
        <f t="shared" si="5"/>
        <v>#N/A</v>
      </c>
      <c r="H226" s="626" t="s">
        <v>2383</v>
      </c>
      <c r="K226" s="626" t="s">
        <v>2385</v>
      </c>
      <c r="L226" s="626" t="e">
        <f>VLOOKUP(A226,'BSPL Grouping'!A:D,4,FALSE)</f>
        <v>#N/A</v>
      </c>
    </row>
    <row r="227" spans="1:12">
      <c r="A227" s="632"/>
      <c r="B227" s="633"/>
      <c r="C227" s="634">
        <f>IFERROR(VLOOKUP(A227,'[103]TB for financial'!$A$5:$S$1092,19,FALSE),0)</f>
        <v>0</v>
      </c>
      <c r="D227" s="626" t="e">
        <f>VLOOKUP(A227,'PL Gr'!A:A,1,FALSE)</f>
        <v>#N/A</v>
      </c>
      <c r="E227" s="626" t="e">
        <f>VLOOKUP(A227,'TB for financial'!A:A,1,0)</f>
        <v>#N/A</v>
      </c>
      <c r="F227" s="1351" t="e">
        <f>VLOOKUP(A227,'TB for financial'!A:D,4,FALSE)</f>
        <v>#N/A</v>
      </c>
      <c r="G227" s="1350" t="e">
        <f t="shared" si="5"/>
        <v>#N/A</v>
      </c>
      <c r="H227" s="626" t="s">
        <v>2383</v>
      </c>
    </row>
    <row r="228" spans="1:12">
      <c r="A228" s="632"/>
      <c r="B228" s="633"/>
      <c r="C228" s="634">
        <f>IFERROR(VLOOKUP(A228,'[103]TB for financial'!$A$5:$S$1092,19,FALSE),0)</f>
        <v>0</v>
      </c>
      <c r="D228" s="626" t="e">
        <f>VLOOKUP(A228,'PL Gr'!A:A,1,FALSE)</f>
        <v>#N/A</v>
      </c>
      <c r="E228" s="626" t="e">
        <f>VLOOKUP(A228,'TB for financial'!A:A,1,0)</f>
        <v>#N/A</v>
      </c>
      <c r="F228" s="1351" t="e">
        <f>VLOOKUP(A228,'TB for financial'!A:D,4,FALSE)</f>
        <v>#N/A</v>
      </c>
      <c r="G228" s="1350" t="e">
        <f>+C228-F228</f>
        <v>#N/A</v>
      </c>
      <c r="H228" s="626" t="s">
        <v>2533</v>
      </c>
      <c r="I228" s="626">
        <v>503086</v>
      </c>
      <c r="K228" s="626" t="s">
        <v>2385</v>
      </c>
      <c r="L228" s="626" t="str">
        <f>VLOOKUP(I228,'BSPL Grouping'!A:D,4,FALSE)</f>
        <v xml:space="preserve">Electricity </v>
      </c>
    </row>
    <row r="229" spans="1:12">
      <c r="A229" s="632"/>
      <c r="B229" s="633"/>
      <c r="C229" s="634">
        <f>IFERROR(VLOOKUP(A229,'[103]TB for financial'!$A$5:$S$1092,19,FALSE),0)</f>
        <v>0</v>
      </c>
      <c r="D229" s="626" t="e">
        <f>VLOOKUP(A229,'PL Gr'!A:A,1,FALSE)</f>
        <v>#N/A</v>
      </c>
      <c r="E229" s="626" t="e">
        <f>VLOOKUP(A229,'TB for financial'!A:A,1,0)</f>
        <v>#N/A</v>
      </c>
      <c r="F229" s="1351" t="e">
        <f>VLOOKUP(A229,'TB for financial'!A:D,4,FALSE)</f>
        <v>#N/A</v>
      </c>
      <c r="G229" s="1350" t="e">
        <f t="shared" ref="G229:G256" si="6">+C229-F229</f>
        <v>#N/A</v>
      </c>
      <c r="H229" s="626" t="s">
        <v>2533</v>
      </c>
      <c r="I229" s="626">
        <v>502129</v>
      </c>
      <c r="K229" s="626" t="s">
        <v>2385</v>
      </c>
      <c r="L229" s="626" t="str">
        <f>VLOOKUP(I229,'BSPL Grouping'!A:D,4,FALSE)</f>
        <v>Rent</v>
      </c>
    </row>
    <row r="230" spans="1:12">
      <c r="A230" s="632"/>
      <c r="B230" s="633"/>
      <c r="C230" s="634">
        <f>IFERROR(VLOOKUP(A230,'[103]TB for financial'!$A$5:$S$1092,19,FALSE),0)</f>
        <v>0</v>
      </c>
      <c r="D230" s="626" t="e">
        <f>VLOOKUP(A230,'PL Gr'!A:A,1,FALSE)</f>
        <v>#N/A</v>
      </c>
      <c r="E230" s="626" t="e">
        <f>VLOOKUP(A230,'TB for financial'!A:A,1,0)</f>
        <v>#N/A</v>
      </c>
      <c r="F230" s="1351" t="e">
        <f>VLOOKUP(A230,'TB for financial'!A:D,4,FALSE)</f>
        <v>#N/A</v>
      </c>
      <c r="G230" s="1350" t="e">
        <f t="shared" si="6"/>
        <v>#N/A</v>
      </c>
      <c r="H230" s="626" t="s">
        <v>2533</v>
      </c>
      <c r="I230" s="626">
        <v>503045</v>
      </c>
      <c r="K230" s="626" t="s">
        <v>2385</v>
      </c>
      <c r="L230" s="626" t="str">
        <f>VLOOKUP(I230,'BSPL Grouping'!A:D,4,FALSE)</f>
        <v>Repairs and maintenance - Others</v>
      </c>
    </row>
    <row r="231" spans="1:12">
      <c r="A231" s="632"/>
      <c r="B231" s="633"/>
      <c r="C231" s="634">
        <f>IFERROR(VLOOKUP(A231,'[103]TB for financial'!$A$5:$S$1092,19,FALSE),0)</f>
        <v>0</v>
      </c>
      <c r="D231" s="626" t="e">
        <f>VLOOKUP(A231,'PL Gr'!A:A,1,FALSE)</f>
        <v>#N/A</v>
      </c>
      <c r="E231" s="626" t="e">
        <f>VLOOKUP(A231,'TB for financial'!A:A,1,0)</f>
        <v>#N/A</v>
      </c>
      <c r="F231" s="1351" t="e">
        <f>VLOOKUP(A231,'TB for financial'!A:D,4,FALSE)</f>
        <v>#N/A</v>
      </c>
      <c r="G231" s="1350" t="e">
        <f t="shared" si="6"/>
        <v>#N/A</v>
      </c>
      <c r="H231" s="626" t="s">
        <v>2533</v>
      </c>
      <c r="I231" s="626">
        <v>505015</v>
      </c>
      <c r="K231" s="626" t="s">
        <v>2385</v>
      </c>
      <c r="L231" s="626" t="str">
        <f>VLOOKUP(I231,'BSPL Grouping'!A:D,4,FALSE)</f>
        <v>Professional and consultancy fees</v>
      </c>
    </row>
    <row r="232" spans="1:12">
      <c r="A232" s="632"/>
      <c r="B232" s="633"/>
      <c r="C232" s="634">
        <f>IFERROR(VLOOKUP(A232,'[103]TB for financial'!$A$5:$S$1092,19,FALSE),0)</f>
        <v>0</v>
      </c>
      <c r="D232" s="626" t="e">
        <f>VLOOKUP(A232,'PL Gr'!A:A,1,FALSE)</f>
        <v>#N/A</v>
      </c>
      <c r="E232" s="626" t="e">
        <f>VLOOKUP(A232,'TB for financial'!A:A,1,0)</f>
        <v>#N/A</v>
      </c>
      <c r="F232" s="1351" t="e">
        <f>VLOOKUP(A232,'TB for financial'!A:D,4,FALSE)</f>
        <v>#N/A</v>
      </c>
      <c r="G232" s="1350" t="e">
        <f t="shared" si="6"/>
        <v>#N/A</v>
      </c>
      <c r="H232" s="626" t="s">
        <v>2533</v>
      </c>
      <c r="I232" s="626">
        <v>505026</v>
      </c>
      <c r="K232" s="626" t="s">
        <v>2385</v>
      </c>
      <c r="L232" s="626" t="str">
        <f>VLOOKUP(I232,'BSPL Grouping'!A:D,4,FALSE)</f>
        <v>Auditors Remuneration</v>
      </c>
    </row>
    <row r="233" spans="1:12">
      <c r="A233" s="632"/>
      <c r="B233" s="633"/>
      <c r="C233" s="634">
        <f>IFERROR(VLOOKUP(A233,'[103]TB for financial'!$A$5:$S$1092,19,FALSE),0)</f>
        <v>0</v>
      </c>
      <c r="D233" s="626" t="e">
        <f>VLOOKUP(A233,'PL Gr'!A:A,1,FALSE)</f>
        <v>#N/A</v>
      </c>
      <c r="E233" s="626" t="e">
        <f>VLOOKUP(A233,'TB for financial'!A:A,1,0)</f>
        <v>#N/A</v>
      </c>
      <c r="F233" s="1351" t="e">
        <f>VLOOKUP(A233,'TB for financial'!A:D,4,FALSE)</f>
        <v>#N/A</v>
      </c>
      <c r="G233" s="1350" t="e">
        <f t="shared" si="6"/>
        <v>#N/A</v>
      </c>
      <c r="H233" s="626" t="s">
        <v>2533</v>
      </c>
      <c r="I233" s="626">
        <v>505025</v>
      </c>
      <c r="K233" s="626" t="s">
        <v>2385</v>
      </c>
      <c r="L233" s="626" t="str">
        <f>VLOOKUP(I233,'BSPL Grouping'!A:D,4,FALSE)</f>
        <v>Professional and consultancy fees</v>
      </c>
    </row>
    <row r="234" spans="1:12">
      <c r="A234" s="632"/>
      <c r="B234" s="633"/>
      <c r="C234" s="634">
        <f>IFERROR(VLOOKUP(A234,'[103]TB for financial'!$A$5:$S$1092,19,FALSE),0)</f>
        <v>0</v>
      </c>
      <c r="D234" s="626" t="e">
        <f>VLOOKUP(A234,'PL Gr'!A:A,1,FALSE)</f>
        <v>#N/A</v>
      </c>
      <c r="E234" s="626" t="e">
        <f>VLOOKUP(A234,'TB for financial'!A:A,1,0)</f>
        <v>#N/A</v>
      </c>
      <c r="F234" s="1351" t="e">
        <f>VLOOKUP(A234,'TB for financial'!A:D,4,FALSE)</f>
        <v>#N/A</v>
      </c>
      <c r="G234" s="1350" t="e">
        <f t="shared" si="6"/>
        <v>#N/A</v>
      </c>
      <c r="H234" s="626" t="s">
        <v>2533</v>
      </c>
      <c r="I234" s="626">
        <v>501140</v>
      </c>
      <c r="K234" s="626" t="s">
        <v>2385</v>
      </c>
      <c r="L234" s="626" t="str">
        <f>VLOOKUP(I234,'BSPL Grouping'!A:D,4,FALSE)</f>
        <v>Staff welfare</v>
      </c>
    </row>
    <row r="235" spans="1:12">
      <c r="A235" s="632"/>
      <c r="B235" s="633"/>
      <c r="C235" s="634">
        <f>IFERROR(VLOOKUP(A235,'[103]TB for financial'!$A$5:$S$1092,19,FALSE),0)</f>
        <v>0</v>
      </c>
      <c r="D235" s="626" t="e">
        <f>VLOOKUP(A235,'PL Gr'!A:A,1,FALSE)</f>
        <v>#N/A</v>
      </c>
      <c r="E235" s="626" t="e">
        <f>VLOOKUP(A235,'TB for financial'!A:A,1,0)</f>
        <v>#N/A</v>
      </c>
      <c r="F235" s="1351" t="e">
        <f>VLOOKUP(A235,'TB for financial'!A:D,4,FALSE)</f>
        <v>#N/A</v>
      </c>
      <c r="G235" s="1350" t="e">
        <f t="shared" si="6"/>
        <v>#N/A</v>
      </c>
      <c r="H235" s="626" t="s">
        <v>2533</v>
      </c>
      <c r="I235" s="626">
        <v>502170</v>
      </c>
      <c r="K235" s="626" t="s">
        <v>2385</v>
      </c>
      <c r="L235" s="626" t="str">
        <f>VLOOKUP(I235,'BSPL Grouping'!A:D,4,FALSE)</f>
        <v>Communication</v>
      </c>
    </row>
    <row r="236" spans="1:12">
      <c r="A236" s="632"/>
      <c r="B236" s="633"/>
      <c r="C236" s="634">
        <f>IFERROR(VLOOKUP(A236,'[103]TB for financial'!$A$5:$S$1092,19,FALSE),0)</f>
        <v>0</v>
      </c>
      <c r="D236" s="626" t="e">
        <f>VLOOKUP(A236,'PL Gr'!A:A,1,FALSE)</f>
        <v>#N/A</v>
      </c>
      <c r="E236" s="626" t="e">
        <f>VLOOKUP(A236,'TB for financial'!A:A,1,0)</f>
        <v>#N/A</v>
      </c>
      <c r="F236" s="1351" t="e">
        <f>VLOOKUP(A236,'TB for financial'!A:D,4,FALSE)</f>
        <v>#N/A</v>
      </c>
      <c r="G236" s="1350" t="e">
        <f t="shared" si="6"/>
        <v>#N/A</v>
      </c>
      <c r="H236" s="626" t="s">
        <v>2533</v>
      </c>
      <c r="I236" s="626">
        <v>503102</v>
      </c>
      <c r="K236" s="626" t="s">
        <v>2385</v>
      </c>
      <c r="L236" s="626" t="str">
        <f>VLOOKUP(I236,'BSPL Grouping'!A:D,4,FALSE)</f>
        <v>Other Operating expenses</v>
      </c>
    </row>
    <row r="237" spans="1:12">
      <c r="A237" s="632"/>
      <c r="B237" s="633"/>
      <c r="C237" s="634">
        <f>IFERROR(VLOOKUP(A237,'[103]TB for financial'!$A$5:$S$1092,19,FALSE),0)</f>
        <v>0</v>
      </c>
      <c r="D237" s="626" t="e">
        <f>VLOOKUP(A237,'PL Gr'!A:A,1,FALSE)</f>
        <v>#N/A</v>
      </c>
      <c r="E237" s="626" t="e">
        <f>VLOOKUP(A237,'TB for financial'!A:A,1,0)</f>
        <v>#N/A</v>
      </c>
      <c r="F237" s="1351" t="e">
        <f>VLOOKUP(A237,'TB for financial'!A:D,4,FALSE)</f>
        <v>#N/A</v>
      </c>
      <c r="G237" s="1350" t="e">
        <f t="shared" si="6"/>
        <v>#N/A</v>
      </c>
      <c r="H237" s="626" t="s">
        <v>2533</v>
      </c>
      <c r="I237" s="626">
        <v>500090</v>
      </c>
      <c r="K237" s="626" t="s">
        <v>2385</v>
      </c>
      <c r="L237" s="626" t="str">
        <f>VLOOKUP(I237,'BSPL Grouping'!A:D,4,FALSE)</f>
        <v>Salaries</v>
      </c>
    </row>
    <row r="238" spans="1:12">
      <c r="A238" s="632"/>
      <c r="B238" s="633"/>
      <c r="C238" s="634">
        <f>IFERROR(VLOOKUP(A238,'[103]TB for financial'!$A$5:$S$1092,19,FALSE),0)</f>
        <v>0</v>
      </c>
      <c r="D238" s="626" t="e">
        <f>VLOOKUP(A238,'PL Gr'!A:A,1,FALSE)</f>
        <v>#N/A</v>
      </c>
      <c r="E238" s="626" t="e">
        <f>VLOOKUP(A238,'TB for financial'!A:A,1,0)</f>
        <v>#N/A</v>
      </c>
      <c r="F238" s="1351" t="e">
        <f>VLOOKUP(A238,'TB for financial'!A:D,4,FALSE)</f>
        <v>#N/A</v>
      </c>
      <c r="G238" s="1350" t="e">
        <f t="shared" si="6"/>
        <v>#N/A</v>
      </c>
      <c r="H238" s="626" t="s">
        <v>2533</v>
      </c>
      <c r="I238" s="626">
        <v>500080</v>
      </c>
      <c r="K238" s="626" t="s">
        <v>2385</v>
      </c>
      <c r="L238" s="626" t="str">
        <f>VLOOKUP(I238,'BSPL Grouping'!A:D,4,FALSE)</f>
        <v>Salaries</v>
      </c>
    </row>
    <row r="239" spans="1:12">
      <c r="A239" s="632"/>
      <c r="B239" s="633"/>
      <c r="C239" s="634">
        <f>IFERROR(VLOOKUP(A239,'[103]TB for financial'!$A$5:$S$1092,19,FALSE),0)</f>
        <v>0</v>
      </c>
      <c r="D239" s="626" t="e">
        <f>VLOOKUP(A239,'PL Gr'!A:A,1,FALSE)</f>
        <v>#N/A</v>
      </c>
      <c r="E239" s="626" t="e">
        <f>VLOOKUP(A239,'TB for financial'!A:A,1,0)</f>
        <v>#N/A</v>
      </c>
      <c r="F239" s="1351" t="e">
        <f>VLOOKUP(A239,'TB for financial'!A:D,4,FALSE)</f>
        <v>#N/A</v>
      </c>
      <c r="G239" s="1350" t="e">
        <f t="shared" si="6"/>
        <v>#N/A</v>
      </c>
      <c r="H239" s="626" t="s">
        <v>2533</v>
      </c>
      <c r="I239" s="626">
        <v>500087</v>
      </c>
      <c r="K239" s="626" t="s">
        <v>2385</v>
      </c>
      <c r="L239" s="626" t="str">
        <f>VLOOKUP(I239,'BSPL Grouping'!A:D,4,FALSE)</f>
        <v>Salaries</v>
      </c>
    </row>
    <row r="240" spans="1:12">
      <c r="A240" s="632"/>
      <c r="B240" s="633"/>
      <c r="C240" s="634">
        <f>IFERROR(VLOOKUP(A240,'[103]TB for financial'!$A$5:$S$1092,19,FALSE),0)</f>
        <v>0</v>
      </c>
      <c r="D240" s="626" t="e">
        <f>VLOOKUP(A240,'PL Gr'!A:A,1,FALSE)</f>
        <v>#N/A</v>
      </c>
      <c r="E240" s="626" t="e">
        <f>VLOOKUP(A240,'TB for financial'!A:A,1,0)</f>
        <v>#N/A</v>
      </c>
      <c r="F240" s="1351" t="e">
        <f>VLOOKUP(A240,'TB for financial'!A:D,4,FALSE)</f>
        <v>#N/A</v>
      </c>
      <c r="G240" s="1350" t="e">
        <f t="shared" si="6"/>
        <v>#N/A</v>
      </c>
      <c r="H240" s="626" t="s">
        <v>2533</v>
      </c>
      <c r="I240" s="626">
        <v>500060</v>
      </c>
      <c r="K240" s="626" t="s">
        <v>2385</v>
      </c>
      <c r="L240" s="626" t="str">
        <f>VLOOKUP(I240,'BSPL Grouping'!A:D,4,FALSE)</f>
        <v>Salaries</v>
      </c>
    </row>
    <row r="241" spans="1:12">
      <c r="A241" s="632"/>
      <c r="B241" s="633"/>
      <c r="C241" s="634">
        <f>IFERROR(VLOOKUP(A241,'[103]TB for financial'!$A$5:$S$1092,19,FALSE),0)</f>
        <v>0</v>
      </c>
      <c r="D241" s="626" t="e">
        <f>VLOOKUP(A241,'PL Gr'!A:A,1,FALSE)</f>
        <v>#N/A</v>
      </c>
      <c r="E241" s="626" t="e">
        <f>VLOOKUP(A241,'TB for financial'!A:A,1,0)</f>
        <v>#N/A</v>
      </c>
      <c r="F241" s="1351" t="e">
        <f>VLOOKUP(A241,'TB for financial'!A:D,4,FALSE)</f>
        <v>#N/A</v>
      </c>
      <c r="G241" s="1350" t="e">
        <f t="shared" si="6"/>
        <v>#N/A</v>
      </c>
      <c r="H241" s="626" t="s">
        <v>2533</v>
      </c>
      <c r="I241" s="626">
        <v>500083</v>
      </c>
      <c r="K241" s="626" t="s">
        <v>2385</v>
      </c>
      <c r="L241" s="626" t="str">
        <f>VLOOKUP(I241,'BSPL Grouping'!A:D,4,FALSE)</f>
        <v>Salaries</v>
      </c>
    </row>
    <row r="242" spans="1:12">
      <c r="A242" s="632"/>
      <c r="B242" s="633"/>
      <c r="C242" s="634">
        <f>IFERROR(VLOOKUP(A242,'[103]TB for financial'!$A$5:$S$1092,19,FALSE),0)</f>
        <v>0</v>
      </c>
      <c r="D242" s="626" t="e">
        <f>VLOOKUP(A242,'PL Gr'!A:A,1,FALSE)</f>
        <v>#N/A</v>
      </c>
      <c r="E242" s="626" t="e">
        <f>VLOOKUP(A242,'TB for financial'!A:A,1,0)</f>
        <v>#N/A</v>
      </c>
      <c r="F242" s="1351" t="e">
        <f>VLOOKUP(A242,'TB for financial'!A:D,4,FALSE)</f>
        <v>#N/A</v>
      </c>
      <c r="G242" s="1350" t="e">
        <f t="shared" si="6"/>
        <v>#N/A</v>
      </c>
      <c r="H242" s="626" t="s">
        <v>2533</v>
      </c>
      <c r="I242" s="626">
        <v>500081</v>
      </c>
      <c r="K242" s="626" t="s">
        <v>2385</v>
      </c>
      <c r="L242" s="626" t="str">
        <f>VLOOKUP(I242,'BSPL Grouping'!A:D,4,FALSE)</f>
        <v>Salaries</v>
      </c>
    </row>
    <row r="243" spans="1:12">
      <c r="A243" s="632"/>
      <c r="B243" s="633"/>
      <c r="C243" s="634">
        <f>IFERROR(VLOOKUP(A243,'[103]TB for financial'!$A$5:$S$1092,19,FALSE),0)</f>
        <v>0</v>
      </c>
      <c r="D243" s="626" t="e">
        <f>VLOOKUP(A243,'PL Gr'!A:A,1,FALSE)</f>
        <v>#N/A</v>
      </c>
      <c r="E243" s="626" t="e">
        <f>VLOOKUP(A243,'TB for financial'!A:A,1,0)</f>
        <v>#N/A</v>
      </c>
      <c r="F243" s="1351" t="e">
        <f>VLOOKUP(A243,'TB for financial'!A:D,4,FALSE)</f>
        <v>#N/A</v>
      </c>
      <c r="G243" s="1350" t="e">
        <f t="shared" si="6"/>
        <v>#N/A</v>
      </c>
      <c r="H243" s="626" t="s">
        <v>2533</v>
      </c>
      <c r="I243" s="626">
        <v>500076</v>
      </c>
      <c r="K243" s="626" t="s">
        <v>2385</v>
      </c>
      <c r="L243" s="626" t="str">
        <f>VLOOKUP(I243,'BSPL Grouping'!A:D,4,FALSE)</f>
        <v>Contribution to PF and other funds</v>
      </c>
    </row>
    <row r="244" spans="1:12">
      <c r="A244" s="632"/>
      <c r="B244" s="633"/>
      <c r="C244" s="634">
        <f>IFERROR(VLOOKUP(A244,'[103]TB for financial'!$A$5:$S$1092,19,FALSE),0)</f>
        <v>0</v>
      </c>
      <c r="D244" s="626" t="e">
        <f>VLOOKUP(A244,'PL Gr'!A:A,1,FALSE)</f>
        <v>#N/A</v>
      </c>
      <c r="E244" s="626" t="e">
        <f>VLOOKUP(A244,'TB for financial'!A:A,1,0)</f>
        <v>#N/A</v>
      </c>
      <c r="F244" s="1351" t="e">
        <f>VLOOKUP(A244,'TB for financial'!A:D,4,FALSE)</f>
        <v>#N/A</v>
      </c>
      <c r="G244" s="1350" t="e">
        <f t="shared" si="6"/>
        <v>#N/A</v>
      </c>
      <c r="H244" s="626" t="s">
        <v>2533</v>
      </c>
      <c r="I244" s="626">
        <v>500073</v>
      </c>
      <c r="K244" s="626" t="s">
        <v>2385</v>
      </c>
      <c r="L244" s="626" t="str">
        <f>VLOOKUP(I244,'BSPL Grouping'!A:D,4,FALSE)</f>
        <v>Contribution to PF and other funds</v>
      </c>
    </row>
    <row r="245" spans="1:12">
      <c r="A245" s="632"/>
      <c r="B245" s="633"/>
      <c r="C245" s="634">
        <f>IFERROR(VLOOKUP(A245,'[103]TB for financial'!$A$5:$S$1092,19,FALSE),0)</f>
        <v>0</v>
      </c>
      <c r="D245" s="626" t="e">
        <f>VLOOKUP(A245,'PL Gr'!A:A,1,FALSE)</f>
        <v>#N/A</v>
      </c>
      <c r="E245" s="626" t="e">
        <f>VLOOKUP(A245,'TB for financial'!A:A,1,0)</f>
        <v>#N/A</v>
      </c>
      <c r="F245" s="1351" t="e">
        <f>VLOOKUP(A245,'TB for financial'!A:D,4,FALSE)</f>
        <v>#N/A</v>
      </c>
      <c r="G245" s="1350" t="e">
        <f t="shared" si="6"/>
        <v>#N/A</v>
      </c>
      <c r="H245" s="626" t="s">
        <v>2533</v>
      </c>
      <c r="I245" s="626">
        <v>501801</v>
      </c>
      <c r="K245" s="626" t="s">
        <v>2385</v>
      </c>
      <c r="L245" s="626" t="str">
        <f>VLOOKUP(I245,'BSPL Grouping'!A:D,4,FALSE)</f>
        <v>Local Travel and conveyance</v>
      </c>
    </row>
    <row r="246" spans="1:12">
      <c r="A246" s="632"/>
      <c r="B246" s="633"/>
      <c r="C246" s="634">
        <f>IFERROR(VLOOKUP(A246,'[103]TB for financial'!$A$5:$S$1092,19,FALSE),0)</f>
        <v>0</v>
      </c>
      <c r="D246" s="626" t="e">
        <f>VLOOKUP(A246,'PL Gr'!A:A,1,FALSE)</f>
        <v>#N/A</v>
      </c>
      <c r="E246" s="626" t="e">
        <f>VLOOKUP(A246,'TB for financial'!A:A,1,0)</f>
        <v>#N/A</v>
      </c>
      <c r="F246" s="1351" t="e">
        <f>VLOOKUP(A246,'TB for financial'!A:D,4,FALSE)</f>
        <v>#N/A</v>
      </c>
      <c r="G246" s="1350" t="e">
        <f t="shared" si="6"/>
        <v>#N/A</v>
      </c>
      <c r="H246" s="626" t="s">
        <v>2533</v>
      </c>
      <c r="I246" s="626">
        <v>501802</v>
      </c>
      <c r="K246" s="626" t="s">
        <v>2385</v>
      </c>
      <c r="L246" s="626" t="str">
        <f>VLOOKUP(I246,'BSPL Grouping'!A:D,4,FALSE)</f>
        <v>Local Travel and conveyance</v>
      </c>
    </row>
    <row r="247" spans="1:12">
      <c r="A247" s="632"/>
      <c r="B247" s="633"/>
      <c r="C247" s="634">
        <f>IFERROR(VLOOKUP(A247,'[103]TB for financial'!$A$5:$S$1092,19,FALSE),0)</f>
        <v>0</v>
      </c>
      <c r="D247" s="626" t="e">
        <f>VLOOKUP(A247,'PL Gr'!A:A,1,FALSE)</f>
        <v>#N/A</v>
      </c>
      <c r="E247" s="626" t="e">
        <f>VLOOKUP(A247,'TB for financial'!A:A,1,0)</f>
        <v>#N/A</v>
      </c>
      <c r="F247" s="1351" t="e">
        <f>VLOOKUP(A247,'TB for financial'!A:D,4,FALSE)</f>
        <v>#N/A</v>
      </c>
      <c r="G247" s="1350" t="e">
        <f t="shared" si="6"/>
        <v>#N/A</v>
      </c>
      <c r="H247" s="626" t="s">
        <v>2533</v>
      </c>
      <c r="I247" s="626">
        <v>501115</v>
      </c>
      <c r="K247" s="626" t="s">
        <v>2385</v>
      </c>
      <c r="L247" s="626" t="str">
        <f>VLOOKUP(I247,'BSPL Grouping'!A:D,4,FALSE)</f>
        <v>Staff welfare</v>
      </c>
    </row>
    <row r="248" spans="1:12">
      <c r="A248" s="632"/>
      <c r="B248" s="633"/>
      <c r="C248" s="634">
        <f>IFERROR(VLOOKUP(A248,'[103]TB for financial'!$A$5:$S$1092,19,FALSE),0)</f>
        <v>0</v>
      </c>
      <c r="D248" s="626" t="e">
        <f>VLOOKUP(A248,'PL Gr'!A:A,1,FALSE)</f>
        <v>#N/A</v>
      </c>
      <c r="E248" s="626" t="e">
        <f>VLOOKUP(A248,'TB for financial'!A:A,1,0)</f>
        <v>#N/A</v>
      </c>
      <c r="F248" s="1351" t="e">
        <f>VLOOKUP(A248,'TB for financial'!A:D,4,FALSE)</f>
        <v>#N/A</v>
      </c>
      <c r="G248" s="1350" t="e">
        <f t="shared" si="6"/>
        <v>#N/A</v>
      </c>
      <c r="H248" s="626" t="s">
        <v>2533</v>
      </c>
      <c r="I248" s="626">
        <v>500075</v>
      </c>
      <c r="K248" s="626" t="s">
        <v>2385</v>
      </c>
      <c r="L248" s="626" t="str">
        <f>VLOOKUP(I248,'BSPL Grouping'!A:D,4,FALSE)</f>
        <v>Contribution to PF and other funds</v>
      </c>
    </row>
    <row r="249" spans="1:12">
      <c r="A249" s="632"/>
      <c r="B249" s="633"/>
      <c r="C249" s="634">
        <f>IFERROR(VLOOKUP(A249,'[103]TB for financial'!$A$5:$S$1092,19,FALSE),0)</f>
        <v>0</v>
      </c>
      <c r="D249" s="626" t="e">
        <f>VLOOKUP(A249,'PL Gr'!A:A,1,FALSE)</f>
        <v>#N/A</v>
      </c>
      <c r="E249" s="626" t="e">
        <f>VLOOKUP(A249,'TB for financial'!A:A,1,0)</f>
        <v>#N/A</v>
      </c>
      <c r="F249" s="1351" t="e">
        <f>VLOOKUP(A249,'TB for financial'!A:D,4,FALSE)</f>
        <v>#N/A</v>
      </c>
      <c r="G249" s="1350" t="e">
        <f t="shared" si="6"/>
        <v>#N/A</v>
      </c>
      <c r="H249" s="626" t="s">
        <v>2533</v>
      </c>
      <c r="I249" s="626">
        <v>500111</v>
      </c>
      <c r="K249" s="626" t="s">
        <v>2385</v>
      </c>
      <c r="L249" s="626" t="str">
        <f>VLOOKUP(I249,'BSPL Grouping'!A:D,4,FALSE)</f>
        <v>Salaries</v>
      </c>
    </row>
    <row r="250" spans="1:12">
      <c r="A250" s="632"/>
      <c r="B250" s="633"/>
      <c r="C250" s="634">
        <f>IFERROR(VLOOKUP(A250,'[103]TB for financial'!$A$5:$S$1092,19,FALSE),0)</f>
        <v>0</v>
      </c>
      <c r="D250" s="626" t="e">
        <f>VLOOKUP(A250,'PL Gr'!A:A,1,FALSE)</f>
        <v>#N/A</v>
      </c>
      <c r="E250" s="626" t="e">
        <f>VLOOKUP(A250,'TB for financial'!A:A,1,0)</f>
        <v>#N/A</v>
      </c>
      <c r="F250" s="1351" t="e">
        <f>VLOOKUP(A250,'TB for financial'!A:D,4,FALSE)</f>
        <v>#N/A</v>
      </c>
      <c r="G250" s="1350" t="e">
        <f t="shared" si="6"/>
        <v>#N/A</v>
      </c>
      <c r="H250" s="626" t="s">
        <v>2533</v>
      </c>
      <c r="I250" s="626">
        <v>400070</v>
      </c>
      <c r="K250" s="626" t="s">
        <v>2385</v>
      </c>
      <c r="L250" s="626" t="str">
        <f>VLOOKUP(I250,'BSPL Grouping'!A:D,4,FALSE)</f>
        <v>Exchange Gain / Loss</v>
      </c>
    </row>
    <row r="251" spans="1:12">
      <c r="A251" s="632"/>
      <c r="B251" s="633"/>
      <c r="C251" s="634">
        <f>IFERROR(VLOOKUP(A251,'[103]TB for financial'!$A$5:$S$1092,19,FALSE),0)</f>
        <v>0</v>
      </c>
      <c r="D251" s="626" t="e">
        <f>VLOOKUP(A251,'PL Gr'!A:A,1,FALSE)</f>
        <v>#N/A</v>
      </c>
      <c r="E251" s="626" t="e">
        <f>VLOOKUP(A251,'TB for financial'!A:A,1,0)</f>
        <v>#N/A</v>
      </c>
      <c r="F251" s="1351" t="e">
        <f>VLOOKUP(A251,'TB for financial'!A:D,4,FALSE)</f>
        <v>#N/A</v>
      </c>
      <c r="G251" s="1350" t="e">
        <f t="shared" si="6"/>
        <v>#N/A</v>
      </c>
      <c r="H251" s="626" t="s">
        <v>2533</v>
      </c>
      <c r="I251" s="626">
        <v>503103</v>
      </c>
      <c r="K251" s="626" t="s">
        <v>2385</v>
      </c>
      <c r="L251" s="626" t="str">
        <f>VLOOKUP(I251,'BSPL Grouping'!A:D,4,FALSE)</f>
        <v>Other Operating expenses</v>
      </c>
    </row>
    <row r="252" spans="1:12">
      <c r="A252" s="632"/>
      <c r="B252" s="633"/>
      <c r="C252" s="634">
        <f>IFERROR(VLOOKUP(A252,'[103]TB for financial'!$A$5:$S$1092,19,FALSE),0)</f>
        <v>0</v>
      </c>
      <c r="D252" s="626" t="e">
        <f>VLOOKUP(A252,'PL Gr'!A:A,1,FALSE)</f>
        <v>#N/A</v>
      </c>
      <c r="E252" s="626" t="e">
        <f>VLOOKUP(A252,'TB for financial'!A:A,1,0)</f>
        <v>#N/A</v>
      </c>
      <c r="F252" s="1351" t="e">
        <f>VLOOKUP(A252,'TB for financial'!A:D,4,FALSE)</f>
        <v>#N/A</v>
      </c>
      <c r="G252" s="1350" t="e">
        <f t="shared" si="6"/>
        <v>#N/A</v>
      </c>
      <c r="H252" s="626" t="s">
        <v>2533</v>
      </c>
      <c r="I252" s="626">
        <v>601010</v>
      </c>
      <c r="K252" s="626" t="s">
        <v>2385</v>
      </c>
      <c r="L252" s="626" t="str">
        <f>VLOOKUP(I252,'BSPL Grouping'!A:D,4,FALSE)</f>
        <v>Other Income</v>
      </c>
    </row>
    <row r="253" spans="1:12">
      <c r="A253" s="632"/>
      <c r="B253" s="633"/>
      <c r="C253" s="634">
        <f>IFERROR(VLOOKUP(A253,'[103]TB for financial'!$A$5:$S$1092,19,FALSE),0)</f>
        <v>0</v>
      </c>
      <c r="D253" s="626" t="e">
        <f>VLOOKUP(A253,'PL Gr'!A:A,1,FALSE)</f>
        <v>#N/A</v>
      </c>
      <c r="E253" s="626" t="e">
        <f>VLOOKUP(A253,'TB for financial'!A:A,1,0)</f>
        <v>#N/A</v>
      </c>
      <c r="F253" s="1351" t="e">
        <f>VLOOKUP(A253,'TB for financial'!A:D,4,FALSE)</f>
        <v>#N/A</v>
      </c>
      <c r="G253" s="1350" t="e">
        <f t="shared" si="6"/>
        <v>#N/A</v>
      </c>
      <c r="H253" s="626" t="s">
        <v>2533</v>
      </c>
      <c r="I253" s="626">
        <v>400130</v>
      </c>
      <c r="K253" s="626" t="s">
        <v>2385</v>
      </c>
      <c r="L253" s="626" t="str">
        <f>VLOOKUP(I253,'BSPL Grouping'!A:D,4,FALSE)</f>
        <v>Sale of services</v>
      </c>
    </row>
    <row r="254" spans="1:12">
      <c r="A254" s="632"/>
      <c r="B254" s="633"/>
      <c r="C254" s="634">
        <f>IFERROR(VLOOKUP(A254,'[103]TB for financial'!$A$5:$S$1092,19,FALSE),0)</f>
        <v>0</v>
      </c>
      <c r="D254" s="626" t="e">
        <f>VLOOKUP(A254,'PL Gr'!A:A,1,FALSE)</f>
        <v>#N/A</v>
      </c>
      <c r="E254" s="626" t="e">
        <f>VLOOKUP(A254,'TB for financial'!A:A,1,0)</f>
        <v>#N/A</v>
      </c>
      <c r="F254" s="1351" t="e">
        <f>VLOOKUP(A254,'TB for financial'!A:D,4,FALSE)</f>
        <v>#N/A</v>
      </c>
      <c r="G254" s="1350" t="e">
        <f t="shared" si="6"/>
        <v>#N/A</v>
      </c>
      <c r="H254" s="626" t="s">
        <v>2533</v>
      </c>
      <c r="I254" s="626">
        <v>601014</v>
      </c>
      <c r="K254" s="626" t="s">
        <v>2385</v>
      </c>
      <c r="L254" s="626" t="str">
        <f>VLOOKUP(I254,'BSPL Grouping'!A:D,4,FALSE)</f>
        <v>Other Income</v>
      </c>
    </row>
    <row r="255" spans="1:12">
      <c r="A255" s="632"/>
      <c r="B255" s="633"/>
      <c r="C255" s="634">
        <f>IFERROR(VLOOKUP(A255,'[103]TB for financial'!$A$5:$S$1092,19,FALSE),0)</f>
        <v>0</v>
      </c>
      <c r="D255" s="626" t="e">
        <f>VLOOKUP(A255,'PL Gr'!A:A,1,FALSE)</f>
        <v>#N/A</v>
      </c>
      <c r="E255" s="626" t="e">
        <f>VLOOKUP(A255,'TB for financial'!A:A,1,0)</f>
        <v>#N/A</v>
      </c>
      <c r="F255" s="1351" t="e">
        <f>VLOOKUP(A255,'TB for financial'!A:D,4,FALSE)</f>
        <v>#N/A</v>
      </c>
      <c r="G255" s="1350" t="e">
        <f t="shared" si="6"/>
        <v>#N/A</v>
      </c>
      <c r="H255" s="626" t="s">
        <v>2533</v>
      </c>
      <c r="I255" s="626">
        <v>400070</v>
      </c>
      <c r="K255" s="626" t="s">
        <v>2385</v>
      </c>
      <c r="L255" s="626" t="str">
        <f>VLOOKUP(I255,'BSPL Grouping'!A:D,4,FALSE)</f>
        <v>Exchange Gain / Loss</v>
      </c>
    </row>
    <row r="256" spans="1:12">
      <c r="A256" s="632"/>
      <c r="B256" s="633"/>
      <c r="C256" s="634">
        <f>IFERROR(VLOOKUP(A256,'[103]TB for financial'!$A$5:$S$1092,19,FALSE),0)</f>
        <v>0</v>
      </c>
      <c r="D256" s="626" t="e">
        <f>VLOOKUP(A256,'PL Gr'!A:A,1,FALSE)</f>
        <v>#N/A</v>
      </c>
      <c r="E256" s="626" t="e">
        <f>VLOOKUP(A256,'TB for financial'!A:A,1,0)</f>
        <v>#N/A</v>
      </c>
      <c r="F256" s="1351" t="e">
        <f>VLOOKUP(A256,'TB for financial'!A:D,4,FALSE)</f>
        <v>#N/A</v>
      </c>
      <c r="G256" s="1350" t="e">
        <f t="shared" si="6"/>
        <v>#N/A</v>
      </c>
      <c r="H256" s="626" t="s">
        <v>2533</v>
      </c>
      <c r="I256" s="626">
        <v>400070</v>
      </c>
      <c r="K256" s="626" t="s">
        <v>2385</v>
      </c>
      <c r="L256" s="626" t="str">
        <f>VLOOKUP(I256,'BSPL Grouping'!A:D,4,FALSE)</f>
        <v>Exchange Gain / Loss</v>
      </c>
    </row>
    <row r="257" spans="1:3" ht="12.6" thickBot="1">
      <c r="A257" s="635"/>
      <c r="B257" s="636"/>
      <c r="C257" s="637">
        <f>SUM(C5:C256)</f>
        <v>-4.2387507855892181E-3</v>
      </c>
    </row>
    <row r="258" spans="1:3" ht="12.6" thickTop="1">
      <c r="C258" s="638"/>
    </row>
  </sheetData>
  <pageMargins left="0.7" right="0.7" top="0.75" bottom="0.75" header="0.3" footer="0.3"/>
  <pageSetup orientation="portrait" r:id="rId1"/>
  <legacy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2F630-640E-4430-8C37-9450767D04E2}">
  <dimension ref="A1:Z109"/>
  <sheetViews>
    <sheetView topLeftCell="E8" workbookViewId="0">
      <selection activeCell="D17" sqref="D17"/>
    </sheetView>
  </sheetViews>
  <sheetFormatPr defaultColWidth="9.21875" defaultRowHeight="14.4"/>
  <cols>
    <col min="8" max="8" width="42.21875" bestFit="1" customWidth="1"/>
    <col min="11" max="11" width="16" bestFit="1" customWidth="1"/>
    <col min="12" max="12" width="9.21875" hidden="1" customWidth="1"/>
    <col min="13" max="13" width="16" hidden="1" customWidth="1"/>
    <col min="14" max="14" width="9.21875" hidden="1" customWidth="1"/>
    <col min="15" max="15" width="9.44140625" hidden="1" customWidth="1"/>
    <col min="16" max="18" width="9.21875" hidden="1" customWidth="1"/>
    <col min="19" max="20" width="16" bestFit="1" customWidth="1"/>
    <col min="24" max="24" width="15" bestFit="1" customWidth="1"/>
    <col min="26" max="26" width="12.21875" bestFit="1" customWidth="1"/>
  </cols>
  <sheetData>
    <row r="1" spans="1:26">
      <c r="A1" t="s">
        <v>2563</v>
      </c>
      <c r="W1">
        <v>101300</v>
      </c>
      <c r="X1" s="1368">
        <f>-154000+54000</f>
        <v>-100000</v>
      </c>
    </row>
    <row r="2" spans="1:26">
      <c r="A2" t="s">
        <v>2458</v>
      </c>
      <c r="W2">
        <v>106810</v>
      </c>
      <c r="X2" s="1368">
        <f>-2.16+8625780</f>
        <v>8625777.8399999999</v>
      </c>
    </row>
    <row r="3" spans="1:26">
      <c r="W3">
        <v>106960</v>
      </c>
      <c r="X3" s="1368">
        <f>211448999.96-210334400</f>
        <v>1114599.9600000083</v>
      </c>
    </row>
    <row r="4" spans="1:26">
      <c r="A4" t="s">
        <v>2459</v>
      </c>
      <c r="F4">
        <v>119</v>
      </c>
      <c r="G4" t="s">
        <v>2460</v>
      </c>
      <c r="I4" t="s">
        <v>2461</v>
      </c>
      <c r="N4" t="s">
        <v>2462</v>
      </c>
      <c r="P4" t="s">
        <v>830</v>
      </c>
      <c r="W4">
        <v>110000</v>
      </c>
      <c r="X4" s="1368">
        <f>-232277761.25+201654620</f>
        <v>-30623141.25</v>
      </c>
    </row>
    <row r="6" spans="1:26" ht="28.8">
      <c r="B6" t="s">
        <v>1890</v>
      </c>
      <c r="C6" t="s">
        <v>2463</v>
      </c>
      <c r="D6" t="s">
        <v>2464</v>
      </c>
      <c r="E6" t="s">
        <v>2465</v>
      </c>
      <c r="J6" t="s">
        <v>2466</v>
      </c>
      <c r="L6" t="s">
        <v>2467</v>
      </c>
      <c r="O6" t="s">
        <v>2468</v>
      </c>
      <c r="Q6" t="s">
        <v>2469</v>
      </c>
      <c r="R6" t="s">
        <v>2470</v>
      </c>
      <c r="S6" s="1389" t="s">
        <v>2528</v>
      </c>
      <c r="T6" t="s">
        <v>2529</v>
      </c>
      <c r="U6" s="1389" t="s">
        <v>2530</v>
      </c>
      <c r="V6" t="s">
        <v>729</v>
      </c>
    </row>
    <row r="7" spans="1:26">
      <c r="B7" t="s">
        <v>2471</v>
      </c>
      <c r="C7" t="s">
        <v>2472</v>
      </c>
      <c r="D7" t="s">
        <v>2473</v>
      </c>
      <c r="J7" t="s">
        <v>2474</v>
      </c>
      <c r="L7" t="s">
        <v>2559</v>
      </c>
      <c r="O7" t="s">
        <v>2475</v>
      </c>
      <c r="Q7" t="s">
        <v>2476</v>
      </c>
      <c r="R7" t="s">
        <v>2477</v>
      </c>
    </row>
    <row r="9" spans="1:26">
      <c r="C9">
        <v>119</v>
      </c>
      <c r="E9" s="1390" t="s">
        <v>2534</v>
      </c>
      <c r="H9" t="s">
        <v>2396</v>
      </c>
      <c r="K9" s="1368">
        <f>-154000+54000</f>
        <v>-100000</v>
      </c>
      <c r="L9" s="1366"/>
      <c r="M9" s="1366">
        <v>0</v>
      </c>
      <c r="N9" s="1366"/>
      <c r="O9" s="1366">
        <v>-154000</v>
      </c>
      <c r="S9" s="1366">
        <f>SUMIF('People Soft to Nessie to IRIS'!$A$6:$A$86,'SAP TB'!E9,'People Soft to Nessie to IRIS'!$E$6:$E$86)</f>
        <v>-100000</v>
      </c>
      <c r="T9" s="1367">
        <f>+K9-S9</f>
        <v>0</v>
      </c>
      <c r="U9" t="s">
        <v>2384</v>
      </c>
      <c r="V9" t="s">
        <v>2531</v>
      </c>
      <c r="Y9">
        <v>-154000</v>
      </c>
      <c r="Z9" s="1367">
        <f>+K9-Y9</f>
        <v>54000</v>
      </c>
    </row>
    <row r="10" spans="1:26">
      <c r="C10">
        <v>119</v>
      </c>
      <c r="E10">
        <v>106810</v>
      </c>
      <c r="H10" t="s">
        <v>2397</v>
      </c>
      <c r="K10" s="1368">
        <f>-2.16+8625780</f>
        <v>8625777.8399999999</v>
      </c>
      <c r="L10" s="1366"/>
      <c r="M10" s="1366">
        <v>0</v>
      </c>
      <c r="N10" s="1366"/>
      <c r="O10" s="1366">
        <v>-2.16</v>
      </c>
      <c r="S10" s="1366">
        <f>SUMIF('People Soft to Nessie to IRIS'!$A$6:$A$86,'SAP TB'!E10,'People Soft to Nessie to IRIS'!$E$6:$E$86)</f>
        <v>8625777.8399999999</v>
      </c>
      <c r="T10" s="1367">
        <f t="shared" ref="T10:T73" si="0">+K10-S10</f>
        <v>0</v>
      </c>
      <c r="U10" t="s">
        <v>2384</v>
      </c>
      <c r="V10" t="s">
        <v>2531</v>
      </c>
      <c r="Y10">
        <v>-2.16</v>
      </c>
      <c r="Z10" s="1367">
        <f t="shared" ref="Z10:Z73" si="1">+K10-Y10</f>
        <v>8625780</v>
      </c>
    </row>
    <row r="11" spans="1:26">
      <c r="C11">
        <v>119</v>
      </c>
      <c r="E11">
        <v>106960</v>
      </c>
      <c r="H11" t="s">
        <v>2478</v>
      </c>
      <c r="K11" s="1368">
        <f>211448999.96-210334400</f>
        <v>1114599.9600000083</v>
      </c>
      <c r="L11" s="1366"/>
      <c r="M11" s="1366">
        <v>0</v>
      </c>
      <c r="N11" s="1366"/>
      <c r="O11" s="1366">
        <v>211448999.96000001</v>
      </c>
      <c r="S11" s="1366">
        <f>SUMIF('People Soft to Nessie to IRIS'!$A$6:$A$86,'SAP TB'!E11,'People Soft to Nessie to IRIS'!$E$6:$E$86)</f>
        <v>1114599.96</v>
      </c>
      <c r="T11" s="1367">
        <f t="shared" si="0"/>
        <v>8.3819031715393066E-9</v>
      </c>
      <c r="U11" t="s">
        <v>2384</v>
      </c>
      <c r="V11" t="s">
        <v>2531</v>
      </c>
      <c r="Y11">
        <v>211448999.96000001</v>
      </c>
      <c r="Z11" s="1367">
        <f t="shared" si="1"/>
        <v>-210334400</v>
      </c>
    </row>
    <row r="12" spans="1:26">
      <c r="C12">
        <v>119</v>
      </c>
      <c r="E12">
        <v>110000</v>
      </c>
      <c r="H12" t="s">
        <v>2400</v>
      </c>
      <c r="K12" s="1368">
        <f>-232277761.25+201654620</f>
        <v>-30623141.25</v>
      </c>
      <c r="L12" s="1366"/>
      <c r="M12" s="1366">
        <v>0</v>
      </c>
      <c r="N12" s="1366"/>
      <c r="O12" s="1366">
        <v>-232277761.25</v>
      </c>
      <c r="S12" s="1366">
        <f>SUMIF('People Soft to Nessie to IRIS'!$A$6:$A$86,'SAP TB'!E12,'People Soft to Nessie to IRIS'!$E$6:$E$86)</f>
        <v>-30623141.25</v>
      </c>
      <c r="T12" s="1367">
        <f t="shared" si="0"/>
        <v>0</v>
      </c>
      <c r="U12" t="s">
        <v>2384</v>
      </c>
      <c r="V12" t="s">
        <v>2531</v>
      </c>
      <c r="Y12">
        <v>-232277761.25</v>
      </c>
      <c r="Z12" s="1367">
        <f t="shared" si="1"/>
        <v>201654620</v>
      </c>
    </row>
    <row r="13" spans="1:26">
      <c r="C13">
        <v>119</v>
      </c>
      <c r="E13">
        <v>155000</v>
      </c>
      <c r="H13" t="s">
        <v>2401</v>
      </c>
      <c r="K13" s="1366">
        <v>-36188938.240000002</v>
      </c>
      <c r="L13" s="1366"/>
      <c r="M13" s="1366">
        <v>0</v>
      </c>
      <c r="N13" s="1366"/>
      <c r="O13" s="1366">
        <v>-36188938.240000002</v>
      </c>
      <c r="S13" s="1366">
        <f>SUMIF('People Soft to Nessie to IRIS'!$A$6:$A$86,'SAP TB'!E13,'People Soft to Nessie to IRIS'!$E$6:$E$86)</f>
        <v>-36188938.240000002</v>
      </c>
      <c r="T13" s="1367">
        <f t="shared" si="0"/>
        <v>0</v>
      </c>
      <c r="U13" t="s">
        <v>2384</v>
      </c>
      <c r="V13" t="s">
        <v>2531</v>
      </c>
      <c r="Y13">
        <v>-36188938.240000002</v>
      </c>
      <c r="Z13" s="1367">
        <f t="shared" si="1"/>
        <v>0</v>
      </c>
    </row>
    <row r="14" spans="1:26">
      <c r="C14">
        <v>119</v>
      </c>
      <c r="E14">
        <v>159200</v>
      </c>
      <c r="H14" t="s">
        <v>2402</v>
      </c>
      <c r="K14" s="1366">
        <v>-1993851.66</v>
      </c>
      <c r="L14" s="1366"/>
      <c r="M14" s="1366">
        <v>0</v>
      </c>
      <c r="N14" s="1366"/>
      <c r="O14" s="1366">
        <v>-1993851.66</v>
      </c>
      <c r="S14" s="1366">
        <f>SUMIF('People Soft to Nessie to IRIS'!$A$6:$A$86,'SAP TB'!E14,'People Soft to Nessie to IRIS'!$E$6:$E$86)</f>
        <v>-2416921.6599999997</v>
      </c>
      <c r="T14" s="1367">
        <f t="shared" si="0"/>
        <v>423069.99999999977</v>
      </c>
      <c r="U14" t="s">
        <v>2384</v>
      </c>
      <c r="V14" t="s">
        <v>2531</v>
      </c>
      <c r="Y14">
        <v>-1993851.66</v>
      </c>
      <c r="Z14" s="1367">
        <f t="shared" si="1"/>
        <v>0</v>
      </c>
    </row>
    <row r="15" spans="1:26">
      <c r="C15">
        <v>119</v>
      </c>
      <c r="E15">
        <v>159300</v>
      </c>
      <c r="H15" t="s">
        <v>2479</v>
      </c>
      <c r="K15" s="1366">
        <v>-311194</v>
      </c>
      <c r="L15" s="1366"/>
      <c r="M15" s="1366">
        <v>0</v>
      </c>
      <c r="N15" s="1366"/>
      <c r="O15" s="1366">
        <v>-311194</v>
      </c>
      <c r="S15" s="1366">
        <f>SUMIF('People Soft to Nessie to IRIS'!$A$6:$A$86,'SAP TB'!E15,'People Soft to Nessie to IRIS'!$E$6:$E$86)</f>
        <v>0</v>
      </c>
      <c r="T15" s="1367">
        <f t="shared" si="0"/>
        <v>-311194</v>
      </c>
      <c r="U15" t="s">
        <v>2384</v>
      </c>
      <c r="V15" t="s">
        <v>2531</v>
      </c>
      <c r="Y15">
        <v>-311194</v>
      </c>
      <c r="Z15" s="1367">
        <f t="shared" si="1"/>
        <v>0</v>
      </c>
    </row>
    <row r="16" spans="1:26">
      <c r="C16">
        <v>119</v>
      </c>
      <c r="E16">
        <v>168100</v>
      </c>
      <c r="H16" t="s">
        <v>2480</v>
      </c>
      <c r="K16" s="1366">
        <v>-227292142.09999999</v>
      </c>
      <c r="L16" s="1366"/>
      <c r="M16" s="1366">
        <v>0</v>
      </c>
      <c r="N16" s="1366"/>
      <c r="O16" s="1366">
        <v>-227292142.09999999</v>
      </c>
      <c r="S16" s="1366">
        <f>SUMIF('People Soft to Nessie to IRIS'!$A$6:$A$86,'SAP TB'!E16,'People Soft to Nessie to IRIS'!$E$6:$E$86)</f>
        <v>-223699196.09999999</v>
      </c>
      <c r="T16" s="1367">
        <f t="shared" si="0"/>
        <v>-3592946</v>
      </c>
      <c r="U16" t="s">
        <v>2384</v>
      </c>
      <c r="V16" t="s">
        <v>2531</v>
      </c>
      <c r="Y16">
        <v>-227292142.09999999</v>
      </c>
      <c r="Z16" s="1367">
        <f t="shared" si="1"/>
        <v>0</v>
      </c>
    </row>
    <row r="17" spans="3:26">
      <c r="C17">
        <v>119</v>
      </c>
      <c r="E17">
        <v>205000</v>
      </c>
      <c r="H17" t="s">
        <v>2453</v>
      </c>
      <c r="K17" s="1366">
        <v>6846730.4800000004</v>
      </c>
      <c r="L17" s="1366"/>
      <c r="M17" s="1366">
        <v>0</v>
      </c>
      <c r="N17" s="1366"/>
      <c r="O17" s="1366">
        <v>6846730.4800000004</v>
      </c>
      <c r="S17" s="1366">
        <f>SUMIF('People Soft to Nessie to IRIS'!$A$6:$A$86,'SAP TB'!E17,'People Soft to Nessie to IRIS'!$E$6:$E$86)</f>
        <v>6846730.4800000004</v>
      </c>
      <c r="T17" s="1367">
        <f t="shared" si="0"/>
        <v>0</v>
      </c>
      <c r="U17" t="s">
        <v>2384</v>
      </c>
      <c r="V17" t="s">
        <v>2532</v>
      </c>
      <c r="Y17">
        <v>6846730.4800000004</v>
      </c>
      <c r="Z17" s="1367">
        <f t="shared" si="1"/>
        <v>0</v>
      </c>
    </row>
    <row r="18" spans="3:26">
      <c r="C18">
        <v>119</v>
      </c>
      <c r="E18">
        <v>215500</v>
      </c>
      <c r="H18" t="s">
        <v>2451</v>
      </c>
      <c r="K18" s="1366">
        <v>13485280</v>
      </c>
      <c r="L18" s="1366"/>
      <c r="M18" s="1366">
        <v>0</v>
      </c>
      <c r="N18" s="1366"/>
      <c r="O18" s="1366">
        <v>13485280</v>
      </c>
      <c r="S18" s="1366">
        <f>SUMIF('People Soft to Nessie to IRIS'!$A$6:$A$86,'SAP TB'!E18,'People Soft to Nessie to IRIS'!$E$6:$E$86)</f>
        <v>13485280</v>
      </c>
      <c r="T18" s="1367">
        <f t="shared" si="0"/>
        <v>0</v>
      </c>
      <c r="U18" t="s">
        <v>2384</v>
      </c>
      <c r="V18" t="s">
        <v>2532</v>
      </c>
      <c r="Y18">
        <v>13485280</v>
      </c>
      <c r="Z18" s="1367">
        <f t="shared" si="1"/>
        <v>0</v>
      </c>
    </row>
    <row r="19" spans="3:26">
      <c r="C19">
        <v>119</v>
      </c>
      <c r="E19">
        <v>219000</v>
      </c>
      <c r="H19" t="s">
        <v>2452</v>
      </c>
      <c r="K19" s="1366">
        <v>72924</v>
      </c>
      <c r="L19" s="1366"/>
      <c r="M19" s="1366">
        <v>0</v>
      </c>
      <c r="N19" s="1366"/>
      <c r="O19" s="1366">
        <v>72924</v>
      </c>
      <c r="S19" s="1366">
        <f>SUMIF('People Soft to Nessie to IRIS'!$A$6:$A$86,'SAP TB'!E19,'People Soft to Nessie to IRIS'!$E$6:$E$86)</f>
        <v>72924</v>
      </c>
      <c r="T19" s="1367">
        <f t="shared" si="0"/>
        <v>0</v>
      </c>
      <c r="U19" t="s">
        <v>2384</v>
      </c>
      <c r="V19" t="s">
        <v>2532</v>
      </c>
      <c r="Y19">
        <v>72924</v>
      </c>
      <c r="Z19" s="1367">
        <f t="shared" si="1"/>
        <v>0</v>
      </c>
    </row>
    <row r="20" spans="3:26">
      <c r="C20">
        <v>119</v>
      </c>
      <c r="E20">
        <v>275000</v>
      </c>
      <c r="H20" t="s">
        <v>2481</v>
      </c>
      <c r="K20" s="1366">
        <v>-9181</v>
      </c>
      <c r="L20" s="1366"/>
      <c r="M20" s="1366">
        <v>0</v>
      </c>
      <c r="N20" s="1366"/>
      <c r="O20" s="1366">
        <v>-9181</v>
      </c>
      <c r="S20" s="1366">
        <f>SUMIF('People Soft to Nessie to IRIS'!$A$6:$A$86,'SAP TB'!E20,'People Soft to Nessie to IRIS'!$E$6:$E$86)</f>
        <v>-9181</v>
      </c>
      <c r="T20" s="1367">
        <f t="shared" si="0"/>
        <v>0</v>
      </c>
      <c r="U20" t="s">
        <v>2384</v>
      </c>
      <c r="V20" t="s">
        <v>2532</v>
      </c>
      <c r="Y20">
        <v>-9181</v>
      </c>
      <c r="Z20" s="1367">
        <f t="shared" si="1"/>
        <v>0</v>
      </c>
    </row>
    <row r="21" spans="3:26">
      <c r="C21">
        <v>119</v>
      </c>
      <c r="E21">
        <v>276840</v>
      </c>
      <c r="H21" t="s">
        <v>2405</v>
      </c>
      <c r="K21" s="1366">
        <v>730093.55</v>
      </c>
      <c r="L21" s="1366"/>
      <c r="M21" s="1366">
        <v>0</v>
      </c>
      <c r="N21" s="1366"/>
      <c r="O21" s="1366">
        <v>730093.55</v>
      </c>
      <c r="S21" s="1366">
        <f>SUMIF('People Soft to Nessie to IRIS'!$A$6:$A$86,'SAP TB'!E21,'People Soft to Nessie to IRIS'!$E$6:$E$86)</f>
        <v>782125.05</v>
      </c>
      <c r="T21" s="1367">
        <f t="shared" si="0"/>
        <v>-52031.5</v>
      </c>
      <c r="U21" t="s">
        <v>2384</v>
      </c>
      <c r="V21" t="s">
        <v>2532</v>
      </c>
      <c r="Y21">
        <v>730093.55</v>
      </c>
      <c r="Z21" s="1367">
        <f t="shared" si="1"/>
        <v>0</v>
      </c>
    </row>
    <row r="22" spans="3:26">
      <c r="C22">
        <v>119</v>
      </c>
      <c r="E22">
        <v>280500</v>
      </c>
      <c r="H22" t="s">
        <v>2456</v>
      </c>
      <c r="K22" s="1366">
        <v>-6846730.4800000004</v>
      </c>
      <c r="L22" s="1366"/>
      <c r="M22" s="1366">
        <v>0</v>
      </c>
      <c r="N22" s="1366"/>
      <c r="O22" s="1366">
        <v>-6846730.4800000004</v>
      </c>
      <c r="S22" s="1366">
        <f>SUMIF('People Soft to Nessie to IRIS'!$A$6:$A$86,'SAP TB'!E22,'People Soft to Nessie to IRIS'!$E$6:$E$86)</f>
        <v>-6846730.4800000004</v>
      </c>
      <c r="T22" s="1367">
        <f t="shared" si="0"/>
        <v>0</v>
      </c>
      <c r="U22" t="s">
        <v>2384</v>
      </c>
      <c r="V22" t="s">
        <v>2532</v>
      </c>
      <c r="Y22">
        <v>-6846730.4800000004</v>
      </c>
      <c r="Z22" s="1367">
        <f t="shared" si="1"/>
        <v>0</v>
      </c>
    </row>
    <row r="23" spans="3:26">
      <c r="C23">
        <v>119</v>
      </c>
      <c r="E23">
        <v>281550</v>
      </c>
      <c r="H23" t="s">
        <v>2454</v>
      </c>
      <c r="K23" s="1366">
        <v>-13485280</v>
      </c>
      <c r="L23" s="1366"/>
      <c r="M23" s="1366">
        <v>0</v>
      </c>
      <c r="N23" s="1366"/>
      <c r="O23" s="1366">
        <v>-13485280</v>
      </c>
      <c r="S23" s="1366">
        <f>SUMIF('People Soft to Nessie to IRIS'!$A$6:$A$86,'SAP TB'!E23,'People Soft to Nessie to IRIS'!$E$6:$E$86)</f>
        <v>-13485280</v>
      </c>
      <c r="T23" s="1367">
        <f t="shared" si="0"/>
        <v>0</v>
      </c>
      <c r="U23" t="s">
        <v>2384</v>
      </c>
      <c r="V23" t="s">
        <v>2532</v>
      </c>
      <c r="Y23">
        <v>-13485280</v>
      </c>
      <c r="Z23" s="1367">
        <f t="shared" si="1"/>
        <v>0</v>
      </c>
    </row>
    <row r="24" spans="3:26">
      <c r="C24">
        <v>119</v>
      </c>
      <c r="E24">
        <v>281900</v>
      </c>
      <c r="H24" t="s">
        <v>2455</v>
      </c>
      <c r="K24" s="1366">
        <v>-72924</v>
      </c>
      <c r="L24" s="1366"/>
      <c r="M24" s="1366">
        <v>0</v>
      </c>
      <c r="N24" s="1366"/>
      <c r="O24" s="1366">
        <v>-72924</v>
      </c>
      <c r="S24" s="1366">
        <f>SUMIF('People Soft to Nessie to IRIS'!$A$6:$A$86,'SAP TB'!E24,'People Soft to Nessie to IRIS'!$E$6:$E$86)</f>
        <v>-72924</v>
      </c>
      <c r="T24" s="1367">
        <f t="shared" si="0"/>
        <v>0</v>
      </c>
      <c r="U24" t="s">
        <v>2384</v>
      </c>
      <c r="V24" t="s">
        <v>2532</v>
      </c>
      <c r="Y24">
        <v>-72924</v>
      </c>
      <c r="Z24" s="1367">
        <f t="shared" si="1"/>
        <v>0</v>
      </c>
    </row>
    <row r="25" spans="3:26">
      <c r="C25">
        <v>119</v>
      </c>
      <c r="E25">
        <v>401100</v>
      </c>
      <c r="H25" t="s">
        <v>2482</v>
      </c>
      <c r="K25" s="1366">
        <v>-45977.599999999999</v>
      </c>
      <c r="L25" s="1366"/>
      <c r="M25" s="1366">
        <v>0</v>
      </c>
      <c r="N25" s="1366"/>
      <c r="O25" s="1366">
        <v>-45977.599999999999</v>
      </c>
      <c r="S25" s="1366">
        <f>SUMIF('People Soft to Nessie to IRIS'!$A$6:$A$86,'SAP TB'!E25,'People Soft to Nessie to IRIS'!$E$6:$E$86)</f>
        <v>5549.2</v>
      </c>
      <c r="T25" s="1367">
        <f t="shared" si="0"/>
        <v>-51526.799999999996</v>
      </c>
      <c r="U25" t="s">
        <v>2384</v>
      </c>
      <c r="V25" t="s">
        <v>2531</v>
      </c>
      <c r="Y25">
        <v>-45977.599999999999</v>
      </c>
      <c r="Z25" s="1367">
        <f t="shared" si="1"/>
        <v>0</v>
      </c>
    </row>
    <row r="26" spans="3:26">
      <c r="C26">
        <v>119</v>
      </c>
      <c r="E26">
        <v>401450</v>
      </c>
      <c r="H26" t="s">
        <v>2483</v>
      </c>
      <c r="K26" s="1366">
        <v>535614.23</v>
      </c>
      <c r="L26" s="1366"/>
      <c r="M26" s="1366">
        <v>0</v>
      </c>
      <c r="N26" s="1366"/>
      <c r="O26" s="1366">
        <v>535614.23</v>
      </c>
      <c r="S26" s="1366">
        <f>SUMIF('People Soft to Nessie to IRIS'!$A$6:$A$86,'SAP TB'!E26,'People Soft to Nessie to IRIS'!$E$6:$E$86)</f>
        <v>535614.23</v>
      </c>
      <c r="T26" s="1367">
        <f t="shared" si="0"/>
        <v>0</v>
      </c>
      <c r="U26" t="s">
        <v>2384</v>
      </c>
      <c r="V26" t="s">
        <v>2531</v>
      </c>
      <c r="Y26">
        <v>535614.23</v>
      </c>
      <c r="Z26" s="1367">
        <f t="shared" si="1"/>
        <v>0</v>
      </c>
    </row>
    <row r="27" spans="3:26">
      <c r="C27">
        <v>119</v>
      </c>
      <c r="E27">
        <v>401500</v>
      </c>
      <c r="H27" t="s">
        <v>2482</v>
      </c>
      <c r="K27" s="1366">
        <v>-1371078.7</v>
      </c>
      <c r="L27" s="1366"/>
      <c r="M27" s="1366">
        <v>0</v>
      </c>
      <c r="N27" s="1366"/>
      <c r="O27" s="1366">
        <v>-1371078.7</v>
      </c>
      <c r="S27" s="1366">
        <f>SUMIF('People Soft to Nessie to IRIS'!$A$6:$A$86,'SAP TB'!E27,'People Soft to Nessie to IRIS'!$E$6:$E$86)</f>
        <v>-1113895.0999999999</v>
      </c>
      <c r="T27" s="1367">
        <f t="shared" si="0"/>
        <v>-257183.60000000009</v>
      </c>
      <c r="U27" t="s">
        <v>2384</v>
      </c>
      <c r="V27" t="s">
        <v>2531</v>
      </c>
      <c r="Y27">
        <v>-1371078.7</v>
      </c>
      <c r="Z27" s="1367">
        <f t="shared" si="1"/>
        <v>0</v>
      </c>
    </row>
    <row r="28" spans="3:26">
      <c r="C28">
        <v>119</v>
      </c>
      <c r="E28">
        <v>401998</v>
      </c>
      <c r="H28" t="s">
        <v>2484</v>
      </c>
      <c r="K28" s="1366">
        <v>-30551.37</v>
      </c>
      <c r="L28" s="1366"/>
      <c r="M28" s="1366">
        <v>0</v>
      </c>
      <c r="N28" s="1366"/>
      <c r="O28" s="1366">
        <v>-30551.37</v>
      </c>
      <c r="S28" s="1366">
        <f>SUMIF('People Soft to Nessie to IRIS'!$A$6:$A$86,'SAP TB'!E28,'People Soft to Nessie to IRIS'!$E$6:$E$86)</f>
        <v>1623.4</v>
      </c>
      <c r="T28" s="1367">
        <f t="shared" si="0"/>
        <v>-32174.77</v>
      </c>
      <c r="U28" t="s">
        <v>2384</v>
      </c>
      <c r="V28" t="s">
        <v>2531</v>
      </c>
      <c r="Y28">
        <v>-30551.37</v>
      </c>
      <c r="Z28" s="1367">
        <f t="shared" si="1"/>
        <v>0</v>
      </c>
    </row>
    <row r="29" spans="3:26">
      <c r="C29">
        <v>119</v>
      </c>
      <c r="E29">
        <v>408120</v>
      </c>
      <c r="H29" t="s">
        <v>2485</v>
      </c>
      <c r="K29" s="1366">
        <v>-928439.85</v>
      </c>
      <c r="L29" s="1366"/>
      <c r="M29" s="1366">
        <v>0</v>
      </c>
      <c r="N29" s="1366"/>
      <c r="O29" s="1366">
        <v>-928439.85</v>
      </c>
      <c r="S29" s="1366">
        <f>SUMIF('People Soft to Nessie to IRIS'!$A$6:$A$86,'SAP TB'!E29,'People Soft to Nessie to IRIS'!$E$6:$E$86)</f>
        <v>0</v>
      </c>
      <c r="T29" s="1367">
        <f t="shared" si="0"/>
        <v>-928439.85</v>
      </c>
      <c r="U29" t="s">
        <v>2384</v>
      </c>
      <c r="V29" t="s">
        <v>2531</v>
      </c>
      <c r="Y29">
        <v>-928439.85</v>
      </c>
      <c r="Z29" s="1367">
        <f t="shared" si="1"/>
        <v>0</v>
      </c>
    </row>
    <row r="30" spans="3:26">
      <c r="C30">
        <v>119</v>
      </c>
      <c r="E30">
        <v>408151</v>
      </c>
      <c r="H30" t="s">
        <v>2410</v>
      </c>
      <c r="K30" s="1366">
        <v>-1697652</v>
      </c>
      <c r="L30" s="1366"/>
      <c r="M30" s="1366">
        <v>0</v>
      </c>
      <c r="N30" s="1366"/>
      <c r="O30" s="1366">
        <v>-1697652</v>
      </c>
      <c r="S30" s="1366">
        <f>SUMIF('People Soft to Nessie to IRIS'!$A$6:$A$86,'SAP TB'!E30,'People Soft to Nessie to IRIS'!$E$6:$E$86)</f>
        <v>-1713820</v>
      </c>
      <c r="T30" s="1367">
        <f t="shared" si="0"/>
        <v>16168</v>
      </c>
      <c r="U30" t="s">
        <v>2384</v>
      </c>
      <c r="V30" t="s">
        <v>2531</v>
      </c>
      <c r="Y30">
        <v>-1697652</v>
      </c>
      <c r="Z30" s="1367">
        <f t="shared" si="1"/>
        <v>0</v>
      </c>
    </row>
    <row r="31" spans="3:26">
      <c r="C31">
        <v>119</v>
      </c>
      <c r="E31">
        <v>408500</v>
      </c>
      <c r="H31" t="s">
        <v>2486</v>
      </c>
      <c r="K31" s="1366">
        <v>-884251.6</v>
      </c>
      <c r="L31" s="1366"/>
      <c r="M31" s="1366">
        <v>0</v>
      </c>
      <c r="N31" s="1366"/>
      <c r="O31" s="1366">
        <v>-884251.6</v>
      </c>
      <c r="S31" s="1366">
        <f>SUMIF('People Soft to Nessie to IRIS'!$A$6:$A$86,'SAP TB'!E31,'People Soft to Nessie to IRIS'!$E$6:$E$86)</f>
        <v>-36079</v>
      </c>
      <c r="T31" s="1367">
        <f t="shared" si="0"/>
        <v>-848172.6</v>
      </c>
      <c r="U31" t="s">
        <v>2384</v>
      </c>
      <c r="V31" t="s">
        <v>2531</v>
      </c>
      <c r="Y31">
        <v>-884251.6</v>
      </c>
      <c r="Z31" s="1367">
        <f t="shared" si="1"/>
        <v>0</v>
      </c>
    </row>
    <row r="32" spans="3:26">
      <c r="C32">
        <v>119</v>
      </c>
      <c r="E32">
        <v>411450</v>
      </c>
      <c r="H32" t="s">
        <v>2487</v>
      </c>
      <c r="K32" s="1366">
        <v>7086860.5199999996</v>
      </c>
      <c r="L32" s="1366"/>
      <c r="M32" s="1366">
        <v>0</v>
      </c>
      <c r="N32" s="1366"/>
      <c r="O32" s="1366">
        <v>7086860.5199999996</v>
      </c>
      <c r="S32" s="1366">
        <f>SUMIF('People Soft to Nessie to IRIS'!$A$6:$A$86,'SAP TB'!E32,'People Soft to Nessie to IRIS'!$E$6:$E$86)</f>
        <v>3861250.19</v>
      </c>
      <c r="T32" s="1367">
        <f t="shared" si="0"/>
        <v>3225610.3299999996</v>
      </c>
      <c r="U32" t="s">
        <v>2384</v>
      </c>
      <c r="V32" t="s">
        <v>2532</v>
      </c>
      <c r="Y32">
        <v>7086860.5199999996</v>
      </c>
      <c r="Z32" s="1367">
        <f t="shared" si="1"/>
        <v>0</v>
      </c>
    </row>
    <row r="33" spans="3:26">
      <c r="C33">
        <v>119</v>
      </c>
      <c r="E33">
        <v>411500</v>
      </c>
      <c r="H33" t="s">
        <v>2488</v>
      </c>
      <c r="K33" s="1366">
        <v>241132.81</v>
      </c>
      <c r="L33" s="1366"/>
      <c r="M33" s="1366">
        <v>0</v>
      </c>
      <c r="N33" s="1366"/>
      <c r="O33" s="1366">
        <v>241132.81</v>
      </c>
      <c r="S33" s="1366">
        <f>SUMIF('People Soft to Nessie to IRIS'!$A$6:$A$86,'SAP TB'!E33,'People Soft to Nessie to IRIS'!$E$6:$E$86)</f>
        <v>241132.81</v>
      </c>
      <c r="T33" s="1367">
        <f t="shared" si="0"/>
        <v>0</v>
      </c>
      <c r="U33" t="s">
        <v>2384</v>
      </c>
      <c r="V33" t="s">
        <v>2532</v>
      </c>
      <c r="Y33">
        <v>241132.81</v>
      </c>
      <c r="Z33" s="1367">
        <f t="shared" si="1"/>
        <v>0</v>
      </c>
    </row>
    <row r="34" spans="3:26">
      <c r="C34">
        <v>119</v>
      </c>
      <c r="E34">
        <v>411700</v>
      </c>
      <c r="H34" t="s">
        <v>2450</v>
      </c>
      <c r="K34" s="1366">
        <v>2747510</v>
      </c>
      <c r="L34" s="1366"/>
      <c r="M34" s="1366">
        <v>0</v>
      </c>
      <c r="N34" s="1366"/>
      <c r="O34" s="1366">
        <v>2747510</v>
      </c>
      <c r="S34" s="1366">
        <f>SUMIF('People Soft to Nessie to IRIS'!$A$6:$A$86,'SAP TB'!E34,'People Soft to Nessie to IRIS'!$E$6:$E$86)</f>
        <v>2747510</v>
      </c>
      <c r="T34" s="1367">
        <f t="shared" si="0"/>
        <v>0</v>
      </c>
      <c r="U34" t="s">
        <v>2384</v>
      </c>
      <c r="V34" t="s">
        <v>2532</v>
      </c>
      <c r="Y34">
        <v>2747510</v>
      </c>
      <c r="Z34" s="1367">
        <f t="shared" si="1"/>
        <v>0</v>
      </c>
    </row>
    <row r="35" spans="3:26">
      <c r="C35">
        <v>119</v>
      </c>
      <c r="E35">
        <v>418150</v>
      </c>
      <c r="H35" t="s">
        <v>2489</v>
      </c>
      <c r="K35" s="1366">
        <v>98431</v>
      </c>
      <c r="L35" s="1366"/>
      <c r="M35" s="1366">
        <v>0</v>
      </c>
      <c r="N35" s="1366"/>
      <c r="O35" s="1366">
        <v>98431</v>
      </c>
      <c r="S35" s="1366">
        <f>SUMIF('People Soft to Nessie to IRIS'!$A$6:$A$86,'SAP TB'!E35,'People Soft to Nessie to IRIS'!$E$6:$E$86)</f>
        <v>98431</v>
      </c>
      <c r="T35" s="1367">
        <f t="shared" si="0"/>
        <v>0</v>
      </c>
      <c r="U35" t="s">
        <v>2384</v>
      </c>
      <c r="V35" t="s">
        <v>2532</v>
      </c>
      <c r="Y35">
        <v>98431</v>
      </c>
      <c r="Z35" s="1367">
        <f t="shared" si="1"/>
        <v>0</v>
      </c>
    </row>
    <row r="36" spans="3:26">
      <c r="C36">
        <v>119</v>
      </c>
      <c r="E36">
        <v>425000</v>
      </c>
      <c r="H36" t="s">
        <v>2416</v>
      </c>
      <c r="K36" s="1366">
        <v>0.4</v>
      </c>
      <c r="L36" s="1366"/>
      <c r="M36" s="1366">
        <v>0</v>
      </c>
      <c r="N36" s="1366"/>
      <c r="O36" s="1366">
        <v>0.4</v>
      </c>
      <c r="S36" s="1366">
        <f>SUMIF('People Soft to Nessie to IRIS'!$A$6:$A$86,'SAP TB'!E36,'People Soft to Nessie to IRIS'!$E$6:$E$86)</f>
        <v>0.4</v>
      </c>
      <c r="T36" s="1367">
        <f t="shared" si="0"/>
        <v>0</v>
      </c>
      <c r="U36" t="s">
        <v>2384</v>
      </c>
      <c r="V36" t="s">
        <v>2532</v>
      </c>
      <c r="Y36">
        <v>0.4</v>
      </c>
      <c r="Z36" s="1367">
        <f t="shared" si="1"/>
        <v>0</v>
      </c>
    </row>
    <row r="37" spans="3:26">
      <c r="C37">
        <v>119</v>
      </c>
      <c r="E37">
        <v>425004</v>
      </c>
      <c r="H37" t="s">
        <v>2417</v>
      </c>
      <c r="K37" s="1366">
        <v>75001</v>
      </c>
      <c r="L37" s="1366"/>
      <c r="M37" s="1366">
        <v>0</v>
      </c>
      <c r="N37" s="1366"/>
      <c r="O37" s="1366">
        <v>75001</v>
      </c>
      <c r="S37" s="1366">
        <f>SUMIF('People Soft to Nessie to IRIS'!$A$6:$A$86,'SAP TB'!E37,'People Soft to Nessie to IRIS'!$E$6:$E$86)</f>
        <v>75001</v>
      </c>
      <c r="T37" s="1367">
        <f t="shared" si="0"/>
        <v>0</v>
      </c>
      <c r="U37" t="s">
        <v>2384</v>
      </c>
      <c r="V37" t="s">
        <v>2532</v>
      </c>
      <c r="Y37">
        <v>75001</v>
      </c>
      <c r="Z37" s="1367">
        <f t="shared" si="1"/>
        <v>0</v>
      </c>
    </row>
    <row r="38" spans="3:26">
      <c r="C38">
        <v>119</v>
      </c>
      <c r="E38">
        <v>427100</v>
      </c>
      <c r="H38" t="s">
        <v>2418</v>
      </c>
      <c r="K38" s="1366">
        <v>-1406760.68</v>
      </c>
      <c r="L38" s="1366"/>
      <c r="M38" s="1366">
        <v>0</v>
      </c>
      <c r="N38" s="1366"/>
      <c r="O38" s="1366">
        <v>-1406760.68</v>
      </c>
      <c r="S38" s="1366">
        <f>SUMIF('People Soft to Nessie to IRIS'!$A$6:$A$86,'SAP TB'!E38,'People Soft to Nessie to IRIS'!$E$6:$E$86)</f>
        <v>-827431.67999999993</v>
      </c>
      <c r="T38" s="1367">
        <f t="shared" si="0"/>
        <v>-579329</v>
      </c>
      <c r="U38" t="s">
        <v>2384</v>
      </c>
      <c r="V38" t="s">
        <v>2531</v>
      </c>
      <c r="Y38">
        <v>-1406760.68</v>
      </c>
      <c r="Z38" s="1367">
        <f t="shared" si="1"/>
        <v>0</v>
      </c>
    </row>
    <row r="39" spans="3:26">
      <c r="C39">
        <v>119</v>
      </c>
      <c r="E39">
        <v>427101</v>
      </c>
      <c r="H39" t="s">
        <v>2419</v>
      </c>
      <c r="K39" s="1366">
        <v>15811</v>
      </c>
      <c r="L39" s="1366"/>
      <c r="M39" s="1366">
        <v>0</v>
      </c>
      <c r="N39" s="1366"/>
      <c r="O39" s="1366">
        <v>15811</v>
      </c>
      <c r="S39" s="1366">
        <f>SUMIF('People Soft to Nessie to IRIS'!$A$6:$A$86,'SAP TB'!E39,'People Soft to Nessie to IRIS'!$E$6:$E$86)</f>
        <v>15811</v>
      </c>
      <c r="T39" s="1367">
        <f t="shared" si="0"/>
        <v>0</v>
      </c>
      <c r="U39" t="s">
        <v>2384</v>
      </c>
      <c r="V39" t="s">
        <v>2531</v>
      </c>
      <c r="Y39">
        <v>15811</v>
      </c>
      <c r="Z39" s="1367">
        <f t="shared" si="1"/>
        <v>0</v>
      </c>
    </row>
    <row r="40" spans="3:26">
      <c r="C40">
        <v>119</v>
      </c>
      <c r="E40">
        <v>427103</v>
      </c>
      <c r="H40" t="s">
        <v>2420</v>
      </c>
      <c r="K40" s="1366">
        <v>-219321.49</v>
      </c>
      <c r="L40" s="1366"/>
      <c r="M40" s="1366">
        <v>0</v>
      </c>
      <c r="N40" s="1366"/>
      <c r="O40" s="1366">
        <v>-219321.49</v>
      </c>
      <c r="S40" s="1366">
        <f>SUMIF('People Soft to Nessie to IRIS'!$A$6:$A$86,'SAP TB'!E40,'People Soft to Nessie to IRIS'!$E$6:$E$86)</f>
        <v>-228321.49</v>
      </c>
      <c r="T40" s="1367">
        <f t="shared" si="0"/>
        <v>9000</v>
      </c>
      <c r="U40" t="s">
        <v>2384</v>
      </c>
      <c r="V40" t="s">
        <v>2531</v>
      </c>
      <c r="Y40">
        <v>-219321.49</v>
      </c>
      <c r="Z40" s="1367">
        <f t="shared" si="1"/>
        <v>0</v>
      </c>
    </row>
    <row r="41" spans="3:26">
      <c r="C41">
        <v>119</v>
      </c>
      <c r="E41">
        <v>428200</v>
      </c>
      <c r="H41" t="s">
        <v>2421</v>
      </c>
      <c r="K41" s="1366">
        <v>7449</v>
      </c>
      <c r="L41" s="1366"/>
      <c r="M41" s="1366">
        <v>0</v>
      </c>
      <c r="N41" s="1366"/>
      <c r="O41" s="1366">
        <v>7449</v>
      </c>
      <c r="S41" s="1366">
        <f>SUMIF('People Soft to Nessie to IRIS'!$A$6:$A$86,'SAP TB'!E41,'People Soft to Nessie to IRIS'!$E$6:$E$86)</f>
        <v>-311194</v>
      </c>
      <c r="T41" s="1367">
        <f t="shared" si="0"/>
        <v>318643</v>
      </c>
      <c r="U41" t="s">
        <v>2384</v>
      </c>
      <c r="V41" t="s">
        <v>2531</v>
      </c>
      <c r="Y41">
        <v>7449</v>
      </c>
      <c r="Z41" s="1367">
        <f t="shared" si="1"/>
        <v>0</v>
      </c>
    </row>
    <row r="42" spans="3:26">
      <c r="C42">
        <v>119</v>
      </c>
      <c r="E42">
        <v>428400</v>
      </c>
      <c r="H42" t="s">
        <v>2422</v>
      </c>
      <c r="K42" s="1366">
        <v>163</v>
      </c>
      <c r="L42" s="1366"/>
      <c r="M42" s="1366">
        <v>0</v>
      </c>
      <c r="N42" s="1366"/>
      <c r="O42" s="1366">
        <v>163</v>
      </c>
      <c r="S42" s="1366">
        <f>SUMIF('People Soft to Nessie to IRIS'!$A$6:$A$86,'SAP TB'!E42,'People Soft to Nessie to IRIS'!$E$6:$E$86)</f>
        <v>163</v>
      </c>
      <c r="T42" s="1367">
        <f t="shared" si="0"/>
        <v>0</v>
      </c>
      <c r="U42" t="s">
        <v>2384</v>
      </c>
      <c r="V42" t="s">
        <v>2531</v>
      </c>
      <c r="Y42">
        <v>163</v>
      </c>
      <c r="Z42" s="1367">
        <f t="shared" si="1"/>
        <v>0</v>
      </c>
    </row>
    <row r="43" spans="3:26">
      <c r="C43">
        <v>119</v>
      </c>
      <c r="E43">
        <v>428610</v>
      </c>
      <c r="H43" t="s">
        <v>2423</v>
      </c>
      <c r="K43" s="1366">
        <v>-36567.51</v>
      </c>
      <c r="L43" s="1366"/>
      <c r="M43" s="1366">
        <v>0</v>
      </c>
      <c r="N43" s="1366"/>
      <c r="O43" s="1366">
        <v>-36567.51</v>
      </c>
      <c r="S43" s="1366">
        <f>SUMIF('People Soft to Nessie to IRIS'!$A$6:$A$86,'SAP TB'!E43,'People Soft to Nessie to IRIS'!$E$6:$E$86)</f>
        <v>-176386.51</v>
      </c>
      <c r="T43" s="1367">
        <f t="shared" si="0"/>
        <v>139819</v>
      </c>
      <c r="U43" t="s">
        <v>2384</v>
      </c>
      <c r="V43" t="s">
        <v>2531</v>
      </c>
      <c r="Y43">
        <v>-36567.51</v>
      </c>
      <c r="Z43" s="1367">
        <f t="shared" si="1"/>
        <v>0</v>
      </c>
    </row>
    <row r="44" spans="3:26">
      <c r="C44">
        <v>119</v>
      </c>
      <c r="E44">
        <v>428616</v>
      </c>
      <c r="H44" t="s">
        <v>2490</v>
      </c>
      <c r="K44" s="1366">
        <v>-38165.599999999999</v>
      </c>
      <c r="L44" s="1366"/>
      <c r="M44" s="1366">
        <v>0</v>
      </c>
      <c r="N44" s="1366"/>
      <c r="O44" s="1366">
        <v>-38165.599999999999</v>
      </c>
      <c r="S44" s="1366">
        <f>SUMIF('People Soft to Nessie to IRIS'!$A$6:$A$86,'SAP TB'!E44,'People Soft to Nessie to IRIS'!$E$6:$E$86)</f>
        <v>-27428.6</v>
      </c>
      <c r="T44" s="1367">
        <f t="shared" si="0"/>
        <v>-10737</v>
      </c>
      <c r="U44" t="s">
        <v>2384</v>
      </c>
      <c r="V44" t="s">
        <v>2531</v>
      </c>
      <c r="Y44">
        <v>-38165.599999999999</v>
      </c>
      <c r="Z44" s="1367">
        <f t="shared" si="1"/>
        <v>0</v>
      </c>
    </row>
    <row r="45" spans="3:26">
      <c r="C45">
        <v>119</v>
      </c>
      <c r="E45">
        <v>437200</v>
      </c>
      <c r="H45" t="s">
        <v>2426</v>
      </c>
      <c r="K45" s="1366">
        <v>-1350</v>
      </c>
      <c r="L45" s="1366"/>
      <c r="M45" s="1366">
        <v>0</v>
      </c>
      <c r="N45" s="1366"/>
      <c r="O45" s="1366">
        <v>-1350</v>
      </c>
      <c r="S45" s="1366">
        <f>SUMIF('People Soft to Nessie to IRIS'!$A$6:$A$86,'SAP TB'!E45,'People Soft to Nessie to IRIS'!$E$6:$E$86)</f>
        <v>-300</v>
      </c>
      <c r="T45" s="1367">
        <f t="shared" si="0"/>
        <v>-1050</v>
      </c>
      <c r="U45" t="s">
        <v>2384</v>
      </c>
      <c r="V45" t="s">
        <v>2531</v>
      </c>
      <c r="Y45">
        <v>-1350</v>
      </c>
      <c r="Z45" s="1367">
        <f t="shared" si="1"/>
        <v>0</v>
      </c>
    </row>
    <row r="46" spans="3:26">
      <c r="C46">
        <v>119</v>
      </c>
      <c r="E46">
        <v>437407</v>
      </c>
      <c r="H46" t="s">
        <v>1427</v>
      </c>
      <c r="K46" s="1366">
        <v>-93211.1</v>
      </c>
      <c r="L46" s="1366"/>
      <c r="M46" s="1366">
        <v>0</v>
      </c>
      <c r="N46" s="1366"/>
      <c r="O46" s="1366">
        <v>-93211.1</v>
      </c>
      <c r="S46" s="1366">
        <f>SUMIF('People Soft to Nessie to IRIS'!$A$6:$A$86,'SAP TB'!E46,'People Soft to Nessie to IRIS'!$E$6:$E$86)</f>
        <v>-27476</v>
      </c>
      <c r="T46" s="1367">
        <f t="shared" si="0"/>
        <v>-65735.100000000006</v>
      </c>
      <c r="U46" t="s">
        <v>2384</v>
      </c>
      <c r="V46" t="s">
        <v>2531</v>
      </c>
      <c r="Y46">
        <v>-93211.1</v>
      </c>
      <c r="Z46" s="1367">
        <f t="shared" si="1"/>
        <v>0</v>
      </c>
    </row>
    <row r="47" spans="3:26">
      <c r="C47">
        <v>119</v>
      </c>
      <c r="E47">
        <v>437408</v>
      </c>
      <c r="H47" t="s">
        <v>2427</v>
      </c>
      <c r="K47" s="1366">
        <v>-98551.65</v>
      </c>
      <c r="L47" s="1366"/>
      <c r="M47" s="1366">
        <v>0</v>
      </c>
      <c r="N47" s="1366"/>
      <c r="O47" s="1366">
        <v>-98551.65</v>
      </c>
      <c r="S47" s="1366">
        <f>SUMIF('People Soft to Nessie to IRIS'!$A$6:$A$86,'SAP TB'!E47,'People Soft to Nessie to IRIS'!$E$6:$E$86)</f>
        <v>-31541.75</v>
      </c>
      <c r="T47" s="1367">
        <f t="shared" si="0"/>
        <v>-67009.899999999994</v>
      </c>
      <c r="U47" t="s">
        <v>2384</v>
      </c>
      <c r="V47" t="s">
        <v>2531</v>
      </c>
      <c r="Y47">
        <v>-98551.65</v>
      </c>
      <c r="Z47" s="1367">
        <f t="shared" si="1"/>
        <v>0</v>
      </c>
    </row>
    <row r="48" spans="3:26">
      <c r="C48">
        <v>119</v>
      </c>
      <c r="E48">
        <v>437425</v>
      </c>
      <c r="H48" t="s">
        <v>2428</v>
      </c>
      <c r="K48" s="1366">
        <v>-25816.81</v>
      </c>
      <c r="L48" s="1366"/>
      <c r="M48" s="1366">
        <v>0</v>
      </c>
      <c r="N48" s="1366"/>
      <c r="O48" s="1366">
        <v>-25816.81</v>
      </c>
      <c r="S48" s="1366">
        <f>SUMIF('People Soft to Nessie to IRIS'!$A$6:$A$86,'SAP TB'!E48,'People Soft to Nessie to IRIS'!$E$6:$E$86)</f>
        <v>-22116.809999999998</v>
      </c>
      <c r="T48" s="1367">
        <f t="shared" si="0"/>
        <v>-3700.0000000000036</v>
      </c>
      <c r="U48" t="s">
        <v>2384</v>
      </c>
      <c r="V48" t="s">
        <v>2531</v>
      </c>
      <c r="Y48">
        <v>-25816.81</v>
      </c>
      <c r="Z48" s="1367">
        <f t="shared" si="1"/>
        <v>0</v>
      </c>
    </row>
    <row r="49" spans="3:26">
      <c r="C49">
        <v>119</v>
      </c>
      <c r="E49">
        <v>437427</v>
      </c>
      <c r="H49" t="s">
        <v>2429</v>
      </c>
      <c r="K49" s="1366">
        <v>-321</v>
      </c>
      <c r="L49" s="1366"/>
      <c r="M49" s="1366">
        <v>0</v>
      </c>
      <c r="N49" s="1366"/>
      <c r="O49" s="1366">
        <v>-321</v>
      </c>
      <c r="S49" s="1366">
        <f>SUMIF('People Soft to Nessie to IRIS'!$A$6:$A$86,'SAP TB'!E49,'People Soft to Nessie to IRIS'!$E$6:$E$86)</f>
        <v>-379</v>
      </c>
      <c r="T49" s="1367">
        <f t="shared" si="0"/>
        <v>58</v>
      </c>
      <c r="U49" t="s">
        <v>2384</v>
      </c>
      <c r="V49" t="s">
        <v>2531</v>
      </c>
      <c r="Y49">
        <v>-321</v>
      </c>
      <c r="Z49" s="1367">
        <f t="shared" si="1"/>
        <v>0</v>
      </c>
    </row>
    <row r="50" spans="3:26">
      <c r="C50">
        <v>119</v>
      </c>
      <c r="E50">
        <v>437522</v>
      </c>
      <c r="H50" t="s">
        <v>2491</v>
      </c>
      <c r="K50" s="1366">
        <v>-1668</v>
      </c>
      <c r="L50" s="1366"/>
      <c r="M50" s="1366">
        <v>0</v>
      </c>
      <c r="N50" s="1366"/>
      <c r="O50" s="1366">
        <v>-1668</v>
      </c>
      <c r="S50" s="1366">
        <f>SUMIF('People Soft to Nessie to IRIS'!$A$6:$A$86,'SAP TB'!E50,'People Soft to Nessie to IRIS'!$E$6:$E$86)</f>
        <v>-1268</v>
      </c>
      <c r="T50" s="1367">
        <f t="shared" si="0"/>
        <v>-400</v>
      </c>
      <c r="U50" t="s">
        <v>2384</v>
      </c>
      <c r="V50" t="s">
        <v>2531</v>
      </c>
      <c r="Y50">
        <v>-1668</v>
      </c>
      <c r="Z50" s="1367">
        <f t="shared" si="1"/>
        <v>0</v>
      </c>
    </row>
    <row r="51" spans="3:26">
      <c r="C51">
        <v>119</v>
      </c>
      <c r="E51">
        <v>438666</v>
      </c>
      <c r="H51" t="s">
        <v>2431</v>
      </c>
      <c r="K51" s="1366">
        <v>-246641</v>
      </c>
      <c r="L51" s="1366"/>
      <c r="M51" s="1366">
        <v>0</v>
      </c>
      <c r="N51" s="1366"/>
      <c r="O51" s="1366">
        <v>-246641</v>
      </c>
      <c r="S51" s="1366">
        <f>SUMIF('People Soft to Nessie to IRIS'!$A$6:$A$86,'SAP TB'!E51,'People Soft to Nessie to IRIS'!$E$6:$E$86)</f>
        <v>-78471</v>
      </c>
      <c r="T51" s="1367">
        <f t="shared" si="0"/>
        <v>-168170</v>
      </c>
      <c r="U51" t="s">
        <v>2384</v>
      </c>
      <c r="V51" t="s">
        <v>2531</v>
      </c>
      <c r="Y51">
        <v>-246641</v>
      </c>
      <c r="Z51" s="1367">
        <f t="shared" si="1"/>
        <v>0</v>
      </c>
    </row>
    <row r="52" spans="3:26">
      <c r="C52">
        <v>119</v>
      </c>
      <c r="E52">
        <v>444000</v>
      </c>
      <c r="H52" t="s">
        <v>2492</v>
      </c>
      <c r="K52" s="1366">
        <v>-628.75</v>
      </c>
      <c r="L52" s="1366"/>
      <c r="M52" s="1366">
        <v>0</v>
      </c>
      <c r="N52" s="1366"/>
      <c r="O52" s="1366">
        <v>-628.75</v>
      </c>
      <c r="S52" s="1366">
        <f>SUMIF('People Soft to Nessie to IRIS'!$A$6:$A$86,'SAP TB'!E52,'People Soft to Nessie to IRIS'!$E$6:$E$86)</f>
        <v>-628.75</v>
      </c>
      <c r="T52" s="1367">
        <f t="shared" si="0"/>
        <v>0</v>
      </c>
      <c r="U52" t="s">
        <v>2384</v>
      </c>
      <c r="V52" t="s">
        <v>2531</v>
      </c>
      <c r="Y52">
        <v>-628.75</v>
      </c>
      <c r="Z52" s="1367">
        <f t="shared" si="1"/>
        <v>0</v>
      </c>
    </row>
    <row r="53" spans="3:26">
      <c r="C53">
        <v>119</v>
      </c>
      <c r="E53">
        <v>444042</v>
      </c>
      <c r="H53" t="s">
        <v>2433</v>
      </c>
      <c r="K53" s="1366">
        <v>35224753.329999998</v>
      </c>
      <c r="L53" s="1366"/>
      <c r="M53" s="1366">
        <v>0</v>
      </c>
      <c r="N53" s="1366"/>
      <c r="O53" s="1366">
        <v>35224753.329999998</v>
      </c>
      <c r="S53" s="1366">
        <f>SUMIF('People Soft to Nessie to IRIS'!$A$6:$A$86,'SAP TB'!E53,'People Soft to Nessie to IRIS'!$E$6:$E$86)</f>
        <v>35224753.329999998</v>
      </c>
      <c r="T53" s="1367">
        <f t="shared" si="0"/>
        <v>0</v>
      </c>
      <c r="U53" t="s">
        <v>2384</v>
      </c>
      <c r="V53" t="s">
        <v>2532</v>
      </c>
      <c r="Y53">
        <v>35224753.329999998</v>
      </c>
      <c r="Z53" s="1367">
        <f t="shared" si="1"/>
        <v>0</v>
      </c>
    </row>
    <row r="54" spans="3:26">
      <c r="C54">
        <v>119</v>
      </c>
      <c r="E54">
        <v>444550</v>
      </c>
      <c r="H54" t="s">
        <v>2434</v>
      </c>
      <c r="K54" s="1366">
        <v>182830</v>
      </c>
      <c r="L54" s="1366"/>
      <c r="M54" s="1366">
        <v>0</v>
      </c>
      <c r="N54" s="1366"/>
      <c r="O54" s="1366">
        <v>182830</v>
      </c>
      <c r="S54" s="1366">
        <f>SUMIF('People Soft to Nessie to IRIS'!$A$6:$A$86,'SAP TB'!E54,'People Soft to Nessie to IRIS'!$E$6:$E$86)</f>
        <v>182830</v>
      </c>
      <c r="T54" s="1367">
        <f t="shared" si="0"/>
        <v>0</v>
      </c>
      <c r="U54" t="s">
        <v>2384</v>
      </c>
      <c r="V54" t="s">
        <v>2532</v>
      </c>
      <c r="Y54">
        <v>182830</v>
      </c>
      <c r="Z54" s="1367">
        <f t="shared" si="1"/>
        <v>0</v>
      </c>
    </row>
    <row r="55" spans="3:26">
      <c r="C55">
        <v>119</v>
      </c>
      <c r="E55">
        <v>444562</v>
      </c>
      <c r="H55" t="s">
        <v>2493</v>
      </c>
      <c r="K55" s="1366">
        <v>-964010.13</v>
      </c>
      <c r="L55" s="1366"/>
      <c r="M55" s="1366">
        <v>0</v>
      </c>
      <c r="N55" s="1366"/>
      <c r="O55" s="1366">
        <v>-964010.13</v>
      </c>
      <c r="S55" s="1366">
        <f>SUMIF('People Soft to Nessie to IRIS'!$A$6:$A$86,'SAP TB'!E55,'People Soft to Nessie to IRIS'!$E$6:$E$86)</f>
        <v>0</v>
      </c>
      <c r="T55" s="1367">
        <f t="shared" si="0"/>
        <v>-964010.13</v>
      </c>
      <c r="U55" t="s">
        <v>2384</v>
      </c>
      <c r="V55" t="s">
        <v>2532</v>
      </c>
      <c r="Y55">
        <v>-964010.13</v>
      </c>
      <c r="Z55" s="1367">
        <f t="shared" si="1"/>
        <v>0</v>
      </c>
    </row>
    <row r="56" spans="3:26">
      <c r="C56">
        <v>119</v>
      </c>
      <c r="E56">
        <v>445614</v>
      </c>
      <c r="H56" t="s">
        <v>1228</v>
      </c>
      <c r="K56" s="1366">
        <v>585629</v>
      </c>
      <c r="L56" s="1366"/>
      <c r="M56" s="1366">
        <v>0</v>
      </c>
      <c r="N56" s="1366"/>
      <c r="O56" s="1366">
        <v>585629</v>
      </c>
      <c r="S56" s="1366">
        <f>SUMIF('People Soft to Nessie to IRIS'!$A$6:$A$86,'SAP TB'!E56,'People Soft to Nessie to IRIS'!$E$6:$E$86)</f>
        <v>585629</v>
      </c>
      <c r="T56" s="1367">
        <f t="shared" si="0"/>
        <v>0</v>
      </c>
      <c r="U56" t="s">
        <v>2384</v>
      </c>
      <c r="V56" t="s">
        <v>2532</v>
      </c>
      <c r="Y56">
        <v>585629</v>
      </c>
      <c r="Z56" s="1367">
        <f t="shared" si="1"/>
        <v>0</v>
      </c>
    </row>
    <row r="57" spans="3:26">
      <c r="C57">
        <v>119</v>
      </c>
      <c r="E57">
        <v>445780</v>
      </c>
      <c r="H57" t="s">
        <v>1449</v>
      </c>
      <c r="K57" s="1366">
        <v>49997.34</v>
      </c>
      <c r="L57" s="1366"/>
      <c r="M57" s="1366">
        <v>0</v>
      </c>
      <c r="N57" s="1366"/>
      <c r="O57" s="1366">
        <v>49997.34</v>
      </c>
      <c r="S57" s="1366">
        <f>SUMIF('People Soft to Nessie to IRIS'!$A$6:$A$86,'SAP TB'!E57,'People Soft to Nessie to IRIS'!$E$6:$E$86)</f>
        <v>49997.34</v>
      </c>
      <c r="T57" s="1367">
        <f t="shared" si="0"/>
        <v>0</v>
      </c>
      <c r="U57" t="s">
        <v>2384</v>
      </c>
      <c r="V57" t="s">
        <v>2531</v>
      </c>
      <c r="Y57">
        <v>49997.34</v>
      </c>
      <c r="Z57" s="1367">
        <f t="shared" si="1"/>
        <v>0</v>
      </c>
    </row>
    <row r="58" spans="3:26">
      <c r="C58">
        <v>119</v>
      </c>
      <c r="E58">
        <v>445882</v>
      </c>
      <c r="H58" t="s">
        <v>2436</v>
      </c>
      <c r="K58" s="1366">
        <v>5421844.2999999998</v>
      </c>
      <c r="L58" s="1366"/>
      <c r="M58" s="1366">
        <v>0</v>
      </c>
      <c r="N58" s="1366"/>
      <c r="O58" s="1366">
        <v>5421844.2999999998</v>
      </c>
      <c r="S58" s="1366">
        <f>SUMIF('People Soft to Nessie to IRIS'!$A$6:$A$86,'SAP TB'!E58,'People Soft to Nessie to IRIS'!$E$6:$E$86)</f>
        <v>5421844.2999999998</v>
      </c>
      <c r="T58" s="1367">
        <f t="shared" si="0"/>
        <v>0</v>
      </c>
      <c r="U58" t="s">
        <v>2384</v>
      </c>
      <c r="V58" t="s">
        <v>2532</v>
      </c>
      <c r="Y58">
        <v>5421844.2999999998</v>
      </c>
      <c r="Z58" s="1367">
        <f t="shared" si="1"/>
        <v>0</v>
      </c>
    </row>
    <row r="59" spans="3:26">
      <c r="C59">
        <v>119</v>
      </c>
      <c r="E59">
        <v>445960</v>
      </c>
      <c r="H59" t="s">
        <v>1208</v>
      </c>
      <c r="K59" s="1366">
        <v>5502.25</v>
      </c>
      <c r="L59" s="1366"/>
      <c r="M59" s="1366">
        <v>0</v>
      </c>
      <c r="N59" s="1366"/>
      <c r="O59" s="1366">
        <v>5502.25</v>
      </c>
      <c r="S59" s="1366">
        <f>SUMIF('People Soft to Nessie to IRIS'!$A$6:$A$86,'SAP TB'!E59,'People Soft to Nessie to IRIS'!$E$6:$E$86)</f>
        <v>5502.25</v>
      </c>
      <c r="T59" s="1367">
        <f t="shared" si="0"/>
        <v>0</v>
      </c>
      <c r="U59" t="s">
        <v>2384</v>
      </c>
      <c r="V59" t="s">
        <v>2532</v>
      </c>
      <c r="Y59">
        <v>5502.25</v>
      </c>
      <c r="Z59" s="1367">
        <f t="shared" si="1"/>
        <v>0</v>
      </c>
    </row>
    <row r="60" spans="3:26">
      <c r="C60">
        <v>119</v>
      </c>
      <c r="E60">
        <v>445970</v>
      </c>
      <c r="H60" t="s">
        <v>1207</v>
      </c>
      <c r="K60" s="1366">
        <v>5502.26</v>
      </c>
      <c r="L60" s="1366"/>
      <c r="M60" s="1366">
        <v>0</v>
      </c>
      <c r="N60" s="1366"/>
      <c r="O60" s="1366">
        <v>5502.26</v>
      </c>
      <c r="S60" s="1366">
        <f>SUMIF('People Soft to Nessie to IRIS'!$A$6:$A$86,'SAP TB'!E60,'People Soft to Nessie to IRIS'!$E$6:$E$86)</f>
        <v>5502.26</v>
      </c>
      <c r="T60" s="1367">
        <f t="shared" si="0"/>
        <v>0</v>
      </c>
      <c r="U60" t="s">
        <v>2384</v>
      </c>
      <c r="V60" t="s">
        <v>2532</v>
      </c>
      <c r="Y60">
        <v>5502.26</v>
      </c>
      <c r="Z60" s="1367">
        <f t="shared" si="1"/>
        <v>0</v>
      </c>
    </row>
    <row r="61" spans="3:26">
      <c r="C61">
        <v>119</v>
      </c>
      <c r="E61">
        <v>445980</v>
      </c>
      <c r="H61" t="s">
        <v>1209</v>
      </c>
      <c r="K61" s="1366">
        <v>3286.94</v>
      </c>
      <c r="L61" s="1366"/>
      <c r="M61" s="1366">
        <v>0</v>
      </c>
      <c r="N61" s="1366"/>
      <c r="O61" s="1366">
        <v>3286.94</v>
      </c>
      <c r="S61" s="1366">
        <f>SUMIF('People Soft to Nessie to IRIS'!$A$6:$A$86,'SAP TB'!E61,'People Soft to Nessie to IRIS'!$E$6:$E$86)</f>
        <v>3286.94</v>
      </c>
      <c r="T61" s="1367">
        <f t="shared" si="0"/>
        <v>0</v>
      </c>
      <c r="U61" t="s">
        <v>2384</v>
      </c>
      <c r="V61" t="s">
        <v>2532</v>
      </c>
      <c r="Y61">
        <v>3286.94</v>
      </c>
      <c r="Z61" s="1367">
        <f t="shared" si="1"/>
        <v>0</v>
      </c>
    </row>
    <row r="62" spans="3:26">
      <c r="C62">
        <v>119</v>
      </c>
      <c r="E62">
        <v>451099</v>
      </c>
      <c r="H62" t="s">
        <v>2437</v>
      </c>
      <c r="K62" s="1366">
        <v>11736.29</v>
      </c>
      <c r="L62" s="1366"/>
      <c r="M62" s="1366">
        <v>0</v>
      </c>
      <c r="N62" s="1366"/>
      <c r="O62" s="1366">
        <v>11736.29</v>
      </c>
      <c r="S62" s="1366">
        <f>SUMIF('People Soft to Nessie to IRIS'!$A$6:$A$86,'SAP TB'!E62,'People Soft to Nessie to IRIS'!$E$6:$E$86)</f>
        <v>11736.29</v>
      </c>
      <c r="T62" s="1367">
        <f t="shared" si="0"/>
        <v>0</v>
      </c>
      <c r="U62" t="s">
        <v>2384</v>
      </c>
      <c r="V62" t="s">
        <v>2532</v>
      </c>
      <c r="Y62">
        <v>11736.29</v>
      </c>
      <c r="Z62" s="1367">
        <f t="shared" si="1"/>
        <v>0</v>
      </c>
    </row>
    <row r="63" spans="3:26">
      <c r="C63">
        <v>119</v>
      </c>
      <c r="E63">
        <v>451115</v>
      </c>
      <c r="H63" t="s">
        <v>2438</v>
      </c>
      <c r="K63" s="1366">
        <v>-171373</v>
      </c>
      <c r="L63" s="1366"/>
      <c r="M63" s="1366">
        <v>0</v>
      </c>
      <c r="N63" s="1366"/>
      <c r="O63" s="1366">
        <v>-171373</v>
      </c>
      <c r="S63" s="1366">
        <f>SUMIF('People Soft to Nessie to IRIS'!$A$6:$A$86,'SAP TB'!E63,'People Soft to Nessie to IRIS'!$E$6:$E$86)</f>
        <v>-171373</v>
      </c>
      <c r="T63" s="1367">
        <f t="shared" si="0"/>
        <v>0</v>
      </c>
      <c r="U63" t="s">
        <v>2384</v>
      </c>
      <c r="V63" t="s">
        <v>2532</v>
      </c>
      <c r="Y63">
        <v>-171373</v>
      </c>
      <c r="Z63" s="1367">
        <f t="shared" si="1"/>
        <v>0</v>
      </c>
    </row>
    <row r="64" spans="3:26">
      <c r="C64">
        <v>119</v>
      </c>
      <c r="E64">
        <v>451998</v>
      </c>
      <c r="H64" t="s">
        <v>2494</v>
      </c>
      <c r="K64" s="1366">
        <v>-29571.53</v>
      </c>
      <c r="L64" s="1366"/>
      <c r="M64" s="1366">
        <v>0</v>
      </c>
      <c r="N64" s="1366"/>
      <c r="O64" s="1366">
        <v>-29571.53</v>
      </c>
      <c r="S64" s="1366">
        <f>SUMIF('People Soft to Nessie to IRIS'!$A$6:$A$86,'SAP TB'!E64,'People Soft to Nessie to IRIS'!$E$6:$E$86)</f>
        <v>-29571.53</v>
      </c>
      <c r="T64" s="1367">
        <f t="shared" si="0"/>
        <v>0</v>
      </c>
      <c r="U64" t="s">
        <v>2384</v>
      </c>
      <c r="V64" t="s">
        <v>2532</v>
      </c>
      <c r="Y64">
        <v>-29571.53</v>
      </c>
      <c r="Z64" s="1367">
        <f t="shared" si="1"/>
        <v>0</v>
      </c>
    </row>
    <row r="65" spans="3:26">
      <c r="C65">
        <v>119</v>
      </c>
      <c r="E65">
        <v>467010</v>
      </c>
      <c r="H65" t="s">
        <v>2440</v>
      </c>
      <c r="K65" s="1366">
        <v>5071033.74</v>
      </c>
      <c r="L65" s="1366"/>
      <c r="M65" s="1366">
        <v>0</v>
      </c>
      <c r="N65" s="1366"/>
      <c r="O65" s="1366">
        <v>5071033.74</v>
      </c>
      <c r="S65" s="1366">
        <f>SUMIF('People Soft to Nessie to IRIS'!$A$6:$A$86,'SAP TB'!E65,'People Soft to Nessie to IRIS'!$E$6:$E$86)</f>
        <v>5071033.74</v>
      </c>
      <c r="T65" s="1367">
        <f t="shared" si="0"/>
        <v>0</v>
      </c>
      <c r="U65" t="s">
        <v>2384</v>
      </c>
      <c r="V65" t="s">
        <v>2532</v>
      </c>
      <c r="Y65">
        <v>5071033.74</v>
      </c>
      <c r="Z65" s="1367">
        <f t="shared" si="1"/>
        <v>0</v>
      </c>
    </row>
    <row r="66" spans="3:26">
      <c r="C66">
        <v>119</v>
      </c>
      <c r="E66">
        <v>468701</v>
      </c>
      <c r="H66" t="s">
        <v>2441</v>
      </c>
      <c r="K66" s="1366">
        <v>15629.26</v>
      </c>
      <c r="L66" s="1366"/>
      <c r="M66" s="1366">
        <v>0</v>
      </c>
      <c r="N66" s="1366"/>
      <c r="O66" s="1366">
        <v>15629.26</v>
      </c>
      <c r="S66" s="1366">
        <f>SUMIF('People Soft to Nessie to IRIS'!$A$6:$A$86,'SAP TB'!E66,'People Soft to Nessie to IRIS'!$E$6:$E$86)</f>
        <v>15629.260000000002</v>
      </c>
      <c r="T66" s="1367">
        <f t="shared" si="0"/>
        <v>0</v>
      </c>
      <c r="U66" t="s">
        <v>2384</v>
      </c>
      <c r="V66" t="s">
        <v>2532</v>
      </c>
      <c r="Y66">
        <v>15629.26</v>
      </c>
      <c r="Z66" s="1367">
        <f t="shared" si="1"/>
        <v>0</v>
      </c>
    </row>
    <row r="67" spans="3:26">
      <c r="C67">
        <v>119</v>
      </c>
      <c r="E67">
        <v>486200</v>
      </c>
      <c r="H67" t="s">
        <v>2495</v>
      </c>
      <c r="K67" s="1366">
        <v>19598.38</v>
      </c>
      <c r="L67" s="1366"/>
      <c r="M67" s="1366">
        <v>0</v>
      </c>
      <c r="N67" s="1366"/>
      <c r="O67" s="1366">
        <v>19598.38</v>
      </c>
      <c r="S67" s="1366">
        <f>SUMIF('People Soft to Nessie to IRIS'!$A$6:$A$86,'SAP TB'!E67,'People Soft to Nessie to IRIS'!$E$6:$E$86)</f>
        <v>38982.379999999997</v>
      </c>
      <c r="T67" s="1367">
        <f t="shared" si="0"/>
        <v>-19383.999999999996</v>
      </c>
      <c r="U67" t="s">
        <v>2384</v>
      </c>
      <c r="V67" t="s">
        <v>2532</v>
      </c>
      <c r="Y67">
        <v>19598.38</v>
      </c>
      <c r="Z67" s="1367">
        <f t="shared" si="1"/>
        <v>0</v>
      </c>
    </row>
    <row r="68" spans="3:26">
      <c r="C68">
        <v>119</v>
      </c>
      <c r="E68">
        <v>488000</v>
      </c>
      <c r="H68" t="s">
        <v>2443</v>
      </c>
      <c r="K68" s="1366">
        <v>176315095.40000001</v>
      </c>
      <c r="L68" s="1366"/>
      <c r="M68" s="1366">
        <v>0</v>
      </c>
      <c r="N68" s="1366"/>
      <c r="O68" s="1366">
        <v>176315095.40000001</v>
      </c>
      <c r="S68" s="1366">
        <f>SUMIF('People Soft to Nessie to IRIS'!$A$6:$A$86,'SAP TB'!E68,'People Soft to Nessie to IRIS'!$E$6:$E$86)</f>
        <v>176315095.40000001</v>
      </c>
      <c r="T68" s="1367">
        <f t="shared" si="0"/>
        <v>0</v>
      </c>
      <c r="U68" t="s">
        <v>2384</v>
      </c>
      <c r="V68" t="s">
        <v>2532</v>
      </c>
      <c r="Y68">
        <v>176315095.40000001</v>
      </c>
      <c r="Z68" s="1367">
        <f t="shared" si="1"/>
        <v>0</v>
      </c>
    </row>
    <row r="69" spans="3:26">
      <c r="C69">
        <v>119</v>
      </c>
      <c r="E69">
        <v>488010</v>
      </c>
      <c r="H69" t="s">
        <v>2496</v>
      </c>
      <c r="K69" s="1366">
        <v>-165674975.84</v>
      </c>
      <c r="L69" s="1366"/>
      <c r="M69" s="1366">
        <v>0</v>
      </c>
      <c r="N69" s="1366"/>
      <c r="O69" s="1366">
        <v>-165674975.84</v>
      </c>
      <c r="S69" s="1366">
        <f>SUMIF('People Soft to Nessie to IRIS'!$A$6:$A$86,'SAP TB'!E69,'People Soft to Nessie to IRIS'!$E$6:$E$86)</f>
        <v>-165674975.84</v>
      </c>
      <c r="T69" s="1367">
        <f t="shared" si="0"/>
        <v>0</v>
      </c>
      <c r="U69" t="s">
        <v>2384</v>
      </c>
      <c r="V69" t="s">
        <v>2532</v>
      </c>
      <c r="Y69">
        <v>-165674975.84</v>
      </c>
      <c r="Z69" s="1367">
        <f t="shared" si="1"/>
        <v>0</v>
      </c>
    </row>
    <row r="70" spans="3:26">
      <c r="C70">
        <v>119</v>
      </c>
      <c r="E70">
        <v>606130</v>
      </c>
      <c r="H70" t="s">
        <v>2497</v>
      </c>
      <c r="K70" s="1366">
        <v>136555</v>
      </c>
      <c r="L70" s="1366"/>
      <c r="M70" s="1366">
        <v>0</v>
      </c>
      <c r="N70" s="1366"/>
      <c r="O70" s="1366">
        <v>136555</v>
      </c>
      <c r="S70" s="1366">
        <f>SUMIF('People Soft to Nessie to IRIS'!$A$6:$A$86,'SAP TB'!E70,'People Soft to Nessie to IRIS'!$E$6:$E$86)</f>
        <v>0</v>
      </c>
      <c r="T70" s="1367">
        <f t="shared" si="0"/>
        <v>136555</v>
      </c>
      <c r="U70" t="s">
        <v>2384</v>
      </c>
      <c r="V70" t="s">
        <v>2532</v>
      </c>
      <c r="Y70">
        <v>136555</v>
      </c>
      <c r="Z70" s="1367">
        <f t="shared" si="1"/>
        <v>0</v>
      </c>
    </row>
    <row r="71" spans="3:26">
      <c r="C71">
        <v>119</v>
      </c>
      <c r="E71">
        <v>613200</v>
      </c>
      <c r="H71" t="s">
        <v>2498</v>
      </c>
      <c r="K71" s="1366">
        <v>798023</v>
      </c>
      <c r="L71" s="1366"/>
      <c r="M71" s="1366">
        <v>0</v>
      </c>
      <c r="N71" s="1366"/>
      <c r="O71" s="1366">
        <v>798023</v>
      </c>
      <c r="S71" s="1366">
        <v>0</v>
      </c>
      <c r="T71" s="1367">
        <f t="shared" si="0"/>
        <v>798023</v>
      </c>
      <c r="U71" t="s">
        <v>2385</v>
      </c>
      <c r="V71" t="s">
        <v>1794</v>
      </c>
      <c r="Y71">
        <v>798023</v>
      </c>
      <c r="Z71" s="1367">
        <f t="shared" si="1"/>
        <v>0</v>
      </c>
    </row>
    <row r="72" spans="3:26">
      <c r="C72">
        <v>119</v>
      </c>
      <c r="E72">
        <v>615290</v>
      </c>
      <c r="H72" t="s">
        <v>2499</v>
      </c>
      <c r="K72" s="1366">
        <v>17948</v>
      </c>
      <c r="L72" s="1366"/>
      <c r="M72" s="1366">
        <v>0</v>
      </c>
      <c r="N72" s="1366"/>
      <c r="O72" s="1366">
        <v>17948</v>
      </c>
      <c r="S72" s="1366">
        <v>0</v>
      </c>
      <c r="T72" s="1367">
        <f t="shared" si="0"/>
        <v>17948</v>
      </c>
      <c r="U72" t="s">
        <v>2385</v>
      </c>
      <c r="V72" t="s">
        <v>1794</v>
      </c>
      <c r="Y72">
        <v>17948</v>
      </c>
      <c r="Z72" s="1367">
        <f t="shared" si="1"/>
        <v>0</v>
      </c>
    </row>
    <row r="73" spans="3:26">
      <c r="C73">
        <v>119</v>
      </c>
      <c r="E73">
        <v>622500</v>
      </c>
      <c r="H73" t="s">
        <v>2500</v>
      </c>
      <c r="K73" s="1366">
        <v>923275</v>
      </c>
      <c r="L73" s="1366"/>
      <c r="M73" s="1366">
        <v>0</v>
      </c>
      <c r="N73" s="1366"/>
      <c r="O73" s="1366">
        <v>923275</v>
      </c>
      <c r="S73" s="1366">
        <v>0</v>
      </c>
      <c r="T73" s="1367">
        <f t="shared" si="0"/>
        <v>923275</v>
      </c>
      <c r="U73" t="s">
        <v>2385</v>
      </c>
      <c r="V73" t="s">
        <v>1794</v>
      </c>
      <c r="Y73">
        <v>923275</v>
      </c>
      <c r="Z73" s="1367">
        <f t="shared" si="1"/>
        <v>0</v>
      </c>
    </row>
    <row r="74" spans="3:26">
      <c r="C74">
        <v>119</v>
      </c>
      <c r="E74">
        <v>622600</v>
      </c>
      <c r="H74" t="s">
        <v>2501</v>
      </c>
      <c r="K74" s="1366">
        <v>53000</v>
      </c>
      <c r="L74" s="1366"/>
      <c r="M74" s="1366">
        <v>0</v>
      </c>
      <c r="N74" s="1366"/>
      <c r="O74" s="1366">
        <v>53000</v>
      </c>
      <c r="S74" s="1366">
        <v>0</v>
      </c>
      <c r="T74" s="1367">
        <f t="shared" ref="T74:T98" si="2">+K74-S74</f>
        <v>53000</v>
      </c>
      <c r="U74" t="s">
        <v>2385</v>
      </c>
      <c r="V74" t="s">
        <v>1794</v>
      </c>
      <c r="Y74">
        <v>53000</v>
      </c>
      <c r="Z74" s="1367">
        <f t="shared" ref="Z74:Z109" si="3">+K74-Y74</f>
        <v>0</v>
      </c>
    </row>
    <row r="75" spans="3:26">
      <c r="C75">
        <v>119</v>
      </c>
      <c r="E75">
        <v>622800</v>
      </c>
      <c r="H75" t="s">
        <v>2502</v>
      </c>
      <c r="K75" s="1366">
        <v>28416.85</v>
      </c>
      <c r="L75" s="1366"/>
      <c r="M75" s="1366">
        <v>0</v>
      </c>
      <c r="N75" s="1366"/>
      <c r="O75" s="1366">
        <v>28416.85</v>
      </c>
      <c r="S75" s="1366">
        <v>0</v>
      </c>
      <c r="T75" s="1367">
        <f t="shared" si="2"/>
        <v>28416.85</v>
      </c>
      <c r="U75" t="s">
        <v>2385</v>
      </c>
      <c r="V75" t="s">
        <v>1794</v>
      </c>
      <c r="Y75">
        <v>28416.85</v>
      </c>
      <c r="Z75" s="1367">
        <f t="shared" si="3"/>
        <v>0</v>
      </c>
    </row>
    <row r="76" spans="3:26">
      <c r="C76">
        <v>119</v>
      </c>
      <c r="E76">
        <v>625714</v>
      </c>
      <c r="H76" t="s">
        <v>2503</v>
      </c>
      <c r="K76" s="1366">
        <v>6600</v>
      </c>
      <c r="L76" s="1366"/>
      <c r="M76" s="1366">
        <v>0</v>
      </c>
      <c r="N76" s="1366"/>
      <c r="O76" s="1366">
        <v>6600</v>
      </c>
      <c r="S76" s="1366">
        <v>0</v>
      </c>
      <c r="T76" s="1367">
        <f t="shared" si="2"/>
        <v>6600</v>
      </c>
      <c r="U76" t="s">
        <v>2385</v>
      </c>
      <c r="V76" t="s">
        <v>1794</v>
      </c>
      <c r="Y76">
        <v>6600</v>
      </c>
      <c r="Z76" s="1367">
        <f t="shared" si="3"/>
        <v>0</v>
      </c>
    </row>
    <row r="77" spans="3:26">
      <c r="C77">
        <v>119</v>
      </c>
      <c r="E77">
        <v>626424</v>
      </c>
      <c r="H77" t="s">
        <v>2504</v>
      </c>
      <c r="K77" s="1366">
        <v>-45000</v>
      </c>
      <c r="L77" s="1366"/>
      <c r="M77" s="1366">
        <v>0</v>
      </c>
      <c r="N77" s="1366"/>
      <c r="O77" s="1366">
        <v>-45000</v>
      </c>
      <c r="S77" s="1366">
        <v>0</v>
      </c>
      <c r="T77" s="1367">
        <f t="shared" si="2"/>
        <v>-45000</v>
      </c>
      <c r="U77" t="s">
        <v>2385</v>
      </c>
      <c r="V77" t="s">
        <v>1794</v>
      </c>
      <c r="Y77">
        <v>-45000</v>
      </c>
      <c r="Z77" s="1367">
        <f t="shared" si="3"/>
        <v>0</v>
      </c>
    </row>
    <row r="78" spans="3:26">
      <c r="C78">
        <v>119</v>
      </c>
      <c r="E78">
        <v>627100</v>
      </c>
      <c r="H78" t="s">
        <v>2505</v>
      </c>
      <c r="K78" s="1366">
        <v>7217</v>
      </c>
      <c r="L78" s="1366"/>
      <c r="M78" s="1366">
        <v>0</v>
      </c>
      <c r="N78" s="1366"/>
      <c r="O78" s="1366">
        <v>7217</v>
      </c>
      <c r="S78" s="1366">
        <v>0</v>
      </c>
      <c r="T78" s="1367">
        <f t="shared" si="2"/>
        <v>7217</v>
      </c>
      <c r="U78" t="s">
        <v>2385</v>
      </c>
      <c r="V78" t="s">
        <v>1794</v>
      </c>
      <c r="Y78">
        <v>7217</v>
      </c>
      <c r="Z78" s="1367">
        <f t="shared" si="3"/>
        <v>0</v>
      </c>
    </row>
    <row r="79" spans="3:26">
      <c r="C79">
        <v>119</v>
      </c>
      <c r="E79">
        <v>641100</v>
      </c>
      <c r="H79" t="s">
        <v>2506</v>
      </c>
      <c r="K79" s="1366">
        <v>84216</v>
      </c>
      <c r="L79" s="1366"/>
      <c r="M79" s="1366">
        <v>0</v>
      </c>
      <c r="N79" s="1366"/>
      <c r="O79" s="1366">
        <v>84216</v>
      </c>
      <c r="S79" s="1366">
        <v>0</v>
      </c>
      <c r="T79" s="1367">
        <f t="shared" si="2"/>
        <v>84216</v>
      </c>
      <c r="U79" t="s">
        <v>2385</v>
      </c>
      <c r="V79" t="s">
        <v>1794</v>
      </c>
      <c r="Y79">
        <v>84216</v>
      </c>
      <c r="Z79" s="1367">
        <f t="shared" si="3"/>
        <v>0</v>
      </c>
    </row>
    <row r="80" spans="3:26">
      <c r="C80">
        <v>119</v>
      </c>
      <c r="E80">
        <v>641203</v>
      </c>
      <c r="H80" t="s">
        <v>2507</v>
      </c>
      <c r="K80" s="1366">
        <v>59040</v>
      </c>
      <c r="L80" s="1366"/>
      <c r="M80" s="1366">
        <v>0</v>
      </c>
      <c r="N80" s="1366"/>
      <c r="O80" s="1366">
        <v>59040</v>
      </c>
      <c r="S80" s="1366">
        <v>0</v>
      </c>
      <c r="T80" s="1367">
        <f t="shared" si="2"/>
        <v>59040</v>
      </c>
      <c r="U80" t="s">
        <v>2385</v>
      </c>
      <c r="V80" t="s">
        <v>1794</v>
      </c>
      <c r="Y80">
        <v>59040</v>
      </c>
      <c r="Z80" s="1367">
        <f t="shared" si="3"/>
        <v>0</v>
      </c>
    </row>
    <row r="81" spans="3:26">
      <c r="C81">
        <v>119</v>
      </c>
      <c r="E81">
        <v>641300</v>
      </c>
      <c r="H81" t="s">
        <v>2508</v>
      </c>
      <c r="K81" s="1366">
        <v>303548</v>
      </c>
      <c r="L81" s="1366"/>
      <c r="M81" s="1366">
        <v>0</v>
      </c>
      <c r="N81" s="1366"/>
      <c r="O81" s="1366">
        <v>303548</v>
      </c>
      <c r="S81" s="1366">
        <v>0</v>
      </c>
      <c r="T81" s="1367">
        <f t="shared" si="2"/>
        <v>303548</v>
      </c>
      <c r="U81" t="s">
        <v>2385</v>
      </c>
      <c r="V81" t="s">
        <v>1794</v>
      </c>
      <c r="Y81">
        <v>303548</v>
      </c>
      <c r="Z81" s="1367">
        <f t="shared" si="3"/>
        <v>0</v>
      </c>
    </row>
    <row r="82" spans="3:26">
      <c r="C82">
        <v>119</v>
      </c>
      <c r="E82">
        <v>641310</v>
      </c>
      <c r="H82" t="s">
        <v>2509</v>
      </c>
      <c r="K82" s="1366">
        <v>7674</v>
      </c>
      <c r="L82" s="1366"/>
      <c r="M82" s="1366">
        <v>0</v>
      </c>
      <c r="N82" s="1366"/>
      <c r="O82" s="1366">
        <v>7674</v>
      </c>
      <c r="S82" s="1366">
        <v>0</v>
      </c>
      <c r="T82" s="1367">
        <f t="shared" si="2"/>
        <v>7674</v>
      </c>
      <c r="U82" t="s">
        <v>2385</v>
      </c>
      <c r="V82" t="s">
        <v>1794</v>
      </c>
      <c r="Y82">
        <v>7674</v>
      </c>
      <c r="Z82" s="1367">
        <f t="shared" si="3"/>
        <v>0</v>
      </c>
    </row>
    <row r="83" spans="3:26">
      <c r="C83">
        <v>119</v>
      </c>
      <c r="E83">
        <v>641702</v>
      </c>
      <c r="H83" t="s">
        <v>2510</v>
      </c>
      <c r="K83" s="1366">
        <v>3105454</v>
      </c>
      <c r="L83" s="1366"/>
      <c r="M83" s="1366">
        <v>0</v>
      </c>
      <c r="N83" s="1366"/>
      <c r="O83" s="1366">
        <v>3105454</v>
      </c>
      <c r="S83" s="1366">
        <v>0</v>
      </c>
      <c r="T83" s="1367">
        <f t="shared" si="2"/>
        <v>3105454</v>
      </c>
      <c r="U83" t="s">
        <v>2385</v>
      </c>
      <c r="V83" t="s">
        <v>1794</v>
      </c>
      <c r="Y83">
        <v>3105454</v>
      </c>
      <c r="Z83" s="1367">
        <f t="shared" si="3"/>
        <v>0</v>
      </c>
    </row>
    <row r="84" spans="3:26">
      <c r="C84">
        <v>119</v>
      </c>
      <c r="E84">
        <v>641711</v>
      </c>
      <c r="H84" t="s">
        <v>156</v>
      </c>
      <c r="K84" s="1366">
        <v>103416</v>
      </c>
      <c r="L84" s="1366"/>
      <c r="M84" s="1366">
        <v>0</v>
      </c>
      <c r="N84" s="1366"/>
      <c r="O84" s="1366">
        <v>103416</v>
      </c>
      <c r="S84" s="1366">
        <v>0</v>
      </c>
      <c r="T84" s="1367">
        <f t="shared" si="2"/>
        <v>103416</v>
      </c>
      <c r="U84" t="s">
        <v>2385</v>
      </c>
      <c r="V84" t="s">
        <v>1794</v>
      </c>
      <c r="Y84">
        <v>103416</v>
      </c>
      <c r="Z84" s="1367">
        <f t="shared" si="3"/>
        <v>0</v>
      </c>
    </row>
    <row r="85" spans="3:26">
      <c r="C85">
        <v>119</v>
      </c>
      <c r="E85">
        <v>641713</v>
      </c>
      <c r="H85" t="s">
        <v>2511</v>
      </c>
      <c r="K85" s="1366">
        <v>45000</v>
      </c>
      <c r="L85" s="1366"/>
      <c r="M85" s="1366">
        <v>0</v>
      </c>
      <c r="N85" s="1366"/>
      <c r="O85" s="1366">
        <v>45000</v>
      </c>
      <c r="S85" s="1366">
        <v>0</v>
      </c>
      <c r="T85" s="1367">
        <f t="shared" si="2"/>
        <v>45000</v>
      </c>
      <c r="U85" t="s">
        <v>2385</v>
      </c>
      <c r="V85" t="s">
        <v>1794</v>
      </c>
      <c r="Y85">
        <v>45000</v>
      </c>
      <c r="Z85" s="1367">
        <f t="shared" si="3"/>
        <v>0</v>
      </c>
    </row>
    <row r="86" spans="3:26">
      <c r="C86">
        <v>119</v>
      </c>
      <c r="E86">
        <v>641716</v>
      </c>
      <c r="H86" t="s">
        <v>2512</v>
      </c>
      <c r="K86" s="1366">
        <v>1875</v>
      </c>
      <c r="L86" s="1366"/>
      <c r="M86" s="1366">
        <v>0</v>
      </c>
      <c r="N86" s="1366"/>
      <c r="O86" s="1366">
        <v>1875</v>
      </c>
      <c r="S86" s="1366">
        <v>0</v>
      </c>
      <c r="T86" s="1367">
        <f t="shared" si="2"/>
        <v>1875</v>
      </c>
      <c r="U86" t="s">
        <v>2385</v>
      </c>
      <c r="V86" t="s">
        <v>1794</v>
      </c>
      <c r="Y86">
        <v>1875</v>
      </c>
      <c r="Z86" s="1367">
        <f t="shared" si="3"/>
        <v>0</v>
      </c>
    </row>
    <row r="87" spans="3:26">
      <c r="C87">
        <v>119</v>
      </c>
      <c r="E87">
        <v>641721</v>
      </c>
      <c r="H87" t="s">
        <v>2513</v>
      </c>
      <c r="K87" s="1366">
        <v>-32400</v>
      </c>
      <c r="L87" s="1366"/>
      <c r="M87" s="1366">
        <v>0</v>
      </c>
      <c r="N87" s="1366"/>
      <c r="O87" s="1366">
        <v>-32400</v>
      </c>
      <c r="S87" s="1366">
        <v>0</v>
      </c>
      <c r="T87" s="1367">
        <f t="shared" si="2"/>
        <v>-32400</v>
      </c>
      <c r="U87" t="s">
        <v>2385</v>
      </c>
      <c r="V87" t="s">
        <v>1794</v>
      </c>
      <c r="Y87">
        <v>-32400</v>
      </c>
      <c r="Z87" s="1367">
        <f t="shared" si="3"/>
        <v>0</v>
      </c>
    </row>
    <row r="88" spans="3:26">
      <c r="C88">
        <v>119</v>
      </c>
      <c r="E88">
        <v>641722</v>
      </c>
      <c r="H88" t="s">
        <v>2514</v>
      </c>
      <c r="K88" s="1366">
        <v>-16200</v>
      </c>
      <c r="L88" s="1366"/>
      <c r="M88" s="1366">
        <v>0</v>
      </c>
      <c r="N88" s="1366"/>
      <c r="O88" s="1366">
        <v>-16200</v>
      </c>
      <c r="S88" s="1366">
        <v>0</v>
      </c>
      <c r="T88" s="1367">
        <f t="shared" si="2"/>
        <v>-16200</v>
      </c>
      <c r="U88" t="s">
        <v>2385</v>
      </c>
      <c r="V88" t="s">
        <v>1794</v>
      </c>
      <c r="Y88">
        <v>-16200</v>
      </c>
      <c r="Z88" s="1367">
        <f t="shared" si="3"/>
        <v>0</v>
      </c>
    </row>
    <row r="89" spans="3:26">
      <c r="C89">
        <v>119</v>
      </c>
      <c r="E89">
        <v>645004</v>
      </c>
      <c r="H89" t="s">
        <v>2515</v>
      </c>
      <c r="K89" s="1366">
        <v>19384</v>
      </c>
      <c r="L89" s="1366"/>
      <c r="M89" s="1366">
        <v>0</v>
      </c>
      <c r="N89" s="1366"/>
      <c r="O89" s="1366">
        <v>19384</v>
      </c>
      <c r="S89" s="1366">
        <v>0</v>
      </c>
      <c r="T89" s="1367">
        <f t="shared" si="2"/>
        <v>19384</v>
      </c>
      <c r="U89" t="s">
        <v>2385</v>
      </c>
      <c r="V89" t="s">
        <v>1794</v>
      </c>
      <c r="Y89">
        <v>19384</v>
      </c>
      <c r="Z89" s="1367">
        <f t="shared" si="3"/>
        <v>0</v>
      </c>
    </row>
    <row r="90" spans="3:26">
      <c r="C90">
        <v>119</v>
      </c>
      <c r="E90">
        <v>645643</v>
      </c>
      <c r="H90" t="s">
        <v>2516</v>
      </c>
      <c r="K90" s="1366">
        <v>2075</v>
      </c>
      <c r="L90" s="1366"/>
      <c r="M90" s="1366">
        <v>0</v>
      </c>
      <c r="N90" s="1366"/>
      <c r="O90" s="1366">
        <v>2075</v>
      </c>
      <c r="S90" s="1366">
        <v>0</v>
      </c>
      <c r="T90" s="1367">
        <f t="shared" si="2"/>
        <v>2075</v>
      </c>
      <c r="U90" t="s">
        <v>2385</v>
      </c>
      <c r="V90" t="s">
        <v>1794</v>
      </c>
      <c r="Y90">
        <v>2075</v>
      </c>
      <c r="Z90" s="1367">
        <f t="shared" si="3"/>
        <v>0</v>
      </c>
    </row>
    <row r="91" spans="3:26">
      <c r="C91">
        <v>119</v>
      </c>
      <c r="E91">
        <v>658013</v>
      </c>
      <c r="H91" t="s">
        <v>2517</v>
      </c>
      <c r="K91" s="1366">
        <v>12237</v>
      </c>
      <c r="L91" s="1366"/>
      <c r="M91" s="1366">
        <v>0</v>
      </c>
      <c r="N91" s="1366"/>
      <c r="O91" s="1366">
        <v>12237</v>
      </c>
      <c r="S91" s="1366">
        <v>0</v>
      </c>
      <c r="T91" s="1367">
        <f t="shared" si="2"/>
        <v>12237</v>
      </c>
      <c r="U91" t="s">
        <v>2385</v>
      </c>
      <c r="V91" t="s">
        <v>1794</v>
      </c>
      <c r="Y91">
        <v>12237</v>
      </c>
      <c r="Z91" s="1367">
        <f t="shared" si="3"/>
        <v>0</v>
      </c>
    </row>
    <row r="92" spans="3:26">
      <c r="C92">
        <v>119</v>
      </c>
      <c r="E92">
        <v>666400</v>
      </c>
      <c r="H92" t="s">
        <v>2518</v>
      </c>
      <c r="K92" s="1366">
        <v>289887.58</v>
      </c>
      <c r="L92" s="1366"/>
      <c r="M92" s="1366">
        <v>0</v>
      </c>
      <c r="N92" s="1366"/>
      <c r="O92" s="1366">
        <v>289887.58</v>
      </c>
      <c r="S92" s="1366">
        <v>0</v>
      </c>
      <c r="T92" s="1367">
        <f t="shared" si="2"/>
        <v>289887.58</v>
      </c>
      <c r="U92" t="s">
        <v>2385</v>
      </c>
      <c r="V92" t="s">
        <v>1794</v>
      </c>
      <c r="Y92">
        <v>289887.58</v>
      </c>
      <c r="Z92" s="1367">
        <f t="shared" si="3"/>
        <v>0</v>
      </c>
    </row>
    <row r="93" spans="3:26">
      <c r="C93">
        <v>119</v>
      </c>
      <c r="E93">
        <v>702310</v>
      </c>
      <c r="H93" t="s">
        <v>2519</v>
      </c>
      <c r="K93" s="1366">
        <v>3592946</v>
      </c>
      <c r="L93" s="1366"/>
      <c r="M93" s="1366">
        <v>0</v>
      </c>
      <c r="N93" s="1366"/>
      <c r="O93" s="1366">
        <v>3592946</v>
      </c>
      <c r="S93" s="1366">
        <v>0</v>
      </c>
      <c r="T93" s="1367">
        <f t="shared" si="2"/>
        <v>3592946</v>
      </c>
      <c r="U93" t="s">
        <v>2385</v>
      </c>
      <c r="V93" t="s">
        <v>1794</v>
      </c>
      <c r="Y93">
        <v>3592946</v>
      </c>
      <c r="Z93" s="1367">
        <f t="shared" si="3"/>
        <v>0</v>
      </c>
    </row>
    <row r="94" spans="3:26">
      <c r="C94">
        <v>119</v>
      </c>
      <c r="E94">
        <v>704040</v>
      </c>
      <c r="H94" t="s">
        <v>2520</v>
      </c>
      <c r="K94" s="1366">
        <v>-1978295.76</v>
      </c>
      <c r="L94" s="1366"/>
      <c r="M94" s="1366">
        <v>0</v>
      </c>
      <c r="N94" s="1366"/>
      <c r="O94" s="1366">
        <v>-1978295.76</v>
      </c>
      <c r="S94" s="1366">
        <v>0</v>
      </c>
      <c r="T94" s="1367">
        <f t="shared" si="2"/>
        <v>-1978295.76</v>
      </c>
      <c r="U94" t="s">
        <v>2385</v>
      </c>
      <c r="V94" t="s">
        <v>1794</v>
      </c>
      <c r="Y94">
        <v>-1978295.76</v>
      </c>
      <c r="Z94" s="1367">
        <f t="shared" si="3"/>
        <v>0</v>
      </c>
    </row>
    <row r="95" spans="3:26">
      <c r="C95">
        <v>119</v>
      </c>
      <c r="E95">
        <v>706361</v>
      </c>
      <c r="H95" t="s">
        <v>2521</v>
      </c>
      <c r="K95" s="1366">
        <v>-3225610.33</v>
      </c>
      <c r="L95" s="1366"/>
      <c r="M95" s="1366">
        <v>0</v>
      </c>
      <c r="N95" s="1366"/>
      <c r="O95" s="1366">
        <v>-3225610.33</v>
      </c>
      <c r="S95" s="1366">
        <v>0</v>
      </c>
      <c r="T95" s="1367">
        <f t="shared" si="2"/>
        <v>-3225610.33</v>
      </c>
      <c r="U95" t="s">
        <v>2385</v>
      </c>
      <c r="V95" t="s">
        <v>1794</v>
      </c>
      <c r="Y95">
        <v>-3225610.33</v>
      </c>
      <c r="Z95" s="1367">
        <f t="shared" si="3"/>
        <v>0</v>
      </c>
    </row>
    <row r="96" spans="3:26">
      <c r="C96">
        <v>119</v>
      </c>
      <c r="E96">
        <v>762510</v>
      </c>
      <c r="H96" t="s">
        <v>2522</v>
      </c>
      <c r="K96" s="1366">
        <v>-708</v>
      </c>
      <c r="L96" s="1366"/>
      <c r="M96" s="1366">
        <v>0</v>
      </c>
      <c r="N96" s="1366"/>
      <c r="O96" s="1366">
        <v>-708</v>
      </c>
      <c r="S96" s="1366">
        <v>0</v>
      </c>
      <c r="T96" s="1367">
        <f t="shared" si="2"/>
        <v>-708</v>
      </c>
      <c r="U96" t="s">
        <v>2385</v>
      </c>
      <c r="V96" t="s">
        <v>1794</v>
      </c>
      <c r="Y96">
        <v>-708</v>
      </c>
      <c r="Z96" s="1367">
        <f t="shared" si="3"/>
        <v>0</v>
      </c>
    </row>
    <row r="97" spans="3:26">
      <c r="C97">
        <v>119</v>
      </c>
      <c r="E97">
        <v>766200</v>
      </c>
      <c r="H97" t="s">
        <v>2523</v>
      </c>
      <c r="K97" s="1366">
        <v>58574.97</v>
      </c>
      <c r="L97" s="1366"/>
      <c r="M97" s="1366">
        <v>0</v>
      </c>
      <c r="N97" s="1366"/>
      <c r="O97" s="1366">
        <v>58574.97</v>
      </c>
      <c r="S97" s="1366">
        <v>0</v>
      </c>
      <c r="T97" s="1367">
        <f t="shared" si="2"/>
        <v>58574.97</v>
      </c>
      <c r="U97" t="s">
        <v>2385</v>
      </c>
      <c r="V97" t="s">
        <v>1794</v>
      </c>
      <c r="Y97">
        <v>58574.97</v>
      </c>
      <c r="Z97" s="1367">
        <f t="shared" si="3"/>
        <v>0</v>
      </c>
    </row>
    <row r="98" spans="3:26">
      <c r="C98">
        <v>119</v>
      </c>
      <c r="E98">
        <v>766400</v>
      </c>
      <c r="H98" t="s">
        <v>2524</v>
      </c>
      <c r="K98" s="1366">
        <v>-259336.21</v>
      </c>
      <c r="L98" s="1366"/>
      <c r="M98" s="1366">
        <v>0</v>
      </c>
      <c r="N98" s="1366"/>
      <c r="O98" s="1366">
        <v>-259336.21</v>
      </c>
      <c r="S98" s="1366">
        <v>0</v>
      </c>
      <c r="T98" s="1367">
        <f t="shared" si="2"/>
        <v>-259336.21</v>
      </c>
      <c r="U98" t="s">
        <v>2385</v>
      </c>
      <c r="V98" t="s">
        <v>1794</v>
      </c>
      <c r="Y98">
        <v>-259336.21</v>
      </c>
      <c r="Z98" s="1367">
        <f t="shared" si="3"/>
        <v>0</v>
      </c>
    </row>
    <row r="99" spans="3:26">
      <c r="C99">
        <v>119</v>
      </c>
      <c r="E99">
        <v>5890000</v>
      </c>
      <c r="H99" t="s">
        <v>2525</v>
      </c>
      <c r="K99" s="1366">
        <f>160384.89-160384.89</f>
        <v>0</v>
      </c>
      <c r="L99" s="1366"/>
      <c r="M99" s="1366">
        <v>0</v>
      </c>
      <c r="N99" s="1366"/>
      <c r="O99" s="1366">
        <v>160384.89000000001</v>
      </c>
      <c r="S99" s="1366">
        <v>0</v>
      </c>
      <c r="T99" s="1367">
        <f t="shared" ref="T99:T107" si="4">+K99-S99</f>
        <v>0</v>
      </c>
      <c r="U99" t="s">
        <v>2384</v>
      </c>
      <c r="V99" t="s">
        <v>1794</v>
      </c>
      <c r="Y99" t="e">
        <v>#N/A</v>
      </c>
      <c r="Z99" s="1367" t="e">
        <f t="shared" si="3"/>
        <v>#N/A</v>
      </c>
    </row>
    <row r="100" spans="3:26">
      <c r="C100">
        <v>119</v>
      </c>
      <c r="E100">
        <v>51120215</v>
      </c>
      <c r="H100" t="s">
        <v>2526</v>
      </c>
      <c r="K100" s="1366">
        <v>-3000000.56</v>
      </c>
      <c r="L100" s="1366"/>
      <c r="M100" s="1366">
        <v>0</v>
      </c>
      <c r="N100" s="1366"/>
      <c r="O100" s="1366">
        <v>-3000000.56</v>
      </c>
      <c r="S100" s="1366">
        <f>SUMIF('People Soft to Nessie to IRIS'!$A$6:$A$86,'SAP TB'!E100,'People Soft to Nessie to IRIS'!$E$6:$E$86)</f>
        <v>0</v>
      </c>
      <c r="T100" s="1367">
        <f t="shared" si="4"/>
        <v>-3000000.56</v>
      </c>
      <c r="U100" t="s">
        <v>2384</v>
      </c>
      <c r="V100" t="s">
        <v>2532</v>
      </c>
      <c r="Y100">
        <v>-3000000.56</v>
      </c>
      <c r="Z100" s="1367">
        <f t="shared" si="3"/>
        <v>0</v>
      </c>
    </row>
    <row r="101" spans="3:26">
      <c r="C101">
        <v>119</v>
      </c>
      <c r="E101">
        <v>51120217</v>
      </c>
      <c r="H101" t="s">
        <v>2526</v>
      </c>
      <c r="K101" s="1366">
        <f>-21060384.89+160384.89</f>
        <v>-20900000</v>
      </c>
      <c r="L101" s="1366"/>
      <c r="M101" s="1366">
        <v>0</v>
      </c>
      <c r="N101" s="1366"/>
      <c r="O101" s="1366">
        <v>-21060384.890000001</v>
      </c>
      <c r="S101" s="1366">
        <f>SUMIF('People Soft to Nessie to IRIS'!$A$6:$A$86,'SAP TB'!E101,'People Soft to Nessie to IRIS'!$E$6:$E$86)</f>
        <v>0</v>
      </c>
      <c r="T101" s="1367">
        <f t="shared" si="4"/>
        <v>-20900000</v>
      </c>
      <c r="U101" t="s">
        <v>2384</v>
      </c>
      <c r="V101" t="s">
        <v>2532</v>
      </c>
      <c r="Y101">
        <v>-20900000</v>
      </c>
      <c r="Z101" s="1367">
        <f t="shared" si="3"/>
        <v>0</v>
      </c>
    </row>
    <row r="102" spans="3:26">
      <c r="C102">
        <v>119</v>
      </c>
      <c r="E102">
        <v>51150215</v>
      </c>
      <c r="H102" t="s">
        <v>2527</v>
      </c>
      <c r="K102" s="1366">
        <v>1259372</v>
      </c>
      <c r="L102" s="1366"/>
      <c r="M102" s="1366">
        <v>0</v>
      </c>
      <c r="N102" s="1366"/>
      <c r="O102" s="1366">
        <v>1259372</v>
      </c>
      <c r="S102" s="1366">
        <f>SUMIF('People Soft to Nessie to IRIS'!$A$6:$A$86,'SAP TB'!E102,'People Soft to Nessie to IRIS'!$E$6:$E$86)</f>
        <v>0</v>
      </c>
      <c r="T102" s="1367">
        <f t="shared" si="4"/>
        <v>1259372</v>
      </c>
      <c r="U102" t="s">
        <v>2384</v>
      </c>
      <c r="V102" t="s">
        <v>2532</v>
      </c>
      <c r="Y102">
        <v>1259372</v>
      </c>
      <c r="Z102" s="1367">
        <f t="shared" si="3"/>
        <v>0</v>
      </c>
    </row>
    <row r="103" spans="3:26">
      <c r="C103">
        <v>119</v>
      </c>
      <c r="E103">
        <v>51150216</v>
      </c>
      <c r="H103" t="s">
        <v>2527</v>
      </c>
      <c r="K103" s="1366">
        <v>431085</v>
      </c>
      <c r="L103" s="1366"/>
      <c r="M103" s="1366">
        <v>0</v>
      </c>
      <c r="N103" s="1366"/>
      <c r="O103" s="1366">
        <v>431085</v>
      </c>
      <c r="S103" s="1366">
        <f>SUMIF('People Soft to Nessie to IRIS'!$A$6:$A$86,'SAP TB'!E103,'People Soft to Nessie to IRIS'!$E$6:$E$86)</f>
        <v>0</v>
      </c>
      <c r="T103" s="1367">
        <f t="shared" si="4"/>
        <v>431085</v>
      </c>
      <c r="U103" t="s">
        <v>2384</v>
      </c>
      <c r="V103" t="s">
        <v>2532</v>
      </c>
      <c r="Y103">
        <v>431085</v>
      </c>
      <c r="Z103" s="1367">
        <f t="shared" si="3"/>
        <v>0</v>
      </c>
    </row>
    <row r="104" spans="3:26">
      <c r="C104">
        <v>119</v>
      </c>
      <c r="E104">
        <v>51150217</v>
      </c>
      <c r="H104" t="s">
        <v>2527</v>
      </c>
      <c r="K104" s="1366">
        <v>22000000</v>
      </c>
      <c r="L104" s="1366"/>
      <c r="M104" s="1366">
        <v>0</v>
      </c>
      <c r="N104" s="1366"/>
      <c r="O104" s="1366">
        <v>22000000</v>
      </c>
      <c r="S104" s="1366">
        <f>SUMIF('People Soft to Nessie to IRIS'!$A$6:$A$86,'SAP TB'!E104,'People Soft to Nessie to IRIS'!$E$6:$E$86)</f>
        <v>0</v>
      </c>
      <c r="T104" s="1367">
        <f t="shared" si="4"/>
        <v>22000000</v>
      </c>
      <c r="U104" t="s">
        <v>2384</v>
      </c>
      <c r="V104" t="s">
        <v>2532</v>
      </c>
      <c r="Y104">
        <v>22000000</v>
      </c>
      <c r="Z104" s="1367">
        <f t="shared" si="3"/>
        <v>0</v>
      </c>
    </row>
    <row r="105" spans="3:26">
      <c r="C105">
        <v>119</v>
      </c>
      <c r="E105">
        <v>51200208</v>
      </c>
      <c r="H105" t="s">
        <v>2447</v>
      </c>
      <c r="K105" s="1366">
        <v>11996.5</v>
      </c>
      <c r="L105" s="1366"/>
      <c r="M105" s="1366">
        <v>0</v>
      </c>
      <c r="N105" s="1366"/>
      <c r="O105" s="1366">
        <v>11996.5</v>
      </c>
      <c r="S105" s="1366">
        <f>SUMIF('People Soft to Nessie to IRIS'!$A$6:$A$86,'SAP TB'!E105,'People Soft to Nessie to IRIS'!$E$6:$E$86)</f>
        <v>11996.5</v>
      </c>
      <c r="T105" s="1367">
        <f t="shared" si="4"/>
        <v>0</v>
      </c>
      <c r="U105" t="s">
        <v>2384</v>
      </c>
      <c r="V105" t="s">
        <v>2532</v>
      </c>
      <c r="Y105">
        <v>11997.5</v>
      </c>
      <c r="Z105" s="1367">
        <f t="shared" si="3"/>
        <v>-1</v>
      </c>
    </row>
    <row r="106" spans="3:26">
      <c r="C106">
        <v>119</v>
      </c>
      <c r="E106">
        <v>51200215</v>
      </c>
      <c r="H106" t="s">
        <v>2448</v>
      </c>
      <c r="K106" s="1366">
        <v>3452564.04</v>
      </c>
      <c r="L106" s="1366"/>
      <c r="M106" s="1366">
        <v>0</v>
      </c>
      <c r="N106" s="1366"/>
      <c r="O106" s="1366">
        <v>3452564.04</v>
      </c>
      <c r="S106" s="1366">
        <f>SUMIF('People Soft to Nessie to IRIS'!$A$6:$A$86,'SAP TB'!E106,'People Soft to Nessie to IRIS'!$E$6:$E$86)</f>
        <v>3551476.61</v>
      </c>
      <c r="T106" s="1367">
        <f t="shared" si="4"/>
        <v>-98912.569999999832</v>
      </c>
      <c r="U106" t="s">
        <v>2384</v>
      </c>
      <c r="V106" t="s">
        <v>2532</v>
      </c>
      <c r="Y106">
        <v>3452564.04</v>
      </c>
      <c r="Z106" s="1367">
        <f t="shared" si="3"/>
        <v>0</v>
      </c>
    </row>
    <row r="107" spans="3:26">
      <c r="C107">
        <v>119</v>
      </c>
      <c r="E107">
        <v>51200217</v>
      </c>
      <c r="H107" t="s">
        <v>2448</v>
      </c>
      <c r="K107" s="1366">
        <v>218940621.58000001</v>
      </c>
      <c r="L107" s="1366"/>
      <c r="M107" s="1366">
        <v>0</v>
      </c>
      <c r="N107" s="1366"/>
      <c r="O107" s="1366">
        <v>218940621.58000001</v>
      </c>
      <c r="S107" s="1366">
        <f>SUMIF('People Soft to Nessie to IRIS'!$A$6:$A$86,'SAP TB'!E107,'People Soft to Nessie to IRIS'!$E$6:$E$86)</f>
        <v>218900000.06</v>
      </c>
      <c r="T107" s="1367">
        <f t="shared" si="4"/>
        <v>40621.520000010729</v>
      </c>
      <c r="U107" t="s">
        <v>2384</v>
      </c>
      <c r="V107" t="s">
        <v>2532</v>
      </c>
      <c r="Y107">
        <v>218940621.58000001</v>
      </c>
      <c r="Z107" s="1367">
        <f t="shared" si="3"/>
        <v>0</v>
      </c>
    </row>
    <row r="108" spans="3:26">
      <c r="C108">
        <v>119</v>
      </c>
      <c r="E108">
        <v>411998</v>
      </c>
      <c r="H108" t="s">
        <v>2414</v>
      </c>
      <c r="K108" s="1366">
        <v>0</v>
      </c>
      <c r="L108" s="1366"/>
      <c r="M108" s="1366">
        <v>40621.519999999997</v>
      </c>
      <c r="N108" s="1366"/>
      <c r="O108" s="1366">
        <v>0</v>
      </c>
      <c r="S108" s="1366">
        <f>SUMIF('People Soft to Nessie to IRIS'!$A$6:$A$86,'SAP TB'!E108,'People Soft to Nessie to IRIS'!$E$6:$E$86)</f>
        <v>56951.57</v>
      </c>
      <c r="T108" s="1367">
        <f>+K108-S108</f>
        <v>-56951.57</v>
      </c>
      <c r="U108" t="s">
        <v>2384</v>
      </c>
      <c r="V108" t="s">
        <v>2532</v>
      </c>
      <c r="Y108" t="e">
        <v>#N/A</v>
      </c>
      <c r="Z108" s="1367" t="e">
        <f t="shared" si="3"/>
        <v>#N/A</v>
      </c>
    </row>
    <row r="109" spans="3:26">
      <c r="C109">
        <v>119</v>
      </c>
      <c r="E109">
        <v>428650</v>
      </c>
      <c r="H109" t="s">
        <v>2425</v>
      </c>
      <c r="K109" s="1366">
        <v>0</v>
      </c>
      <c r="L109" s="1366"/>
      <c r="M109" s="1366">
        <v>40621.519999999997</v>
      </c>
      <c r="N109" s="1366"/>
      <c r="O109" s="1366">
        <v>0</v>
      </c>
      <c r="S109" s="1366">
        <f>SUMIF('People Soft to Nessie to IRIS'!$A$6:$A$86,'SAP TB'!E109,'People Soft to Nessie to IRIS'!$E$6:$E$86)</f>
        <v>-46800</v>
      </c>
      <c r="T109" s="1367">
        <f>+K109-S109</f>
        <v>46800</v>
      </c>
      <c r="U109" t="s">
        <v>2384</v>
      </c>
      <c r="V109" t="s">
        <v>2532</v>
      </c>
      <c r="Y109" t="e">
        <v>#N/A</v>
      </c>
      <c r="Z109" s="1367" t="e">
        <f t="shared" si="3"/>
        <v>#N/A</v>
      </c>
    </row>
  </sheetData>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89E2B-DEDA-411B-B3D7-824F48299B5C}">
  <dimension ref="A1:E870"/>
  <sheetViews>
    <sheetView topLeftCell="A839" workbookViewId="0">
      <selection activeCell="D17" sqref="D17"/>
    </sheetView>
  </sheetViews>
  <sheetFormatPr defaultRowHeight="14.4"/>
  <cols>
    <col min="2" max="2" width="61.21875" bestFit="1" customWidth="1"/>
    <col min="3" max="4" width="49.5546875" bestFit="1" customWidth="1"/>
  </cols>
  <sheetData>
    <row r="1" spans="1:5">
      <c r="A1" t="s">
        <v>519</v>
      </c>
      <c r="B1" t="s">
        <v>520</v>
      </c>
      <c r="C1" t="s">
        <v>2386</v>
      </c>
      <c r="D1" t="s">
        <v>2382</v>
      </c>
      <c r="E1" t="s">
        <v>2387</v>
      </c>
    </row>
    <row r="2" spans="1:5">
      <c r="A2">
        <v>400010</v>
      </c>
      <c r="B2" t="s">
        <v>1536</v>
      </c>
      <c r="C2" t="s">
        <v>57</v>
      </c>
      <c r="D2" t="s">
        <v>418</v>
      </c>
      <c r="E2" t="s">
        <v>2385</v>
      </c>
    </row>
    <row r="3" spans="1:5">
      <c r="A3">
        <v>400020</v>
      </c>
      <c r="B3" t="s">
        <v>1537</v>
      </c>
      <c r="C3" t="s">
        <v>57</v>
      </c>
      <c r="D3" t="s">
        <v>418</v>
      </c>
      <c r="E3" t="s">
        <v>2385</v>
      </c>
    </row>
    <row r="4" spans="1:5">
      <c r="A4">
        <v>400030</v>
      </c>
      <c r="B4" t="s">
        <v>1539</v>
      </c>
      <c r="C4" t="s">
        <v>57</v>
      </c>
      <c r="D4" t="s">
        <v>418</v>
      </c>
      <c r="E4" t="s">
        <v>2385</v>
      </c>
    </row>
    <row r="5" spans="1:5">
      <c r="A5">
        <v>400050</v>
      </c>
      <c r="B5" t="s">
        <v>1541</v>
      </c>
      <c r="C5" t="s">
        <v>57</v>
      </c>
      <c r="D5" t="s">
        <v>418</v>
      </c>
      <c r="E5" t="s">
        <v>2385</v>
      </c>
    </row>
    <row r="6" spans="1:5">
      <c r="A6">
        <v>400060</v>
      </c>
      <c r="B6" t="s">
        <v>1542</v>
      </c>
      <c r="C6" t="s">
        <v>57</v>
      </c>
      <c r="D6" t="s">
        <v>418</v>
      </c>
      <c r="E6" t="s">
        <v>2385</v>
      </c>
    </row>
    <row r="7" spans="1:5">
      <c r="A7">
        <v>400061</v>
      </c>
      <c r="B7" t="s">
        <v>1543</v>
      </c>
      <c r="C7" t="s">
        <v>57</v>
      </c>
      <c r="D7" t="s">
        <v>418</v>
      </c>
      <c r="E7" t="s">
        <v>2385</v>
      </c>
    </row>
    <row r="8" spans="1:5">
      <c r="A8">
        <v>400110</v>
      </c>
      <c r="B8" t="s">
        <v>1549</v>
      </c>
      <c r="C8" t="s">
        <v>57</v>
      </c>
      <c r="D8" t="s">
        <v>418</v>
      </c>
      <c r="E8" t="s">
        <v>2385</v>
      </c>
    </row>
    <row r="9" spans="1:5">
      <c r="A9">
        <v>400130</v>
      </c>
      <c r="B9" t="s">
        <v>1550</v>
      </c>
      <c r="C9" t="s">
        <v>57</v>
      </c>
      <c r="D9" t="s">
        <v>418</v>
      </c>
      <c r="E9" t="s">
        <v>2385</v>
      </c>
    </row>
    <row r="10" spans="1:5">
      <c r="A10">
        <v>400040</v>
      </c>
      <c r="B10" t="s">
        <v>1540</v>
      </c>
      <c r="C10" t="s">
        <v>57</v>
      </c>
      <c r="D10" t="s">
        <v>418</v>
      </c>
      <c r="E10" t="s">
        <v>2385</v>
      </c>
    </row>
    <row r="11" spans="1:5">
      <c r="A11">
        <v>400021</v>
      </c>
      <c r="B11" t="s">
        <v>1538</v>
      </c>
      <c r="C11" t="s">
        <v>57</v>
      </c>
      <c r="D11" t="s">
        <v>735</v>
      </c>
      <c r="E11" t="s">
        <v>2385</v>
      </c>
    </row>
    <row r="12" spans="1:5">
      <c r="A12">
        <v>400140</v>
      </c>
      <c r="B12" t="s">
        <v>1551</v>
      </c>
      <c r="C12" t="s">
        <v>57</v>
      </c>
      <c r="D12" t="s">
        <v>735</v>
      </c>
      <c r="E12" t="s">
        <v>2385</v>
      </c>
    </row>
    <row r="13" spans="1:5">
      <c r="A13">
        <v>400141</v>
      </c>
      <c r="B13" t="s">
        <v>1552</v>
      </c>
      <c r="C13" t="s">
        <v>57</v>
      </c>
      <c r="D13" t="s">
        <v>735</v>
      </c>
      <c r="E13" t="s">
        <v>2385</v>
      </c>
    </row>
    <row r="14" spans="1:5">
      <c r="A14">
        <v>601010</v>
      </c>
      <c r="B14" t="s">
        <v>1780</v>
      </c>
      <c r="C14" t="s">
        <v>58</v>
      </c>
      <c r="D14" t="s">
        <v>737</v>
      </c>
      <c r="E14" t="s">
        <v>2385</v>
      </c>
    </row>
    <row r="15" spans="1:5">
      <c r="A15">
        <v>601011</v>
      </c>
      <c r="B15" t="s">
        <v>1781</v>
      </c>
      <c r="C15" t="s">
        <v>58</v>
      </c>
      <c r="D15" t="s">
        <v>737</v>
      </c>
      <c r="E15" t="s">
        <v>2385</v>
      </c>
    </row>
    <row r="16" spans="1:5">
      <c r="A16">
        <v>601012</v>
      </c>
      <c r="B16" t="s">
        <v>781</v>
      </c>
      <c r="C16" t="s">
        <v>58</v>
      </c>
      <c r="D16" t="s">
        <v>737</v>
      </c>
      <c r="E16" t="s">
        <v>2385</v>
      </c>
    </row>
    <row r="17" spans="1:5">
      <c r="A17">
        <v>601013</v>
      </c>
      <c r="B17" t="s">
        <v>1782</v>
      </c>
      <c r="C17" t="s">
        <v>58</v>
      </c>
      <c r="D17" t="s">
        <v>737</v>
      </c>
      <c r="E17" t="s">
        <v>2385</v>
      </c>
    </row>
    <row r="18" spans="1:5">
      <c r="A18">
        <v>601033</v>
      </c>
      <c r="B18" t="s">
        <v>1784</v>
      </c>
      <c r="C18" t="s">
        <v>58</v>
      </c>
      <c r="D18" t="s">
        <v>737</v>
      </c>
      <c r="E18" t="s">
        <v>2385</v>
      </c>
    </row>
    <row r="19" spans="1:5">
      <c r="A19">
        <v>601014</v>
      </c>
      <c r="B19" t="s">
        <v>786</v>
      </c>
      <c r="C19" t="s">
        <v>58</v>
      </c>
      <c r="D19" t="s">
        <v>737</v>
      </c>
      <c r="E19" t="s">
        <v>2385</v>
      </c>
    </row>
    <row r="20" spans="1:5">
      <c r="A20">
        <v>601017</v>
      </c>
      <c r="B20" t="s">
        <v>1787</v>
      </c>
      <c r="C20" t="s">
        <v>58</v>
      </c>
      <c r="D20" t="s">
        <v>737</v>
      </c>
      <c r="E20" t="s">
        <v>2385</v>
      </c>
    </row>
    <row r="21" spans="1:5">
      <c r="A21">
        <v>601015</v>
      </c>
      <c r="B21" t="s">
        <v>1785</v>
      </c>
      <c r="C21" t="s">
        <v>58</v>
      </c>
      <c r="D21" t="s">
        <v>737</v>
      </c>
      <c r="E21" t="s">
        <v>2385</v>
      </c>
    </row>
    <row r="22" spans="1:5">
      <c r="A22">
        <v>601016</v>
      </c>
      <c r="B22" t="s">
        <v>1786</v>
      </c>
      <c r="C22" t="s">
        <v>58</v>
      </c>
      <c r="D22" t="s">
        <v>737</v>
      </c>
      <c r="E22" t="s">
        <v>2385</v>
      </c>
    </row>
    <row r="23" spans="1:5">
      <c r="A23">
        <v>601018</v>
      </c>
      <c r="B23" t="s">
        <v>1788</v>
      </c>
      <c r="C23" t="s">
        <v>58</v>
      </c>
      <c r="D23" t="s">
        <v>737</v>
      </c>
      <c r="E23" t="s">
        <v>2385</v>
      </c>
    </row>
    <row r="24" spans="1:5">
      <c r="A24">
        <v>601020</v>
      </c>
      <c r="B24" t="s">
        <v>736</v>
      </c>
      <c r="C24" t="s">
        <v>58</v>
      </c>
      <c r="D24" t="s">
        <v>737</v>
      </c>
      <c r="E24" t="s">
        <v>2385</v>
      </c>
    </row>
    <row r="25" spans="1:5">
      <c r="A25">
        <v>601090</v>
      </c>
      <c r="B25" t="s">
        <v>1790</v>
      </c>
      <c r="C25" t="s">
        <v>58</v>
      </c>
      <c r="D25" t="s">
        <v>737</v>
      </c>
      <c r="E25" t="s">
        <v>2385</v>
      </c>
    </row>
    <row r="26" spans="1:5">
      <c r="A26">
        <v>601032</v>
      </c>
      <c r="B26" t="s">
        <v>1783</v>
      </c>
      <c r="C26" t="s">
        <v>58</v>
      </c>
      <c r="D26" t="s">
        <v>737</v>
      </c>
      <c r="E26" t="s">
        <v>2385</v>
      </c>
    </row>
    <row r="27" spans="1:5">
      <c r="A27">
        <v>601023</v>
      </c>
      <c r="B27" t="s">
        <v>2299</v>
      </c>
      <c r="C27" t="s">
        <v>2041</v>
      </c>
      <c r="D27" t="s">
        <v>737</v>
      </c>
      <c r="E27" t="s">
        <v>2385</v>
      </c>
    </row>
    <row r="28" spans="1:5">
      <c r="A28">
        <v>500010</v>
      </c>
      <c r="B28" t="s">
        <v>1553</v>
      </c>
      <c r="C28" t="s">
        <v>738</v>
      </c>
      <c r="D28" t="s">
        <v>739</v>
      </c>
      <c r="E28" t="s">
        <v>2385</v>
      </c>
    </row>
    <row r="29" spans="1:5">
      <c r="A29">
        <v>500080</v>
      </c>
      <c r="B29" t="s">
        <v>1573</v>
      </c>
      <c r="C29" t="s">
        <v>738</v>
      </c>
      <c r="D29" t="s">
        <v>739</v>
      </c>
      <c r="E29" t="s">
        <v>2385</v>
      </c>
    </row>
    <row r="30" spans="1:5">
      <c r="A30">
        <v>500015</v>
      </c>
      <c r="B30" t="s">
        <v>1554</v>
      </c>
      <c r="C30" t="s">
        <v>738</v>
      </c>
      <c r="D30" t="s">
        <v>739</v>
      </c>
      <c r="E30" t="s">
        <v>2385</v>
      </c>
    </row>
    <row r="31" spans="1:5">
      <c r="A31">
        <v>500020</v>
      </c>
      <c r="B31" t="s">
        <v>1555</v>
      </c>
      <c r="C31" t="s">
        <v>738</v>
      </c>
      <c r="D31" t="s">
        <v>739</v>
      </c>
      <c r="E31" t="s">
        <v>2385</v>
      </c>
    </row>
    <row r="32" spans="1:5">
      <c r="A32">
        <v>500025</v>
      </c>
      <c r="B32" t="s">
        <v>1556</v>
      </c>
      <c r="C32" t="s">
        <v>738</v>
      </c>
      <c r="D32" t="s">
        <v>739</v>
      </c>
      <c r="E32" t="s">
        <v>2385</v>
      </c>
    </row>
    <row r="33" spans="1:5">
      <c r="A33">
        <v>500026</v>
      </c>
      <c r="B33" t="s">
        <v>1557</v>
      </c>
      <c r="C33" t="s">
        <v>738</v>
      </c>
      <c r="D33" t="s">
        <v>739</v>
      </c>
      <c r="E33" t="s">
        <v>2385</v>
      </c>
    </row>
    <row r="34" spans="1:5">
      <c r="A34">
        <v>500030</v>
      </c>
      <c r="B34" t="s">
        <v>1558</v>
      </c>
      <c r="C34" t="s">
        <v>738</v>
      </c>
      <c r="D34" t="s">
        <v>739</v>
      </c>
      <c r="E34" t="s">
        <v>2385</v>
      </c>
    </row>
    <row r="35" spans="1:5">
      <c r="A35">
        <v>500035</v>
      </c>
      <c r="B35" t="s">
        <v>1559</v>
      </c>
      <c r="C35" t="s">
        <v>738</v>
      </c>
      <c r="D35" t="s">
        <v>739</v>
      </c>
      <c r="E35" t="s">
        <v>2385</v>
      </c>
    </row>
    <row r="36" spans="1:5">
      <c r="A36">
        <v>500036</v>
      </c>
      <c r="B36" t="s">
        <v>1560</v>
      </c>
      <c r="C36" t="s">
        <v>738</v>
      </c>
      <c r="D36" t="s">
        <v>739</v>
      </c>
      <c r="E36" t="s">
        <v>2385</v>
      </c>
    </row>
    <row r="37" spans="1:5">
      <c r="A37">
        <v>500040</v>
      </c>
      <c r="B37" t="s">
        <v>1561</v>
      </c>
      <c r="C37" t="s">
        <v>738</v>
      </c>
      <c r="D37" t="s">
        <v>739</v>
      </c>
      <c r="E37" t="s">
        <v>2385</v>
      </c>
    </row>
    <row r="38" spans="1:5">
      <c r="A38">
        <v>500060</v>
      </c>
      <c r="B38" t="s">
        <v>1562</v>
      </c>
      <c r="C38" t="s">
        <v>738</v>
      </c>
      <c r="D38" t="s">
        <v>739</v>
      </c>
      <c r="E38" t="s">
        <v>2385</v>
      </c>
    </row>
    <row r="39" spans="1:5">
      <c r="A39">
        <v>500065</v>
      </c>
      <c r="B39" t="s">
        <v>1563</v>
      </c>
      <c r="C39" t="s">
        <v>738</v>
      </c>
      <c r="D39" t="s">
        <v>739</v>
      </c>
      <c r="E39" t="s">
        <v>2385</v>
      </c>
    </row>
    <row r="40" spans="1:5">
      <c r="A40">
        <v>500077</v>
      </c>
      <c r="B40" t="s">
        <v>1570</v>
      </c>
      <c r="C40" t="s">
        <v>738</v>
      </c>
      <c r="D40" t="s">
        <v>739</v>
      </c>
      <c r="E40" t="s">
        <v>2385</v>
      </c>
    </row>
    <row r="41" spans="1:5">
      <c r="A41">
        <v>500078</v>
      </c>
      <c r="B41" t="s">
        <v>1571</v>
      </c>
      <c r="C41" t="s">
        <v>738</v>
      </c>
      <c r="D41" t="s">
        <v>739</v>
      </c>
      <c r="E41" t="s">
        <v>2385</v>
      </c>
    </row>
    <row r="42" spans="1:5">
      <c r="A42">
        <v>500079</v>
      </c>
      <c r="B42" t="s">
        <v>1572</v>
      </c>
      <c r="C42" t="s">
        <v>738</v>
      </c>
      <c r="D42" t="s">
        <v>739</v>
      </c>
      <c r="E42" t="s">
        <v>2385</v>
      </c>
    </row>
    <row r="43" spans="1:5">
      <c r="A43">
        <v>500081</v>
      </c>
      <c r="B43" t="s">
        <v>1574</v>
      </c>
      <c r="C43" t="s">
        <v>738</v>
      </c>
      <c r="D43" t="s">
        <v>739</v>
      </c>
      <c r="E43" t="s">
        <v>2385</v>
      </c>
    </row>
    <row r="44" spans="1:5">
      <c r="A44">
        <v>500082</v>
      </c>
      <c r="B44" t="s">
        <v>1575</v>
      </c>
      <c r="C44" t="s">
        <v>738</v>
      </c>
      <c r="D44" t="s">
        <v>739</v>
      </c>
      <c r="E44" t="s">
        <v>2385</v>
      </c>
    </row>
    <row r="45" spans="1:5">
      <c r="A45">
        <v>500083</v>
      </c>
      <c r="B45" t="s">
        <v>1576</v>
      </c>
      <c r="C45" t="s">
        <v>738</v>
      </c>
      <c r="D45" t="s">
        <v>739</v>
      </c>
      <c r="E45" t="s">
        <v>2385</v>
      </c>
    </row>
    <row r="46" spans="1:5">
      <c r="A46">
        <v>500084</v>
      </c>
      <c r="B46" t="s">
        <v>1577</v>
      </c>
      <c r="C46" t="s">
        <v>738</v>
      </c>
      <c r="D46" t="s">
        <v>739</v>
      </c>
      <c r="E46" t="s">
        <v>2385</v>
      </c>
    </row>
    <row r="47" spans="1:5">
      <c r="A47">
        <v>500085</v>
      </c>
      <c r="B47" t="s">
        <v>1578</v>
      </c>
      <c r="C47" t="s">
        <v>738</v>
      </c>
      <c r="D47" t="s">
        <v>739</v>
      </c>
      <c r="E47" t="s">
        <v>2385</v>
      </c>
    </row>
    <row r="48" spans="1:5">
      <c r="A48">
        <v>500086</v>
      </c>
      <c r="B48" t="s">
        <v>1579</v>
      </c>
      <c r="C48" t="s">
        <v>738</v>
      </c>
      <c r="D48" t="s">
        <v>739</v>
      </c>
      <c r="E48" t="s">
        <v>2385</v>
      </c>
    </row>
    <row r="49" spans="1:5">
      <c r="A49">
        <v>500087</v>
      </c>
      <c r="B49" t="s">
        <v>1580</v>
      </c>
      <c r="C49" t="s">
        <v>738</v>
      </c>
      <c r="D49" t="s">
        <v>739</v>
      </c>
      <c r="E49" t="s">
        <v>2385</v>
      </c>
    </row>
    <row r="50" spans="1:5">
      <c r="A50">
        <v>500088</v>
      </c>
      <c r="B50" t="s">
        <v>1581</v>
      </c>
      <c r="C50" t="s">
        <v>738</v>
      </c>
      <c r="D50" t="s">
        <v>739</v>
      </c>
      <c r="E50" t="s">
        <v>2385</v>
      </c>
    </row>
    <row r="51" spans="1:5">
      <c r="A51">
        <v>500090</v>
      </c>
      <c r="B51" t="s">
        <v>1583</v>
      </c>
      <c r="C51" t="s">
        <v>738</v>
      </c>
      <c r="D51" t="s">
        <v>739</v>
      </c>
      <c r="E51" t="s">
        <v>2385</v>
      </c>
    </row>
    <row r="52" spans="1:5">
      <c r="A52">
        <v>500091</v>
      </c>
      <c r="B52" t="s">
        <v>1584</v>
      </c>
      <c r="C52" t="s">
        <v>738</v>
      </c>
      <c r="D52" t="s">
        <v>739</v>
      </c>
      <c r="E52" t="s">
        <v>2385</v>
      </c>
    </row>
    <row r="53" spans="1:5">
      <c r="A53">
        <v>500092</v>
      </c>
      <c r="B53" t="s">
        <v>1585</v>
      </c>
      <c r="C53" t="s">
        <v>738</v>
      </c>
      <c r="D53" t="s">
        <v>739</v>
      </c>
      <c r="E53" t="s">
        <v>2385</v>
      </c>
    </row>
    <row r="54" spans="1:5">
      <c r="A54">
        <v>500093</v>
      </c>
      <c r="B54" t="s">
        <v>1586</v>
      </c>
      <c r="C54" t="s">
        <v>738</v>
      </c>
      <c r="D54" t="s">
        <v>739</v>
      </c>
      <c r="E54" t="s">
        <v>2385</v>
      </c>
    </row>
    <row r="55" spans="1:5">
      <c r="A55">
        <v>500094</v>
      </c>
      <c r="B55" t="s">
        <v>1587</v>
      </c>
      <c r="C55" t="s">
        <v>738</v>
      </c>
      <c r="D55" t="s">
        <v>739</v>
      </c>
      <c r="E55" t="s">
        <v>2385</v>
      </c>
    </row>
    <row r="56" spans="1:5">
      <c r="A56">
        <v>500100</v>
      </c>
      <c r="B56" t="s">
        <v>1588</v>
      </c>
      <c r="C56" t="s">
        <v>738</v>
      </c>
      <c r="D56" t="s">
        <v>739</v>
      </c>
      <c r="E56" t="s">
        <v>2385</v>
      </c>
    </row>
    <row r="57" spans="1:5">
      <c r="A57">
        <v>500101</v>
      </c>
      <c r="B57" t="s">
        <v>1589</v>
      </c>
      <c r="C57" t="s">
        <v>738</v>
      </c>
      <c r="D57" t="s">
        <v>739</v>
      </c>
      <c r="E57" t="s">
        <v>2385</v>
      </c>
    </row>
    <row r="58" spans="1:5">
      <c r="A58">
        <v>500102</v>
      </c>
      <c r="B58" t="s">
        <v>1590</v>
      </c>
      <c r="C58" t="s">
        <v>738</v>
      </c>
      <c r="D58" t="s">
        <v>739</v>
      </c>
      <c r="E58" t="s">
        <v>2385</v>
      </c>
    </row>
    <row r="59" spans="1:5">
      <c r="A59">
        <v>500103</v>
      </c>
      <c r="B59" t="s">
        <v>1591</v>
      </c>
      <c r="C59" t="s">
        <v>738</v>
      </c>
      <c r="D59" t="s">
        <v>739</v>
      </c>
      <c r="E59" t="s">
        <v>2385</v>
      </c>
    </row>
    <row r="60" spans="1:5">
      <c r="A60">
        <v>500104</v>
      </c>
      <c r="B60" t="s">
        <v>1592</v>
      </c>
      <c r="C60" t="s">
        <v>738</v>
      </c>
      <c r="D60" t="s">
        <v>739</v>
      </c>
      <c r="E60" t="s">
        <v>2385</v>
      </c>
    </row>
    <row r="61" spans="1:5">
      <c r="A61">
        <v>500105</v>
      </c>
      <c r="B61" t="s">
        <v>1593</v>
      </c>
      <c r="C61" t="s">
        <v>738</v>
      </c>
      <c r="D61" t="s">
        <v>739</v>
      </c>
      <c r="E61" t="s">
        <v>2385</v>
      </c>
    </row>
    <row r="62" spans="1:5">
      <c r="A62">
        <v>500106</v>
      </c>
      <c r="B62" t="s">
        <v>1594</v>
      </c>
      <c r="C62" t="s">
        <v>738</v>
      </c>
      <c r="D62" t="s">
        <v>739</v>
      </c>
      <c r="E62" t="s">
        <v>2385</v>
      </c>
    </row>
    <row r="63" spans="1:5">
      <c r="A63">
        <v>500107</v>
      </c>
      <c r="B63" t="s">
        <v>1595</v>
      </c>
      <c r="C63" t="s">
        <v>738</v>
      </c>
      <c r="D63" t="s">
        <v>739</v>
      </c>
      <c r="E63" t="s">
        <v>2385</v>
      </c>
    </row>
    <row r="64" spans="1:5">
      <c r="A64">
        <v>500108</v>
      </c>
      <c r="B64" t="s">
        <v>1596</v>
      </c>
      <c r="C64" t="s">
        <v>738</v>
      </c>
      <c r="D64" t="s">
        <v>739</v>
      </c>
      <c r="E64" t="s">
        <v>2385</v>
      </c>
    </row>
    <row r="65" spans="1:5">
      <c r="A65">
        <v>500109</v>
      </c>
      <c r="B65" t="s">
        <v>1597</v>
      </c>
      <c r="C65" t="s">
        <v>738</v>
      </c>
      <c r="D65" t="s">
        <v>739</v>
      </c>
      <c r="E65" t="s">
        <v>2385</v>
      </c>
    </row>
    <row r="66" spans="1:5">
      <c r="A66">
        <v>500110</v>
      </c>
      <c r="B66" t="s">
        <v>1598</v>
      </c>
      <c r="C66" t="s">
        <v>738</v>
      </c>
      <c r="D66" t="s">
        <v>739</v>
      </c>
      <c r="E66" t="s">
        <v>2385</v>
      </c>
    </row>
    <row r="67" spans="1:5">
      <c r="A67">
        <v>500111</v>
      </c>
      <c r="B67" t="s">
        <v>1599</v>
      </c>
      <c r="C67" t="s">
        <v>738</v>
      </c>
      <c r="D67" t="s">
        <v>739</v>
      </c>
      <c r="E67" t="s">
        <v>2385</v>
      </c>
    </row>
    <row r="68" spans="1:5">
      <c r="A68">
        <v>500114</v>
      </c>
      <c r="B68" t="s">
        <v>1374</v>
      </c>
      <c r="C68" t="s">
        <v>738</v>
      </c>
      <c r="D68" t="s">
        <v>739</v>
      </c>
      <c r="E68" t="s">
        <v>2385</v>
      </c>
    </row>
    <row r="69" spans="1:5">
      <c r="A69">
        <v>500115</v>
      </c>
      <c r="B69" t="s">
        <v>1600</v>
      </c>
      <c r="C69" t="s">
        <v>738</v>
      </c>
      <c r="D69" t="s">
        <v>739</v>
      </c>
      <c r="E69" t="s">
        <v>2385</v>
      </c>
    </row>
    <row r="70" spans="1:5">
      <c r="A70">
        <v>500117</v>
      </c>
      <c r="B70" t="s">
        <v>1601</v>
      </c>
      <c r="C70" t="s">
        <v>738</v>
      </c>
      <c r="D70" t="s">
        <v>739</v>
      </c>
      <c r="E70" t="s">
        <v>2385</v>
      </c>
    </row>
    <row r="71" spans="1:5">
      <c r="A71">
        <v>500123</v>
      </c>
      <c r="B71" t="s">
        <v>1602</v>
      </c>
      <c r="C71" t="s">
        <v>738</v>
      </c>
      <c r="D71" t="s">
        <v>739</v>
      </c>
      <c r="E71" t="s">
        <v>2385</v>
      </c>
    </row>
    <row r="72" spans="1:5">
      <c r="A72">
        <v>501110</v>
      </c>
      <c r="B72" t="s">
        <v>1603</v>
      </c>
      <c r="C72" t="s">
        <v>738</v>
      </c>
      <c r="D72" t="s">
        <v>740</v>
      </c>
      <c r="E72" t="s">
        <v>2385</v>
      </c>
    </row>
    <row r="73" spans="1:5">
      <c r="A73">
        <v>501111</v>
      </c>
      <c r="B73" t="s">
        <v>1604</v>
      </c>
      <c r="C73" t="s">
        <v>738</v>
      </c>
      <c r="D73" t="s">
        <v>740</v>
      </c>
      <c r="E73" t="s">
        <v>2385</v>
      </c>
    </row>
    <row r="74" spans="1:5">
      <c r="A74">
        <v>501115</v>
      </c>
      <c r="B74" t="s">
        <v>1605</v>
      </c>
      <c r="C74" t="s">
        <v>738</v>
      </c>
      <c r="D74" t="s">
        <v>740</v>
      </c>
      <c r="E74" t="s">
        <v>2385</v>
      </c>
    </row>
    <row r="75" spans="1:5">
      <c r="A75">
        <v>501116</v>
      </c>
      <c r="B75" t="s">
        <v>1606</v>
      </c>
      <c r="C75" t="s">
        <v>738</v>
      </c>
      <c r="D75" t="s">
        <v>740</v>
      </c>
      <c r="E75" t="s">
        <v>2385</v>
      </c>
    </row>
    <row r="76" spans="1:5">
      <c r="A76">
        <v>501117</v>
      </c>
      <c r="B76" t="s">
        <v>1607</v>
      </c>
      <c r="C76" t="s">
        <v>738</v>
      </c>
      <c r="D76" t="s">
        <v>740</v>
      </c>
      <c r="E76" t="s">
        <v>2385</v>
      </c>
    </row>
    <row r="77" spans="1:5">
      <c r="A77">
        <v>501120</v>
      </c>
      <c r="B77" t="s">
        <v>1608</v>
      </c>
      <c r="C77" t="s">
        <v>738</v>
      </c>
      <c r="D77" t="s">
        <v>740</v>
      </c>
      <c r="E77" t="s">
        <v>2385</v>
      </c>
    </row>
    <row r="78" spans="1:5">
      <c r="A78">
        <v>501125</v>
      </c>
      <c r="B78" t="s">
        <v>1609</v>
      </c>
      <c r="C78" t="s">
        <v>738</v>
      </c>
      <c r="D78" t="s">
        <v>740</v>
      </c>
      <c r="E78" t="s">
        <v>2385</v>
      </c>
    </row>
    <row r="79" spans="1:5">
      <c r="A79">
        <v>501130</v>
      </c>
      <c r="B79" t="s">
        <v>1610</v>
      </c>
      <c r="C79" t="s">
        <v>738</v>
      </c>
      <c r="D79" t="s">
        <v>740</v>
      </c>
      <c r="E79" t="s">
        <v>2385</v>
      </c>
    </row>
    <row r="80" spans="1:5">
      <c r="A80">
        <v>501132</v>
      </c>
      <c r="B80" t="s">
        <v>1611</v>
      </c>
      <c r="C80" t="s">
        <v>738</v>
      </c>
      <c r="D80" t="s">
        <v>740</v>
      </c>
      <c r="E80" t="s">
        <v>2385</v>
      </c>
    </row>
    <row r="81" spans="1:5">
      <c r="A81">
        <v>501135</v>
      </c>
      <c r="B81" t="s">
        <v>1612</v>
      </c>
      <c r="C81" t="s">
        <v>738</v>
      </c>
      <c r="D81" t="s">
        <v>740</v>
      </c>
      <c r="E81" t="s">
        <v>2385</v>
      </c>
    </row>
    <row r="82" spans="1:5">
      <c r="A82">
        <v>501140</v>
      </c>
      <c r="B82" t="s">
        <v>1613</v>
      </c>
      <c r="C82" t="s">
        <v>738</v>
      </c>
      <c r="D82" t="s">
        <v>740</v>
      </c>
      <c r="E82" t="s">
        <v>2385</v>
      </c>
    </row>
    <row r="83" spans="1:5">
      <c r="A83">
        <v>501141</v>
      </c>
      <c r="B83" t="s">
        <v>1614</v>
      </c>
      <c r="C83" t="s">
        <v>738</v>
      </c>
      <c r="D83" t="s">
        <v>740</v>
      </c>
      <c r="E83" t="s">
        <v>2385</v>
      </c>
    </row>
    <row r="84" spans="1:5">
      <c r="A84">
        <v>501142</v>
      </c>
      <c r="B84" t="s">
        <v>1615</v>
      </c>
      <c r="C84" t="s">
        <v>738</v>
      </c>
      <c r="D84" t="s">
        <v>740</v>
      </c>
      <c r="E84" t="s">
        <v>2385</v>
      </c>
    </row>
    <row r="85" spans="1:5">
      <c r="A85">
        <v>501143</v>
      </c>
      <c r="B85" t="s">
        <v>1616</v>
      </c>
      <c r="C85" t="s">
        <v>738</v>
      </c>
      <c r="D85" t="s">
        <v>740</v>
      </c>
      <c r="E85" t="s">
        <v>2385</v>
      </c>
    </row>
    <row r="86" spans="1:5">
      <c r="A86">
        <v>501144</v>
      </c>
      <c r="B86" t="s">
        <v>1617</v>
      </c>
      <c r="C86" t="s">
        <v>738</v>
      </c>
      <c r="D86" t="s">
        <v>740</v>
      </c>
      <c r="E86" t="s">
        <v>2385</v>
      </c>
    </row>
    <row r="87" spans="1:5">
      <c r="A87">
        <v>501145</v>
      </c>
      <c r="B87" t="s">
        <v>1618</v>
      </c>
      <c r="C87" t="s">
        <v>738</v>
      </c>
      <c r="D87" t="s">
        <v>740</v>
      </c>
      <c r="E87" t="s">
        <v>2385</v>
      </c>
    </row>
    <row r="88" spans="1:5">
      <c r="A88">
        <v>501146</v>
      </c>
      <c r="B88" t="s">
        <v>1619</v>
      </c>
      <c r="C88" t="s">
        <v>738</v>
      </c>
      <c r="D88" t="s">
        <v>740</v>
      </c>
      <c r="E88" t="s">
        <v>2385</v>
      </c>
    </row>
    <row r="89" spans="1:5">
      <c r="A89">
        <v>501153</v>
      </c>
      <c r="B89" t="s">
        <v>1620</v>
      </c>
      <c r="C89" t="s">
        <v>738</v>
      </c>
      <c r="D89" t="s">
        <v>740</v>
      </c>
      <c r="E89" t="s">
        <v>2385</v>
      </c>
    </row>
    <row r="90" spans="1:5">
      <c r="A90">
        <v>501655</v>
      </c>
      <c r="B90" t="s">
        <v>1636</v>
      </c>
      <c r="C90" t="s">
        <v>738</v>
      </c>
      <c r="D90" t="s">
        <v>740</v>
      </c>
      <c r="E90" t="s">
        <v>2385</v>
      </c>
    </row>
    <row r="91" spans="1:5">
      <c r="A91">
        <v>501660</v>
      </c>
      <c r="B91" t="s">
        <v>1637</v>
      </c>
      <c r="C91" t="s">
        <v>738</v>
      </c>
      <c r="D91" t="s">
        <v>740</v>
      </c>
      <c r="E91" t="s">
        <v>2385</v>
      </c>
    </row>
    <row r="92" spans="1:5">
      <c r="A92">
        <v>501661</v>
      </c>
      <c r="B92" t="s">
        <v>1638</v>
      </c>
      <c r="C92" t="s">
        <v>738</v>
      </c>
      <c r="D92" t="s">
        <v>740</v>
      </c>
      <c r="E92" t="s">
        <v>2385</v>
      </c>
    </row>
    <row r="93" spans="1:5">
      <c r="A93">
        <v>500071</v>
      </c>
      <c r="B93" t="s">
        <v>1564</v>
      </c>
      <c r="C93" t="s">
        <v>738</v>
      </c>
      <c r="D93" t="s">
        <v>742</v>
      </c>
      <c r="E93" t="s">
        <v>2385</v>
      </c>
    </row>
    <row r="94" spans="1:5">
      <c r="A94">
        <v>500072</v>
      </c>
      <c r="B94" t="s">
        <v>1565</v>
      </c>
      <c r="C94" t="s">
        <v>738</v>
      </c>
      <c r="D94" t="s">
        <v>742</v>
      </c>
      <c r="E94" t="s">
        <v>2385</v>
      </c>
    </row>
    <row r="95" spans="1:5">
      <c r="A95">
        <v>500073</v>
      </c>
      <c r="B95" t="s">
        <v>1566</v>
      </c>
      <c r="C95" t="s">
        <v>738</v>
      </c>
      <c r="D95" t="s">
        <v>742</v>
      </c>
      <c r="E95" t="s">
        <v>2385</v>
      </c>
    </row>
    <row r="96" spans="1:5">
      <c r="A96">
        <v>500074</v>
      </c>
      <c r="B96" t="s">
        <v>1567</v>
      </c>
      <c r="C96" t="s">
        <v>738</v>
      </c>
      <c r="D96" t="s">
        <v>742</v>
      </c>
      <c r="E96" t="s">
        <v>2385</v>
      </c>
    </row>
    <row r="97" spans="1:5">
      <c r="A97">
        <v>500075</v>
      </c>
      <c r="B97" t="s">
        <v>1568</v>
      </c>
      <c r="C97" t="s">
        <v>738</v>
      </c>
      <c r="D97" t="s">
        <v>742</v>
      </c>
      <c r="E97" t="s">
        <v>2385</v>
      </c>
    </row>
    <row r="98" spans="1:5">
      <c r="A98">
        <v>500076</v>
      </c>
      <c r="B98" t="s">
        <v>1569</v>
      </c>
      <c r="C98" t="s">
        <v>738</v>
      </c>
      <c r="D98" t="s">
        <v>742</v>
      </c>
      <c r="E98" t="s">
        <v>2385</v>
      </c>
    </row>
    <row r="99" spans="1:5">
      <c r="A99">
        <v>500089</v>
      </c>
      <c r="B99" t="s">
        <v>1582</v>
      </c>
      <c r="C99" t="s">
        <v>738</v>
      </c>
      <c r="D99" t="s">
        <v>742</v>
      </c>
      <c r="E99" t="s">
        <v>2385</v>
      </c>
    </row>
    <row r="100" spans="1:5">
      <c r="A100">
        <v>502121</v>
      </c>
      <c r="B100" t="s">
        <v>1693</v>
      </c>
      <c r="C100" t="s">
        <v>743</v>
      </c>
      <c r="D100" t="s">
        <v>307</v>
      </c>
      <c r="E100" t="s">
        <v>2385</v>
      </c>
    </row>
    <row r="101" spans="1:5">
      <c r="A101">
        <v>502110</v>
      </c>
      <c r="B101" t="s">
        <v>1691</v>
      </c>
      <c r="C101" t="s">
        <v>743</v>
      </c>
      <c r="D101" t="s">
        <v>307</v>
      </c>
      <c r="E101" t="s">
        <v>2385</v>
      </c>
    </row>
    <row r="102" spans="1:5">
      <c r="A102">
        <v>502120</v>
      </c>
      <c r="B102" t="s">
        <v>1692</v>
      </c>
      <c r="C102" t="s">
        <v>743</v>
      </c>
      <c r="D102" t="s">
        <v>307</v>
      </c>
      <c r="E102" t="s">
        <v>2385</v>
      </c>
    </row>
    <row r="103" spans="1:5">
      <c r="A103">
        <v>502129</v>
      </c>
      <c r="B103" t="s">
        <v>1694</v>
      </c>
      <c r="C103" t="s">
        <v>743</v>
      </c>
      <c r="D103" t="s">
        <v>307</v>
      </c>
      <c r="E103" t="s">
        <v>2385</v>
      </c>
    </row>
    <row r="104" spans="1:5">
      <c r="A104">
        <v>502115</v>
      </c>
      <c r="B104" t="s">
        <v>2298</v>
      </c>
      <c r="C104" t="s">
        <v>743</v>
      </c>
      <c r="D104" t="s">
        <v>307</v>
      </c>
      <c r="E104" t="s">
        <v>2385</v>
      </c>
    </row>
    <row r="105" spans="1:5">
      <c r="A105">
        <v>502112</v>
      </c>
      <c r="B105" t="s">
        <v>1695</v>
      </c>
      <c r="C105" t="s">
        <v>743</v>
      </c>
      <c r="D105" t="s">
        <v>307</v>
      </c>
      <c r="E105" t="s">
        <v>2385</v>
      </c>
    </row>
    <row r="106" spans="1:5">
      <c r="A106">
        <v>503087</v>
      </c>
      <c r="B106" t="s">
        <v>1732</v>
      </c>
      <c r="C106" t="s">
        <v>743</v>
      </c>
      <c r="D106" t="s">
        <v>312</v>
      </c>
      <c r="E106" t="s">
        <v>2385</v>
      </c>
    </row>
    <row r="107" spans="1:5">
      <c r="A107">
        <v>503088</v>
      </c>
      <c r="B107" t="s">
        <v>1733</v>
      </c>
      <c r="C107" t="s">
        <v>743</v>
      </c>
      <c r="D107" t="s">
        <v>312</v>
      </c>
      <c r="E107" t="s">
        <v>2385</v>
      </c>
    </row>
    <row r="108" spans="1:5">
      <c r="A108">
        <v>503089</v>
      </c>
      <c r="B108" t="s">
        <v>1734</v>
      </c>
      <c r="C108" t="s">
        <v>743</v>
      </c>
      <c r="D108" t="s">
        <v>312</v>
      </c>
      <c r="E108" t="s">
        <v>2385</v>
      </c>
    </row>
    <row r="109" spans="1:5">
      <c r="A109">
        <v>503090</v>
      </c>
      <c r="B109" t="s">
        <v>1735</v>
      </c>
      <c r="C109" t="s">
        <v>743</v>
      </c>
      <c r="D109" t="s">
        <v>312</v>
      </c>
      <c r="E109" t="s">
        <v>2385</v>
      </c>
    </row>
    <row r="110" spans="1:5">
      <c r="A110">
        <v>503095</v>
      </c>
      <c r="B110" t="s">
        <v>1736</v>
      </c>
      <c r="C110" t="s">
        <v>743</v>
      </c>
      <c r="D110" t="s">
        <v>312</v>
      </c>
      <c r="E110" t="s">
        <v>2385</v>
      </c>
    </row>
    <row r="111" spans="1:5">
      <c r="A111">
        <v>503096</v>
      </c>
      <c r="B111" t="s">
        <v>1737</v>
      </c>
      <c r="C111" t="s">
        <v>743</v>
      </c>
      <c r="D111" t="s">
        <v>312</v>
      </c>
      <c r="E111" t="s">
        <v>2385</v>
      </c>
    </row>
    <row r="112" spans="1:5">
      <c r="A112">
        <v>503097</v>
      </c>
      <c r="B112" t="s">
        <v>1738</v>
      </c>
      <c r="C112" t="s">
        <v>743</v>
      </c>
      <c r="D112" t="s">
        <v>312</v>
      </c>
      <c r="E112" t="s">
        <v>2385</v>
      </c>
    </row>
    <row r="113" spans="1:5">
      <c r="A113">
        <v>503098</v>
      </c>
      <c r="B113" t="s">
        <v>1739</v>
      </c>
      <c r="C113" t="s">
        <v>743</v>
      </c>
      <c r="D113" t="s">
        <v>312</v>
      </c>
      <c r="E113" t="s">
        <v>2385</v>
      </c>
    </row>
    <row r="114" spans="1:5">
      <c r="A114">
        <v>503084</v>
      </c>
      <c r="B114" t="s">
        <v>1729</v>
      </c>
      <c r="C114" t="s">
        <v>743</v>
      </c>
      <c r="D114" t="s">
        <v>312</v>
      </c>
      <c r="E114" t="s">
        <v>2385</v>
      </c>
    </row>
    <row r="115" spans="1:5">
      <c r="A115">
        <v>502010</v>
      </c>
      <c r="B115" t="s">
        <v>1686</v>
      </c>
      <c r="C115" t="s">
        <v>743</v>
      </c>
      <c r="D115" t="s">
        <v>312</v>
      </c>
      <c r="E115" t="s">
        <v>2385</v>
      </c>
    </row>
    <row r="116" spans="1:5">
      <c r="A116">
        <v>502020</v>
      </c>
      <c r="B116" t="s">
        <v>1687</v>
      </c>
      <c r="C116" t="s">
        <v>743</v>
      </c>
      <c r="D116" t="s">
        <v>312</v>
      </c>
      <c r="E116" t="s">
        <v>2385</v>
      </c>
    </row>
    <row r="117" spans="1:5">
      <c r="A117">
        <v>503086</v>
      </c>
      <c r="B117" t="s">
        <v>1731</v>
      </c>
      <c r="C117" t="s">
        <v>743</v>
      </c>
      <c r="D117" t="s">
        <v>744</v>
      </c>
      <c r="E117" t="s">
        <v>2385</v>
      </c>
    </row>
    <row r="118" spans="1:5">
      <c r="A118">
        <v>502170</v>
      </c>
      <c r="B118" t="s">
        <v>1699</v>
      </c>
      <c r="C118" t="s">
        <v>743</v>
      </c>
      <c r="D118" t="s">
        <v>745</v>
      </c>
      <c r="E118" t="s">
        <v>2385</v>
      </c>
    </row>
    <row r="119" spans="1:5">
      <c r="A119">
        <v>502171</v>
      </c>
      <c r="B119" t="s">
        <v>1700</v>
      </c>
      <c r="C119" t="s">
        <v>743</v>
      </c>
      <c r="D119" t="s">
        <v>745</v>
      </c>
      <c r="E119" t="s">
        <v>2385</v>
      </c>
    </row>
    <row r="120" spans="1:5">
      <c r="A120">
        <v>502172</v>
      </c>
      <c r="B120" t="s">
        <v>1701</v>
      </c>
      <c r="C120" t="s">
        <v>743</v>
      </c>
      <c r="D120" t="s">
        <v>745</v>
      </c>
      <c r="E120" t="s">
        <v>2385</v>
      </c>
    </row>
    <row r="121" spans="1:5">
      <c r="A121">
        <v>502173</v>
      </c>
      <c r="B121" t="s">
        <v>1702</v>
      </c>
      <c r="C121" t="s">
        <v>743</v>
      </c>
      <c r="D121" t="s">
        <v>745</v>
      </c>
      <c r="E121" t="s">
        <v>2385</v>
      </c>
    </row>
    <row r="122" spans="1:5">
      <c r="A122">
        <v>501310</v>
      </c>
      <c r="B122" t="s">
        <v>797</v>
      </c>
      <c r="C122" t="s">
        <v>63</v>
      </c>
      <c r="D122" t="s">
        <v>746</v>
      </c>
      <c r="E122" t="s">
        <v>2385</v>
      </c>
    </row>
    <row r="123" spans="1:5">
      <c r="A123">
        <v>501311</v>
      </c>
      <c r="B123" t="s">
        <v>1621</v>
      </c>
      <c r="C123" t="s">
        <v>63</v>
      </c>
      <c r="D123" t="s">
        <v>746</v>
      </c>
      <c r="E123" t="s">
        <v>2385</v>
      </c>
    </row>
    <row r="124" spans="1:5">
      <c r="A124">
        <v>501324</v>
      </c>
      <c r="B124" t="s">
        <v>798</v>
      </c>
      <c r="C124" t="s">
        <v>63</v>
      </c>
      <c r="D124" t="s">
        <v>746</v>
      </c>
      <c r="E124" t="s">
        <v>2385</v>
      </c>
    </row>
    <row r="125" spans="1:5">
      <c r="A125">
        <v>501315</v>
      </c>
      <c r="B125" t="s">
        <v>1622</v>
      </c>
      <c r="C125" t="s">
        <v>63</v>
      </c>
      <c r="D125" t="s">
        <v>746</v>
      </c>
      <c r="E125" t="s">
        <v>2385</v>
      </c>
    </row>
    <row r="126" spans="1:5">
      <c r="A126">
        <v>501320</v>
      </c>
      <c r="B126" t="s">
        <v>1623</v>
      </c>
      <c r="C126" t="s">
        <v>63</v>
      </c>
      <c r="D126" t="s">
        <v>746</v>
      </c>
      <c r="E126" t="s">
        <v>2385</v>
      </c>
    </row>
    <row r="127" spans="1:5">
      <c r="A127">
        <v>501321</v>
      </c>
      <c r="B127" t="s">
        <v>1624</v>
      </c>
      <c r="C127" t="s">
        <v>63</v>
      </c>
      <c r="D127" t="s">
        <v>746</v>
      </c>
      <c r="E127" t="s">
        <v>2385</v>
      </c>
    </row>
    <row r="128" spans="1:5">
      <c r="A128">
        <v>501322</v>
      </c>
      <c r="B128" t="s">
        <v>1625</v>
      </c>
      <c r="C128" t="s">
        <v>63</v>
      </c>
      <c r="D128" t="s">
        <v>746</v>
      </c>
      <c r="E128" t="s">
        <v>2385</v>
      </c>
    </row>
    <row r="129" spans="1:5">
      <c r="A129">
        <v>501329</v>
      </c>
      <c r="B129" t="s">
        <v>1626</v>
      </c>
      <c r="C129" t="s">
        <v>63</v>
      </c>
      <c r="D129" t="s">
        <v>746</v>
      </c>
      <c r="E129" t="s">
        <v>2385</v>
      </c>
    </row>
    <row r="130" spans="1:5">
      <c r="A130">
        <v>501330</v>
      </c>
      <c r="B130" t="s">
        <v>1627</v>
      </c>
      <c r="C130" t="s">
        <v>63</v>
      </c>
      <c r="D130" t="s">
        <v>746</v>
      </c>
      <c r="E130" t="s">
        <v>2385</v>
      </c>
    </row>
    <row r="131" spans="1:5">
      <c r="A131">
        <v>505015</v>
      </c>
      <c r="B131" t="s">
        <v>1766</v>
      </c>
      <c r="C131" t="s">
        <v>743</v>
      </c>
      <c r="D131" t="s">
        <v>749</v>
      </c>
      <c r="E131" t="s">
        <v>2385</v>
      </c>
    </row>
    <row r="132" spans="1:5">
      <c r="A132">
        <v>505020</v>
      </c>
      <c r="B132" t="s">
        <v>1768</v>
      </c>
      <c r="C132" t="s">
        <v>743</v>
      </c>
      <c r="D132" t="s">
        <v>749</v>
      </c>
      <c r="E132" t="s">
        <v>2385</v>
      </c>
    </row>
    <row r="133" spans="1:5">
      <c r="A133">
        <v>505025</v>
      </c>
      <c r="B133" t="s">
        <v>1769</v>
      </c>
      <c r="C133" t="s">
        <v>743</v>
      </c>
      <c r="D133" t="s">
        <v>749</v>
      </c>
      <c r="E133" t="s">
        <v>2385</v>
      </c>
    </row>
    <row r="134" spans="1:5">
      <c r="A134">
        <v>505028</v>
      </c>
      <c r="B134" t="s">
        <v>1772</v>
      </c>
      <c r="C134" t="s">
        <v>743</v>
      </c>
      <c r="D134" t="s">
        <v>749</v>
      </c>
      <c r="E134" t="s">
        <v>2385</v>
      </c>
    </row>
    <row r="135" spans="1:5">
      <c r="A135">
        <v>505027</v>
      </c>
      <c r="B135" t="s">
        <v>1771</v>
      </c>
      <c r="C135" t="s">
        <v>743</v>
      </c>
      <c r="D135" t="s">
        <v>749</v>
      </c>
      <c r="E135" t="s">
        <v>2385</v>
      </c>
    </row>
    <row r="136" spans="1:5">
      <c r="A136">
        <v>503047</v>
      </c>
      <c r="B136" t="s">
        <v>1714</v>
      </c>
      <c r="C136" t="s">
        <v>743</v>
      </c>
      <c r="D136" t="s">
        <v>750</v>
      </c>
      <c r="E136" t="s">
        <v>2385</v>
      </c>
    </row>
    <row r="137" spans="1:5">
      <c r="A137">
        <v>503048</v>
      </c>
      <c r="B137" t="s">
        <v>1715</v>
      </c>
      <c r="C137" t="s">
        <v>743</v>
      </c>
      <c r="D137" t="s">
        <v>750</v>
      </c>
      <c r="E137" t="s">
        <v>2385</v>
      </c>
    </row>
    <row r="138" spans="1:5">
      <c r="A138">
        <v>503045</v>
      </c>
      <c r="B138" t="s">
        <v>1712</v>
      </c>
      <c r="C138" t="s">
        <v>743</v>
      </c>
      <c r="D138" t="s">
        <v>751</v>
      </c>
      <c r="E138" t="s">
        <v>2385</v>
      </c>
    </row>
    <row r="139" spans="1:5">
      <c r="A139">
        <v>503046</v>
      </c>
      <c r="B139" t="s">
        <v>1713</v>
      </c>
      <c r="C139" t="s">
        <v>743</v>
      </c>
      <c r="D139" t="s">
        <v>751</v>
      </c>
      <c r="E139" t="s">
        <v>2385</v>
      </c>
    </row>
    <row r="140" spans="1:5">
      <c r="A140">
        <v>503049</v>
      </c>
      <c r="B140" t="s">
        <v>1716</v>
      </c>
      <c r="C140" t="s">
        <v>743</v>
      </c>
      <c r="D140" t="s">
        <v>751</v>
      </c>
      <c r="E140" t="s">
        <v>2385</v>
      </c>
    </row>
    <row r="141" spans="1:5">
      <c r="A141">
        <v>503065</v>
      </c>
      <c r="B141" t="s">
        <v>1723</v>
      </c>
      <c r="C141" t="s">
        <v>743</v>
      </c>
      <c r="D141" t="s">
        <v>752</v>
      </c>
      <c r="E141" t="s">
        <v>2385</v>
      </c>
    </row>
    <row r="142" spans="1:5">
      <c r="A142">
        <v>503070</v>
      </c>
      <c r="B142" t="s">
        <v>1724</v>
      </c>
      <c r="C142" t="s">
        <v>743</v>
      </c>
      <c r="D142" t="s">
        <v>752</v>
      </c>
      <c r="E142" t="s">
        <v>2385</v>
      </c>
    </row>
    <row r="143" spans="1:5">
      <c r="A143">
        <v>503075</v>
      </c>
      <c r="B143" t="s">
        <v>1725</v>
      </c>
      <c r="C143" t="s">
        <v>743</v>
      </c>
      <c r="D143" t="s">
        <v>752</v>
      </c>
      <c r="E143" t="s">
        <v>2385</v>
      </c>
    </row>
    <row r="144" spans="1:5">
      <c r="A144">
        <v>503080</v>
      </c>
      <c r="B144" t="s">
        <v>1726</v>
      </c>
      <c r="C144" t="s">
        <v>743</v>
      </c>
      <c r="D144" t="s">
        <v>752</v>
      </c>
      <c r="E144" t="s">
        <v>2385</v>
      </c>
    </row>
    <row r="145" spans="1:5">
      <c r="A145">
        <v>503099</v>
      </c>
      <c r="B145" t="s">
        <v>1740</v>
      </c>
      <c r="C145" t="s">
        <v>743</v>
      </c>
      <c r="D145" t="s">
        <v>752</v>
      </c>
      <c r="E145" t="s">
        <v>2385</v>
      </c>
    </row>
    <row r="146" spans="1:5">
      <c r="A146">
        <v>501901</v>
      </c>
      <c r="B146" t="s">
        <v>1651</v>
      </c>
      <c r="C146" t="s">
        <v>62</v>
      </c>
      <c r="D146" t="s">
        <v>753</v>
      </c>
      <c r="E146" t="s">
        <v>2385</v>
      </c>
    </row>
    <row r="147" spans="1:5">
      <c r="A147">
        <v>501902</v>
      </c>
      <c r="B147" t="s">
        <v>1652</v>
      </c>
      <c r="C147" t="s">
        <v>62</v>
      </c>
      <c r="D147" t="s">
        <v>753</v>
      </c>
      <c r="E147" t="s">
        <v>2385</v>
      </c>
    </row>
    <row r="148" spans="1:5">
      <c r="A148">
        <v>501903</v>
      </c>
      <c r="B148" t="s">
        <v>1653</v>
      </c>
      <c r="C148" t="s">
        <v>62</v>
      </c>
      <c r="D148" t="s">
        <v>753</v>
      </c>
      <c r="E148" t="s">
        <v>2385</v>
      </c>
    </row>
    <row r="149" spans="1:5">
      <c r="A149">
        <v>501904</v>
      </c>
      <c r="B149" t="s">
        <v>1654</v>
      </c>
      <c r="C149" t="s">
        <v>62</v>
      </c>
      <c r="D149" t="s">
        <v>753</v>
      </c>
      <c r="E149" t="s">
        <v>2385</v>
      </c>
    </row>
    <row r="150" spans="1:5">
      <c r="A150">
        <v>501905</v>
      </c>
      <c r="B150" t="s">
        <v>1655</v>
      </c>
      <c r="C150" t="s">
        <v>62</v>
      </c>
      <c r="D150" t="s">
        <v>753</v>
      </c>
      <c r="E150" t="s">
        <v>2385</v>
      </c>
    </row>
    <row r="151" spans="1:5">
      <c r="A151">
        <v>501906</v>
      </c>
      <c r="B151" t="s">
        <v>1656</v>
      </c>
      <c r="C151" t="s">
        <v>62</v>
      </c>
      <c r="D151" t="s">
        <v>753</v>
      </c>
      <c r="E151" t="s">
        <v>2385</v>
      </c>
    </row>
    <row r="152" spans="1:5">
      <c r="A152">
        <v>501907</v>
      </c>
      <c r="B152" t="s">
        <v>1657</v>
      </c>
      <c r="C152" t="s">
        <v>62</v>
      </c>
      <c r="D152" t="s">
        <v>753</v>
      </c>
      <c r="E152" t="s">
        <v>2385</v>
      </c>
    </row>
    <row r="153" spans="1:5">
      <c r="A153">
        <v>501908</v>
      </c>
      <c r="B153" t="s">
        <v>1658</v>
      </c>
      <c r="C153" t="s">
        <v>62</v>
      </c>
      <c r="D153" t="s">
        <v>753</v>
      </c>
      <c r="E153" t="s">
        <v>2385</v>
      </c>
    </row>
    <row r="154" spans="1:5">
      <c r="A154">
        <v>501911</v>
      </c>
      <c r="B154" t="s">
        <v>1659</v>
      </c>
      <c r="C154" t="s">
        <v>62</v>
      </c>
      <c r="D154" t="s">
        <v>753</v>
      </c>
      <c r="E154" t="s">
        <v>2385</v>
      </c>
    </row>
    <row r="155" spans="1:5">
      <c r="A155">
        <v>501912</v>
      </c>
      <c r="B155" t="s">
        <v>1660</v>
      </c>
      <c r="C155" t="s">
        <v>62</v>
      </c>
      <c r="D155" t="s">
        <v>753</v>
      </c>
      <c r="E155" t="s">
        <v>2385</v>
      </c>
    </row>
    <row r="156" spans="1:5">
      <c r="A156">
        <v>501913</v>
      </c>
      <c r="B156" t="s">
        <v>1661</v>
      </c>
      <c r="C156" t="s">
        <v>62</v>
      </c>
      <c r="D156" t="s">
        <v>753</v>
      </c>
      <c r="E156" t="s">
        <v>2385</v>
      </c>
    </row>
    <row r="157" spans="1:5">
      <c r="A157">
        <v>501914</v>
      </c>
      <c r="B157" t="s">
        <v>1662</v>
      </c>
      <c r="C157" t="s">
        <v>62</v>
      </c>
      <c r="D157" t="s">
        <v>753</v>
      </c>
      <c r="E157" t="s">
        <v>2385</v>
      </c>
    </row>
    <row r="158" spans="1:5">
      <c r="A158">
        <v>501915</v>
      </c>
      <c r="B158" t="s">
        <v>1663</v>
      </c>
      <c r="C158" t="s">
        <v>62</v>
      </c>
      <c r="D158" t="s">
        <v>753</v>
      </c>
      <c r="E158" t="s">
        <v>2385</v>
      </c>
    </row>
    <row r="159" spans="1:5">
      <c r="A159">
        <v>501916</v>
      </c>
      <c r="B159" t="s">
        <v>1664</v>
      </c>
      <c r="C159" t="s">
        <v>62</v>
      </c>
      <c r="D159" t="s">
        <v>753</v>
      </c>
      <c r="E159" t="s">
        <v>2385</v>
      </c>
    </row>
    <row r="160" spans="1:5">
      <c r="A160">
        <v>501917</v>
      </c>
      <c r="B160" t="s">
        <v>1665</v>
      </c>
      <c r="C160" t="s">
        <v>62</v>
      </c>
      <c r="D160" t="s">
        <v>753</v>
      </c>
      <c r="E160" t="s">
        <v>2385</v>
      </c>
    </row>
    <row r="161" spans="1:5">
      <c r="A161">
        <v>501921</v>
      </c>
      <c r="B161" t="s">
        <v>1666</v>
      </c>
      <c r="C161" t="s">
        <v>62</v>
      </c>
      <c r="D161" t="s">
        <v>753</v>
      </c>
      <c r="E161" t="s">
        <v>2385</v>
      </c>
    </row>
    <row r="162" spans="1:5">
      <c r="A162">
        <v>501922</v>
      </c>
      <c r="B162" t="s">
        <v>1667</v>
      </c>
      <c r="C162" t="s">
        <v>62</v>
      </c>
      <c r="D162" t="s">
        <v>753</v>
      </c>
      <c r="E162" t="s">
        <v>2385</v>
      </c>
    </row>
    <row r="163" spans="1:5">
      <c r="A163">
        <v>501923</v>
      </c>
      <c r="B163" t="s">
        <v>1668</v>
      </c>
      <c r="C163" t="s">
        <v>62</v>
      </c>
      <c r="D163" t="s">
        <v>753</v>
      </c>
      <c r="E163" t="s">
        <v>2385</v>
      </c>
    </row>
    <row r="164" spans="1:5">
      <c r="A164">
        <v>501925</v>
      </c>
      <c r="B164" t="s">
        <v>1670</v>
      </c>
      <c r="C164" t="s">
        <v>62</v>
      </c>
      <c r="D164" t="s">
        <v>753</v>
      </c>
      <c r="E164" t="s">
        <v>2385</v>
      </c>
    </row>
    <row r="165" spans="1:5">
      <c r="A165">
        <v>501926</v>
      </c>
      <c r="B165" t="s">
        <v>1671</v>
      </c>
      <c r="C165" t="s">
        <v>62</v>
      </c>
      <c r="D165" t="s">
        <v>753</v>
      </c>
      <c r="E165" t="s">
        <v>2385</v>
      </c>
    </row>
    <row r="166" spans="1:5">
      <c r="A166">
        <v>501927</v>
      </c>
      <c r="B166" t="s">
        <v>1672</v>
      </c>
      <c r="C166" t="s">
        <v>62</v>
      </c>
      <c r="D166" t="s">
        <v>753</v>
      </c>
      <c r="E166" t="s">
        <v>2385</v>
      </c>
    </row>
    <row r="167" spans="1:5">
      <c r="A167">
        <v>501931</v>
      </c>
      <c r="B167" t="s">
        <v>1673</v>
      </c>
      <c r="C167" t="s">
        <v>62</v>
      </c>
      <c r="D167" t="s">
        <v>753</v>
      </c>
      <c r="E167" t="s">
        <v>2385</v>
      </c>
    </row>
    <row r="168" spans="1:5">
      <c r="A168">
        <v>501932</v>
      </c>
      <c r="B168" t="s">
        <v>1674</v>
      </c>
      <c r="C168" t="s">
        <v>62</v>
      </c>
      <c r="D168" t="s">
        <v>753</v>
      </c>
      <c r="E168" t="s">
        <v>2385</v>
      </c>
    </row>
    <row r="169" spans="1:5">
      <c r="A169">
        <v>501933</v>
      </c>
      <c r="B169" t="s">
        <v>1675</v>
      </c>
      <c r="C169" t="s">
        <v>62</v>
      </c>
      <c r="D169" t="s">
        <v>753</v>
      </c>
      <c r="E169" t="s">
        <v>2385</v>
      </c>
    </row>
    <row r="170" spans="1:5">
      <c r="A170">
        <v>501935</v>
      </c>
      <c r="B170" t="s">
        <v>1677</v>
      </c>
      <c r="C170" t="s">
        <v>62</v>
      </c>
      <c r="D170" t="s">
        <v>753</v>
      </c>
      <c r="E170" t="s">
        <v>2385</v>
      </c>
    </row>
    <row r="171" spans="1:5">
      <c r="A171">
        <v>501937</v>
      </c>
      <c r="B171" t="s">
        <v>1678</v>
      </c>
      <c r="C171" t="s">
        <v>62</v>
      </c>
      <c r="D171" t="s">
        <v>753</v>
      </c>
      <c r="E171" t="s">
        <v>2385</v>
      </c>
    </row>
    <row r="172" spans="1:5">
      <c r="A172">
        <v>501945</v>
      </c>
      <c r="B172" t="s">
        <v>1683</v>
      </c>
      <c r="C172" t="s">
        <v>62</v>
      </c>
      <c r="D172" t="s">
        <v>753</v>
      </c>
      <c r="E172" t="s">
        <v>2385</v>
      </c>
    </row>
    <row r="173" spans="1:5">
      <c r="A173">
        <v>501948</v>
      </c>
      <c r="B173" t="s">
        <v>1685</v>
      </c>
      <c r="C173" t="s">
        <v>62</v>
      </c>
      <c r="D173" t="s">
        <v>753</v>
      </c>
      <c r="E173" t="s">
        <v>2385</v>
      </c>
    </row>
    <row r="174" spans="1:5">
      <c r="A174">
        <v>501732</v>
      </c>
      <c r="B174" t="s">
        <v>1644</v>
      </c>
      <c r="C174" t="s">
        <v>62</v>
      </c>
      <c r="D174" t="s">
        <v>753</v>
      </c>
      <c r="E174" t="s">
        <v>2385</v>
      </c>
    </row>
    <row r="175" spans="1:5">
      <c r="A175">
        <v>501740</v>
      </c>
      <c r="B175" t="s">
        <v>1646</v>
      </c>
      <c r="C175" t="s">
        <v>62</v>
      </c>
      <c r="D175" t="s">
        <v>753</v>
      </c>
      <c r="E175" t="s">
        <v>2385</v>
      </c>
    </row>
    <row r="176" spans="1:5">
      <c r="A176">
        <v>501745</v>
      </c>
      <c r="B176" t="s">
        <v>1647</v>
      </c>
      <c r="C176" t="s">
        <v>62</v>
      </c>
      <c r="D176" t="s">
        <v>753</v>
      </c>
      <c r="E176" t="s">
        <v>2385</v>
      </c>
    </row>
    <row r="177" spans="1:5">
      <c r="A177">
        <v>501610</v>
      </c>
      <c r="B177" t="s">
        <v>1635</v>
      </c>
      <c r="C177" t="s">
        <v>62</v>
      </c>
      <c r="D177" t="s">
        <v>753</v>
      </c>
      <c r="E177" t="s">
        <v>2385</v>
      </c>
    </row>
    <row r="178" spans="1:5">
      <c r="A178">
        <v>501941</v>
      </c>
      <c r="B178" t="s">
        <v>1679</v>
      </c>
      <c r="C178" t="s">
        <v>62</v>
      </c>
      <c r="D178" t="s">
        <v>753</v>
      </c>
      <c r="E178" t="s">
        <v>2385</v>
      </c>
    </row>
    <row r="179" spans="1:5">
      <c r="A179">
        <v>501942</v>
      </c>
      <c r="B179" t="s">
        <v>1680</v>
      </c>
      <c r="C179" t="s">
        <v>62</v>
      </c>
      <c r="D179" t="s">
        <v>753</v>
      </c>
      <c r="E179" t="s">
        <v>2385</v>
      </c>
    </row>
    <row r="180" spans="1:5">
      <c r="A180">
        <v>501944</v>
      </c>
      <c r="B180" t="s">
        <v>1682</v>
      </c>
      <c r="C180" t="s">
        <v>62</v>
      </c>
      <c r="D180" t="s">
        <v>753</v>
      </c>
      <c r="E180" t="s">
        <v>2385</v>
      </c>
    </row>
    <row r="181" spans="1:5">
      <c r="A181">
        <v>501946</v>
      </c>
      <c r="B181" t="s">
        <v>1684</v>
      </c>
      <c r="C181" t="s">
        <v>62</v>
      </c>
      <c r="D181" t="s">
        <v>753</v>
      </c>
      <c r="E181" t="s">
        <v>2385</v>
      </c>
    </row>
    <row r="182" spans="1:5">
      <c r="A182">
        <v>501924</v>
      </c>
      <c r="B182" t="s">
        <v>1669</v>
      </c>
      <c r="C182" t="s">
        <v>62</v>
      </c>
      <c r="D182" t="s">
        <v>753</v>
      </c>
      <c r="E182" t="s">
        <v>2385</v>
      </c>
    </row>
    <row r="183" spans="1:5">
      <c r="A183">
        <v>501934</v>
      </c>
      <c r="B183" t="s">
        <v>1676</v>
      </c>
      <c r="C183" t="s">
        <v>62</v>
      </c>
      <c r="D183" t="s">
        <v>753</v>
      </c>
      <c r="E183" t="s">
        <v>2385</v>
      </c>
    </row>
    <row r="184" spans="1:5">
      <c r="A184">
        <v>501943</v>
      </c>
      <c r="B184" t="s">
        <v>1681</v>
      </c>
      <c r="C184" t="s">
        <v>62</v>
      </c>
      <c r="D184" t="s">
        <v>753</v>
      </c>
      <c r="E184" t="s">
        <v>2385</v>
      </c>
    </row>
    <row r="185" spans="1:5">
      <c r="A185">
        <v>501410</v>
      </c>
      <c r="B185" t="s">
        <v>1628</v>
      </c>
      <c r="C185" t="s">
        <v>743</v>
      </c>
      <c r="D185" t="s">
        <v>758</v>
      </c>
      <c r="E185" t="s">
        <v>2385</v>
      </c>
    </row>
    <row r="186" spans="1:5">
      <c r="A186">
        <v>501420</v>
      </c>
      <c r="B186" t="s">
        <v>1629</v>
      </c>
      <c r="C186" t="s">
        <v>743</v>
      </c>
      <c r="D186" t="s">
        <v>758</v>
      </c>
      <c r="E186" t="s">
        <v>2385</v>
      </c>
    </row>
    <row r="187" spans="1:5">
      <c r="A187">
        <v>501710</v>
      </c>
      <c r="B187" t="s">
        <v>1639</v>
      </c>
      <c r="C187" t="s">
        <v>743</v>
      </c>
      <c r="D187" t="s">
        <v>758</v>
      </c>
      <c r="E187" t="s">
        <v>2385</v>
      </c>
    </row>
    <row r="188" spans="1:5">
      <c r="A188">
        <v>501715</v>
      </c>
      <c r="B188" t="s">
        <v>1640</v>
      </c>
      <c r="C188" t="s">
        <v>743</v>
      </c>
      <c r="D188" t="s">
        <v>758</v>
      </c>
      <c r="E188" t="s">
        <v>2385</v>
      </c>
    </row>
    <row r="189" spans="1:5">
      <c r="A189">
        <v>501720</v>
      </c>
      <c r="B189" t="s">
        <v>1641</v>
      </c>
      <c r="C189" t="s">
        <v>743</v>
      </c>
      <c r="D189" t="s">
        <v>758</v>
      </c>
      <c r="E189" t="s">
        <v>2385</v>
      </c>
    </row>
    <row r="190" spans="1:5">
      <c r="A190">
        <v>501725</v>
      </c>
      <c r="B190" t="s">
        <v>1642</v>
      </c>
      <c r="C190" t="s">
        <v>743</v>
      </c>
      <c r="D190" t="s">
        <v>758</v>
      </c>
      <c r="E190" t="s">
        <v>2385</v>
      </c>
    </row>
    <row r="191" spans="1:5">
      <c r="A191">
        <v>501730</v>
      </c>
      <c r="B191" t="s">
        <v>1643</v>
      </c>
      <c r="C191" t="s">
        <v>743</v>
      </c>
      <c r="D191" t="s">
        <v>758</v>
      </c>
      <c r="E191" t="s">
        <v>2385</v>
      </c>
    </row>
    <row r="192" spans="1:5">
      <c r="A192">
        <v>501735</v>
      </c>
      <c r="B192" t="s">
        <v>1645</v>
      </c>
      <c r="C192" t="s">
        <v>743</v>
      </c>
      <c r="D192" t="s">
        <v>758</v>
      </c>
      <c r="E192" t="s">
        <v>2385</v>
      </c>
    </row>
    <row r="193" spans="1:5">
      <c r="A193">
        <v>501801</v>
      </c>
      <c r="B193" t="s">
        <v>1648</v>
      </c>
      <c r="C193" t="s">
        <v>743</v>
      </c>
      <c r="D193" t="s">
        <v>758</v>
      </c>
      <c r="E193" t="s">
        <v>2385</v>
      </c>
    </row>
    <row r="194" spans="1:5">
      <c r="A194">
        <v>501802</v>
      </c>
      <c r="B194" t="s">
        <v>1649</v>
      </c>
      <c r="C194" t="s">
        <v>743</v>
      </c>
      <c r="D194" t="s">
        <v>758</v>
      </c>
      <c r="E194" t="s">
        <v>2385</v>
      </c>
    </row>
    <row r="195" spans="1:5">
      <c r="A195">
        <v>501803</v>
      </c>
      <c r="B195" t="s">
        <v>1650</v>
      </c>
      <c r="C195" t="s">
        <v>743</v>
      </c>
      <c r="D195" t="s">
        <v>758</v>
      </c>
      <c r="E195" t="s">
        <v>2385</v>
      </c>
    </row>
    <row r="196" spans="1:5">
      <c r="A196">
        <v>505026</v>
      </c>
      <c r="B196" t="s">
        <v>1770</v>
      </c>
      <c r="C196" t="s">
        <v>743</v>
      </c>
      <c r="D196" t="s">
        <v>761</v>
      </c>
      <c r="E196" t="s">
        <v>2385</v>
      </c>
    </row>
    <row r="197" spans="1:5">
      <c r="A197">
        <v>505029</v>
      </c>
      <c r="B197" t="s">
        <v>1773</v>
      </c>
      <c r="C197" t="s">
        <v>743</v>
      </c>
      <c r="D197" t="s">
        <v>761</v>
      </c>
      <c r="E197" t="s">
        <v>2385</v>
      </c>
    </row>
    <row r="198" spans="1:5">
      <c r="A198">
        <v>505030</v>
      </c>
      <c r="B198" t="s">
        <v>1774</v>
      </c>
      <c r="C198" t="s">
        <v>743</v>
      </c>
      <c r="D198" t="s">
        <v>761</v>
      </c>
      <c r="E198" t="s">
        <v>2385</v>
      </c>
    </row>
    <row r="199" spans="1:5">
      <c r="A199">
        <v>505031</v>
      </c>
      <c r="B199" t="s">
        <v>1775</v>
      </c>
      <c r="C199" t="s">
        <v>743</v>
      </c>
      <c r="D199" t="s">
        <v>761</v>
      </c>
      <c r="E199" t="s">
        <v>2385</v>
      </c>
    </row>
    <row r="200" spans="1:5">
      <c r="A200">
        <v>505032</v>
      </c>
      <c r="B200" t="s">
        <v>1776</v>
      </c>
      <c r="C200" t="s">
        <v>743</v>
      </c>
      <c r="D200" t="s">
        <v>761</v>
      </c>
      <c r="E200" t="s">
        <v>2385</v>
      </c>
    </row>
    <row r="201" spans="1:5">
      <c r="A201">
        <v>503025</v>
      </c>
      <c r="B201" t="s">
        <v>1707</v>
      </c>
      <c r="C201" t="s">
        <v>743</v>
      </c>
      <c r="D201" t="s">
        <v>762</v>
      </c>
      <c r="E201" t="s">
        <v>2385</v>
      </c>
    </row>
    <row r="202" spans="1:5">
      <c r="A202">
        <v>503030</v>
      </c>
      <c r="B202" t="s">
        <v>1708</v>
      </c>
      <c r="C202" t="s">
        <v>743</v>
      </c>
      <c r="D202" t="s">
        <v>762</v>
      </c>
      <c r="E202" t="s">
        <v>2385</v>
      </c>
    </row>
    <row r="203" spans="1:5">
      <c r="A203">
        <v>503040</v>
      </c>
      <c r="B203" t="s">
        <v>1709</v>
      </c>
      <c r="C203" t="s">
        <v>743</v>
      </c>
      <c r="D203" t="s">
        <v>762</v>
      </c>
      <c r="E203" t="s">
        <v>2385</v>
      </c>
    </row>
    <row r="204" spans="1:5">
      <c r="A204">
        <v>503041</v>
      </c>
      <c r="B204" t="s">
        <v>1710</v>
      </c>
      <c r="C204" t="s">
        <v>743</v>
      </c>
      <c r="D204" t="s">
        <v>762</v>
      </c>
      <c r="E204" t="s">
        <v>2385</v>
      </c>
    </row>
    <row r="205" spans="1:5">
      <c r="A205">
        <v>503042</v>
      </c>
      <c r="B205" t="s">
        <v>1711</v>
      </c>
      <c r="C205" t="s">
        <v>743</v>
      </c>
      <c r="D205" t="s">
        <v>762</v>
      </c>
      <c r="E205" t="s">
        <v>2385</v>
      </c>
    </row>
    <row r="206" spans="1:5">
      <c r="A206">
        <v>504010</v>
      </c>
      <c r="B206" t="s">
        <v>1746</v>
      </c>
      <c r="C206" t="s">
        <v>743</v>
      </c>
      <c r="D206" t="s">
        <v>763</v>
      </c>
      <c r="E206" t="s">
        <v>2385</v>
      </c>
    </row>
    <row r="207" spans="1:5">
      <c r="A207">
        <v>504015</v>
      </c>
      <c r="B207" t="s">
        <v>1747</v>
      </c>
      <c r="C207" t="s">
        <v>743</v>
      </c>
      <c r="D207" t="s">
        <v>763</v>
      </c>
      <c r="E207" t="s">
        <v>2385</v>
      </c>
    </row>
    <row r="208" spans="1:5">
      <c r="A208">
        <v>504016</v>
      </c>
      <c r="B208" t="s">
        <v>1748</v>
      </c>
      <c r="C208" t="s">
        <v>743</v>
      </c>
      <c r="D208" t="s">
        <v>763</v>
      </c>
      <c r="E208" t="s">
        <v>2385</v>
      </c>
    </row>
    <row r="209" spans="1:5">
      <c r="A209">
        <v>504018</v>
      </c>
      <c r="B209" t="s">
        <v>1611</v>
      </c>
      <c r="C209" t="s">
        <v>743</v>
      </c>
      <c r="D209" t="s">
        <v>763</v>
      </c>
      <c r="E209" t="s">
        <v>2385</v>
      </c>
    </row>
    <row r="210" spans="1:5">
      <c r="A210">
        <v>504025</v>
      </c>
      <c r="B210" t="s">
        <v>1750</v>
      </c>
      <c r="C210" t="s">
        <v>743</v>
      </c>
      <c r="D210" t="s">
        <v>763</v>
      </c>
      <c r="E210" t="s">
        <v>2385</v>
      </c>
    </row>
    <row r="211" spans="1:5">
      <c r="A211">
        <v>504030</v>
      </c>
      <c r="B211" t="s">
        <v>1751</v>
      </c>
      <c r="C211" t="s">
        <v>743</v>
      </c>
      <c r="D211" t="s">
        <v>763</v>
      </c>
      <c r="E211" t="s">
        <v>2385</v>
      </c>
    </row>
    <row r="212" spans="1:5">
      <c r="A212">
        <v>504035</v>
      </c>
      <c r="B212" t="s">
        <v>1752</v>
      </c>
      <c r="C212" t="s">
        <v>743</v>
      </c>
      <c r="D212" t="s">
        <v>763</v>
      </c>
      <c r="E212" t="s">
        <v>2385</v>
      </c>
    </row>
    <row r="213" spans="1:5">
      <c r="A213">
        <v>504040</v>
      </c>
      <c r="B213" t="s">
        <v>1753</v>
      </c>
      <c r="C213" t="s">
        <v>743</v>
      </c>
      <c r="D213" t="s">
        <v>763</v>
      </c>
      <c r="E213" t="s">
        <v>2385</v>
      </c>
    </row>
    <row r="214" spans="1:5">
      <c r="A214">
        <v>504042</v>
      </c>
      <c r="B214" t="s">
        <v>1754</v>
      </c>
      <c r="C214" t="s">
        <v>743</v>
      </c>
      <c r="D214" t="s">
        <v>763</v>
      </c>
      <c r="E214" t="s">
        <v>2385</v>
      </c>
    </row>
    <row r="215" spans="1:5">
      <c r="A215">
        <v>504044</v>
      </c>
      <c r="B215" t="s">
        <v>1755</v>
      </c>
      <c r="C215" t="s">
        <v>743</v>
      </c>
      <c r="D215" t="s">
        <v>763</v>
      </c>
      <c r="E215" t="s">
        <v>2385</v>
      </c>
    </row>
    <row r="216" spans="1:5">
      <c r="A216">
        <v>504046</v>
      </c>
      <c r="B216" t="s">
        <v>1757</v>
      </c>
      <c r="C216" t="s">
        <v>743</v>
      </c>
      <c r="D216" t="s">
        <v>763</v>
      </c>
      <c r="E216" t="s">
        <v>2385</v>
      </c>
    </row>
    <row r="217" spans="1:5">
      <c r="A217">
        <v>504048</v>
      </c>
      <c r="B217" t="s">
        <v>1758</v>
      </c>
      <c r="C217" t="s">
        <v>743</v>
      </c>
      <c r="D217" t="s">
        <v>763</v>
      </c>
      <c r="E217" t="s">
        <v>2385</v>
      </c>
    </row>
    <row r="218" spans="1:5">
      <c r="A218">
        <v>504052</v>
      </c>
      <c r="B218" t="s">
        <v>1759</v>
      </c>
      <c r="C218" t="s">
        <v>743</v>
      </c>
      <c r="D218" t="s">
        <v>763</v>
      </c>
      <c r="E218" t="s">
        <v>2385</v>
      </c>
    </row>
    <row r="219" spans="1:5">
      <c r="A219">
        <v>504060</v>
      </c>
      <c r="B219" t="s">
        <v>1760</v>
      </c>
      <c r="C219" t="s">
        <v>743</v>
      </c>
      <c r="D219" t="s">
        <v>763</v>
      </c>
      <c r="E219" t="s">
        <v>2385</v>
      </c>
    </row>
    <row r="220" spans="1:5">
      <c r="A220">
        <v>504090</v>
      </c>
      <c r="B220" t="s">
        <v>1761</v>
      </c>
      <c r="C220" t="s">
        <v>743</v>
      </c>
      <c r="D220" t="s">
        <v>763</v>
      </c>
      <c r="E220" t="s">
        <v>2385</v>
      </c>
    </row>
    <row r="221" spans="1:5">
      <c r="A221">
        <v>505013</v>
      </c>
      <c r="B221" t="s">
        <v>1765</v>
      </c>
      <c r="C221" t="s">
        <v>58</v>
      </c>
      <c r="D221" t="s">
        <v>764</v>
      </c>
      <c r="E221" t="s">
        <v>2385</v>
      </c>
    </row>
    <row r="222" spans="1:5">
      <c r="A222">
        <v>601019</v>
      </c>
      <c r="B222" t="s">
        <v>1789</v>
      </c>
      <c r="C222" t="s">
        <v>58</v>
      </c>
      <c r="D222" t="s">
        <v>764</v>
      </c>
      <c r="E222" t="s">
        <v>2385</v>
      </c>
    </row>
    <row r="223" spans="1:5">
      <c r="A223">
        <v>502025</v>
      </c>
      <c r="B223" t="s">
        <v>1688</v>
      </c>
      <c r="C223" t="s">
        <v>743</v>
      </c>
      <c r="D223" t="s">
        <v>765</v>
      </c>
      <c r="E223" t="s">
        <v>2385</v>
      </c>
    </row>
    <row r="224" spans="1:5">
      <c r="A224">
        <v>502050</v>
      </c>
      <c r="B224" t="s">
        <v>1689</v>
      </c>
      <c r="C224" t="s">
        <v>743</v>
      </c>
      <c r="D224" t="s">
        <v>765</v>
      </c>
      <c r="E224" t="s">
        <v>2385</v>
      </c>
    </row>
    <row r="225" spans="1:5">
      <c r="A225">
        <v>502051</v>
      </c>
      <c r="B225" t="s">
        <v>1690</v>
      </c>
      <c r="C225" t="s">
        <v>743</v>
      </c>
      <c r="D225" t="s">
        <v>765</v>
      </c>
      <c r="E225" t="s">
        <v>2385</v>
      </c>
    </row>
    <row r="226" spans="1:5">
      <c r="A226">
        <v>503015</v>
      </c>
      <c r="B226" t="s">
        <v>1703</v>
      </c>
      <c r="C226" t="s">
        <v>743</v>
      </c>
      <c r="D226" t="s">
        <v>765</v>
      </c>
      <c r="E226" t="s">
        <v>2385</v>
      </c>
    </row>
    <row r="227" spans="1:5">
      <c r="A227">
        <v>503020</v>
      </c>
      <c r="B227" t="s">
        <v>1704</v>
      </c>
      <c r="C227" t="s">
        <v>743</v>
      </c>
      <c r="D227" t="s">
        <v>765</v>
      </c>
      <c r="E227" t="s">
        <v>2385</v>
      </c>
    </row>
    <row r="228" spans="1:5">
      <c r="A228">
        <v>503021</v>
      </c>
      <c r="B228" t="s">
        <v>1705</v>
      </c>
      <c r="C228" t="s">
        <v>743</v>
      </c>
      <c r="D228" t="s">
        <v>765</v>
      </c>
      <c r="E228" t="s">
        <v>2385</v>
      </c>
    </row>
    <row r="229" spans="1:5">
      <c r="A229">
        <v>503022</v>
      </c>
      <c r="B229" t="s">
        <v>1706</v>
      </c>
      <c r="C229" t="s">
        <v>743</v>
      </c>
      <c r="D229" t="s">
        <v>765</v>
      </c>
      <c r="E229" t="s">
        <v>2385</v>
      </c>
    </row>
    <row r="230" spans="1:5">
      <c r="A230">
        <v>503050</v>
      </c>
      <c r="B230" t="s">
        <v>1717</v>
      </c>
      <c r="C230" t="s">
        <v>743</v>
      </c>
      <c r="D230" t="s">
        <v>765</v>
      </c>
      <c r="E230" t="s">
        <v>2385</v>
      </c>
    </row>
    <row r="231" spans="1:5">
      <c r="A231">
        <v>503055</v>
      </c>
      <c r="B231" t="s">
        <v>1718</v>
      </c>
      <c r="C231" t="s">
        <v>743</v>
      </c>
      <c r="D231" t="s">
        <v>765</v>
      </c>
      <c r="E231" t="s">
        <v>2385</v>
      </c>
    </row>
    <row r="232" spans="1:5">
      <c r="A232">
        <v>503060</v>
      </c>
      <c r="B232" t="s">
        <v>1719</v>
      </c>
      <c r="C232" t="s">
        <v>743</v>
      </c>
      <c r="D232" t="s">
        <v>765</v>
      </c>
      <c r="E232" t="s">
        <v>2385</v>
      </c>
    </row>
    <row r="233" spans="1:5">
      <c r="A233">
        <v>503061</v>
      </c>
      <c r="B233" t="s">
        <v>1720</v>
      </c>
      <c r="C233" t="s">
        <v>743</v>
      </c>
      <c r="D233" t="s">
        <v>765</v>
      </c>
      <c r="E233" t="s">
        <v>2385</v>
      </c>
    </row>
    <row r="234" spans="1:5">
      <c r="A234">
        <v>503062</v>
      </c>
      <c r="B234" t="s">
        <v>1721</v>
      </c>
      <c r="C234" t="s">
        <v>743</v>
      </c>
      <c r="D234" t="s">
        <v>765</v>
      </c>
      <c r="E234" t="s">
        <v>2385</v>
      </c>
    </row>
    <row r="235" spans="1:5">
      <c r="A235">
        <v>503063</v>
      </c>
      <c r="B235" t="s">
        <v>1722</v>
      </c>
      <c r="C235" t="s">
        <v>743</v>
      </c>
      <c r="D235" t="s">
        <v>765</v>
      </c>
      <c r="E235" t="s">
        <v>2385</v>
      </c>
    </row>
    <row r="236" spans="1:5">
      <c r="A236">
        <v>503081</v>
      </c>
      <c r="B236" t="s">
        <v>1727</v>
      </c>
      <c r="C236" t="s">
        <v>743</v>
      </c>
      <c r="D236" t="s">
        <v>765</v>
      </c>
      <c r="E236" t="s">
        <v>2385</v>
      </c>
    </row>
    <row r="237" spans="1:5">
      <c r="A237">
        <v>503082</v>
      </c>
      <c r="B237" t="s">
        <v>1728</v>
      </c>
      <c r="C237" t="s">
        <v>743</v>
      </c>
      <c r="D237" t="s">
        <v>765</v>
      </c>
      <c r="E237" t="s">
        <v>2385</v>
      </c>
    </row>
    <row r="238" spans="1:5">
      <c r="A238">
        <v>503085</v>
      </c>
      <c r="B238" t="s">
        <v>1730</v>
      </c>
      <c r="C238" t="s">
        <v>743</v>
      </c>
      <c r="D238" t="s">
        <v>765</v>
      </c>
      <c r="E238" t="s">
        <v>2385</v>
      </c>
    </row>
    <row r="239" spans="1:5">
      <c r="A239">
        <v>503100</v>
      </c>
      <c r="B239" t="s">
        <v>1741</v>
      </c>
      <c r="C239" t="s">
        <v>743</v>
      </c>
      <c r="D239" t="s">
        <v>765</v>
      </c>
      <c r="E239" t="s">
        <v>2385</v>
      </c>
    </row>
    <row r="240" spans="1:5">
      <c r="A240">
        <v>503101</v>
      </c>
      <c r="B240" t="s">
        <v>1742</v>
      </c>
      <c r="C240" t="s">
        <v>743</v>
      </c>
      <c r="D240" t="s">
        <v>765</v>
      </c>
      <c r="E240" t="s">
        <v>2385</v>
      </c>
    </row>
    <row r="241" spans="1:5">
      <c r="A241">
        <v>503102</v>
      </c>
      <c r="B241" t="s">
        <v>1743</v>
      </c>
      <c r="C241" t="s">
        <v>743</v>
      </c>
      <c r="D241" t="s">
        <v>765</v>
      </c>
      <c r="E241" t="s">
        <v>2385</v>
      </c>
    </row>
    <row r="242" spans="1:5">
      <c r="A242">
        <v>503103</v>
      </c>
      <c r="B242" t="s">
        <v>1744</v>
      </c>
      <c r="C242" t="s">
        <v>743</v>
      </c>
      <c r="D242" t="s">
        <v>765</v>
      </c>
      <c r="E242" t="s">
        <v>2385</v>
      </c>
    </row>
    <row r="243" spans="1:5">
      <c r="A243">
        <v>504020</v>
      </c>
      <c r="B243" t="s">
        <v>1749</v>
      </c>
      <c r="C243" t="s">
        <v>743</v>
      </c>
      <c r="D243" t="s">
        <v>765</v>
      </c>
      <c r="E243" t="s">
        <v>2385</v>
      </c>
    </row>
    <row r="244" spans="1:5">
      <c r="A244">
        <v>504045</v>
      </c>
      <c r="B244" t="s">
        <v>1756</v>
      </c>
      <c r="C244" t="s">
        <v>743</v>
      </c>
      <c r="D244" t="s">
        <v>765</v>
      </c>
      <c r="E244" t="s">
        <v>2385</v>
      </c>
    </row>
    <row r="245" spans="1:5">
      <c r="A245">
        <v>505010</v>
      </c>
      <c r="B245" t="s">
        <v>1762</v>
      </c>
      <c r="C245" t="s">
        <v>743</v>
      </c>
      <c r="D245" t="s">
        <v>765</v>
      </c>
      <c r="E245" t="s">
        <v>2385</v>
      </c>
    </row>
    <row r="246" spans="1:5">
      <c r="A246">
        <v>505011</v>
      </c>
      <c r="B246" t="s">
        <v>1763</v>
      </c>
      <c r="C246" t="s">
        <v>743</v>
      </c>
      <c r="D246" t="s">
        <v>765</v>
      </c>
      <c r="E246" t="s">
        <v>2385</v>
      </c>
    </row>
    <row r="247" spans="1:5">
      <c r="A247">
        <v>505012</v>
      </c>
      <c r="B247" t="s">
        <v>1764</v>
      </c>
      <c r="C247" t="s">
        <v>743</v>
      </c>
      <c r="D247" t="s">
        <v>765</v>
      </c>
      <c r="E247" t="s">
        <v>2385</v>
      </c>
    </row>
    <row r="248" spans="1:5">
      <c r="A248">
        <v>505017</v>
      </c>
      <c r="B248" t="s">
        <v>1229</v>
      </c>
      <c r="C248" t="s">
        <v>743</v>
      </c>
      <c r="D248" t="s">
        <v>765</v>
      </c>
      <c r="E248" t="s">
        <v>2385</v>
      </c>
    </row>
    <row r="249" spans="1:5">
      <c r="A249">
        <v>505019</v>
      </c>
      <c r="B249" t="s">
        <v>1767</v>
      </c>
      <c r="C249" t="s">
        <v>743</v>
      </c>
      <c r="D249" t="s">
        <v>765</v>
      </c>
      <c r="E249" t="s">
        <v>2385</v>
      </c>
    </row>
    <row r="250" spans="1:5">
      <c r="A250">
        <v>505040</v>
      </c>
      <c r="B250" t="s">
        <v>1778</v>
      </c>
      <c r="C250" t="s">
        <v>743</v>
      </c>
      <c r="D250" t="s">
        <v>765</v>
      </c>
      <c r="E250" t="s">
        <v>2385</v>
      </c>
    </row>
    <row r="251" spans="1:5">
      <c r="A251">
        <v>505043</v>
      </c>
      <c r="B251" t="s">
        <v>1779</v>
      </c>
      <c r="C251" t="s">
        <v>743</v>
      </c>
      <c r="D251" t="s">
        <v>765</v>
      </c>
      <c r="E251" t="s">
        <v>2385</v>
      </c>
    </row>
    <row r="252" spans="1:5">
      <c r="A252">
        <v>505035</v>
      </c>
      <c r="B252" t="s">
        <v>1777</v>
      </c>
      <c r="C252" t="s">
        <v>743</v>
      </c>
      <c r="D252" t="s">
        <v>765</v>
      </c>
      <c r="E252" t="s">
        <v>2385</v>
      </c>
    </row>
    <row r="253" spans="1:5">
      <c r="A253">
        <v>501510</v>
      </c>
      <c r="B253" t="s">
        <v>1630</v>
      </c>
      <c r="C253" t="s">
        <v>743</v>
      </c>
      <c r="D253" t="s">
        <v>765</v>
      </c>
      <c r="E253" t="s">
        <v>2385</v>
      </c>
    </row>
    <row r="254" spans="1:5">
      <c r="A254">
        <v>501515</v>
      </c>
      <c r="B254" t="s">
        <v>1631</v>
      </c>
      <c r="C254" t="s">
        <v>743</v>
      </c>
      <c r="D254" t="s">
        <v>765</v>
      </c>
      <c r="E254" t="s">
        <v>2385</v>
      </c>
    </row>
    <row r="255" spans="1:5">
      <c r="A255">
        <v>501590</v>
      </c>
      <c r="B255" t="s">
        <v>1634</v>
      </c>
      <c r="C255" t="s">
        <v>743</v>
      </c>
      <c r="D255" t="s">
        <v>765</v>
      </c>
      <c r="E255" t="s">
        <v>2385</v>
      </c>
    </row>
    <row r="256" spans="1:5">
      <c r="A256">
        <v>501516</v>
      </c>
      <c r="B256" t="s">
        <v>1632</v>
      </c>
      <c r="C256" t="s">
        <v>743</v>
      </c>
      <c r="D256" t="s">
        <v>765</v>
      </c>
      <c r="E256" t="s">
        <v>2385</v>
      </c>
    </row>
    <row r="257" spans="1:5">
      <c r="A257">
        <v>501520</v>
      </c>
      <c r="B257" t="s">
        <v>1633</v>
      </c>
      <c r="C257" t="s">
        <v>743</v>
      </c>
      <c r="D257" t="s">
        <v>765</v>
      </c>
      <c r="E257" t="s">
        <v>2385</v>
      </c>
    </row>
    <row r="258" spans="1:5">
      <c r="A258">
        <v>503104</v>
      </c>
      <c r="B258" t="s">
        <v>1745</v>
      </c>
      <c r="C258" t="s">
        <v>743</v>
      </c>
      <c r="D258" t="s">
        <v>765</v>
      </c>
      <c r="E258" t="s">
        <v>2385</v>
      </c>
    </row>
    <row r="259" spans="1:5">
      <c r="A259">
        <v>505053</v>
      </c>
      <c r="B259" t="s">
        <v>2286</v>
      </c>
      <c r="C259" t="s">
        <v>743</v>
      </c>
      <c r="D259" t="s">
        <v>765</v>
      </c>
      <c r="E259" t="s">
        <v>2385</v>
      </c>
    </row>
    <row r="260" spans="1:5">
      <c r="A260">
        <v>400070</v>
      </c>
      <c r="B260" t="s">
        <v>766</v>
      </c>
      <c r="C260" t="s">
        <v>58</v>
      </c>
      <c r="D260" t="s">
        <v>766</v>
      </c>
      <c r="E260" t="s">
        <v>2385</v>
      </c>
    </row>
    <row r="261" spans="1:5">
      <c r="A261">
        <v>400071</v>
      </c>
      <c r="B261" t="s">
        <v>1544</v>
      </c>
      <c r="C261" t="s">
        <v>58</v>
      </c>
      <c r="D261" t="s">
        <v>766</v>
      </c>
      <c r="E261" t="s">
        <v>2385</v>
      </c>
    </row>
    <row r="262" spans="1:5">
      <c r="A262">
        <v>400072</v>
      </c>
      <c r="B262" t="s">
        <v>1545</v>
      </c>
      <c r="C262" t="s">
        <v>58</v>
      </c>
      <c r="D262" t="s">
        <v>766</v>
      </c>
      <c r="E262" t="s">
        <v>2385</v>
      </c>
    </row>
    <row r="263" spans="1:5">
      <c r="A263">
        <v>400073</v>
      </c>
      <c r="B263" t="s">
        <v>1546</v>
      </c>
      <c r="C263" t="s">
        <v>58</v>
      </c>
      <c r="D263" t="s">
        <v>766</v>
      </c>
      <c r="E263" t="s">
        <v>2385</v>
      </c>
    </row>
    <row r="264" spans="1:5">
      <c r="A264">
        <v>400074</v>
      </c>
      <c r="B264" t="s">
        <v>1547</v>
      </c>
      <c r="C264" t="s">
        <v>58</v>
      </c>
      <c r="D264" t="s">
        <v>766</v>
      </c>
      <c r="E264" t="s">
        <v>2385</v>
      </c>
    </row>
    <row r="265" spans="1:5">
      <c r="A265">
        <v>400075</v>
      </c>
      <c r="B265" t="s">
        <v>1548</v>
      </c>
      <c r="C265" t="s">
        <v>58</v>
      </c>
      <c r="D265" t="s">
        <v>766</v>
      </c>
      <c r="E265" t="s">
        <v>2385</v>
      </c>
    </row>
    <row r="266" spans="1:5">
      <c r="A266">
        <v>502130</v>
      </c>
      <c r="B266" t="s">
        <v>1696</v>
      </c>
      <c r="C266" t="s">
        <v>767</v>
      </c>
      <c r="D266" t="s">
        <v>768</v>
      </c>
      <c r="E266" t="s">
        <v>2385</v>
      </c>
    </row>
    <row r="267" spans="1:5">
      <c r="A267">
        <v>502146</v>
      </c>
      <c r="B267" t="s">
        <v>1697</v>
      </c>
      <c r="C267" t="s">
        <v>767</v>
      </c>
      <c r="D267" t="s">
        <v>768</v>
      </c>
      <c r="E267" t="s">
        <v>2385</v>
      </c>
    </row>
    <row r="268" spans="1:5">
      <c r="A268">
        <v>502150</v>
      </c>
      <c r="B268" t="s">
        <v>1698</v>
      </c>
      <c r="C268" t="s">
        <v>767</v>
      </c>
      <c r="D268" t="s">
        <v>768</v>
      </c>
      <c r="E268" t="s">
        <v>2385</v>
      </c>
    </row>
    <row r="269" spans="1:5">
      <c r="A269">
        <v>502113</v>
      </c>
      <c r="B269" t="s">
        <v>2297</v>
      </c>
      <c r="C269" t="s">
        <v>2301</v>
      </c>
      <c r="D269" t="s">
        <v>768</v>
      </c>
      <c r="E269" t="s">
        <v>2385</v>
      </c>
    </row>
    <row r="270" spans="1:5">
      <c r="A270">
        <v>800010</v>
      </c>
      <c r="B270" t="s">
        <v>816</v>
      </c>
      <c r="C270" t="s">
        <v>769</v>
      </c>
      <c r="D270" t="s">
        <v>770</v>
      </c>
      <c r="E270" t="s">
        <v>2385</v>
      </c>
    </row>
    <row r="271" spans="1:5">
      <c r="A271">
        <v>800011</v>
      </c>
      <c r="B271" t="s">
        <v>817</v>
      </c>
      <c r="C271" t="s">
        <v>769</v>
      </c>
      <c r="D271" t="s">
        <v>770</v>
      </c>
      <c r="E271" t="s">
        <v>2385</v>
      </c>
    </row>
    <row r="272" spans="1:5">
      <c r="A272">
        <v>800015</v>
      </c>
      <c r="B272" t="s">
        <v>818</v>
      </c>
      <c r="C272" t="s">
        <v>769</v>
      </c>
      <c r="D272" t="s">
        <v>770</v>
      </c>
      <c r="E272" t="s">
        <v>2385</v>
      </c>
    </row>
    <row r="273" spans="1:5">
      <c r="A273">
        <v>800016</v>
      </c>
      <c r="B273" t="s">
        <v>819</v>
      </c>
      <c r="C273" t="s">
        <v>769</v>
      </c>
      <c r="D273" t="s">
        <v>770</v>
      </c>
      <c r="E273" t="s">
        <v>2385</v>
      </c>
    </row>
    <row r="274" spans="1:5">
      <c r="A274">
        <v>800020</v>
      </c>
      <c r="B274" t="s">
        <v>822</v>
      </c>
      <c r="C274" t="s">
        <v>769</v>
      </c>
      <c r="D274" t="s">
        <v>770</v>
      </c>
      <c r="E274" t="s">
        <v>2385</v>
      </c>
    </row>
    <row r="275" spans="1:5">
      <c r="A275">
        <v>800021</v>
      </c>
      <c r="B275" t="s">
        <v>733</v>
      </c>
      <c r="C275" t="s">
        <v>769</v>
      </c>
      <c r="D275" t="s">
        <v>770</v>
      </c>
      <c r="E275" t="s">
        <v>2385</v>
      </c>
    </row>
    <row r="276" spans="1:5">
      <c r="A276">
        <v>800022</v>
      </c>
      <c r="B276" t="s">
        <v>732</v>
      </c>
      <c r="C276" t="s">
        <v>769</v>
      </c>
      <c r="D276" t="s">
        <v>770</v>
      </c>
      <c r="E276" t="s">
        <v>2385</v>
      </c>
    </row>
    <row r="277" spans="1:5">
      <c r="A277">
        <v>800023</v>
      </c>
      <c r="B277" t="s">
        <v>820</v>
      </c>
      <c r="C277" t="s">
        <v>769</v>
      </c>
      <c r="D277" t="s">
        <v>770</v>
      </c>
      <c r="E277" t="s">
        <v>2385</v>
      </c>
    </row>
    <row r="278" spans="1:5">
      <c r="A278">
        <v>800024</v>
      </c>
      <c r="B278" t="s">
        <v>821</v>
      </c>
      <c r="C278" t="s">
        <v>769</v>
      </c>
      <c r="D278" t="s">
        <v>770</v>
      </c>
      <c r="E278" t="s">
        <v>2385</v>
      </c>
    </row>
    <row r="279" spans="1:5">
      <c r="A279">
        <v>800029</v>
      </c>
      <c r="B279" t="s">
        <v>1791</v>
      </c>
      <c r="C279" t="s">
        <v>769</v>
      </c>
      <c r="D279" t="s">
        <v>770</v>
      </c>
      <c r="E279" t="s">
        <v>2385</v>
      </c>
    </row>
    <row r="280" spans="1:5">
      <c r="A280">
        <v>800030</v>
      </c>
      <c r="B280" t="s">
        <v>1792</v>
      </c>
      <c r="C280" t="s">
        <v>769</v>
      </c>
      <c r="D280" t="s">
        <v>770</v>
      </c>
      <c r="E280" t="s">
        <v>2385</v>
      </c>
    </row>
    <row r="282" spans="1:5">
      <c r="A282">
        <v>100000</v>
      </c>
      <c r="B282" t="s">
        <v>972</v>
      </c>
      <c r="C282" t="s">
        <v>534</v>
      </c>
      <c r="D282" t="s">
        <v>534</v>
      </c>
      <c r="E282" t="s">
        <v>2384</v>
      </c>
    </row>
    <row r="283" spans="1:5">
      <c r="A283">
        <v>100518</v>
      </c>
      <c r="B283" t="s">
        <v>1034</v>
      </c>
      <c r="C283" t="s">
        <v>534</v>
      </c>
      <c r="D283" t="s">
        <v>534</v>
      </c>
      <c r="E283" t="s">
        <v>2384</v>
      </c>
    </row>
    <row r="284" spans="1:5">
      <c r="A284">
        <v>100529</v>
      </c>
      <c r="B284" t="s">
        <v>1019</v>
      </c>
      <c r="C284" t="s">
        <v>534</v>
      </c>
      <c r="D284" t="s">
        <v>534</v>
      </c>
      <c r="E284" t="s">
        <v>2384</v>
      </c>
    </row>
    <row r="285" spans="1:5">
      <c r="A285">
        <v>100543</v>
      </c>
      <c r="B285" t="s">
        <v>1029</v>
      </c>
      <c r="C285" t="s">
        <v>534</v>
      </c>
      <c r="D285" t="s">
        <v>534</v>
      </c>
      <c r="E285" t="s">
        <v>2384</v>
      </c>
    </row>
    <row r="286" spans="1:5">
      <c r="A286">
        <v>100544</v>
      </c>
      <c r="B286" t="s">
        <v>1529</v>
      </c>
      <c r="C286" t="s">
        <v>534</v>
      </c>
      <c r="D286" t="s">
        <v>534</v>
      </c>
      <c r="E286" t="s">
        <v>2384</v>
      </c>
    </row>
    <row r="287" spans="1:5">
      <c r="A287">
        <v>100547</v>
      </c>
      <c r="B287" t="s">
        <v>1030</v>
      </c>
      <c r="C287" t="s">
        <v>534</v>
      </c>
      <c r="D287" t="s">
        <v>534</v>
      </c>
      <c r="E287" t="s">
        <v>2384</v>
      </c>
    </row>
    <row r="288" spans="1:5">
      <c r="A288">
        <v>100548</v>
      </c>
      <c r="B288" t="s">
        <v>1031</v>
      </c>
      <c r="C288" t="s">
        <v>534</v>
      </c>
      <c r="D288" t="s">
        <v>534</v>
      </c>
      <c r="E288" t="s">
        <v>2384</v>
      </c>
    </row>
    <row r="289" spans="1:5">
      <c r="A289">
        <v>100549</v>
      </c>
      <c r="B289" t="s">
        <v>1032</v>
      </c>
      <c r="C289" t="s">
        <v>534</v>
      </c>
      <c r="D289" t="s">
        <v>534</v>
      </c>
      <c r="E289" t="s">
        <v>2384</v>
      </c>
    </row>
    <row r="290" spans="1:5">
      <c r="A290">
        <v>100550</v>
      </c>
      <c r="B290" t="s">
        <v>1033</v>
      </c>
      <c r="C290" t="s">
        <v>534</v>
      </c>
      <c r="D290" t="s">
        <v>534</v>
      </c>
      <c r="E290" t="s">
        <v>2384</v>
      </c>
    </row>
    <row r="291" spans="1:5">
      <c r="A291">
        <v>100551</v>
      </c>
      <c r="B291" t="s">
        <v>1035</v>
      </c>
      <c r="C291" t="s">
        <v>534</v>
      </c>
      <c r="D291" t="s">
        <v>534</v>
      </c>
      <c r="E291" t="s">
        <v>2384</v>
      </c>
    </row>
    <row r="292" spans="1:5">
      <c r="A292">
        <v>100552</v>
      </c>
      <c r="B292" t="s">
        <v>1036</v>
      </c>
      <c r="C292" t="s">
        <v>534</v>
      </c>
      <c r="D292" t="s">
        <v>534</v>
      </c>
      <c r="E292" t="s">
        <v>2384</v>
      </c>
    </row>
    <row r="293" spans="1:5">
      <c r="A293">
        <v>100553</v>
      </c>
      <c r="B293" t="s">
        <v>1037</v>
      </c>
      <c r="C293" t="s">
        <v>534</v>
      </c>
      <c r="D293" t="s">
        <v>534</v>
      </c>
      <c r="E293" t="s">
        <v>2384</v>
      </c>
    </row>
    <row r="294" spans="1:5">
      <c r="A294">
        <v>100554</v>
      </c>
      <c r="B294" t="s">
        <v>1038</v>
      </c>
      <c r="C294" t="s">
        <v>534</v>
      </c>
      <c r="D294" t="s">
        <v>534</v>
      </c>
      <c r="E294" t="s">
        <v>2384</v>
      </c>
    </row>
    <row r="295" spans="1:5">
      <c r="A295">
        <v>100555</v>
      </c>
      <c r="B295" t="s">
        <v>1039</v>
      </c>
      <c r="C295" t="s">
        <v>534</v>
      </c>
      <c r="D295" t="s">
        <v>534</v>
      </c>
      <c r="E295" t="s">
        <v>2384</v>
      </c>
    </row>
    <row r="296" spans="1:5">
      <c r="A296">
        <v>100556</v>
      </c>
      <c r="B296" t="s">
        <v>1040</v>
      </c>
      <c r="C296" t="s">
        <v>534</v>
      </c>
      <c r="D296" t="s">
        <v>534</v>
      </c>
      <c r="E296" t="s">
        <v>2384</v>
      </c>
    </row>
    <row r="297" spans="1:5">
      <c r="A297">
        <v>100557</v>
      </c>
      <c r="B297" t="s">
        <v>1041</v>
      </c>
      <c r="C297" t="s">
        <v>534</v>
      </c>
      <c r="D297" t="s">
        <v>534</v>
      </c>
      <c r="E297" t="s">
        <v>2384</v>
      </c>
    </row>
    <row r="298" spans="1:5">
      <c r="A298">
        <v>100558</v>
      </c>
      <c r="B298" t="s">
        <v>1042</v>
      </c>
      <c r="C298" t="s">
        <v>534</v>
      </c>
      <c r="D298" t="s">
        <v>534</v>
      </c>
      <c r="E298" t="s">
        <v>2384</v>
      </c>
    </row>
    <row r="299" spans="1:5">
      <c r="A299">
        <v>100559</v>
      </c>
      <c r="B299" t="s">
        <v>1043</v>
      </c>
      <c r="C299" t="s">
        <v>534</v>
      </c>
      <c r="D299" t="s">
        <v>534</v>
      </c>
      <c r="E299" t="s">
        <v>2384</v>
      </c>
    </row>
    <row r="300" spans="1:5">
      <c r="A300">
        <v>100560</v>
      </c>
      <c r="B300" t="s">
        <v>1044</v>
      </c>
      <c r="C300" t="s">
        <v>534</v>
      </c>
      <c r="D300" t="s">
        <v>534</v>
      </c>
      <c r="E300" t="s">
        <v>2384</v>
      </c>
    </row>
    <row r="301" spans="1:5">
      <c r="A301">
        <v>100561</v>
      </c>
      <c r="B301" t="s">
        <v>1045</v>
      </c>
      <c r="C301" t="s">
        <v>534</v>
      </c>
      <c r="D301" t="s">
        <v>534</v>
      </c>
      <c r="E301" t="s">
        <v>2384</v>
      </c>
    </row>
    <row r="302" spans="1:5">
      <c r="A302">
        <v>100562</v>
      </c>
      <c r="B302" t="s">
        <v>1046</v>
      </c>
      <c r="C302" t="s">
        <v>534</v>
      </c>
      <c r="D302" t="s">
        <v>534</v>
      </c>
      <c r="E302" t="s">
        <v>2384</v>
      </c>
    </row>
    <row r="303" spans="1:5">
      <c r="A303">
        <v>100563</v>
      </c>
      <c r="B303" t="s">
        <v>1047</v>
      </c>
      <c r="C303" t="s">
        <v>534</v>
      </c>
      <c r="D303" t="s">
        <v>534</v>
      </c>
      <c r="E303" t="s">
        <v>2384</v>
      </c>
    </row>
    <row r="304" spans="1:5">
      <c r="A304">
        <v>100564</v>
      </c>
      <c r="B304" t="s">
        <v>1048</v>
      </c>
      <c r="C304" t="s">
        <v>534</v>
      </c>
      <c r="D304" t="s">
        <v>534</v>
      </c>
      <c r="E304" t="s">
        <v>2384</v>
      </c>
    </row>
    <row r="305" spans="1:5">
      <c r="A305">
        <v>100565</v>
      </c>
      <c r="B305" t="s">
        <v>1049</v>
      </c>
      <c r="C305" t="s">
        <v>534</v>
      </c>
      <c r="D305" t="s">
        <v>534</v>
      </c>
      <c r="E305" t="s">
        <v>2384</v>
      </c>
    </row>
    <row r="306" spans="1:5">
      <c r="A306">
        <v>100566</v>
      </c>
      <c r="B306" t="s">
        <v>1050</v>
      </c>
      <c r="C306" t="s">
        <v>534</v>
      </c>
      <c r="D306" t="s">
        <v>534</v>
      </c>
      <c r="E306" t="s">
        <v>2384</v>
      </c>
    </row>
    <row r="307" spans="1:5">
      <c r="A307">
        <v>100567</v>
      </c>
      <c r="B307" t="s">
        <v>1051</v>
      </c>
      <c r="C307" t="s">
        <v>534</v>
      </c>
      <c r="D307" t="s">
        <v>534</v>
      </c>
      <c r="E307" t="s">
        <v>2384</v>
      </c>
    </row>
    <row r="308" spans="1:5">
      <c r="A308">
        <v>100568</v>
      </c>
      <c r="B308" t="s">
        <v>1052</v>
      </c>
      <c r="C308" t="s">
        <v>534</v>
      </c>
      <c r="D308" t="s">
        <v>534</v>
      </c>
      <c r="E308" t="s">
        <v>2384</v>
      </c>
    </row>
    <row r="309" spans="1:5">
      <c r="A309">
        <v>100569</v>
      </c>
      <c r="B309" t="s">
        <v>1053</v>
      </c>
      <c r="C309" t="s">
        <v>534</v>
      </c>
      <c r="D309" t="s">
        <v>534</v>
      </c>
      <c r="E309" t="s">
        <v>2384</v>
      </c>
    </row>
    <row r="310" spans="1:5">
      <c r="A310">
        <v>100570</v>
      </c>
      <c r="B310" t="s">
        <v>1054</v>
      </c>
      <c r="C310" t="s">
        <v>534</v>
      </c>
      <c r="D310" t="s">
        <v>534</v>
      </c>
      <c r="E310" t="s">
        <v>2384</v>
      </c>
    </row>
    <row r="311" spans="1:5">
      <c r="A311">
        <v>100571</v>
      </c>
      <c r="B311" t="s">
        <v>1055</v>
      </c>
      <c r="C311" t="s">
        <v>534</v>
      </c>
      <c r="D311" t="s">
        <v>534</v>
      </c>
      <c r="E311" t="s">
        <v>2384</v>
      </c>
    </row>
    <row r="312" spans="1:5">
      <c r="A312">
        <v>100572</v>
      </c>
      <c r="B312" t="s">
        <v>1056</v>
      </c>
      <c r="C312" t="s">
        <v>534</v>
      </c>
      <c r="D312" t="s">
        <v>534</v>
      </c>
      <c r="E312" t="s">
        <v>2384</v>
      </c>
    </row>
    <row r="313" spans="1:5">
      <c r="A313">
        <v>100573</v>
      </c>
      <c r="B313" t="s">
        <v>1057</v>
      </c>
      <c r="C313" t="s">
        <v>534</v>
      </c>
      <c r="D313" t="s">
        <v>534</v>
      </c>
      <c r="E313" t="s">
        <v>2384</v>
      </c>
    </row>
    <row r="314" spans="1:5">
      <c r="A314">
        <v>100574</v>
      </c>
      <c r="B314" t="s">
        <v>1058</v>
      </c>
      <c r="C314" t="s">
        <v>534</v>
      </c>
      <c r="D314" t="s">
        <v>534</v>
      </c>
      <c r="E314" t="s">
        <v>2384</v>
      </c>
    </row>
    <row r="315" spans="1:5">
      <c r="A315">
        <v>100575</v>
      </c>
      <c r="B315" t="s">
        <v>1059</v>
      </c>
      <c r="C315" t="s">
        <v>534</v>
      </c>
      <c r="D315" t="s">
        <v>534</v>
      </c>
      <c r="E315" t="s">
        <v>2384</v>
      </c>
    </row>
    <row r="316" spans="1:5">
      <c r="A316">
        <v>100576</v>
      </c>
      <c r="B316" t="s">
        <v>1060</v>
      </c>
      <c r="C316" t="s">
        <v>534</v>
      </c>
      <c r="D316" t="s">
        <v>534</v>
      </c>
      <c r="E316" t="s">
        <v>2384</v>
      </c>
    </row>
    <row r="317" spans="1:5">
      <c r="A317">
        <v>100577</v>
      </c>
      <c r="B317" t="s">
        <v>1061</v>
      </c>
      <c r="C317" t="s">
        <v>534</v>
      </c>
      <c r="D317" t="s">
        <v>534</v>
      </c>
      <c r="E317" t="s">
        <v>2384</v>
      </c>
    </row>
    <row r="318" spans="1:5">
      <c r="A318">
        <v>100578</v>
      </c>
      <c r="B318" t="s">
        <v>1062</v>
      </c>
      <c r="C318" t="s">
        <v>534</v>
      </c>
      <c r="D318" t="s">
        <v>534</v>
      </c>
      <c r="E318" t="s">
        <v>2384</v>
      </c>
    </row>
    <row r="319" spans="1:5">
      <c r="A319">
        <v>100579</v>
      </c>
      <c r="B319" t="s">
        <v>1063</v>
      </c>
      <c r="C319" t="s">
        <v>534</v>
      </c>
      <c r="D319" t="s">
        <v>534</v>
      </c>
      <c r="E319" t="s">
        <v>2384</v>
      </c>
    </row>
    <row r="320" spans="1:5">
      <c r="A320">
        <v>100580</v>
      </c>
      <c r="B320" t="s">
        <v>1064</v>
      </c>
      <c r="C320" t="s">
        <v>534</v>
      </c>
      <c r="D320" t="s">
        <v>534</v>
      </c>
      <c r="E320" t="s">
        <v>2384</v>
      </c>
    </row>
    <row r="321" spans="1:5">
      <c r="A321">
        <v>100581</v>
      </c>
      <c r="B321" t="s">
        <v>1035</v>
      </c>
      <c r="C321" t="s">
        <v>534</v>
      </c>
      <c r="D321" t="s">
        <v>534</v>
      </c>
      <c r="E321" t="s">
        <v>2384</v>
      </c>
    </row>
    <row r="322" spans="1:5">
      <c r="A322">
        <v>100582</v>
      </c>
      <c r="B322" t="s">
        <v>1065</v>
      </c>
      <c r="C322" t="s">
        <v>534</v>
      </c>
      <c r="D322" t="s">
        <v>534</v>
      </c>
      <c r="E322" t="s">
        <v>2384</v>
      </c>
    </row>
    <row r="323" spans="1:5">
      <c r="A323">
        <v>100583</v>
      </c>
      <c r="B323" t="s">
        <v>1066</v>
      </c>
      <c r="C323" t="s">
        <v>534</v>
      </c>
      <c r="D323" t="s">
        <v>534</v>
      </c>
      <c r="E323" t="s">
        <v>2384</v>
      </c>
    </row>
    <row r="324" spans="1:5">
      <c r="A324">
        <v>100584</v>
      </c>
      <c r="B324" t="s">
        <v>1067</v>
      </c>
      <c r="C324" t="s">
        <v>534</v>
      </c>
      <c r="D324" t="s">
        <v>534</v>
      </c>
      <c r="E324" t="s">
        <v>2384</v>
      </c>
    </row>
    <row r="325" spans="1:5">
      <c r="A325">
        <v>100586</v>
      </c>
      <c r="B325" t="s">
        <v>1068</v>
      </c>
      <c r="C325" t="s">
        <v>534</v>
      </c>
      <c r="D325" t="s">
        <v>534</v>
      </c>
      <c r="E325" t="s">
        <v>2384</v>
      </c>
    </row>
    <row r="326" spans="1:5">
      <c r="A326">
        <v>100587</v>
      </c>
      <c r="B326" t="s">
        <v>1069</v>
      </c>
      <c r="C326" t="s">
        <v>534</v>
      </c>
      <c r="D326" t="s">
        <v>534</v>
      </c>
      <c r="E326" t="s">
        <v>2384</v>
      </c>
    </row>
    <row r="327" spans="1:5">
      <c r="A327">
        <v>100588</v>
      </c>
      <c r="B327" t="s">
        <v>1070</v>
      </c>
      <c r="C327" t="s">
        <v>534</v>
      </c>
      <c r="D327" t="s">
        <v>534</v>
      </c>
      <c r="E327" t="s">
        <v>2384</v>
      </c>
    </row>
    <row r="328" spans="1:5">
      <c r="A328">
        <v>100589</v>
      </c>
      <c r="B328" t="s">
        <v>1071</v>
      </c>
      <c r="C328" t="s">
        <v>534</v>
      </c>
      <c r="D328" t="s">
        <v>534</v>
      </c>
      <c r="E328" t="s">
        <v>2384</v>
      </c>
    </row>
    <row r="329" spans="1:5">
      <c r="A329">
        <v>100590</v>
      </c>
      <c r="B329" t="s">
        <v>1072</v>
      </c>
      <c r="C329" t="s">
        <v>534</v>
      </c>
      <c r="D329" t="s">
        <v>534</v>
      </c>
      <c r="E329" t="s">
        <v>2384</v>
      </c>
    </row>
    <row r="330" spans="1:5">
      <c r="A330">
        <v>100594</v>
      </c>
      <c r="B330" t="s">
        <v>1074</v>
      </c>
      <c r="C330" t="s">
        <v>534</v>
      </c>
      <c r="D330" t="s">
        <v>534</v>
      </c>
      <c r="E330" t="s">
        <v>2384</v>
      </c>
    </row>
    <row r="331" spans="1:5">
      <c r="A331">
        <v>100595</v>
      </c>
      <c r="B331" t="s">
        <v>1075</v>
      </c>
      <c r="C331" t="s">
        <v>534</v>
      </c>
      <c r="D331" t="s">
        <v>534</v>
      </c>
      <c r="E331" t="s">
        <v>2384</v>
      </c>
    </row>
    <row r="332" spans="1:5">
      <c r="A332">
        <v>100597</v>
      </c>
      <c r="B332" t="s">
        <v>1076</v>
      </c>
      <c r="C332" t="s">
        <v>534</v>
      </c>
      <c r="D332" t="s">
        <v>534</v>
      </c>
      <c r="E332" t="s">
        <v>2384</v>
      </c>
    </row>
    <row r="333" spans="1:5">
      <c r="A333">
        <v>100598</v>
      </c>
      <c r="B333" t="s">
        <v>1077</v>
      </c>
      <c r="C333" t="s">
        <v>534</v>
      </c>
      <c r="D333" t="s">
        <v>534</v>
      </c>
      <c r="E333" t="s">
        <v>2384</v>
      </c>
    </row>
    <row r="334" spans="1:5">
      <c r="A334">
        <v>100599</v>
      </c>
      <c r="B334" t="s">
        <v>1078</v>
      </c>
      <c r="C334" t="s">
        <v>534</v>
      </c>
      <c r="D334" t="s">
        <v>534</v>
      </c>
      <c r="E334" t="s">
        <v>2384</v>
      </c>
    </row>
    <row r="335" spans="1:5">
      <c r="A335">
        <v>100601</v>
      </c>
      <c r="B335" t="s">
        <v>1080</v>
      </c>
      <c r="C335" t="s">
        <v>534</v>
      </c>
      <c r="D335" t="s">
        <v>534</v>
      </c>
      <c r="E335" t="s">
        <v>2384</v>
      </c>
    </row>
    <row r="336" spans="1:5">
      <c r="A336">
        <v>100602</v>
      </c>
      <c r="B336" t="s">
        <v>533</v>
      </c>
      <c r="C336" t="s">
        <v>534</v>
      </c>
      <c r="D336" t="s">
        <v>534</v>
      </c>
      <c r="E336" t="s">
        <v>2384</v>
      </c>
    </row>
    <row r="337" spans="1:5">
      <c r="A337">
        <v>100605</v>
      </c>
      <c r="B337" t="s">
        <v>1081</v>
      </c>
      <c r="C337" t="s">
        <v>534</v>
      </c>
      <c r="D337" t="s">
        <v>534</v>
      </c>
      <c r="E337" t="s">
        <v>2384</v>
      </c>
    </row>
    <row r="338" spans="1:5">
      <c r="A338">
        <v>100700</v>
      </c>
      <c r="B338" t="s">
        <v>1082</v>
      </c>
      <c r="C338" t="s">
        <v>534</v>
      </c>
      <c r="D338" t="s">
        <v>534</v>
      </c>
      <c r="E338" t="s">
        <v>2384</v>
      </c>
    </row>
    <row r="339" spans="1:5">
      <c r="A339">
        <v>100750</v>
      </c>
      <c r="B339" t="s">
        <v>1083</v>
      </c>
      <c r="C339" t="s">
        <v>534</v>
      </c>
      <c r="D339" t="s">
        <v>534</v>
      </c>
      <c r="E339" t="s">
        <v>2384</v>
      </c>
    </row>
    <row r="340" spans="1:5">
      <c r="A340">
        <v>100760</v>
      </c>
      <c r="B340" t="s">
        <v>1084</v>
      </c>
      <c r="C340" t="s">
        <v>534</v>
      </c>
      <c r="D340" t="s">
        <v>534</v>
      </c>
      <c r="E340" t="s">
        <v>2384</v>
      </c>
    </row>
    <row r="341" spans="1:5">
      <c r="A341">
        <v>100761</v>
      </c>
      <c r="B341" t="s">
        <v>1085</v>
      </c>
      <c r="C341" t="s">
        <v>534</v>
      </c>
      <c r="D341" t="s">
        <v>534</v>
      </c>
      <c r="E341" t="s">
        <v>2384</v>
      </c>
    </row>
    <row r="342" spans="1:5">
      <c r="A342">
        <v>100762</v>
      </c>
      <c r="B342" t="s">
        <v>1086</v>
      </c>
      <c r="C342" t="s">
        <v>534</v>
      </c>
      <c r="D342" t="s">
        <v>534</v>
      </c>
      <c r="E342" t="s">
        <v>2384</v>
      </c>
    </row>
    <row r="343" spans="1:5">
      <c r="A343">
        <v>100763</v>
      </c>
      <c r="B343" t="s">
        <v>1087</v>
      </c>
      <c r="C343" t="s">
        <v>534</v>
      </c>
      <c r="D343" t="s">
        <v>534</v>
      </c>
      <c r="E343" t="s">
        <v>2384</v>
      </c>
    </row>
    <row r="344" spans="1:5">
      <c r="A344">
        <v>100765</v>
      </c>
      <c r="B344" t="s">
        <v>1088</v>
      </c>
      <c r="C344" t="s">
        <v>534</v>
      </c>
      <c r="D344" t="s">
        <v>534</v>
      </c>
      <c r="E344" t="s">
        <v>2384</v>
      </c>
    </row>
    <row r="345" spans="1:5">
      <c r="A345">
        <v>100770</v>
      </c>
      <c r="B345" t="s">
        <v>1089</v>
      </c>
      <c r="C345" t="s">
        <v>534</v>
      </c>
      <c r="D345" t="s">
        <v>534</v>
      </c>
      <c r="E345" t="s">
        <v>2384</v>
      </c>
    </row>
    <row r="346" spans="1:5">
      <c r="A346">
        <v>100780</v>
      </c>
      <c r="B346" t="s">
        <v>1090</v>
      </c>
      <c r="C346" t="s">
        <v>534</v>
      </c>
      <c r="D346" t="s">
        <v>534</v>
      </c>
      <c r="E346" t="s">
        <v>2384</v>
      </c>
    </row>
    <row r="347" spans="1:5">
      <c r="A347">
        <v>110510</v>
      </c>
      <c r="B347" t="s">
        <v>1315</v>
      </c>
      <c r="C347" t="s">
        <v>17</v>
      </c>
      <c r="D347" t="s">
        <v>17</v>
      </c>
      <c r="E347" t="s">
        <v>2384</v>
      </c>
    </row>
    <row r="348" spans="1:5">
      <c r="A348">
        <v>110520</v>
      </c>
      <c r="B348" t="s">
        <v>1316</v>
      </c>
      <c r="C348" t="s">
        <v>17</v>
      </c>
      <c r="D348" t="s">
        <v>17</v>
      </c>
      <c r="E348" t="s">
        <v>2384</v>
      </c>
    </row>
    <row r="349" spans="1:5">
      <c r="A349">
        <v>110530</v>
      </c>
      <c r="B349" t="s">
        <v>1317</v>
      </c>
      <c r="C349" t="s">
        <v>17</v>
      </c>
      <c r="D349" t="s">
        <v>17</v>
      </c>
      <c r="E349" t="s">
        <v>2384</v>
      </c>
    </row>
    <row r="350" spans="1:5">
      <c r="A350">
        <v>110540</v>
      </c>
      <c r="B350" t="s">
        <v>1318</v>
      </c>
      <c r="C350" t="s">
        <v>17</v>
      </c>
      <c r="D350" t="s">
        <v>17</v>
      </c>
      <c r="E350" t="s">
        <v>2384</v>
      </c>
    </row>
    <row r="351" spans="1:5">
      <c r="A351">
        <v>110550</v>
      </c>
      <c r="B351" t="s">
        <v>1319</v>
      </c>
      <c r="C351" t="s">
        <v>17</v>
      </c>
      <c r="D351" t="s">
        <v>17</v>
      </c>
      <c r="E351" t="s">
        <v>2384</v>
      </c>
    </row>
    <row r="352" spans="1:5">
      <c r="A352">
        <v>110560</v>
      </c>
      <c r="B352" t="s">
        <v>1320</v>
      </c>
      <c r="C352" t="s">
        <v>17</v>
      </c>
      <c r="D352" t="s">
        <v>17</v>
      </c>
      <c r="E352" t="s">
        <v>2384</v>
      </c>
    </row>
    <row r="353" spans="1:5">
      <c r="A353">
        <v>110570</v>
      </c>
      <c r="B353" t="s">
        <v>1321</v>
      </c>
      <c r="C353" t="s">
        <v>17</v>
      </c>
      <c r="D353" t="s">
        <v>17</v>
      </c>
      <c r="E353" t="s">
        <v>2384</v>
      </c>
    </row>
    <row r="354" spans="1:5">
      <c r="A354">
        <v>110580</v>
      </c>
      <c r="B354" t="s">
        <v>1322</v>
      </c>
      <c r="C354" t="s">
        <v>17</v>
      </c>
      <c r="D354" t="s">
        <v>17</v>
      </c>
      <c r="E354" t="s">
        <v>2384</v>
      </c>
    </row>
    <row r="355" spans="1:5">
      <c r="A355">
        <v>110590</v>
      </c>
      <c r="B355" t="s">
        <v>1323</v>
      </c>
      <c r="C355" t="s">
        <v>17</v>
      </c>
      <c r="D355" t="s">
        <v>17</v>
      </c>
      <c r="E355" t="s">
        <v>2384</v>
      </c>
    </row>
    <row r="356" spans="1:5">
      <c r="A356">
        <v>110591</v>
      </c>
      <c r="B356" t="s">
        <v>1324</v>
      </c>
      <c r="C356" t="s">
        <v>17</v>
      </c>
      <c r="D356" t="s">
        <v>17</v>
      </c>
      <c r="E356" t="s">
        <v>2384</v>
      </c>
    </row>
    <row r="357" spans="1:5">
      <c r="A357">
        <v>110592</v>
      </c>
      <c r="B357" t="s">
        <v>1325</v>
      </c>
      <c r="C357" t="s">
        <v>17</v>
      </c>
      <c r="D357" t="s">
        <v>17</v>
      </c>
      <c r="E357" t="s">
        <v>2384</v>
      </c>
    </row>
    <row r="358" spans="1:5">
      <c r="A358">
        <v>110593</v>
      </c>
      <c r="B358" t="s">
        <v>1326</v>
      </c>
      <c r="C358" t="s">
        <v>17</v>
      </c>
      <c r="D358" t="s">
        <v>17</v>
      </c>
      <c r="E358" t="s">
        <v>2384</v>
      </c>
    </row>
    <row r="359" spans="1:5">
      <c r="A359">
        <v>110594</v>
      </c>
      <c r="B359" t="s">
        <v>1327</v>
      </c>
      <c r="C359" t="s">
        <v>17</v>
      </c>
      <c r="D359" t="s">
        <v>17</v>
      </c>
      <c r="E359" t="s">
        <v>2384</v>
      </c>
    </row>
    <row r="360" spans="1:5">
      <c r="A360">
        <v>110596</v>
      </c>
      <c r="B360" t="s">
        <v>1531</v>
      </c>
      <c r="C360" t="s">
        <v>17</v>
      </c>
      <c r="D360" t="s">
        <v>17</v>
      </c>
      <c r="E360" t="s">
        <v>2384</v>
      </c>
    </row>
    <row r="361" spans="1:5">
      <c r="A361">
        <v>110595</v>
      </c>
      <c r="B361" t="s">
        <v>1328</v>
      </c>
      <c r="C361" t="s">
        <v>17</v>
      </c>
      <c r="D361" t="s">
        <v>17</v>
      </c>
      <c r="E361" t="s">
        <v>2384</v>
      </c>
    </row>
    <row r="362" spans="1:5">
      <c r="A362">
        <v>120101</v>
      </c>
      <c r="B362" t="s">
        <v>1330</v>
      </c>
      <c r="C362" t="s">
        <v>540</v>
      </c>
      <c r="D362" t="s">
        <v>540</v>
      </c>
      <c r="E362" t="s">
        <v>2384</v>
      </c>
    </row>
    <row r="363" spans="1:5">
      <c r="A363">
        <v>120201</v>
      </c>
      <c r="B363" t="s">
        <v>1331</v>
      </c>
      <c r="C363" t="s">
        <v>540</v>
      </c>
      <c r="D363" t="s">
        <v>540</v>
      </c>
      <c r="E363" t="s">
        <v>2384</v>
      </c>
    </row>
    <row r="364" spans="1:5">
      <c r="A364">
        <v>101000</v>
      </c>
      <c r="B364" t="s">
        <v>1097</v>
      </c>
      <c r="C364" t="s">
        <v>541</v>
      </c>
      <c r="D364" t="s">
        <v>541</v>
      </c>
      <c r="E364" t="s">
        <v>2384</v>
      </c>
    </row>
    <row r="365" spans="1:5">
      <c r="A365">
        <v>101001</v>
      </c>
      <c r="B365" t="s">
        <v>1098</v>
      </c>
      <c r="C365" t="s">
        <v>541</v>
      </c>
      <c r="D365" t="s">
        <v>541</v>
      </c>
      <c r="E365" t="s">
        <v>2384</v>
      </c>
    </row>
    <row r="366" spans="1:5">
      <c r="A366">
        <v>101002</v>
      </c>
      <c r="B366" t="s">
        <v>1099</v>
      </c>
      <c r="C366" t="s">
        <v>541</v>
      </c>
      <c r="D366" t="s">
        <v>541</v>
      </c>
      <c r="E366" t="s">
        <v>2384</v>
      </c>
    </row>
    <row r="367" spans="1:5">
      <c r="A367">
        <v>101003</v>
      </c>
      <c r="B367" t="s">
        <v>1100</v>
      </c>
      <c r="C367" t="s">
        <v>541</v>
      </c>
      <c r="D367" t="s">
        <v>541</v>
      </c>
      <c r="E367" t="s">
        <v>2384</v>
      </c>
    </row>
    <row r="368" spans="1:5">
      <c r="A368">
        <v>101060</v>
      </c>
      <c r="B368" t="s">
        <v>1103</v>
      </c>
      <c r="C368" t="s">
        <v>541</v>
      </c>
      <c r="D368" t="s">
        <v>541</v>
      </c>
      <c r="E368" t="s">
        <v>2384</v>
      </c>
    </row>
    <row r="369" spans="1:5">
      <c r="A369">
        <v>101130</v>
      </c>
      <c r="B369" t="s">
        <v>1107</v>
      </c>
      <c r="C369" t="s">
        <v>541</v>
      </c>
      <c r="D369" t="s">
        <v>541</v>
      </c>
      <c r="E369" t="s">
        <v>2384</v>
      </c>
    </row>
    <row r="370" spans="1:5">
      <c r="A370">
        <v>101170</v>
      </c>
      <c r="B370" t="s">
        <v>1110</v>
      </c>
      <c r="C370" t="s">
        <v>541</v>
      </c>
      <c r="D370" t="s">
        <v>541</v>
      </c>
      <c r="E370" t="s">
        <v>2384</v>
      </c>
    </row>
    <row r="371" spans="1:5">
      <c r="A371">
        <v>101180</v>
      </c>
      <c r="B371" t="s">
        <v>1111</v>
      </c>
      <c r="C371" t="s">
        <v>541</v>
      </c>
      <c r="D371" t="s">
        <v>541</v>
      </c>
      <c r="E371" t="s">
        <v>2384</v>
      </c>
    </row>
    <row r="372" spans="1:5">
      <c r="A372">
        <v>101066</v>
      </c>
      <c r="B372" t="s">
        <v>2375</v>
      </c>
      <c r="C372" t="s">
        <v>541</v>
      </c>
      <c r="D372" t="s">
        <v>541</v>
      </c>
      <c r="E372" t="s">
        <v>2384</v>
      </c>
    </row>
    <row r="373" spans="1:5">
      <c r="A373">
        <v>101120</v>
      </c>
      <c r="B373" t="s">
        <v>1106</v>
      </c>
      <c r="C373" t="s">
        <v>542</v>
      </c>
      <c r="D373" t="s">
        <v>542</v>
      </c>
      <c r="E373" t="s">
        <v>2384</v>
      </c>
    </row>
    <row r="374" spans="1:5">
      <c r="A374">
        <v>101050</v>
      </c>
      <c r="B374" t="s">
        <v>1101</v>
      </c>
      <c r="C374" t="s">
        <v>543</v>
      </c>
      <c r="D374" t="s">
        <v>543</v>
      </c>
      <c r="E374" t="s">
        <v>2384</v>
      </c>
    </row>
    <row r="375" spans="1:5">
      <c r="A375">
        <v>101052</v>
      </c>
      <c r="B375" t="s">
        <v>1102</v>
      </c>
      <c r="C375" t="s">
        <v>543</v>
      </c>
      <c r="D375" t="s">
        <v>543</v>
      </c>
      <c r="E375" t="s">
        <v>2384</v>
      </c>
    </row>
    <row r="376" spans="1:5">
      <c r="A376">
        <v>100800</v>
      </c>
      <c r="B376" t="s">
        <v>1091</v>
      </c>
      <c r="C376" t="s">
        <v>221</v>
      </c>
      <c r="D376" t="s">
        <v>221</v>
      </c>
      <c r="E376" t="s">
        <v>2384</v>
      </c>
    </row>
    <row r="377" spans="1:5">
      <c r="A377">
        <v>100801</v>
      </c>
      <c r="B377" t="s">
        <v>1092</v>
      </c>
      <c r="C377" t="s">
        <v>221</v>
      </c>
      <c r="D377" t="s">
        <v>221</v>
      </c>
      <c r="E377" t="s">
        <v>2384</v>
      </c>
    </row>
    <row r="378" spans="1:5">
      <c r="A378">
        <v>100802</v>
      </c>
      <c r="B378" t="s">
        <v>1093</v>
      </c>
      <c r="C378" t="s">
        <v>221</v>
      </c>
      <c r="D378" t="s">
        <v>221</v>
      </c>
      <c r="E378" t="s">
        <v>2384</v>
      </c>
    </row>
    <row r="379" spans="1:5">
      <c r="A379">
        <v>100803</v>
      </c>
      <c r="B379" t="s">
        <v>1094</v>
      </c>
      <c r="C379" t="s">
        <v>221</v>
      </c>
      <c r="D379" t="s">
        <v>221</v>
      </c>
      <c r="E379" t="s">
        <v>2384</v>
      </c>
    </row>
    <row r="380" spans="1:5">
      <c r="A380">
        <v>100804</v>
      </c>
      <c r="B380" t="s">
        <v>1095</v>
      </c>
      <c r="C380" t="s">
        <v>221</v>
      </c>
      <c r="D380" t="s">
        <v>221</v>
      </c>
      <c r="E380" t="s">
        <v>2384</v>
      </c>
    </row>
    <row r="381" spans="1:5">
      <c r="A381">
        <v>100807</v>
      </c>
      <c r="B381" t="s">
        <v>1096</v>
      </c>
      <c r="C381" t="s">
        <v>221</v>
      </c>
      <c r="D381" t="s">
        <v>221</v>
      </c>
      <c r="E381" t="s">
        <v>2384</v>
      </c>
    </row>
    <row r="382" spans="1:5">
      <c r="A382">
        <v>100300</v>
      </c>
      <c r="B382" t="s">
        <v>974</v>
      </c>
      <c r="C382" t="s">
        <v>553</v>
      </c>
      <c r="D382" t="s">
        <v>553</v>
      </c>
      <c r="E382" t="s">
        <v>2384</v>
      </c>
    </row>
    <row r="383" spans="1:5">
      <c r="A383">
        <v>100301</v>
      </c>
      <c r="B383" t="s">
        <v>975</v>
      </c>
      <c r="C383" t="s">
        <v>553</v>
      </c>
      <c r="D383" t="s">
        <v>553</v>
      </c>
      <c r="E383" t="s">
        <v>2384</v>
      </c>
    </row>
    <row r="384" spans="1:5">
      <c r="A384">
        <v>100302</v>
      </c>
      <c r="B384" t="s">
        <v>976</v>
      </c>
      <c r="C384" t="s">
        <v>553</v>
      </c>
      <c r="D384" t="s">
        <v>553</v>
      </c>
      <c r="E384" t="s">
        <v>2384</v>
      </c>
    </row>
    <row r="385" spans="1:5">
      <c r="A385">
        <v>100303</v>
      </c>
      <c r="B385" t="s">
        <v>977</v>
      </c>
      <c r="C385" t="s">
        <v>553</v>
      </c>
      <c r="D385" t="s">
        <v>553</v>
      </c>
      <c r="E385" t="s">
        <v>2384</v>
      </c>
    </row>
    <row r="386" spans="1:5">
      <c r="A386">
        <v>100304</v>
      </c>
      <c r="B386" t="s">
        <v>978</v>
      </c>
      <c r="C386" t="s">
        <v>553</v>
      </c>
      <c r="D386" t="s">
        <v>553</v>
      </c>
      <c r="E386" t="s">
        <v>2384</v>
      </c>
    </row>
    <row r="387" spans="1:5">
      <c r="A387">
        <v>100305</v>
      </c>
      <c r="B387" t="s">
        <v>979</v>
      </c>
      <c r="C387" t="s">
        <v>553</v>
      </c>
      <c r="D387" t="s">
        <v>553</v>
      </c>
      <c r="E387" t="s">
        <v>2384</v>
      </c>
    </row>
    <row r="388" spans="1:5">
      <c r="A388">
        <v>100314</v>
      </c>
      <c r="B388" t="s">
        <v>980</v>
      </c>
      <c r="C388" t="s">
        <v>553</v>
      </c>
      <c r="D388" t="s">
        <v>553</v>
      </c>
      <c r="E388" t="s">
        <v>2384</v>
      </c>
    </row>
    <row r="389" spans="1:5">
      <c r="A389">
        <v>100320</v>
      </c>
      <c r="B389" t="s">
        <v>981</v>
      </c>
      <c r="C389" t="s">
        <v>553</v>
      </c>
      <c r="D389" t="s">
        <v>553</v>
      </c>
      <c r="E389" t="s">
        <v>2384</v>
      </c>
    </row>
    <row r="390" spans="1:5">
      <c r="A390">
        <v>100325</v>
      </c>
      <c r="B390" t="s">
        <v>982</v>
      </c>
      <c r="C390" t="s">
        <v>553</v>
      </c>
      <c r="D390" t="s">
        <v>553</v>
      </c>
      <c r="E390" t="s">
        <v>2384</v>
      </c>
    </row>
    <row r="391" spans="1:5">
      <c r="A391">
        <v>100327</v>
      </c>
      <c r="B391" t="s">
        <v>983</v>
      </c>
      <c r="C391" t="s">
        <v>553</v>
      </c>
      <c r="D391" t="s">
        <v>553</v>
      </c>
      <c r="E391" t="s">
        <v>2384</v>
      </c>
    </row>
    <row r="392" spans="1:5">
      <c r="A392">
        <v>100400</v>
      </c>
      <c r="B392" t="s">
        <v>984</v>
      </c>
      <c r="C392" t="s">
        <v>553</v>
      </c>
      <c r="D392" t="s">
        <v>553</v>
      </c>
      <c r="E392" t="s">
        <v>2384</v>
      </c>
    </row>
    <row r="393" spans="1:5">
      <c r="A393">
        <v>100440</v>
      </c>
      <c r="B393" t="s">
        <v>985</v>
      </c>
      <c r="C393" t="s">
        <v>553</v>
      </c>
      <c r="D393" t="s">
        <v>553</v>
      </c>
      <c r="E393" t="s">
        <v>2384</v>
      </c>
    </row>
    <row r="394" spans="1:5">
      <c r="A394">
        <v>100441</v>
      </c>
      <c r="B394" t="s">
        <v>986</v>
      </c>
      <c r="C394" t="s">
        <v>553</v>
      </c>
      <c r="D394" t="s">
        <v>553</v>
      </c>
      <c r="E394" t="s">
        <v>2384</v>
      </c>
    </row>
    <row r="395" spans="1:5">
      <c r="A395">
        <v>100450</v>
      </c>
      <c r="B395" t="s">
        <v>987</v>
      </c>
      <c r="C395" t="s">
        <v>553</v>
      </c>
      <c r="D395" t="s">
        <v>553</v>
      </c>
      <c r="E395" t="s">
        <v>2384</v>
      </c>
    </row>
    <row r="396" spans="1:5">
      <c r="A396">
        <v>100451</v>
      </c>
      <c r="B396" t="s">
        <v>2198</v>
      </c>
      <c r="C396" t="s">
        <v>553</v>
      </c>
      <c r="D396" t="s">
        <v>553</v>
      </c>
      <c r="E396" t="s">
        <v>2384</v>
      </c>
    </row>
    <row r="397" spans="1:5">
      <c r="A397">
        <v>100452</v>
      </c>
      <c r="B397" t="s">
        <v>2199</v>
      </c>
      <c r="C397" t="s">
        <v>553</v>
      </c>
      <c r="D397" t="s">
        <v>553</v>
      </c>
      <c r="E397" t="s">
        <v>2384</v>
      </c>
    </row>
    <row r="398" spans="1:5">
      <c r="A398">
        <v>100454</v>
      </c>
      <c r="B398" t="s">
        <v>2284</v>
      </c>
      <c r="C398" t="s">
        <v>553</v>
      </c>
      <c r="D398" t="s">
        <v>553</v>
      </c>
      <c r="E398" t="s">
        <v>2384</v>
      </c>
    </row>
    <row r="399" spans="1:5">
      <c r="A399">
        <v>100460</v>
      </c>
      <c r="B399" t="s">
        <v>988</v>
      </c>
      <c r="C399" t="s">
        <v>553</v>
      </c>
      <c r="D399" t="s">
        <v>553</v>
      </c>
      <c r="E399" t="s">
        <v>2384</v>
      </c>
    </row>
    <row r="400" spans="1:5">
      <c r="A400">
        <v>100470</v>
      </c>
      <c r="B400" t="s">
        <v>989</v>
      </c>
      <c r="C400" t="s">
        <v>553</v>
      </c>
      <c r="D400" t="s">
        <v>553</v>
      </c>
      <c r="E400" t="s">
        <v>2384</v>
      </c>
    </row>
    <row r="401" spans="1:5">
      <c r="A401">
        <v>100480</v>
      </c>
      <c r="B401" t="s">
        <v>990</v>
      </c>
      <c r="C401" t="s">
        <v>553</v>
      </c>
      <c r="D401" t="s">
        <v>553</v>
      </c>
      <c r="E401" t="s">
        <v>2384</v>
      </c>
    </row>
    <row r="402" spans="1:5">
      <c r="A402">
        <v>100490</v>
      </c>
      <c r="B402" t="s">
        <v>991</v>
      </c>
      <c r="C402" t="s">
        <v>553</v>
      </c>
      <c r="D402" t="s">
        <v>553</v>
      </c>
      <c r="E402" t="s">
        <v>2384</v>
      </c>
    </row>
    <row r="403" spans="1:5">
      <c r="A403">
        <v>100491</v>
      </c>
      <c r="B403" t="s">
        <v>992</v>
      </c>
      <c r="C403" t="s">
        <v>553</v>
      </c>
      <c r="D403" t="s">
        <v>553</v>
      </c>
      <c r="E403" t="s">
        <v>2384</v>
      </c>
    </row>
    <row r="404" spans="1:5">
      <c r="A404">
        <v>100500</v>
      </c>
      <c r="B404" t="s">
        <v>993</v>
      </c>
      <c r="C404" t="s">
        <v>553</v>
      </c>
      <c r="D404" t="s">
        <v>553</v>
      </c>
      <c r="E404" t="s">
        <v>2384</v>
      </c>
    </row>
    <row r="405" spans="1:5">
      <c r="A405">
        <v>100516</v>
      </c>
      <c r="B405" t="s">
        <v>1008</v>
      </c>
      <c r="C405" t="s">
        <v>553</v>
      </c>
      <c r="D405" t="s">
        <v>553</v>
      </c>
      <c r="E405" t="s">
        <v>2384</v>
      </c>
    </row>
    <row r="406" spans="1:5">
      <c r="A406">
        <v>100520</v>
      </c>
      <c r="B406" t="s">
        <v>1010</v>
      </c>
      <c r="C406" t="s">
        <v>553</v>
      </c>
      <c r="D406" t="s">
        <v>553</v>
      </c>
      <c r="E406" t="s">
        <v>2384</v>
      </c>
    </row>
    <row r="407" spans="1:5">
      <c r="A407">
        <v>100600</v>
      </c>
      <c r="B407" t="s">
        <v>1079</v>
      </c>
      <c r="C407" t="s">
        <v>553</v>
      </c>
      <c r="D407" t="s">
        <v>553</v>
      </c>
      <c r="E407" t="s">
        <v>2384</v>
      </c>
    </row>
    <row r="408" spans="1:5">
      <c r="A408">
        <v>100501</v>
      </c>
      <c r="B408" t="s">
        <v>994</v>
      </c>
      <c r="C408" t="s">
        <v>553</v>
      </c>
      <c r="D408" t="s">
        <v>553</v>
      </c>
      <c r="E408" t="s">
        <v>2384</v>
      </c>
    </row>
    <row r="409" spans="1:5">
      <c r="A409">
        <v>100502</v>
      </c>
      <c r="B409" t="s">
        <v>995</v>
      </c>
      <c r="C409" t="s">
        <v>553</v>
      </c>
      <c r="D409" t="s">
        <v>553</v>
      </c>
      <c r="E409" t="s">
        <v>2384</v>
      </c>
    </row>
    <row r="410" spans="1:5">
      <c r="A410">
        <v>100503</v>
      </c>
      <c r="B410" t="s">
        <v>996</v>
      </c>
      <c r="C410" t="s">
        <v>553</v>
      </c>
      <c r="D410" t="s">
        <v>553</v>
      </c>
      <c r="E410" t="s">
        <v>2384</v>
      </c>
    </row>
    <row r="411" spans="1:5">
      <c r="A411">
        <v>100504</v>
      </c>
      <c r="B411" t="s">
        <v>997</v>
      </c>
      <c r="C411" t="s">
        <v>553</v>
      </c>
      <c r="D411" t="s">
        <v>553</v>
      </c>
      <c r="E411" t="s">
        <v>2384</v>
      </c>
    </row>
    <row r="412" spans="1:5">
      <c r="A412">
        <v>100505</v>
      </c>
      <c r="B412" t="s">
        <v>998</v>
      </c>
      <c r="C412" t="s">
        <v>553</v>
      </c>
      <c r="D412" t="s">
        <v>553</v>
      </c>
      <c r="E412" t="s">
        <v>2384</v>
      </c>
    </row>
    <row r="413" spans="1:5">
      <c r="A413">
        <v>100506</v>
      </c>
      <c r="B413" t="s">
        <v>999</v>
      </c>
      <c r="C413" t="s">
        <v>553</v>
      </c>
      <c r="D413" t="s">
        <v>553</v>
      </c>
      <c r="E413" t="s">
        <v>2384</v>
      </c>
    </row>
    <row r="414" spans="1:5">
      <c r="A414">
        <v>100507</v>
      </c>
      <c r="B414" t="s">
        <v>1000</v>
      </c>
      <c r="C414" t="s">
        <v>553</v>
      </c>
      <c r="D414" t="s">
        <v>553</v>
      </c>
      <c r="E414" t="s">
        <v>2384</v>
      </c>
    </row>
    <row r="415" spans="1:5">
      <c r="A415">
        <v>100508</v>
      </c>
      <c r="B415" t="s">
        <v>1001</v>
      </c>
      <c r="C415" t="s">
        <v>553</v>
      </c>
      <c r="D415" t="s">
        <v>553</v>
      </c>
      <c r="E415" t="s">
        <v>2384</v>
      </c>
    </row>
    <row r="416" spans="1:5">
      <c r="A416">
        <v>100509</v>
      </c>
      <c r="B416" t="s">
        <v>1002</v>
      </c>
      <c r="C416" t="s">
        <v>553</v>
      </c>
      <c r="D416" t="s">
        <v>553</v>
      </c>
      <c r="E416" t="s">
        <v>2384</v>
      </c>
    </row>
    <row r="417" spans="1:5">
      <c r="A417">
        <v>100510</v>
      </c>
      <c r="B417" t="s">
        <v>1003</v>
      </c>
      <c r="C417" t="s">
        <v>553</v>
      </c>
      <c r="D417" t="s">
        <v>553</v>
      </c>
      <c r="E417" t="s">
        <v>2384</v>
      </c>
    </row>
    <row r="418" spans="1:5">
      <c r="A418">
        <v>100513</v>
      </c>
      <c r="B418" t="s">
        <v>1005</v>
      </c>
      <c r="C418" t="s">
        <v>553</v>
      </c>
      <c r="D418" t="s">
        <v>553</v>
      </c>
      <c r="E418" t="s">
        <v>2384</v>
      </c>
    </row>
    <row r="419" spans="1:5">
      <c r="A419">
        <v>100514</v>
      </c>
      <c r="B419" t="s">
        <v>1006</v>
      </c>
      <c r="C419" t="s">
        <v>553</v>
      </c>
      <c r="D419" t="s">
        <v>553</v>
      </c>
      <c r="E419" t="s">
        <v>2384</v>
      </c>
    </row>
    <row r="420" spans="1:5">
      <c r="A420">
        <v>100519</v>
      </c>
      <c r="B420" t="s">
        <v>1009</v>
      </c>
      <c r="C420" t="s">
        <v>553</v>
      </c>
      <c r="D420" t="s">
        <v>553</v>
      </c>
      <c r="E420" t="s">
        <v>2384</v>
      </c>
    </row>
    <row r="421" spans="1:5">
      <c r="A421">
        <v>100531</v>
      </c>
      <c r="B421" t="s">
        <v>2388</v>
      </c>
      <c r="C421" t="s">
        <v>553</v>
      </c>
      <c r="D421" t="s">
        <v>553</v>
      </c>
      <c r="E421" t="s">
        <v>2384</v>
      </c>
    </row>
    <row r="422" spans="1:5">
      <c r="A422">
        <v>100535</v>
      </c>
      <c r="B422" t="s">
        <v>1023</v>
      </c>
      <c r="C422" t="s">
        <v>553</v>
      </c>
      <c r="D422" t="s">
        <v>553</v>
      </c>
      <c r="E422" t="s">
        <v>2384</v>
      </c>
    </row>
    <row r="423" spans="1:5">
      <c r="A423">
        <v>100511</v>
      </c>
      <c r="B423" t="s">
        <v>1004</v>
      </c>
      <c r="C423" t="s">
        <v>553</v>
      </c>
      <c r="D423" t="s">
        <v>553</v>
      </c>
      <c r="E423" t="s">
        <v>2384</v>
      </c>
    </row>
    <row r="424" spans="1:5">
      <c r="A424">
        <v>200021</v>
      </c>
      <c r="B424" t="s">
        <v>1341</v>
      </c>
      <c r="C424" t="s">
        <v>553</v>
      </c>
      <c r="D424" t="s">
        <v>553</v>
      </c>
      <c r="E424" t="s">
        <v>2384</v>
      </c>
    </row>
    <row r="425" spans="1:5">
      <c r="A425">
        <v>100539</v>
      </c>
      <c r="B425" t="s">
        <v>1024</v>
      </c>
      <c r="C425" t="s">
        <v>553</v>
      </c>
      <c r="D425" t="s">
        <v>553</v>
      </c>
      <c r="E425" t="s">
        <v>2384</v>
      </c>
    </row>
    <row r="426" spans="1:5">
      <c r="A426">
        <v>100525</v>
      </c>
      <c r="B426" t="s">
        <v>1016</v>
      </c>
      <c r="C426" t="s">
        <v>553</v>
      </c>
      <c r="D426" t="s">
        <v>553</v>
      </c>
      <c r="E426" t="s">
        <v>2384</v>
      </c>
    </row>
    <row r="427" spans="1:5">
      <c r="A427">
        <v>100545</v>
      </c>
      <c r="B427" t="s">
        <v>1025</v>
      </c>
      <c r="C427" t="s">
        <v>553</v>
      </c>
      <c r="D427" t="s">
        <v>553</v>
      </c>
      <c r="E427" t="s">
        <v>2384</v>
      </c>
    </row>
    <row r="428" spans="1:5">
      <c r="A428">
        <v>100546</v>
      </c>
      <c r="B428" t="s">
        <v>552</v>
      </c>
      <c r="C428" t="s">
        <v>553</v>
      </c>
      <c r="D428" t="s">
        <v>553</v>
      </c>
      <c r="E428" t="s">
        <v>2384</v>
      </c>
    </row>
    <row r="429" spans="1:5">
      <c r="A429">
        <v>100806</v>
      </c>
      <c r="B429" t="s">
        <v>220</v>
      </c>
      <c r="C429" t="s">
        <v>553</v>
      </c>
      <c r="D429" t="s">
        <v>553</v>
      </c>
      <c r="E429" t="s">
        <v>2384</v>
      </c>
    </row>
    <row r="430" spans="1:5">
      <c r="A430">
        <v>100515</v>
      </c>
      <c r="B430" t="s">
        <v>1007</v>
      </c>
      <c r="C430" t="s">
        <v>557</v>
      </c>
      <c r="D430" t="s">
        <v>557</v>
      </c>
      <c r="E430" t="s">
        <v>2384</v>
      </c>
    </row>
    <row r="431" spans="1:5">
      <c r="A431">
        <v>100492</v>
      </c>
      <c r="B431" t="s">
        <v>555</v>
      </c>
      <c r="C431" t="s">
        <v>557</v>
      </c>
      <c r="D431" t="s">
        <v>557</v>
      </c>
      <c r="E431" t="s">
        <v>2384</v>
      </c>
    </row>
    <row r="432" spans="1:5">
      <c r="A432">
        <v>100493</v>
      </c>
      <c r="B432" t="s">
        <v>556</v>
      </c>
      <c r="C432" t="s">
        <v>557</v>
      </c>
      <c r="D432" t="s">
        <v>557</v>
      </c>
      <c r="E432" t="s">
        <v>2384</v>
      </c>
    </row>
    <row r="433" spans="1:5">
      <c r="A433">
        <v>100517</v>
      </c>
      <c r="B433" t="s">
        <v>1011</v>
      </c>
      <c r="C433" t="s">
        <v>557</v>
      </c>
      <c r="D433" t="s">
        <v>557</v>
      </c>
      <c r="E433" t="s">
        <v>2384</v>
      </c>
    </row>
    <row r="434" spans="1:5">
      <c r="A434">
        <v>100521</v>
      </c>
      <c r="B434" t="s">
        <v>1012</v>
      </c>
      <c r="C434" t="s">
        <v>557</v>
      </c>
      <c r="D434" t="s">
        <v>557</v>
      </c>
      <c r="E434" t="s">
        <v>2384</v>
      </c>
    </row>
    <row r="435" spans="1:5">
      <c r="A435">
        <v>100522</v>
      </c>
      <c r="B435" t="s">
        <v>1013</v>
      </c>
      <c r="C435" t="s">
        <v>557</v>
      </c>
      <c r="D435" t="s">
        <v>557</v>
      </c>
      <c r="E435" t="s">
        <v>2384</v>
      </c>
    </row>
    <row r="436" spans="1:5">
      <c r="A436">
        <v>100523</v>
      </c>
      <c r="B436" t="s">
        <v>1014</v>
      </c>
      <c r="C436" t="s">
        <v>557</v>
      </c>
      <c r="D436" t="s">
        <v>557</v>
      </c>
      <c r="E436" t="s">
        <v>2384</v>
      </c>
    </row>
    <row r="437" spans="1:5">
      <c r="A437">
        <v>100524</v>
      </c>
      <c r="B437" t="s">
        <v>1015</v>
      </c>
      <c r="C437" t="s">
        <v>557</v>
      </c>
      <c r="D437" t="s">
        <v>557</v>
      </c>
      <c r="E437" t="s">
        <v>2384</v>
      </c>
    </row>
    <row r="438" spans="1:5">
      <c r="A438">
        <v>100526</v>
      </c>
      <c r="B438" t="s">
        <v>1017</v>
      </c>
      <c r="C438" t="s">
        <v>557</v>
      </c>
      <c r="D438" t="s">
        <v>557</v>
      </c>
      <c r="E438" t="s">
        <v>2384</v>
      </c>
    </row>
    <row r="439" spans="1:5">
      <c r="A439">
        <v>100527</v>
      </c>
      <c r="B439" t="s">
        <v>558</v>
      </c>
      <c r="C439" t="s">
        <v>557</v>
      </c>
      <c r="D439" t="s">
        <v>557</v>
      </c>
      <c r="E439" t="s">
        <v>2384</v>
      </c>
    </row>
    <row r="440" spans="1:5">
      <c r="A440">
        <v>100528</v>
      </c>
      <c r="B440" t="s">
        <v>1018</v>
      </c>
      <c r="C440" t="s">
        <v>557</v>
      </c>
      <c r="D440" t="s">
        <v>557</v>
      </c>
      <c r="E440" t="s">
        <v>2384</v>
      </c>
    </row>
    <row r="441" spans="1:5">
      <c r="A441">
        <v>100530</v>
      </c>
      <c r="B441" t="s">
        <v>560</v>
      </c>
      <c r="C441" t="s">
        <v>557</v>
      </c>
      <c r="D441" t="s">
        <v>557</v>
      </c>
      <c r="E441" t="s">
        <v>2384</v>
      </c>
    </row>
    <row r="442" spans="1:5">
      <c r="A442">
        <v>100533</v>
      </c>
      <c r="B442" t="s">
        <v>1021</v>
      </c>
      <c r="C442" t="s">
        <v>557</v>
      </c>
      <c r="D442" t="s">
        <v>557</v>
      </c>
      <c r="E442" t="s">
        <v>2384</v>
      </c>
    </row>
    <row r="443" spans="1:5">
      <c r="A443">
        <v>100534</v>
      </c>
      <c r="B443" t="s">
        <v>1022</v>
      </c>
      <c r="C443" t="s">
        <v>557</v>
      </c>
      <c r="D443" t="s">
        <v>557</v>
      </c>
      <c r="E443" t="s">
        <v>2384</v>
      </c>
    </row>
    <row r="444" spans="1:5">
      <c r="A444">
        <v>100536</v>
      </c>
      <c r="B444" t="s">
        <v>559</v>
      </c>
      <c r="C444" t="s">
        <v>557</v>
      </c>
      <c r="D444" t="s">
        <v>557</v>
      </c>
      <c r="E444" t="s">
        <v>2384</v>
      </c>
    </row>
    <row r="445" spans="1:5">
      <c r="A445">
        <v>100540</v>
      </c>
      <c r="B445" t="s">
        <v>1026</v>
      </c>
      <c r="C445" t="s">
        <v>557</v>
      </c>
      <c r="D445" t="s">
        <v>557</v>
      </c>
      <c r="E445" t="s">
        <v>2384</v>
      </c>
    </row>
    <row r="446" spans="1:5">
      <c r="A446">
        <v>100541</v>
      </c>
      <c r="B446" t="s">
        <v>1027</v>
      </c>
      <c r="C446" t="s">
        <v>557</v>
      </c>
      <c r="D446" t="s">
        <v>557</v>
      </c>
      <c r="E446" t="s">
        <v>2384</v>
      </c>
    </row>
    <row r="447" spans="1:5">
      <c r="A447">
        <v>100542</v>
      </c>
      <c r="B447" t="s">
        <v>1028</v>
      </c>
      <c r="C447" t="s">
        <v>557</v>
      </c>
      <c r="D447" t="s">
        <v>557</v>
      </c>
      <c r="E447" t="s">
        <v>2384</v>
      </c>
    </row>
    <row r="448" spans="1:5">
      <c r="A448">
        <v>100593</v>
      </c>
      <c r="B448" t="s">
        <v>1073</v>
      </c>
      <c r="C448" t="s">
        <v>557</v>
      </c>
      <c r="D448" t="s">
        <v>557</v>
      </c>
      <c r="E448" t="s">
        <v>2384</v>
      </c>
    </row>
    <row r="449" spans="1:5">
      <c r="A449">
        <v>101861</v>
      </c>
      <c r="B449" t="s">
        <v>2285</v>
      </c>
      <c r="C449" t="s">
        <v>557</v>
      </c>
      <c r="D449" t="s">
        <v>557</v>
      </c>
      <c r="E449" t="s">
        <v>2384</v>
      </c>
    </row>
    <row r="450" spans="1:5">
      <c r="A450">
        <v>101321</v>
      </c>
      <c r="B450" t="s">
        <v>1127</v>
      </c>
      <c r="C450" t="s">
        <v>564</v>
      </c>
      <c r="D450" t="s">
        <v>564</v>
      </c>
      <c r="E450" t="s">
        <v>2384</v>
      </c>
    </row>
    <row r="451" spans="1:5">
      <c r="A451">
        <v>101323</v>
      </c>
      <c r="B451" t="s">
        <v>1129</v>
      </c>
      <c r="C451" t="s">
        <v>564</v>
      </c>
      <c r="D451" t="s">
        <v>564</v>
      </c>
      <c r="E451" t="s">
        <v>2384</v>
      </c>
    </row>
    <row r="452" spans="1:5">
      <c r="A452">
        <v>101327</v>
      </c>
      <c r="B452" t="s">
        <v>1133</v>
      </c>
      <c r="C452" t="s">
        <v>564</v>
      </c>
      <c r="D452" t="s">
        <v>564</v>
      </c>
      <c r="E452" t="s">
        <v>2384</v>
      </c>
    </row>
    <row r="453" spans="1:5">
      <c r="A453">
        <v>101328</v>
      </c>
      <c r="B453" t="s">
        <v>1134</v>
      </c>
      <c r="C453" t="s">
        <v>564</v>
      </c>
      <c r="D453" t="s">
        <v>564</v>
      </c>
      <c r="E453" t="s">
        <v>2384</v>
      </c>
    </row>
    <row r="454" spans="1:5">
      <c r="A454">
        <v>101329</v>
      </c>
      <c r="B454" t="s">
        <v>1135</v>
      </c>
      <c r="C454" t="s">
        <v>564</v>
      </c>
      <c r="D454" t="s">
        <v>564</v>
      </c>
      <c r="E454" t="s">
        <v>2384</v>
      </c>
    </row>
    <row r="455" spans="1:5">
      <c r="A455">
        <v>101331</v>
      </c>
      <c r="B455" t="s">
        <v>1137</v>
      </c>
      <c r="C455" t="s">
        <v>564</v>
      </c>
      <c r="D455" t="s">
        <v>564</v>
      </c>
      <c r="E455" t="s">
        <v>2384</v>
      </c>
    </row>
    <row r="456" spans="1:5">
      <c r="A456">
        <v>101332</v>
      </c>
      <c r="B456" t="s">
        <v>1138</v>
      </c>
      <c r="C456" t="s">
        <v>564</v>
      </c>
      <c r="D456" t="s">
        <v>564</v>
      </c>
      <c r="E456" t="s">
        <v>2384</v>
      </c>
    </row>
    <row r="457" spans="1:5">
      <c r="A457">
        <v>101333</v>
      </c>
      <c r="B457" t="s">
        <v>1139</v>
      </c>
      <c r="C457" t="s">
        <v>564</v>
      </c>
      <c r="D457" t="s">
        <v>564</v>
      </c>
      <c r="E457" t="s">
        <v>2384</v>
      </c>
    </row>
    <row r="458" spans="1:5">
      <c r="A458">
        <v>101334</v>
      </c>
      <c r="B458" t="s">
        <v>1140</v>
      </c>
      <c r="C458" t="s">
        <v>564</v>
      </c>
      <c r="D458" t="s">
        <v>564</v>
      </c>
      <c r="E458" t="s">
        <v>2384</v>
      </c>
    </row>
    <row r="459" spans="1:5">
      <c r="A459">
        <v>101322</v>
      </c>
      <c r="B459" t="s">
        <v>1128</v>
      </c>
      <c r="C459" t="s">
        <v>564</v>
      </c>
      <c r="D459" t="s">
        <v>564</v>
      </c>
      <c r="E459" t="s">
        <v>2384</v>
      </c>
    </row>
    <row r="460" spans="1:5">
      <c r="A460">
        <v>101190</v>
      </c>
      <c r="B460" t="s">
        <v>1112</v>
      </c>
      <c r="C460" t="s">
        <v>564</v>
      </c>
      <c r="D460" t="s">
        <v>564</v>
      </c>
      <c r="E460" t="s">
        <v>2384</v>
      </c>
    </row>
    <row r="461" spans="1:5">
      <c r="A461">
        <v>101415</v>
      </c>
      <c r="B461" t="s">
        <v>1186</v>
      </c>
      <c r="C461" t="s">
        <v>566</v>
      </c>
      <c r="D461" t="s">
        <v>566</v>
      </c>
      <c r="E461" t="s">
        <v>2384</v>
      </c>
    </row>
    <row r="462" spans="1:5">
      <c r="A462">
        <v>101416</v>
      </c>
      <c r="B462" t="s">
        <v>1187</v>
      </c>
      <c r="C462" t="s">
        <v>566</v>
      </c>
      <c r="D462" t="s">
        <v>566</v>
      </c>
      <c r="E462" t="s">
        <v>2384</v>
      </c>
    </row>
    <row r="463" spans="1:5">
      <c r="A463">
        <v>101417</v>
      </c>
      <c r="B463" t="s">
        <v>1188</v>
      </c>
      <c r="C463" t="s">
        <v>566</v>
      </c>
      <c r="D463" t="s">
        <v>566</v>
      </c>
      <c r="E463" t="s">
        <v>2384</v>
      </c>
    </row>
    <row r="464" spans="1:5">
      <c r="A464">
        <v>101418</v>
      </c>
      <c r="B464" t="s">
        <v>1189</v>
      </c>
      <c r="C464" t="s">
        <v>566</v>
      </c>
      <c r="D464" t="s">
        <v>566</v>
      </c>
      <c r="E464" t="s">
        <v>2384</v>
      </c>
    </row>
    <row r="465" spans="1:5">
      <c r="A465">
        <v>101420</v>
      </c>
      <c r="B465" t="s">
        <v>1190</v>
      </c>
      <c r="C465" t="s">
        <v>566</v>
      </c>
      <c r="D465" t="s">
        <v>566</v>
      </c>
      <c r="E465" t="s">
        <v>2384</v>
      </c>
    </row>
    <row r="466" spans="1:5">
      <c r="A466">
        <v>101421</v>
      </c>
      <c r="B466" t="s">
        <v>1191</v>
      </c>
      <c r="C466" t="s">
        <v>566</v>
      </c>
      <c r="D466" t="s">
        <v>566</v>
      </c>
      <c r="E466" t="s">
        <v>2384</v>
      </c>
    </row>
    <row r="467" spans="1:5">
      <c r="A467">
        <v>101425</v>
      </c>
      <c r="B467" t="s">
        <v>1192</v>
      </c>
      <c r="C467" t="s">
        <v>566</v>
      </c>
      <c r="D467" t="s">
        <v>566</v>
      </c>
      <c r="E467" t="s">
        <v>2384</v>
      </c>
    </row>
    <row r="468" spans="1:5">
      <c r="A468">
        <v>101430</v>
      </c>
      <c r="B468" t="s">
        <v>1193</v>
      </c>
      <c r="C468" t="s">
        <v>566</v>
      </c>
      <c r="D468" t="s">
        <v>566</v>
      </c>
      <c r="E468" t="s">
        <v>2384</v>
      </c>
    </row>
    <row r="469" spans="1:5">
      <c r="A469">
        <v>101435</v>
      </c>
      <c r="B469" t="s">
        <v>1194</v>
      </c>
      <c r="C469" t="s">
        <v>566</v>
      </c>
      <c r="D469" t="s">
        <v>566</v>
      </c>
      <c r="E469" t="s">
        <v>2384</v>
      </c>
    </row>
    <row r="470" spans="1:5">
      <c r="A470">
        <v>101436</v>
      </c>
      <c r="B470" t="s">
        <v>1195</v>
      </c>
      <c r="C470" t="s">
        <v>566</v>
      </c>
      <c r="D470" t="s">
        <v>566</v>
      </c>
      <c r="E470" t="s">
        <v>2384</v>
      </c>
    </row>
    <row r="471" spans="1:5">
      <c r="A471">
        <v>101437</v>
      </c>
      <c r="B471" t="s">
        <v>1196</v>
      </c>
      <c r="C471" t="s">
        <v>566</v>
      </c>
      <c r="D471" t="s">
        <v>566</v>
      </c>
      <c r="E471" t="s">
        <v>2384</v>
      </c>
    </row>
    <row r="472" spans="1:5">
      <c r="A472">
        <v>101438</v>
      </c>
      <c r="B472" t="s">
        <v>1197</v>
      </c>
      <c r="C472" t="s">
        <v>566</v>
      </c>
      <c r="D472" t="s">
        <v>566</v>
      </c>
      <c r="E472" t="s">
        <v>2384</v>
      </c>
    </row>
    <row r="473" spans="1:5">
      <c r="A473">
        <v>101439</v>
      </c>
      <c r="B473" t="s">
        <v>1198</v>
      </c>
      <c r="C473" t="s">
        <v>566</v>
      </c>
      <c r="D473" t="s">
        <v>566</v>
      </c>
      <c r="E473" t="s">
        <v>2384</v>
      </c>
    </row>
    <row r="474" spans="1:5">
      <c r="A474">
        <v>101440</v>
      </c>
      <c r="B474" t="s">
        <v>1199</v>
      </c>
      <c r="C474" t="s">
        <v>566</v>
      </c>
      <c r="D474" t="s">
        <v>566</v>
      </c>
      <c r="E474" t="s">
        <v>2384</v>
      </c>
    </row>
    <row r="475" spans="1:5">
      <c r="A475">
        <v>101441</v>
      </c>
      <c r="B475" t="s">
        <v>1200</v>
      </c>
      <c r="C475" t="s">
        <v>566</v>
      </c>
      <c r="D475" t="s">
        <v>566</v>
      </c>
      <c r="E475" t="s">
        <v>2384</v>
      </c>
    </row>
    <row r="476" spans="1:5">
      <c r="A476">
        <v>101442</v>
      </c>
      <c r="B476" t="s">
        <v>1201</v>
      </c>
      <c r="C476" t="s">
        <v>566</v>
      </c>
      <c r="D476" t="s">
        <v>566</v>
      </c>
      <c r="E476" t="s">
        <v>2384</v>
      </c>
    </row>
    <row r="477" spans="1:5">
      <c r="A477">
        <v>101443</v>
      </c>
      <c r="B477" t="s">
        <v>1202</v>
      </c>
      <c r="C477" t="s">
        <v>566</v>
      </c>
      <c r="D477" t="s">
        <v>566</v>
      </c>
      <c r="E477" t="s">
        <v>2384</v>
      </c>
    </row>
    <row r="478" spans="1:5">
      <c r="A478">
        <v>101444</v>
      </c>
      <c r="B478" t="s">
        <v>1203</v>
      </c>
      <c r="C478" t="s">
        <v>566</v>
      </c>
      <c r="D478" t="s">
        <v>566</v>
      </c>
      <c r="E478" t="s">
        <v>2384</v>
      </c>
    </row>
    <row r="479" spans="1:5">
      <c r="A479">
        <v>101445</v>
      </c>
      <c r="B479" t="s">
        <v>1204</v>
      </c>
      <c r="C479" t="s">
        <v>566</v>
      </c>
      <c r="D479" t="s">
        <v>566</v>
      </c>
      <c r="E479" t="s">
        <v>2384</v>
      </c>
    </row>
    <row r="480" spans="1:5">
      <c r="A480">
        <v>101310</v>
      </c>
      <c r="B480" t="s">
        <v>1117</v>
      </c>
      <c r="C480" t="s">
        <v>230</v>
      </c>
      <c r="D480" t="s">
        <v>230</v>
      </c>
      <c r="E480" t="s">
        <v>2384</v>
      </c>
    </row>
    <row r="481" spans="1:5">
      <c r="A481">
        <v>101309</v>
      </c>
      <c r="B481" t="s">
        <v>1116</v>
      </c>
      <c r="C481" t="s">
        <v>230</v>
      </c>
      <c r="D481" t="s">
        <v>230</v>
      </c>
      <c r="E481" t="s">
        <v>2384</v>
      </c>
    </row>
    <row r="482" spans="1:5">
      <c r="A482">
        <v>101311</v>
      </c>
      <c r="B482" t="s">
        <v>1118</v>
      </c>
      <c r="C482" t="s">
        <v>230</v>
      </c>
      <c r="D482" t="s">
        <v>230</v>
      </c>
      <c r="E482" t="s">
        <v>2384</v>
      </c>
    </row>
    <row r="483" spans="1:5">
      <c r="A483">
        <v>101312</v>
      </c>
      <c r="B483" t="s">
        <v>1119</v>
      </c>
      <c r="C483" t="s">
        <v>230</v>
      </c>
      <c r="D483" t="s">
        <v>230</v>
      </c>
      <c r="E483" t="s">
        <v>2384</v>
      </c>
    </row>
    <row r="484" spans="1:5">
      <c r="A484">
        <v>101313</v>
      </c>
      <c r="B484" t="s">
        <v>1120</v>
      </c>
      <c r="C484" t="s">
        <v>230</v>
      </c>
      <c r="D484" t="s">
        <v>230</v>
      </c>
      <c r="E484" t="s">
        <v>2384</v>
      </c>
    </row>
    <row r="485" spans="1:5">
      <c r="A485">
        <v>101314</v>
      </c>
      <c r="B485" t="s">
        <v>1121</v>
      </c>
      <c r="C485" t="s">
        <v>230</v>
      </c>
      <c r="D485" t="s">
        <v>230</v>
      </c>
      <c r="E485" t="s">
        <v>2384</v>
      </c>
    </row>
    <row r="486" spans="1:5">
      <c r="A486">
        <v>101315</v>
      </c>
      <c r="B486" t="s">
        <v>1122</v>
      </c>
      <c r="C486" t="s">
        <v>230</v>
      </c>
      <c r="D486" t="s">
        <v>230</v>
      </c>
      <c r="E486" t="s">
        <v>2384</v>
      </c>
    </row>
    <row r="487" spans="1:5">
      <c r="A487">
        <v>101316</v>
      </c>
      <c r="B487" t="s">
        <v>1123</v>
      </c>
      <c r="C487" t="s">
        <v>230</v>
      </c>
      <c r="D487" t="s">
        <v>230</v>
      </c>
      <c r="E487" t="s">
        <v>2384</v>
      </c>
    </row>
    <row r="488" spans="1:5">
      <c r="A488">
        <v>101317</v>
      </c>
      <c r="B488" t="s">
        <v>1124</v>
      </c>
      <c r="C488" t="s">
        <v>230</v>
      </c>
      <c r="D488" t="s">
        <v>230</v>
      </c>
      <c r="E488" t="s">
        <v>2384</v>
      </c>
    </row>
    <row r="489" spans="1:5">
      <c r="A489">
        <v>101318</v>
      </c>
      <c r="B489" t="s">
        <v>1125</v>
      </c>
      <c r="C489" t="s">
        <v>230</v>
      </c>
      <c r="D489" t="s">
        <v>230</v>
      </c>
      <c r="E489" t="s">
        <v>2384</v>
      </c>
    </row>
    <row r="490" spans="1:5">
      <c r="A490">
        <v>101320</v>
      </c>
      <c r="B490" t="s">
        <v>1126</v>
      </c>
      <c r="C490" t="s">
        <v>230</v>
      </c>
      <c r="D490" t="s">
        <v>230</v>
      </c>
      <c r="E490" t="s">
        <v>2384</v>
      </c>
    </row>
    <row r="491" spans="1:5">
      <c r="A491">
        <v>101324</v>
      </c>
      <c r="B491" t="s">
        <v>1130</v>
      </c>
      <c r="C491" t="s">
        <v>230</v>
      </c>
      <c r="D491" t="s">
        <v>230</v>
      </c>
      <c r="E491" t="s">
        <v>2384</v>
      </c>
    </row>
    <row r="492" spans="1:5">
      <c r="A492">
        <v>101325</v>
      </c>
      <c r="B492" t="s">
        <v>1131</v>
      </c>
      <c r="C492" t="s">
        <v>230</v>
      </c>
      <c r="D492" t="s">
        <v>230</v>
      </c>
      <c r="E492" t="s">
        <v>2384</v>
      </c>
    </row>
    <row r="493" spans="1:5">
      <c r="A493">
        <v>101326</v>
      </c>
      <c r="B493" t="s">
        <v>1132</v>
      </c>
      <c r="C493" t="s">
        <v>230</v>
      </c>
      <c r="D493" t="s">
        <v>230</v>
      </c>
      <c r="E493" t="s">
        <v>2384</v>
      </c>
    </row>
    <row r="494" spans="1:5">
      <c r="A494">
        <v>101330</v>
      </c>
      <c r="B494" t="s">
        <v>1136</v>
      </c>
      <c r="C494" t="s">
        <v>230</v>
      </c>
      <c r="D494" t="s">
        <v>230</v>
      </c>
      <c r="E494" t="s">
        <v>2384</v>
      </c>
    </row>
    <row r="495" spans="1:5">
      <c r="A495">
        <v>101335</v>
      </c>
      <c r="B495" t="s">
        <v>1141</v>
      </c>
      <c r="C495" t="s">
        <v>230</v>
      </c>
      <c r="D495" t="s">
        <v>230</v>
      </c>
      <c r="E495" t="s">
        <v>2384</v>
      </c>
    </row>
    <row r="496" spans="1:5">
      <c r="A496">
        <v>101399</v>
      </c>
      <c r="B496" t="s">
        <v>567</v>
      </c>
      <c r="C496" t="s">
        <v>567</v>
      </c>
      <c r="D496" t="s">
        <v>567</v>
      </c>
      <c r="E496" t="s">
        <v>2384</v>
      </c>
    </row>
    <row r="497" spans="1:5">
      <c r="A497">
        <v>101300</v>
      </c>
      <c r="B497" t="s">
        <v>1514</v>
      </c>
      <c r="C497" t="s">
        <v>568</v>
      </c>
      <c r="D497" t="s">
        <v>568</v>
      </c>
      <c r="E497" t="s">
        <v>2384</v>
      </c>
    </row>
    <row r="498" spans="1:5">
      <c r="A498">
        <v>101367</v>
      </c>
      <c r="B498" t="s">
        <v>1153</v>
      </c>
      <c r="C498" t="s">
        <v>568</v>
      </c>
      <c r="D498" t="s">
        <v>568</v>
      </c>
      <c r="E498" t="s">
        <v>2384</v>
      </c>
    </row>
    <row r="499" spans="1:5">
      <c r="A499">
        <v>101342</v>
      </c>
      <c r="B499" t="s">
        <v>1148</v>
      </c>
      <c r="C499" t="s">
        <v>568</v>
      </c>
      <c r="D499" t="s">
        <v>568</v>
      </c>
      <c r="E499" t="s">
        <v>2384</v>
      </c>
    </row>
    <row r="500" spans="1:5">
      <c r="A500">
        <v>101368</v>
      </c>
      <c r="B500" t="s">
        <v>1154</v>
      </c>
      <c r="C500" t="s">
        <v>568</v>
      </c>
      <c r="D500" t="s">
        <v>568</v>
      </c>
      <c r="E500" t="s">
        <v>2384</v>
      </c>
    </row>
    <row r="501" spans="1:5">
      <c r="A501">
        <v>101385</v>
      </c>
      <c r="B501" t="s">
        <v>1170</v>
      </c>
      <c r="C501" t="s">
        <v>568</v>
      </c>
      <c r="D501" t="s">
        <v>568</v>
      </c>
      <c r="E501" t="s">
        <v>2384</v>
      </c>
    </row>
    <row r="502" spans="1:5">
      <c r="A502">
        <v>101388</v>
      </c>
      <c r="B502" t="s">
        <v>1173</v>
      </c>
      <c r="C502" t="s">
        <v>568</v>
      </c>
      <c r="D502" t="s">
        <v>568</v>
      </c>
      <c r="E502" t="s">
        <v>2384</v>
      </c>
    </row>
    <row r="503" spans="1:5">
      <c r="A503">
        <v>101389</v>
      </c>
      <c r="B503" t="s">
        <v>1174</v>
      </c>
      <c r="C503" t="s">
        <v>568</v>
      </c>
      <c r="D503" t="s">
        <v>568</v>
      </c>
      <c r="E503" t="s">
        <v>2384</v>
      </c>
    </row>
    <row r="504" spans="1:5">
      <c r="A504">
        <v>101391</v>
      </c>
      <c r="B504" t="s">
        <v>1176</v>
      </c>
      <c r="C504" t="s">
        <v>568</v>
      </c>
      <c r="D504" t="s">
        <v>568</v>
      </c>
      <c r="E504" t="s">
        <v>2384</v>
      </c>
    </row>
    <row r="505" spans="1:5">
      <c r="A505">
        <v>101392</v>
      </c>
      <c r="B505" t="s">
        <v>1177</v>
      </c>
      <c r="C505" t="s">
        <v>568</v>
      </c>
      <c r="D505" t="s">
        <v>568</v>
      </c>
      <c r="E505" t="s">
        <v>2384</v>
      </c>
    </row>
    <row r="506" spans="1:5">
      <c r="A506">
        <v>101393</v>
      </c>
      <c r="B506" t="s">
        <v>1178</v>
      </c>
      <c r="C506" t="s">
        <v>568</v>
      </c>
      <c r="D506" t="s">
        <v>568</v>
      </c>
      <c r="E506" t="s">
        <v>2384</v>
      </c>
    </row>
    <row r="507" spans="1:5">
      <c r="A507">
        <v>101394</v>
      </c>
      <c r="B507" t="s">
        <v>1179</v>
      </c>
      <c r="C507" t="s">
        <v>568</v>
      </c>
      <c r="D507" t="s">
        <v>568</v>
      </c>
      <c r="E507" t="s">
        <v>2384</v>
      </c>
    </row>
    <row r="508" spans="1:5">
      <c r="A508">
        <v>101395</v>
      </c>
      <c r="B508" t="s">
        <v>1180</v>
      </c>
      <c r="C508" t="s">
        <v>568</v>
      </c>
      <c r="D508" t="s">
        <v>568</v>
      </c>
      <c r="E508" t="s">
        <v>2384</v>
      </c>
    </row>
    <row r="509" spans="1:5">
      <c r="A509">
        <v>101396</v>
      </c>
      <c r="B509" t="s">
        <v>1181</v>
      </c>
      <c r="C509" t="s">
        <v>568</v>
      </c>
      <c r="D509" t="s">
        <v>568</v>
      </c>
      <c r="E509" t="s">
        <v>2384</v>
      </c>
    </row>
    <row r="510" spans="1:5">
      <c r="A510">
        <v>101397</v>
      </c>
      <c r="B510" t="s">
        <v>1182</v>
      </c>
      <c r="C510" t="s">
        <v>568</v>
      </c>
      <c r="D510" t="s">
        <v>568</v>
      </c>
      <c r="E510" t="s">
        <v>2384</v>
      </c>
    </row>
    <row r="511" spans="1:5">
      <c r="A511">
        <v>101398</v>
      </c>
      <c r="B511" t="s">
        <v>1183</v>
      </c>
      <c r="C511" t="s">
        <v>568</v>
      </c>
      <c r="D511" t="s">
        <v>568</v>
      </c>
      <c r="E511" t="s">
        <v>2384</v>
      </c>
    </row>
    <row r="512" spans="1:5">
      <c r="A512">
        <v>101363</v>
      </c>
      <c r="B512" t="s">
        <v>1151</v>
      </c>
      <c r="C512" t="s">
        <v>570</v>
      </c>
      <c r="D512" t="s">
        <v>570</v>
      </c>
      <c r="E512" t="s">
        <v>2384</v>
      </c>
    </row>
    <row r="513" spans="1:5">
      <c r="A513">
        <v>101369</v>
      </c>
      <c r="B513" t="s">
        <v>1155</v>
      </c>
      <c r="C513" t="s">
        <v>570</v>
      </c>
      <c r="D513" t="s">
        <v>570</v>
      </c>
      <c r="E513" t="s">
        <v>2384</v>
      </c>
    </row>
    <row r="514" spans="1:5">
      <c r="A514">
        <v>101366</v>
      </c>
      <c r="B514" t="s">
        <v>1152</v>
      </c>
      <c r="C514" t="s">
        <v>570</v>
      </c>
      <c r="D514" t="s">
        <v>570</v>
      </c>
      <c r="E514" t="s">
        <v>2384</v>
      </c>
    </row>
    <row r="515" spans="1:5">
      <c r="A515">
        <v>101371</v>
      </c>
      <c r="B515" t="s">
        <v>1157</v>
      </c>
      <c r="C515" t="s">
        <v>570</v>
      </c>
      <c r="D515" t="s">
        <v>570</v>
      </c>
      <c r="E515" t="s">
        <v>2384</v>
      </c>
    </row>
    <row r="516" spans="1:5">
      <c r="A516">
        <v>101372</v>
      </c>
      <c r="B516" t="s">
        <v>1158</v>
      </c>
      <c r="C516" t="s">
        <v>570</v>
      </c>
      <c r="D516" t="s">
        <v>570</v>
      </c>
      <c r="E516" t="s">
        <v>2384</v>
      </c>
    </row>
    <row r="517" spans="1:5">
      <c r="A517">
        <v>101373</v>
      </c>
      <c r="B517" t="s">
        <v>1159</v>
      </c>
      <c r="C517" t="s">
        <v>570</v>
      </c>
      <c r="D517" t="s">
        <v>570</v>
      </c>
      <c r="E517" t="s">
        <v>2384</v>
      </c>
    </row>
    <row r="518" spans="1:5">
      <c r="A518">
        <v>101374</v>
      </c>
      <c r="B518" t="s">
        <v>1160</v>
      </c>
      <c r="C518" t="s">
        <v>570</v>
      </c>
      <c r="D518" t="s">
        <v>570</v>
      </c>
      <c r="E518" t="s">
        <v>2384</v>
      </c>
    </row>
    <row r="519" spans="1:5">
      <c r="A519">
        <v>101376</v>
      </c>
      <c r="B519" t="s">
        <v>1161</v>
      </c>
      <c r="C519" t="s">
        <v>570</v>
      </c>
      <c r="D519" t="s">
        <v>570</v>
      </c>
      <c r="E519" t="s">
        <v>2384</v>
      </c>
    </row>
    <row r="520" spans="1:5">
      <c r="A520">
        <v>101377</v>
      </c>
      <c r="B520" t="s">
        <v>938</v>
      </c>
      <c r="C520" t="s">
        <v>570</v>
      </c>
      <c r="D520" t="s">
        <v>570</v>
      </c>
      <c r="E520" t="s">
        <v>2384</v>
      </c>
    </row>
    <row r="521" spans="1:5">
      <c r="A521">
        <v>101378</v>
      </c>
      <c r="B521" t="s">
        <v>1163</v>
      </c>
      <c r="C521" t="s">
        <v>570</v>
      </c>
      <c r="D521" t="s">
        <v>570</v>
      </c>
      <c r="E521" t="s">
        <v>2384</v>
      </c>
    </row>
    <row r="522" spans="1:5">
      <c r="A522">
        <v>101379</v>
      </c>
      <c r="B522" t="s">
        <v>1164</v>
      </c>
      <c r="C522" t="s">
        <v>570</v>
      </c>
      <c r="D522" t="s">
        <v>570</v>
      </c>
      <c r="E522" t="s">
        <v>2384</v>
      </c>
    </row>
    <row r="523" spans="1:5">
      <c r="A523">
        <v>101380</v>
      </c>
      <c r="B523" t="s">
        <v>1165</v>
      </c>
      <c r="C523" t="s">
        <v>570</v>
      </c>
      <c r="D523" t="s">
        <v>570</v>
      </c>
      <c r="E523" t="s">
        <v>2384</v>
      </c>
    </row>
    <row r="524" spans="1:5">
      <c r="A524">
        <v>101381</v>
      </c>
      <c r="B524" t="s">
        <v>1166</v>
      </c>
      <c r="C524" t="s">
        <v>570</v>
      </c>
      <c r="D524" t="s">
        <v>570</v>
      </c>
      <c r="E524" t="s">
        <v>2384</v>
      </c>
    </row>
    <row r="525" spans="1:5">
      <c r="A525">
        <v>101382</v>
      </c>
      <c r="B525" t="s">
        <v>1167</v>
      </c>
      <c r="C525" t="s">
        <v>570</v>
      </c>
      <c r="D525" t="s">
        <v>570</v>
      </c>
      <c r="E525" t="s">
        <v>2384</v>
      </c>
    </row>
    <row r="526" spans="1:5">
      <c r="A526">
        <v>101341</v>
      </c>
      <c r="B526" t="s">
        <v>1147</v>
      </c>
      <c r="C526" t="s">
        <v>570</v>
      </c>
      <c r="D526" t="s">
        <v>570</v>
      </c>
      <c r="E526" t="s">
        <v>2384</v>
      </c>
    </row>
    <row r="527" spans="1:5">
      <c r="A527">
        <v>101400</v>
      </c>
      <c r="B527" t="s">
        <v>1184</v>
      </c>
      <c r="C527" t="s">
        <v>570</v>
      </c>
      <c r="D527" t="s">
        <v>570</v>
      </c>
      <c r="E527" t="s">
        <v>2384</v>
      </c>
    </row>
    <row r="528" spans="1:5">
      <c r="A528">
        <v>101362</v>
      </c>
      <c r="B528" t="s">
        <v>1516</v>
      </c>
      <c r="C528" t="s">
        <v>570</v>
      </c>
      <c r="D528" t="s">
        <v>570</v>
      </c>
      <c r="E528" t="s">
        <v>2384</v>
      </c>
    </row>
    <row r="529" spans="1:5">
      <c r="A529">
        <v>101383</v>
      </c>
      <c r="B529" t="s">
        <v>1168</v>
      </c>
      <c r="C529" t="s">
        <v>570</v>
      </c>
      <c r="D529" t="s">
        <v>570</v>
      </c>
      <c r="E529" t="s">
        <v>2384</v>
      </c>
    </row>
    <row r="530" spans="1:5">
      <c r="A530">
        <v>101384</v>
      </c>
      <c r="B530" t="s">
        <v>1169</v>
      </c>
      <c r="C530" t="s">
        <v>570</v>
      </c>
      <c r="D530" t="s">
        <v>570</v>
      </c>
      <c r="E530" t="s">
        <v>2384</v>
      </c>
    </row>
    <row r="531" spans="1:5">
      <c r="A531">
        <v>101386</v>
      </c>
      <c r="B531" t="s">
        <v>1171</v>
      </c>
      <c r="C531" t="s">
        <v>570</v>
      </c>
      <c r="D531" t="s">
        <v>570</v>
      </c>
      <c r="E531" t="s">
        <v>2384</v>
      </c>
    </row>
    <row r="532" spans="1:5">
      <c r="A532">
        <v>101387</v>
      </c>
      <c r="B532" t="s">
        <v>1172</v>
      </c>
      <c r="C532" t="s">
        <v>570</v>
      </c>
      <c r="D532" t="s">
        <v>570</v>
      </c>
      <c r="E532" t="s">
        <v>2384</v>
      </c>
    </row>
    <row r="533" spans="1:5">
      <c r="A533">
        <v>101390</v>
      </c>
      <c r="B533" t="s">
        <v>1175</v>
      </c>
      <c r="C533" t="s">
        <v>570</v>
      </c>
      <c r="D533" t="s">
        <v>570</v>
      </c>
      <c r="E533" t="s">
        <v>2384</v>
      </c>
    </row>
    <row r="534" spans="1:5">
      <c r="A534">
        <v>101789</v>
      </c>
      <c r="B534" t="s">
        <v>938</v>
      </c>
      <c r="C534" t="s">
        <v>570</v>
      </c>
      <c r="D534" t="s">
        <v>570</v>
      </c>
      <c r="E534" t="s">
        <v>2384</v>
      </c>
    </row>
    <row r="535" spans="1:5">
      <c r="A535">
        <v>101785</v>
      </c>
      <c r="B535" t="s">
        <v>1215</v>
      </c>
      <c r="C535" t="s">
        <v>570</v>
      </c>
      <c r="D535" t="s">
        <v>570</v>
      </c>
      <c r="E535" t="s">
        <v>2384</v>
      </c>
    </row>
    <row r="536" spans="1:5">
      <c r="A536">
        <v>101336</v>
      </c>
      <c r="B536" t="s">
        <v>1142</v>
      </c>
      <c r="C536" t="s">
        <v>570</v>
      </c>
      <c r="D536" t="s">
        <v>570</v>
      </c>
      <c r="E536" t="s">
        <v>2384</v>
      </c>
    </row>
    <row r="537" spans="1:5">
      <c r="A537">
        <v>101337</v>
      </c>
      <c r="B537" t="s">
        <v>1143</v>
      </c>
      <c r="C537" t="s">
        <v>570</v>
      </c>
      <c r="D537" t="s">
        <v>570</v>
      </c>
      <c r="E537" t="s">
        <v>2384</v>
      </c>
    </row>
    <row r="538" spans="1:5">
      <c r="A538">
        <v>101338</v>
      </c>
      <c r="B538" t="s">
        <v>1144</v>
      </c>
      <c r="C538" t="s">
        <v>570</v>
      </c>
      <c r="D538" t="s">
        <v>570</v>
      </c>
      <c r="E538" t="s">
        <v>2384</v>
      </c>
    </row>
    <row r="539" spans="1:5">
      <c r="A539">
        <v>101339</v>
      </c>
      <c r="B539" t="s">
        <v>1145</v>
      </c>
      <c r="C539" t="s">
        <v>570</v>
      </c>
      <c r="D539" t="s">
        <v>570</v>
      </c>
      <c r="E539" t="s">
        <v>2384</v>
      </c>
    </row>
    <row r="540" spans="1:5">
      <c r="A540">
        <v>101340</v>
      </c>
      <c r="B540" t="s">
        <v>1146</v>
      </c>
      <c r="C540" t="s">
        <v>570</v>
      </c>
      <c r="D540" t="s">
        <v>570</v>
      </c>
      <c r="E540" t="s">
        <v>2384</v>
      </c>
    </row>
    <row r="541" spans="1:5">
      <c r="A541">
        <v>101360</v>
      </c>
      <c r="B541" t="s">
        <v>1149</v>
      </c>
      <c r="C541" t="s">
        <v>570</v>
      </c>
      <c r="D541" t="s">
        <v>570</v>
      </c>
      <c r="E541" t="s">
        <v>2384</v>
      </c>
    </row>
    <row r="542" spans="1:5">
      <c r="A542">
        <v>101361</v>
      </c>
      <c r="B542" t="s">
        <v>1150</v>
      </c>
      <c r="C542" t="s">
        <v>570</v>
      </c>
      <c r="D542" t="s">
        <v>570</v>
      </c>
      <c r="E542" t="s">
        <v>2384</v>
      </c>
    </row>
    <row r="543" spans="1:5">
      <c r="A543">
        <v>101370</v>
      </c>
      <c r="B543" t="s">
        <v>1156</v>
      </c>
      <c r="C543" t="s">
        <v>570</v>
      </c>
      <c r="D543" t="s">
        <v>570</v>
      </c>
      <c r="E543" t="s">
        <v>2384</v>
      </c>
    </row>
    <row r="544" spans="1:5">
      <c r="A544">
        <v>101475</v>
      </c>
      <c r="B544" t="s">
        <v>1205</v>
      </c>
      <c r="C544" t="s">
        <v>570</v>
      </c>
      <c r="D544" t="s">
        <v>570</v>
      </c>
      <c r="E544" t="s">
        <v>2384</v>
      </c>
    </row>
    <row r="545" spans="1:5">
      <c r="A545">
        <v>101202</v>
      </c>
      <c r="B545" t="s">
        <v>1115</v>
      </c>
      <c r="C545" t="s">
        <v>570</v>
      </c>
      <c r="D545" t="s">
        <v>570</v>
      </c>
      <c r="E545" t="s">
        <v>2384</v>
      </c>
    </row>
    <row r="546" spans="1:5">
      <c r="A546">
        <v>101795</v>
      </c>
      <c r="B546" t="s">
        <v>1223</v>
      </c>
      <c r="C546" t="s">
        <v>570</v>
      </c>
      <c r="D546" t="s">
        <v>570</v>
      </c>
      <c r="E546" t="s">
        <v>2384</v>
      </c>
    </row>
    <row r="547" spans="1:5">
      <c r="A547">
        <v>101797</v>
      </c>
      <c r="B547" t="s">
        <v>1225</v>
      </c>
      <c r="C547" t="s">
        <v>234</v>
      </c>
      <c r="D547" t="s">
        <v>234</v>
      </c>
      <c r="E547" t="s">
        <v>2384</v>
      </c>
    </row>
    <row r="548" spans="1:5">
      <c r="A548">
        <v>101794</v>
      </c>
      <c r="B548" t="s">
        <v>1222</v>
      </c>
      <c r="C548" t="s">
        <v>234</v>
      </c>
      <c r="D548" t="s">
        <v>234</v>
      </c>
      <c r="E548" t="s">
        <v>2384</v>
      </c>
    </row>
    <row r="549" spans="1:5">
      <c r="A549">
        <v>101799</v>
      </c>
      <c r="B549" t="s">
        <v>1226</v>
      </c>
      <c r="C549" t="s">
        <v>234</v>
      </c>
      <c r="D549" t="s">
        <v>234</v>
      </c>
      <c r="E549" t="s">
        <v>2384</v>
      </c>
    </row>
    <row r="550" spans="1:5">
      <c r="A550">
        <v>101788</v>
      </c>
      <c r="B550" t="s">
        <v>1216</v>
      </c>
      <c r="C550" t="s">
        <v>234</v>
      </c>
      <c r="D550" t="s">
        <v>234</v>
      </c>
      <c r="E550" t="s">
        <v>2384</v>
      </c>
    </row>
    <row r="551" spans="1:5">
      <c r="A551">
        <v>101796</v>
      </c>
      <c r="B551" t="s">
        <v>1224</v>
      </c>
      <c r="C551" t="s">
        <v>234</v>
      </c>
      <c r="D551" t="s">
        <v>234</v>
      </c>
      <c r="E551" t="s">
        <v>2384</v>
      </c>
    </row>
    <row r="552" spans="1:5">
      <c r="A552">
        <v>101791</v>
      </c>
      <c r="B552" t="s">
        <v>1218</v>
      </c>
      <c r="C552" t="s">
        <v>234</v>
      </c>
      <c r="D552" t="s">
        <v>234</v>
      </c>
      <c r="E552" t="s">
        <v>2384</v>
      </c>
    </row>
    <row r="553" spans="1:5">
      <c r="A553">
        <v>101792</v>
      </c>
      <c r="B553" t="s">
        <v>1219</v>
      </c>
      <c r="C553" t="s">
        <v>234</v>
      </c>
      <c r="D553" t="s">
        <v>234</v>
      </c>
      <c r="E553" t="s">
        <v>2384</v>
      </c>
    </row>
    <row r="554" spans="1:5">
      <c r="A554">
        <v>101800</v>
      </c>
      <c r="B554" t="s">
        <v>1227</v>
      </c>
      <c r="C554" t="s">
        <v>234</v>
      </c>
      <c r="D554" t="s">
        <v>234</v>
      </c>
      <c r="E554" t="s">
        <v>2384</v>
      </c>
    </row>
    <row r="555" spans="1:5">
      <c r="A555">
        <v>101801</v>
      </c>
      <c r="B555" t="s">
        <v>1228</v>
      </c>
      <c r="C555" t="s">
        <v>234</v>
      </c>
      <c r="D555" t="s">
        <v>234</v>
      </c>
      <c r="E555" t="s">
        <v>2384</v>
      </c>
    </row>
    <row r="556" spans="1:5">
      <c r="A556">
        <v>101803</v>
      </c>
      <c r="B556" t="s">
        <v>1230</v>
      </c>
      <c r="C556" t="s">
        <v>234</v>
      </c>
      <c r="D556" t="s">
        <v>234</v>
      </c>
      <c r="E556" t="s">
        <v>2384</v>
      </c>
    </row>
    <row r="557" spans="1:5">
      <c r="A557">
        <v>101804</v>
      </c>
      <c r="B557" t="s">
        <v>1231</v>
      </c>
      <c r="C557" t="s">
        <v>234</v>
      </c>
      <c r="D557" t="s">
        <v>234</v>
      </c>
      <c r="E557" t="s">
        <v>2384</v>
      </c>
    </row>
    <row r="558" spans="1:5">
      <c r="A558">
        <v>101751</v>
      </c>
      <c r="B558" t="s">
        <v>1213</v>
      </c>
      <c r="C558" t="s">
        <v>234</v>
      </c>
      <c r="D558" t="s">
        <v>234</v>
      </c>
      <c r="E558" t="s">
        <v>2384</v>
      </c>
    </row>
    <row r="559" spans="1:5">
      <c r="A559">
        <v>205114</v>
      </c>
      <c r="B559" t="s">
        <v>1438</v>
      </c>
      <c r="C559" t="s">
        <v>234</v>
      </c>
      <c r="D559" t="s">
        <v>234</v>
      </c>
      <c r="E559" t="s">
        <v>2384</v>
      </c>
    </row>
    <row r="560" spans="1:5">
      <c r="A560">
        <v>206038</v>
      </c>
      <c r="B560" t="s">
        <v>1438</v>
      </c>
      <c r="C560" t="s">
        <v>234</v>
      </c>
      <c r="D560" t="s">
        <v>234</v>
      </c>
      <c r="E560" t="s">
        <v>2384</v>
      </c>
    </row>
    <row r="561" spans="1:5">
      <c r="A561">
        <v>101793</v>
      </c>
      <c r="B561" t="s">
        <v>1221</v>
      </c>
      <c r="C561" t="s">
        <v>234</v>
      </c>
      <c r="D561" t="s">
        <v>234</v>
      </c>
      <c r="E561" t="s">
        <v>2384</v>
      </c>
    </row>
    <row r="562" spans="1:5">
      <c r="A562">
        <v>101365</v>
      </c>
      <c r="B562" t="s">
        <v>1220</v>
      </c>
      <c r="C562" t="s">
        <v>234</v>
      </c>
      <c r="D562" t="s">
        <v>234</v>
      </c>
      <c r="E562" t="s">
        <v>2384</v>
      </c>
    </row>
    <row r="563" spans="1:5">
      <c r="A563">
        <v>101807</v>
      </c>
      <c r="B563" t="s">
        <v>1233</v>
      </c>
      <c r="C563" t="s">
        <v>234</v>
      </c>
      <c r="D563" t="s">
        <v>234</v>
      </c>
      <c r="E563" t="s">
        <v>2384</v>
      </c>
    </row>
    <row r="564" spans="1:5">
      <c r="A564">
        <v>205120</v>
      </c>
      <c r="B564" t="s">
        <v>1442</v>
      </c>
      <c r="C564" t="s">
        <v>234</v>
      </c>
      <c r="D564" t="s">
        <v>234</v>
      </c>
      <c r="E564" t="s">
        <v>2384</v>
      </c>
    </row>
    <row r="565" spans="1:5">
      <c r="A565">
        <v>101809</v>
      </c>
      <c r="B565" t="s">
        <v>1235</v>
      </c>
      <c r="C565" t="s">
        <v>234</v>
      </c>
      <c r="D565" t="s">
        <v>234</v>
      </c>
      <c r="E565" t="s">
        <v>2384</v>
      </c>
    </row>
    <row r="566" spans="1:5">
      <c r="A566">
        <v>205128</v>
      </c>
      <c r="B566" t="s">
        <v>1447</v>
      </c>
      <c r="C566" t="s">
        <v>234</v>
      </c>
      <c r="D566" t="s">
        <v>234</v>
      </c>
      <c r="E566" t="s">
        <v>2384</v>
      </c>
    </row>
    <row r="567" spans="1:5">
      <c r="A567">
        <v>101701</v>
      </c>
      <c r="B567" t="s">
        <v>1207</v>
      </c>
      <c r="C567" t="s">
        <v>234</v>
      </c>
      <c r="D567" t="s">
        <v>234</v>
      </c>
      <c r="E567" t="s">
        <v>2384</v>
      </c>
    </row>
    <row r="568" spans="1:5">
      <c r="A568">
        <v>101702</v>
      </c>
      <c r="B568" t="s">
        <v>1208</v>
      </c>
      <c r="C568" t="s">
        <v>234</v>
      </c>
      <c r="D568" t="s">
        <v>234</v>
      </c>
      <c r="E568" t="s">
        <v>2384</v>
      </c>
    </row>
    <row r="569" spans="1:5">
      <c r="A569">
        <v>101703</v>
      </c>
      <c r="B569" t="s">
        <v>1209</v>
      </c>
      <c r="C569" t="s">
        <v>234</v>
      </c>
      <c r="D569" t="s">
        <v>234</v>
      </c>
      <c r="E569" t="s">
        <v>2384</v>
      </c>
    </row>
    <row r="570" spans="1:5">
      <c r="A570">
        <v>101704</v>
      </c>
      <c r="B570" t="s">
        <v>1210</v>
      </c>
      <c r="C570" t="s">
        <v>234</v>
      </c>
      <c r="D570" t="s">
        <v>234</v>
      </c>
      <c r="E570" t="s">
        <v>2384</v>
      </c>
    </row>
    <row r="571" spans="1:5">
      <c r="A571">
        <v>101705</v>
      </c>
      <c r="B571" t="s">
        <v>1211</v>
      </c>
      <c r="C571" t="s">
        <v>234</v>
      </c>
      <c r="D571" t="s">
        <v>234</v>
      </c>
      <c r="E571" t="s">
        <v>2384</v>
      </c>
    </row>
    <row r="572" spans="1:5">
      <c r="A572">
        <v>205133</v>
      </c>
      <c r="B572" t="s">
        <v>1449</v>
      </c>
      <c r="C572" t="s">
        <v>234</v>
      </c>
      <c r="D572" t="s">
        <v>234</v>
      </c>
      <c r="E572" t="s">
        <v>2384</v>
      </c>
    </row>
    <row r="573" spans="1:5">
      <c r="A573">
        <v>205136</v>
      </c>
      <c r="B573" t="s">
        <v>1450</v>
      </c>
      <c r="C573" t="s">
        <v>234</v>
      </c>
      <c r="D573" t="s">
        <v>234</v>
      </c>
      <c r="E573" t="s">
        <v>2384</v>
      </c>
    </row>
    <row r="574" spans="1:5">
      <c r="A574">
        <v>101750</v>
      </c>
      <c r="B574" t="s">
        <v>1803</v>
      </c>
      <c r="C574" t="s">
        <v>234</v>
      </c>
      <c r="D574" t="s">
        <v>234</v>
      </c>
      <c r="E574" t="s">
        <v>2384</v>
      </c>
    </row>
    <row r="575" spans="1:5">
      <c r="A575">
        <v>101760</v>
      </c>
      <c r="B575" t="s">
        <v>1803</v>
      </c>
      <c r="C575" t="s">
        <v>234</v>
      </c>
      <c r="D575" t="s">
        <v>234</v>
      </c>
      <c r="E575" t="s">
        <v>2384</v>
      </c>
    </row>
    <row r="576" spans="1:5">
      <c r="A576">
        <v>101806</v>
      </c>
      <c r="B576" t="s">
        <v>1232</v>
      </c>
      <c r="C576" t="s">
        <v>573</v>
      </c>
      <c r="D576" t="s">
        <v>573</v>
      </c>
      <c r="E576" t="s">
        <v>2384</v>
      </c>
    </row>
    <row r="577" spans="1:5">
      <c r="A577">
        <v>101802</v>
      </c>
      <c r="B577" t="s">
        <v>1229</v>
      </c>
      <c r="C577" t="s">
        <v>573</v>
      </c>
      <c r="D577" t="s">
        <v>573</v>
      </c>
      <c r="E577" t="s">
        <v>2384</v>
      </c>
    </row>
    <row r="578" spans="1:5">
      <c r="A578">
        <v>101808</v>
      </c>
      <c r="B578" t="s">
        <v>1234</v>
      </c>
      <c r="C578" t="s">
        <v>573</v>
      </c>
      <c r="D578" t="s">
        <v>573</v>
      </c>
      <c r="E578" t="s">
        <v>2384</v>
      </c>
    </row>
    <row r="579" spans="1:5">
      <c r="A579">
        <v>101822</v>
      </c>
      <c r="B579" t="s">
        <v>1248</v>
      </c>
      <c r="C579" t="s">
        <v>574</v>
      </c>
      <c r="D579" t="s">
        <v>574</v>
      </c>
      <c r="E579" t="s">
        <v>2384</v>
      </c>
    </row>
    <row r="580" spans="1:5">
      <c r="A580">
        <v>101823</v>
      </c>
      <c r="B580" t="s">
        <v>1249</v>
      </c>
      <c r="C580" t="s">
        <v>574</v>
      </c>
      <c r="D580" t="s">
        <v>574</v>
      </c>
      <c r="E580" t="s">
        <v>2384</v>
      </c>
    </row>
    <row r="581" spans="1:5">
      <c r="A581">
        <v>101830</v>
      </c>
      <c r="B581" t="s">
        <v>1256</v>
      </c>
      <c r="C581" t="s">
        <v>574</v>
      </c>
      <c r="D581" t="s">
        <v>574</v>
      </c>
      <c r="E581" t="s">
        <v>2384</v>
      </c>
    </row>
    <row r="582" spans="1:5">
      <c r="A582">
        <v>101831</v>
      </c>
      <c r="B582" t="s">
        <v>1257</v>
      </c>
      <c r="C582" t="s">
        <v>574</v>
      </c>
      <c r="D582" t="s">
        <v>574</v>
      </c>
      <c r="E582" t="s">
        <v>2384</v>
      </c>
    </row>
    <row r="583" spans="1:5">
      <c r="A583">
        <v>101835</v>
      </c>
      <c r="B583" t="s">
        <v>1261</v>
      </c>
      <c r="C583" t="s">
        <v>574</v>
      </c>
      <c r="D583" t="s">
        <v>574</v>
      </c>
      <c r="E583" t="s">
        <v>2384</v>
      </c>
    </row>
    <row r="584" spans="1:5">
      <c r="A584">
        <v>101836</v>
      </c>
      <c r="B584" t="s">
        <v>1262</v>
      </c>
      <c r="C584" t="s">
        <v>574</v>
      </c>
      <c r="D584" t="s">
        <v>574</v>
      </c>
      <c r="E584" t="s">
        <v>2384</v>
      </c>
    </row>
    <row r="585" spans="1:5">
      <c r="A585">
        <v>101837</v>
      </c>
      <c r="B585" t="s">
        <v>1263</v>
      </c>
      <c r="C585" t="s">
        <v>574</v>
      </c>
      <c r="D585" t="s">
        <v>574</v>
      </c>
      <c r="E585" t="s">
        <v>2384</v>
      </c>
    </row>
    <row r="586" spans="1:5">
      <c r="A586">
        <v>101838</v>
      </c>
      <c r="B586" t="s">
        <v>1264</v>
      </c>
      <c r="C586" t="s">
        <v>574</v>
      </c>
      <c r="D586" t="s">
        <v>574</v>
      </c>
      <c r="E586" t="s">
        <v>2384</v>
      </c>
    </row>
    <row r="587" spans="1:5">
      <c r="A587">
        <v>101839</v>
      </c>
      <c r="B587" t="s">
        <v>1265</v>
      </c>
      <c r="C587" t="s">
        <v>574</v>
      </c>
      <c r="D587" t="s">
        <v>574</v>
      </c>
      <c r="E587" t="s">
        <v>2384</v>
      </c>
    </row>
    <row r="588" spans="1:5">
      <c r="A588">
        <v>101852</v>
      </c>
      <c r="B588" t="s">
        <v>1267</v>
      </c>
      <c r="C588" t="s">
        <v>574</v>
      </c>
      <c r="D588" t="s">
        <v>574</v>
      </c>
      <c r="E588" t="s">
        <v>2384</v>
      </c>
    </row>
    <row r="589" spans="1:5">
      <c r="A589">
        <v>101853</v>
      </c>
      <c r="B589" t="s">
        <v>1268</v>
      </c>
      <c r="C589" t="s">
        <v>574</v>
      </c>
      <c r="D589" t="s">
        <v>574</v>
      </c>
      <c r="E589" t="s">
        <v>2384</v>
      </c>
    </row>
    <row r="590" spans="1:5">
      <c r="A590">
        <v>101858</v>
      </c>
      <c r="B590" t="s">
        <v>2200</v>
      </c>
      <c r="C590" t="s">
        <v>574</v>
      </c>
      <c r="D590" t="s">
        <v>574</v>
      </c>
      <c r="E590" t="s">
        <v>2384</v>
      </c>
    </row>
    <row r="591" spans="1:5">
      <c r="A591">
        <v>101851</v>
      </c>
      <c r="B591" t="s">
        <v>575</v>
      </c>
      <c r="C591" t="s">
        <v>575</v>
      </c>
      <c r="D591" t="s">
        <v>575</v>
      </c>
      <c r="E591" t="s">
        <v>2384</v>
      </c>
    </row>
    <row r="592" spans="1:5">
      <c r="A592">
        <v>101816</v>
      </c>
      <c r="B592" t="s">
        <v>1241</v>
      </c>
      <c r="C592" t="s">
        <v>577</v>
      </c>
      <c r="D592" t="s">
        <v>577</v>
      </c>
      <c r="E592" t="s">
        <v>2384</v>
      </c>
    </row>
    <row r="593" spans="1:5">
      <c r="A593">
        <v>101817</v>
      </c>
      <c r="B593" t="s">
        <v>1243</v>
      </c>
      <c r="C593" t="s">
        <v>577</v>
      </c>
      <c r="D593" t="s">
        <v>577</v>
      </c>
      <c r="E593" t="s">
        <v>2384</v>
      </c>
    </row>
    <row r="594" spans="1:5">
      <c r="A594">
        <v>101818</v>
      </c>
      <c r="B594" t="s">
        <v>1244</v>
      </c>
      <c r="C594" t="s">
        <v>577</v>
      </c>
      <c r="D594" t="s">
        <v>577</v>
      </c>
      <c r="E594" t="s">
        <v>2384</v>
      </c>
    </row>
    <row r="595" spans="1:5">
      <c r="A595">
        <v>101832</v>
      </c>
      <c r="B595" t="s">
        <v>1258</v>
      </c>
      <c r="C595" t="s">
        <v>577</v>
      </c>
      <c r="D595" t="s">
        <v>577</v>
      </c>
      <c r="E595" t="s">
        <v>2384</v>
      </c>
    </row>
    <row r="596" spans="1:5">
      <c r="A596">
        <v>101872</v>
      </c>
      <c r="B596" t="s">
        <v>1242</v>
      </c>
      <c r="C596" t="s">
        <v>577</v>
      </c>
      <c r="D596" t="s">
        <v>577</v>
      </c>
      <c r="E596" t="s">
        <v>2384</v>
      </c>
    </row>
    <row r="597" spans="1:5">
      <c r="A597">
        <v>101873</v>
      </c>
      <c r="B597" t="s">
        <v>1532</v>
      </c>
      <c r="C597" t="s">
        <v>577</v>
      </c>
      <c r="D597" t="s">
        <v>577</v>
      </c>
      <c r="E597" t="s">
        <v>2384</v>
      </c>
    </row>
    <row r="598" spans="1:5">
      <c r="A598">
        <v>101160</v>
      </c>
      <c r="B598" t="s">
        <v>1109</v>
      </c>
      <c r="C598" t="s">
        <v>578</v>
      </c>
      <c r="D598" t="s">
        <v>578</v>
      </c>
      <c r="E598" t="s">
        <v>2384</v>
      </c>
    </row>
    <row r="599" spans="1:5">
      <c r="A599">
        <v>101150</v>
      </c>
      <c r="B599" t="s">
        <v>1108</v>
      </c>
      <c r="C599" t="s">
        <v>228</v>
      </c>
      <c r="D599" t="s">
        <v>228</v>
      </c>
      <c r="E599" t="s">
        <v>2384</v>
      </c>
    </row>
    <row r="600" spans="1:5">
      <c r="A600">
        <v>101065</v>
      </c>
      <c r="B600" t="s">
        <v>1104</v>
      </c>
      <c r="C600" t="s">
        <v>228</v>
      </c>
      <c r="D600" t="s">
        <v>228</v>
      </c>
      <c r="E600" t="s">
        <v>2384</v>
      </c>
    </row>
    <row r="601" spans="1:5">
      <c r="A601">
        <v>101200</v>
      </c>
      <c r="B601" t="s">
        <v>1113</v>
      </c>
      <c r="C601" t="s">
        <v>579</v>
      </c>
      <c r="D601" t="s">
        <v>579</v>
      </c>
      <c r="E601" t="s">
        <v>2384</v>
      </c>
    </row>
    <row r="602" spans="1:5">
      <c r="A602">
        <v>101201</v>
      </c>
      <c r="B602" t="s">
        <v>1114</v>
      </c>
      <c r="C602" t="s">
        <v>579</v>
      </c>
      <c r="D602" t="s">
        <v>579</v>
      </c>
      <c r="E602" t="s">
        <v>2384</v>
      </c>
    </row>
    <row r="603" spans="1:5">
      <c r="A603">
        <v>101495</v>
      </c>
      <c r="B603" t="s">
        <v>1206</v>
      </c>
      <c r="C603" t="s">
        <v>579</v>
      </c>
      <c r="D603" t="s">
        <v>579</v>
      </c>
      <c r="E603" t="s">
        <v>2384</v>
      </c>
    </row>
    <row r="604" spans="1:5">
      <c r="A604">
        <v>101811</v>
      </c>
      <c r="B604" t="s">
        <v>1236</v>
      </c>
      <c r="C604" t="s">
        <v>580</v>
      </c>
      <c r="D604" t="s">
        <v>580</v>
      </c>
      <c r="E604" t="s">
        <v>2384</v>
      </c>
    </row>
    <row r="605" spans="1:5">
      <c r="A605">
        <v>101812</v>
      </c>
      <c r="B605" t="s">
        <v>1237</v>
      </c>
      <c r="C605" t="s">
        <v>580</v>
      </c>
      <c r="D605" t="s">
        <v>580</v>
      </c>
      <c r="E605" t="s">
        <v>2384</v>
      </c>
    </row>
    <row r="606" spans="1:5">
      <c r="A606">
        <v>101813</v>
      </c>
      <c r="B606" t="s">
        <v>1238</v>
      </c>
      <c r="C606" t="s">
        <v>580</v>
      </c>
      <c r="D606" t="s">
        <v>580</v>
      </c>
      <c r="E606" t="s">
        <v>2384</v>
      </c>
    </row>
    <row r="607" spans="1:5">
      <c r="A607">
        <v>101410</v>
      </c>
      <c r="B607" t="s">
        <v>1185</v>
      </c>
      <c r="C607" t="s">
        <v>580</v>
      </c>
      <c r="D607" t="s">
        <v>580</v>
      </c>
      <c r="E607" t="s">
        <v>2384</v>
      </c>
    </row>
    <row r="608" spans="1:5">
      <c r="A608">
        <v>101814</v>
      </c>
      <c r="B608" t="s">
        <v>1239</v>
      </c>
      <c r="C608" t="s">
        <v>580</v>
      </c>
      <c r="D608" t="s">
        <v>580</v>
      </c>
      <c r="E608" t="s">
        <v>2384</v>
      </c>
    </row>
    <row r="609" spans="1:5">
      <c r="A609">
        <v>101815</v>
      </c>
      <c r="B609" t="s">
        <v>1240</v>
      </c>
      <c r="C609" t="s">
        <v>580</v>
      </c>
      <c r="D609" t="s">
        <v>580</v>
      </c>
      <c r="E609" t="s">
        <v>2384</v>
      </c>
    </row>
    <row r="610" spans="1:5">
      <c r="A610">
        <v>101819</v>
      </c>
      <c r="B610" t="s">
        <v>1245</v>
      </c>
      <c r="C610" t="s">
        <v>580</v>
      </c>
      <c r="D610" t="s">
        <v>580</v>
      </c>
      <c r="E610" t="s">
        <v>2384</v>
      </c>
    </row>
    <row r="611" spans="1:5">
      <c r="A611">
        <v>101820</v>
      </c>
      <c r="B611" t="s">
        <v>1246</v>
      </c>
      <c r="C611" t="s">
        <v>580</v>
      </c>
      <c r="D611" t="s">
        <v>580</v>
      </c>
      <c r="E611" t="s">
        <v>2384</v>
      </c>
    </row>
    <row r="612" spans="1:5">
      <c r="A612">
        <v>101821</v>
      </c>
      <c r="B612" t="s">
        <v>1247</v>
      </c>
      <c r="C612" t="s">
        <v>580</v>
      </c>
      <c r="D612" t="s">
        <v>580</v>
      </c>
      <c r="E612" t="s">
        <v>2384</v>
      </c>
    </row>
    <row r="613" spans="1:5">
      <c r="A613">
        <v>101824</v>
      </c>
      <c r="B613" t="s">
        <v>1250</v>
      </c>
      <c r="C613" t="s">
        <v>580</v>
      </c>
      <c r="D613" t="s">
        <v>580</v>
      </c>
      <c r="E613" t="s">
        <v>2384</v>
      </c>
    </row>
    <row r="614" spans="1:5">
      <c r="A614">
        <v>101825</v>
      </c>
      <c r="B614" t="s">
        <v>1251</v>
      </c>
      <c r="C614" t="s">
        <v>580</v>
      </c>
      <c r="D614" t="s">
        <v>580</v>
      </c>
      <c r="E614" t="s">
        <v>2384</v>
      </c>
    </row>
    <row r="615" spans="1:5">
      <c r="A615">
        <v>101826</v>
      </c>
      <c r="B615" t="s">
        <v>1252</v>
      </c>
      <c r="C615" t="s">
        <v>580</v>
      </c>
      <c r="D615" t="s">
        <v>580</v>
      </c>
      <c r="E615" t="s">
        <v>2384</v>
      </c>
    </row>
    <row r="616" spans="1:5">
      <c r="A616">
        <v>101827</v>
      </c>
      <c r="B616" t="s">
        <v>1253</v>
      </c>
      <c r="C616" t="s">
        <v>580</v>
      </c>
      <c r="D616" t="s">
        <v>580</v>
      </c>
      <c r="E616" t="s">
        <v>2384</v>
      </c>
    </row>
    <row r="617" spans="1:5">
      <c r="A617">
        <v>101828</v>
      </c>
      <c r="B617" t="s">
        <v>1254</v>
      </c>
      <c r="C617" t="s">
        <v>580</v>
      </c>
      <c r="D617" t="s">
        <v>580</v>
      </c>
      <c r="E617" t="s">
        <v>2384</v>
      </c>
    </row>
    <row r="618" spans="1:5">
      <c r="A618">
        <v>101850</v>
      </c>
      <c r="B618" t="s">
        <v>1266</v>
      </c>
      <c r="C618" t="s">
        <v>580</v>
      </c>
      <c r="D618" t="s">
        <v>580</v>
      </c>
      <c r="E618" t="s">
        <v>2384</v>
      </c>
    </row>
    <row r="619" spans="1:5">
      <c r="A619">
        <v>101829</v>
      </c>
      <c r="B619" t="s">
        <v>1255</v>
      </c>
      <c r="C619" t="s">
        <v>580</v>
      </c>
      <c r="D619" t="s">
        <v>580</v>
      </c>
      <c r="E619" t="s">
        <v>2384</v>
      </c>
    </row>
    <row r="620" spans="1:5">
      <c r="A620">
        <v>101833</v>
      </c>
      <c r="B620" t="s">
        <v>1259</v>
      </c>
      <c r="C620" t="s">
        <v>580</v>
      </c>
      <c r="D620" t="s">
        <v>580</v>
      </c>
      <c r="E620" t="s">
        <v>2384</v>
      </c>
    </row>
    <row r="621" spans="1:5">
      <c r="A621">
        <v>101834</v>
      </c>
      <c r="B621" t="s">
        <v>1260</v>
      </c>
      <c r="C621" t="s">
        <v>580</v>
      </c>
      <c r="D621" t="s">
        <v>580</v>
      </c>
      <c r="E621" t="s">
        <v>2384</v>
      </c>
    </row>
    <row r="622" spans="1:5">
      <c r="A622">
        <v>206043</v>
      </c>
      <c r="B622" t="s">
        <v>1464</v>
      </c>
      <c r="C622" t="s">
        <v>582</v>
      </c>
      <c r="D622" t="s">
        <v>582</v>
      </c>
      <c r="E622" t="s">
        <v>2384</v>
      </c>
    </row>
    <row r="623" spans="1:5">
      <c r="A623">
        <v>206044</v>
      </c>
      <c r="B623" t="s">
        <v>1465</v>
      </c>
      <c r="C623" t="s">
        <v>582</v>
      </c>
      <c r="D623" t="s">
        <v>582</v>
      </c>
      <c r="E623" t="s">
        <v>2384</v>
      </c>
    </row>
    <row r="624" spans="1:5">
      <c r="A624">
        <v>206047</v>
      </c>
      <c r="B624" t="s">
        <v>1467</v>
      </c>
      <c r="C624" t="s">
        <v>582</v>
      </c>
      <c r="D624" t="s">
        <v>582</v>
      </c>
      <c r="E624" t="s">
        <v>2384</v>
      </c>
    </row>
    <row r="625" spans="1:5">
      <c r="A625">
        <v>206041</v>
      </c>
      <c r="B625" t="s">
        <v>1462</v>
      </c>
      <c r="C625" t="s">
        <v>582</v>
      </c>
      <c r="D625" t="s">
        <v>582</v>
      </c>
      <c r="E625" t="s">
        <v>2384</v>
      </c>
    </row>
    <row r="626" spans="1:5">
      <c r="A626">
        <v>206042</v>
      </c>
      <c r="B626" t="s">
        <v>1463</v>
      </c>
      <c r="C626" t="s">
        <v>582</v>
      </c>
      <c r="D626" t="s">
        <v>582</v>
      </c>
      <c r="E626" t="s">
        <v>2384</v>
      </c>
    </row>
    <row r="627" spans="1:5">
      <c r="A627">
        <v>101790</v>
      </c>
      <c r="B627" t="s">
        <v>1217</v>
      </c>
      <c r="C627" t="s">
        <v>582</v>
      </c>
      <c r="D627" t="s">
        <v>582</v>
      </c>
      <c r="E627" t="s">
        <v>2384</v>
      </c>
    </row>
    <row r="628" spans="1:5">
      <c r="A628">
        <v>206046</v>
      </c>
      <c r="B628" t="s">
        <v>1466</v>
      </c>
      <c r="C628" t="s">
        <v>582</v>
      </c>
      <c r="D628" t="s">
        <v>582</v>
      </c>
      <c r="E628" t="s">
        <v>2384</v>
      </c>
    </row>
    <row r="629" spans="1:5">
      <c r="A629">
        <v>206048</v>
      </c>
      <c r="B629" t="s">
        <v>1468</v>
      </c>
      <c r="C629" t="s">
        <v>582</v>
      </c>
      <c r="D629" t="s">
        <v>582</v>
      </c>
      <c r="E629" t="s">
        <v>2384</v>
      </c>
    </row>
    <row r="630" spans="1:5">
      <c r="A630">
        <v>101843</v>
      </c>
      <c r="B630" t="s">
        <v>1804</v>
      </c>
      <c r="C630" t="s">
        <v>582</v>
      </c>
      <c r="D630" t="s">
        <v>582</v>
      </c>
      <c r="E630" t="s">
        <v>2384</v>
      </c>
    </row>
    <row r="631" spans="1:5">
      <c r="A631">
        <v>101848</v>
      </c>
      <c r="B631" t="s">
        <v>1805</v>
      </c>
      <c r="C631" t="s">
        <v>582</v>
      </c>
      <c r="D631" t="s">
        <v>582</v>
      </c>
      <c r="E631" t="s">
        <v>2384</v>
      </c>
    </row>
    <row r="632" spans="1:5">
      <c r="A632">
        <v>110020</v>
      </c>
      <c r="B632" t="s">
        <v>1269</v>
      </c>
      <c r="C632" t="s">
        <v>587</v>
      </c>
      <c r="D632" t="s">
        <v>587</v>
      </c>
      <c r="E632" t="s">
        <v>2384</v>
      </c>
    </row>
    <row r="633" spans="1:5">
      <c r="A633">
        <v>110025</v>
      </c>
      <c r="B633" t="s">
        <v>586</v>
      </c>
      <c r="C633" t="s">
        <v>587</v>
      </c>
      <c r="D633" t="s">
        <v>587</v>
      </c>
      <c r="E633" t="s">
        <v>2384</v>
      </c>
    </row>
    <row r="634" spans="1:5">
      <c r="A634">
        <v>110030</v>
      </c>
      <c r="B634" t="s">
        <v>1270</v>
      </c>
      <c r="C634" t="s">
        <v>587</v>
      </c>
      <c r="D634" t="s">
        <v>587</v>
      </c>
      <c r="E634" t="s">
        <v>2384</v>
      </c>
    </row>
    <row r="635" spans="1:5">
      <c r="A635">
        <v>110035</v>
      </c>
      <c r="B635" t="s">
        <v>1272</v>
      </c>
      <c r="C635" t="s">
        <v>587</v>
      </c>
      <c r="D635" t="s">
        <v>587</v>
      </c>
      <c r="E635" t="s">
        <v>2384</v>
      </c>
    </row>
    <row r="636" spans="1:5">
      <c r="A636">
        <v>110040</v>
      </c>
      <c r="B636" t="s">
        <v>946</v>
      </c>
      <c r="C636" t="s">
        <v>587</v>
      </c>
      <c r="D636" t="s">
        <v>587</v>
      </c>
      <c r="E636" t="s">
        <v>2384</v>
      </c>
    </row>
    <row r="637" spans="1:5">
      <c r="A637">
        <v>110050</v>
      </c>
      <c r="B637" t="s">
        <v>1273</v>
      </c>
      <c r="C637" t="s">
        <v>587</v>
      </c>
      <c r="D637" t="s">
        <v>587</v>
      </c>
      <c r="E637" t="s">
        <v>2384</v>
      </c>
    </row>
    <row r="638" spans="1:5">
      <c r="A638">
        <v>110055</v>
      </c>
      <c r="B638" t="s">
        <v>1274</v>
      </c>
      <c r="C638" t="s">
        <v>587</v>
      </c>
      <c r="D638" t="s">
        <v>587</v>
      </c>
      <c r="E638" t="s">
        <v>2384</v>
      </c>
    </row>
    <row r="639" spans="1:5">
      <c r="A639">
        <v>110060</v>
      </c>
      <c r="B639" t="s">
        <v>1275</v>
      </c>
      <c r="C639" t="s">
        <v>587</v>
      </c>
      <c r="D639" t="s">
        <v>587</v>
      </c>
      <c r="E639" t="s">
        <v>2384</v>
      </c>
    </row>
    <row r="640" spans="1:5">
      <c r="A640">
        <v>110061</v>
      </c>
      <c r="B640" t="s">
        <v>1276</v>
      </c>
      <c r="C640" t="s">
        <v>587</v>
      </c>
      <c r="D640" t="s">
        <v>587</v>
      </c>
      <c r="E640" t="s">
        <v>2384</v>
      </c>
    </row>
    <row r="641" spans="1:5">
      <c r="A641">
        <v>110062</v>
      </c>
      <c r="B641" t="s">
        <v>1277</v>
      </c>
      <c r="C641" t="s">
        <v>587</v>
      </c>
      <c r="D641" t="s">
        <v>587</v>
      </c>
      <c r="E641" t="s">
        <v>2384</v>
      </c>
    </row>
    <row r="642" spans="1:5">
      <c r="A642">
        <v>110063</v>
      </c>
      <c r="B642" t="s">
        <v>1278</v>
      </c>
      <c r="C642" t="s">
        <v>587</v>
      </c>
      <c r="D642" t="s">
        <v>587</v>
      </c>
      <c r="E642" t="s">
        <v>2384</v>
      </c>
    </row>
    <row r="643" spans="1:5">
      <c r="A643">
        <v>110064</v>
      </c>
      <c r="B643" t="s">
        <v>1279</v>
      </c>
      <c r="C643" t="s">
        <v>587</v>
      </c>
      <c r="D643" t="s">
        <v>587</v>
      </c>
      <c r="E643" t="s">
        <v>2384</v>
      </c>
    </row>
    <row r="644" spans="1:5">
      <c r="A644">
        <v>110065</v>
      </c>
      <c r="B644" t="s">
        <v>1280</v>
      </c>
      <c r="C644" t="s">
        <v>587</v>
      </c>
      <c r="D644" t="s">
        <v>587</v>
      </c>
      <c r="E644" t="s">
        <v>2384</v>
      </c>
    </row>
    <row r="645" spans="1:5">
      <c r="A645">
        <v>110085</v>
      </c>
      <c r="B645" t="s">
        <v>1286</v>
      </c>
      <c r="C645" t="s">
        <v>587</v>
      </c>
      <c r="D645" t="s">
        <v>587</v>
      </c>
      <c r="E645" t="s">
        <v>2384</v>
      </c>
    </row>
    <row r="646" spans="1:5">
      <c r="A646">
        <v>110090</v>
      </c>
      <c r="B646" t="s">
        <v>1288</v>
      </c>
      <c r="C646" t="s">
        <v>587</v>
      </c>
      <c r="D646" t="s">
        <v>587</v>
      </c>
      <c r="E646" t="s">
        <v>2384</v>
      </c>
    </row>
    <row r="647" spans="1:5">
      <c r="A647">
        <v>110095</v>
      </c>
      <c r="B647" t="s">
        <v>1293</v>
      </c>
      <c r="C647" t="s">
        <v>587</v>
      </c>
      <c r="D647" t="s">
        <v>587</v>
      </c>
      <c r="E647" t="s">
        <v>2384</v>
      </c>
    </row>
    <row r="648" spans="1:5">
      <c r="A648">
        <v>110120</v>
      </c>
      <c r="B648" t="s">
        <v>1298</v>
      </c>
      <c r="C648" t="s">
        <v>588</v>
      </c>
      <c r="D648" t="s">
        <v>588</v>
      </c>
      <c r="E648" t="s">
        <v>2384</v>
      </c>
    </row>
    <row r="649" spans="1:5">
      <c r="A649">
        <v>110125</v>
      </c>
      <c r="B649" t="s">
        <v>1299</v>
      </c>
      <c r="C649" t="s">
        <v>588</v>
      </c>
      <c r="D649" t="s">
        <v>588</v>
      </c>
      <c r="E649" t="s">
        <v>2384</v>
      </c>
    </row>
    <row r="650" spans="1:5">
      <c r="A650">
        <v>110130</v>
      </c>
      <c r="B650" t="s">
        <v>1300</v>
      </c>
      <c r="C650" t="s">
        <v>588</v>
      </c>
      <c r="D650" t="s">
        <v>588</v>
      </c>
      <c r="E650" t="s">
        <v>2384</v>
      </c>
    </row>
    <row r="651" spans="1:5">
      <c r="A651">
        <v>110135</v>
      </c>
      <c r="B651" t="s">
        <v>1301</v>
      </c>
      <c r="C651" t="s">
        <v>588</v>
      </c>
      <c r="D651" t="s">
        <v>588</v>
      </c>
      <c r="E651" t="s">
        <v>2384</v>
      </c>
    </row>
    <row r="652" spans="1:5">
      <c r="A652">
        <v>110140</v>
      </c>
      <c r="B652" t="s">
        <v>1302</v>
      </c>
      <c r="C652" t="s">
        <v>588</v>
      </c>
      <c r="D652" t="s">
        <v>588</v>
      </c>
      <c r="E652" t="s">
        <v>2384</v>
      </c>
    </row>
    <row r="653" spans="1:5">
      <c r="A653">
        <v>110150</v>
      </c>
      <c r="B653" t="s">
        <v>1303</v>
      </c>
      <c r="C653" t="s">
        <v>588</v>
      </c>
      <c r="D653" t="s">
        <v>588</v>
      </c>
      <c r="E653" t="s">
        <v>2384</v>
      </c>
    </row>
    <row r="654" spans="1:5">
      <c r="A654">
        <v>110155</v>
      </c>
      <c r="B654" t="s">
        <v>1304</v>
      </c>
      <c r="C654" t="s">
        <v>588</v>
      </c>
      <c r="D654" t="s">
        <v>588</v>
      </c>
      <c r="E654" t="s">
        <v>2384</v>
      </c>
    </row>
    <row r="655" spans="1:5">
      <c r="A655">
        <v>110160</v>
      </c>
      <c r="B655" t="s">
        <v>1305</v>
      </c>
      <c r="C655" t="s">
        <v>588</v>
      </c>
      <c r="D655" t="s">
        <v>588</v>
      </c>
      <c r="E655" t="s">
        <v>2384</v>
      </c>
    </row>
    <row r="656" spans="1:5">
      <c r="A656">
        <v>110161</v>
      </c>
      <c r="B656" t="s">
        <v>1306</v>
      </c>
      <c r="C656" t="s">
        <v>588</v>
      </c>
      <c r="D656" t="s">
        <v>588</v>
      </c>
      <c r="E656" t="s">
        <v>2384</v>
      </c>
    </row>
    <row r="657" spans="1:5">
      <c r="A657">
        <v>110162</v>
      </c>
      <c r="B657" t="s">
        <v>1307</v>
      </c>
      <c r="C657" t="s">
        <v>588</v>
      </c>
      <c r="D657" t="s">
        <v>588</v>
      </c>
      <c r="E657" t="s">
        <v>2384</v>
      </c>
    </row>
    <row r="658" spans="1:5">
      <c r="A658">
        <v>110163</v>
      </c>
      <c r="B658" t="s">
        <v>1308</v>
      </c>
      <c r="C658" t="s">
        <v>588</v>
      </c>
      <c r="D658" t="s">
        <v>588</v>
      </c>
      <c r="E658" t="s">
        <v>2384</v>
      </c>
    </row>
    <row r="659" spans="1:5">
      <c r="A659">
        <v>110164</v>
      </c>
      <c r="B659" t="s">
        <v>1309</v>
      </c>
      <c r="C659" t="s">
        <v>588</v>
      </c>
      <c r="D659" t="s">
        <v>588</v>
      </c>
      <c r="E659" t="s">
        <v>2384</v>
      </c>
    </row>
    <row r="660" spans="1:5">
      <c r="A660">
        <v>110165</v>
      </c>
      <c r="B660" t="s">
        <v>956</v>
      </c>
      <c r="C660" t="s">
        <v>588</v>
      </c>
      <c r="D660" t="s">
        <v>588</v>
      </c>
      <c r="E660" t="s">
        <v>2384</v>
      </c>
    </row>
    <row r="661" spans="1:5">
      <c r="A661">
        <v>110175</v>
      </c>
      <c r="B661" t="s">
        <v>1311</v>
      </c>
      <c r="C661" t="s">
        <v>588</v>
      </c>
      <c r="D661" t="s">
        <v>588</v>
      </c>
      <c r="E661" t="s">
        <v>2384</v>
      </c>
    </row>
    <row r="662" spans="1:5">
      <c r="A662">
        <v>110180</v>
      </c>
      <c r="B662" t="s">
        <v>1312</v>
      </c>
      <c r="C662" t="s">
        <v>588</v>
      </c>
      <c r="D662" t="s">
        <v>588</v>
      </c>
      <c r="E662" t="s">
        <v>2384</v>
      </c>
    </row>
    <row r="663" spans="1:5">
      <c r="A663">
        <v>110190</v>
      </c>
      <c r="B663" t="s">
        <v>1313</v>
      </c>
      <c r="C663" t="s">
        <v>588</v>
      </c>
      <c r="D663" t="s">
        <v>588</v>
      </c>
      <c r="E663" t="s">
        <v>2384</v>
      </c>
    </row>
    <row r="664" spans="1:5">
      <c r="A664">
        <v>110195</v>
      </c>
      <c r="B664" t="s">
        <v>1314</v>
      </c>
      <c r="C664" t="s">
        <v>588</v>
      </c>
      <c r="D664" t="s">
        <v>588</v>
      </c>
      <c r="E664" t="s">
        <v>2384</v>
      </c>
    </row>
    <row r="665" spans="1:5">
      <c r="A665">
        <v>110070</v>
      </c>
      <c r="B665" t="s">
        <v>1284</v>
      </c>
      <c r="C665" t="s">
        <v>15</v>
      </c>
      <c r="D665" t="s">
        <v>15</v>
      </c>
      <c r="E665" t="s">
        <v>2384</v>
      </c>
    </row>
    <row r="666" spans="1:5">
      <c r="A666">
        <v>110080</v>
      </c>
      <c r="B666" t="s">
        <v>1285</v>
      </c>
      <c r="C666" t="s">
        <v>15</v>
      </c>
      <c r="D666" t="s">
        <v>15</v>
      </c>
      <c r="E666" t="s">
        <v>2384</v>
      </c>
    </row>
    <row r="667" spans="1:5">
      <c r="A667">
        <v>110170</v>
      </c>
      <c r="B667" t="s">
        <v>1310</v>
      </c>
      <c r="C667" t="s">
        <v>591</v>
      </c>
      <c r="D667" t="s">
        <v>591</v>
      </c>
      <c r="E667" t="s">
        <v>2384</v>
      </c>
    </row>
    <row r="668" spans="1:5">
      <c r="A668">
        <v>110031</v>
      </c>
      <c r="B668" t="s">
        <v>1271</v>
      </c>
      <c r="C668" t="s">
        <v>593</v>
      </c>
      <c r="D668" t="s">
        <v>593</v>
      </c>
      <c r="E668" t="s">
        <v>2384</v>
      </c>
    </row>
    <row r="669" spans="1:5">
      <c r="A669">
        <v>110066</v>
      </c>
      <c r="B669" t="s">
        <v>1281</v>
      </c>
      <c r="C669" t="s">
        <v>593</v>
      </c>
      <c r="D669" t="s">
        <v>593</v>
      </c>
      <c r="E669" t="s">
        <v>2384</v>
      </c>
    </row>
    <row r="670" spans="1:5">
      <c r="A670">
        <v>110067</v>
      </c>
      <c r="B670" t="s">
        <v>1282</v>
      </c>
      <c r="C670" t="s">
        <v>593</v>
      </c>
      <c r="D670" t="s">
        <v>593</v>
      </c>
      <c r="E670" t="s">
        <v>2384</v>
      </c>
    </row>
    <row r="671" spans="1:5">
      <c r="A671">
        <v>110068</v>
      </c>
      <c r="B671" t="s">
        <v>1283</v>
      </c>
      <c r="C671" t="s">
        <v>593</v>
      </c>
      <c r="D671" t="s">
        <v>593</v>
      </c>
      <c r="E671" t="s">
        <v>2384</v>
      </c>
    </row>
    <row r="672" spans="1:5">
      <c r="A672">
        <v>110089</v>
      </c>
      <c r="B672" t="s">
        <v>1287</v>
      </c>
      <c r="C672" t="s">
        <v>593</v>
      </c>
      <c r="D672" t="s">
        <v>593</v>
      </c>
      <c r="E672" t="s">
        <v>2384</v>
      </c>
    </row>
    <row r="673" spans="1:5">
      <c r="A673">
        <v>110091</v>
      </c>
      <c r="B673" t="s">
        <v>1289</v>
      </c>
      <c r="C673" t="s">
        <v>593</v>
      </c>
      <c r="D673" t="s">
        <v>593</v>
      </c>
      <c r="E673" t="s">
        <v>2384</v>
      </c>
    </row>
    <row r="674" spans="1:5">
      <c r="A674">
        <v>110093</v>
      </c>
      <c r="B674" t="s">
        <v>1291</v>
      </c>
      <c r="C674" t="s">
        <v>593</v>
      </c>
      <c r="D674" t="s">
        <v>593</v>
      </c>
      <c r="E674" t="s">
        <v>2384</v>
      </c>
    </row>
    <row r="675" spans="1:5">
      <c r="A675">
        <v>110094</v>
      </c>
      <c r="B675" t="s">
        <v>1292</v>
      </c>
      <c r="C675" t="s">
        <v>593</v>
      </c>
      <c r="D675" t="s">
        <v>593</v>
      </c>
      <c r="E675" t="s">
        <v>2384</v>
      </c>
    </row>
    <row r="676" spans="1:5">
      <c r="A676">
        <v>110096</v>
      </c>
      <c r="B676" t="s">
        <v>1294</v>
      </c>
      <c r="C676" t="s">
        <v>593</v>
      </c>
      <c r="D676" t="s">
        <v>593</v>
      </c>
      <c r="E676" t="s">
        <v>2384</v>
      </c>
    </row>
    <row r="677" spans="1:5">
      <c r="A677">
        <v>110098</v>
      </c>
      <c r="B677" t="s">
        <v>1297</v>
      </c>
      <c r="C677" t="s">
        <v>593</v>
      </c>
      <c r="D677" t="s">
        <v>593</v>
      </c>
      <c r="E677" t="s">
        <v>2384</v>
      </c>
    </row>
    <row r="678" spans="1:5">
      <c r="A678">
        <v>110097</v>
      </c>
      <c r="B678" t="s">
        <v>1295</v>
      </c>
      <c r="C678" t="s">
        <v>593</v>
      </c>
      <c r="D678" t="s">
        <v>593</v>
      </c>
      <c r="E678" t="s">
        <v>2384</v>
      </c>
    </row>
    <row r="679" spans="1:5">
      <c r="A679">
        <v>110099</v>
      </c>
      <c r="B679" t="s">
        <v>1296</v>
      </c>
      <c r="C679" t="s">
        <v>593</v>
      </c>
      <c r="D679" t="s">
        <v>593</v>
      </c>
      <c r="E679" t="s">
        <v>2384</v>
      </c>
    </row>
    <row r="680" spans="1:5">
      <c r="A680">
        <v>110092</v>
      </c>
      <c r="B680" t="s">
        <v>1290</v>
      </c>
      <c r="C680" t="s">
        <v>594</v>
      </c>
      <c r="D680" t="s">
        <v>594</v>
      </c>
      <c r="E680" t="s">
        <v>2384</v>
      </c>
    </row>
    <row r="681" spans="1:5">
      <c r="A681">
        <v>110049</v>
      </c>
      <c r="B681" t="s">
        <v>2294</v>
      </c>
      <c r="C681" t="s">
        <v>2306</v>
      </c>
      <c r="D681" t="s">
        <v>2306</v>
      </c>
      <c r="E681" t="s">
        <v>2384</v>
      </c>
    </row>
    <row r="682" spans="1:5">
      <c r="A682">
        <v>110156</v>
      </c>
      <c r="B682" t="s">
        <v>2300</v>
      </c>
      <c r="C682" t="s">
        <v>2306</v>
      </c>
      <c r="D682" t="s">
        <v>2306</v>
      </c>
      <c r="E682" t="s">
        <v>2384</v>
      </c>
    </row>
    <row r="683" spans="1:5">
      <c r="A683">
        <v>200010</v>
      </c>
      <c r="B683" t="s">
        <v>1332</v>
      </c>
      <c r="C683" t="s">
        <v>595</v>
      </c>
      <c r="D683" t="s">
        <v>595</v>
      </c>
      <c r="E683" t="s">
        <v>2384</v>
      </c>
    </row>
    <row r="684" spans="1:5">
      <c r="A684">
        <v>205040</v>
      </c>
      <c r="B684" t="s">
        <v>1411</v>
      </c>
      <c r="C684" t="s">
        <v>595</v>
      </c>
      <c r="D684" t="s">
        <v>595</v>
      </c>
      <c r="E684" t="s">
        <v>2384</v>
      </c>
    </row>
    <row r="685" spans="1:5">
      <c r="A685">
        <v>200011</v>
      </c>
      <c r="B685" t="s">
        <v>1333</v>
      </c>
      <c r="C685" t="s">
        <v>595</v>
      </c>
      <c r="D685" t="s">
        <v>595</v>
      </c>
      <c r="E685" t="s">
        <v>2384</v>
      </c>
    </row>
    <row r="686" spans="1:5">
      <c r="A686">
        <v>200012</v>
      </c>
      <c r="B686" t="s">
        <v>1334</v>
      </c>
      <c r="C686" t="s">
        <v>595</v>
      </c>
      <c r="D686" t="s">
        <v>595</v>
      </c>
      <c r="E686" t="s">
        <v>2384</v>
      </c>
    </row>
    <row r="687" spans="1:5">
      <c r="A687">
        <v>200019</v>
      </c>
      <c r="B687" t="s">
        <v>1340</v>
      </c>
      <c r="C687" t="s">
        <v>595</v>
      </c>
      <c r="D687" t="s">
        <v>595</v>
      </c>
      <c r="E687" t="s">
        <v>2384</v>
      </c>
    </row>
    <row r="688" spans="1:5">
      <c r="A688">
        <v>200022</v>
      </c>
      <c r="B688" t="s">
        <v>1342</v>
      </c>
      <c r="C688" t="s">
        <v>595</v>
      </c>
      <c r="D688" t="s">
        <v>595</v>
      </c>
      <c r="E688" t="s">
        <v>2384</v>
      </c>
    </row>
    <row r="689" spans="1:5">
      <c r="A689">
        <v>200041</v>
      </c>
      <c r="B689" t="s">
        <v>1343</v>
      </c>
      <c r="C689" t="s">
        <v>595</v>
      </c>
      <c r="D689" t="s">
        <v>595</v>
      </c>
      <c r="E689" t="s">
        <v>2384</v>
      </c>
    </row>
    <row r="690" spans="1:5">
      <c r="A690">
        <v>200015</v>
      </c>
      <c r="B690" t="s">
        <v>1337</v>
      </c>
      <c r="C690" t="s">
        <v>599</v>
      </c>
      <c r="D690" t="s">
        <v>599</v>
      </c>
      <c r="E690" t="s">
        <v>2384</v>
      </c>
    </row>
    <row r="691" spans="1:5">
      <c r="A691">
        <v>201241</v>
      </c>
      <c r="B691" t="s">
        <v>1399</v>
      </c>
      <c r="C691" t="s">
        <v>602</v>
      </c>
      <c r="D691" t="s">
        <v>602</v>
      </c>
      <c r="E691" t="s">
        <v>2384</v>
      </c>
    </row>
    <row r="692" spans="1:5">
      <c r="A692">
        <v>201242</v>
      </c>
      <c r="B692" t="s">
        <v>1400</v>
      </c>
      <c r="C692" t="s">
        <v>602</v>
      </c>
      <c r="D692" t="s">
        <v>602</v>
      </c>
      <c r="E692" t="s">
        <v>2384</v>
      </c>
    </row>
    <row r="693" spans="1:5">
      <c r="A693">
        <v>101090</v>
      </c>
      <c r="B693" t="s">
        <v>1105</v>
      </c>
      <c r="E693" t="s">
        <v>2384</v>
      </c>
    </row>
    <row r="694" spans="1:5">
      <c r="A694">
        <v>205095</v>
      </c>
      <c r="B694" t="s">
        <v>1424</v>
      </c>
      <c r="E694" t="s">
        <v>2384</v>
      </c>
    </row>
    <row r="695" spans="1:5">
      <c r="A695">
        <v>205043</v>
      </c>
      <c r="B695" t="s">
        <v>1414</v>
      </c>
      <c r="C695" t="s">
        <v>604</v>
      </c>
      <c r="D695" t="s">
        <v>604</v>
      </c>
      <c r="E695" t="s">
        <v>2384</v>
      </c>
    </row>
    <row r="696" spans="1:5">
      <c r="A696">
        <v>220020</v>
      </c>
      <c r="B696" t="s">
        <v>1491</v>
      </c>
      <c r="C696" t="s">
        <v>604</v>
      </c>
      <c r="D696" t="s">
        <v>604</v>
      </c>
      <c r="E696" t="s">
        <v>2384</v>
      </c>
    </row>
    <row r="697" spans="1:5">
      <c r="A697">
        <v>220021</v>
      </c>
      <c r="B697" t="s">
        <v>1492</v>
      </c>
      <c r="C697" t="s">
        <v>604</v>
      </c>
      <c r="D697" t="s">
        <v>604</v>
      </c>
      <c r="E697" t="s">
        <v>2384</v>
      </c>
    </row>
    <row r="698" spans="1:5">
      <c r="A698">
        <v>220030</v>
      </c>
      <c r="B698" t="s">
        <v>1494</v>
      </c>
      <c r="C698" t="s">
        <v>604</v>
      </c>
      <c r="D698" t="s">
        <v>604</v>
      </c>
      <c r="E698" t="s">
        <v>2384</v>
      </c>
    </row>
    <row r="699" spans="1:5">
      <c r="A699">
        <v>220010</v>
      </c>
      <c r="B699" t="s">
        <v>1490</v>
      </c>
      <c r="C699" t="s">
        <v>604</v>
      </c>
      <c r="D699" t="s">
        <v>604</v>
      </c>
      <c r="E699" t="s">
        <v>2384</v>
      </c>
    </row>
    <row r="700" spans="1:5">
      <c r="A700">
        <v>220022</v>
      </c>
      <c r="B700" t="s">
        <v>1493</v>
      </c>
      <c r="C700" t="s">
        <v>604</v>
      </c>
      <c r="D700" t="s">
        <v>604</v>
      </c>
      <c r="E700" t="s">
        <v>2384</v>
      </c>
    </row>
    <row r="701" spans="1:5">
      <c r="A701">
        <v>205056</v>
      </c>
      <c r="B701" t="s">
        <v>1806</v>
      </c>
      <c r="C701" t="s">
        <v>604</v>
      </c>
      <c r="D701" t="s">
        <v>604</v>
      </c>
      <c r="E701" t="s">
        <v>2384</v>
      </c>
    </row>
    <row r="702" spans="1:5">
      <c r="A702">
        <v>205057</v>
      </c>
      <c r="B702" t="s">
        <v>1807</v>
      </c>
      <c r="C702" t="s">
        <v>604</v>
      </c>
      <c r="D702" t="s">
        <v>604</v>
      </c>
      <c r="E702" t="s">
        <v>2384</v>
      </c>
    </row>
    <row r="703" spans="1:5">
      <c r="A703">
        <v>240007</v>
      </c>
      <c r="B703" t="s">
        <v>1808</v>
      </c>
      <c r="C703" t="s">
        <v>604</v>
      </c>
      <c r="D703" t="s">
        <v>604</v>
      </c>
      <c r="E703" t="s">
        <v>2384</v>
      </c>
    </row>
    <row r="704" spans="1:5">
      <c r="A704">
        <v>201211</v>
      </c>
      <c r="B704" t="s">
        <v>1380</v>
      </c>
      <c r="C704" t="s">
        <v>605</v>
      </c>
      <c r="D704" t="s">
        <v>605</v>
      </c>
      <c r="E704" t="s">
        <v>2384</v>
      </c>
    </row>
    <row r="705" spans="1:5">
      <c r="A705">
        <v>201212</v>
      </c>
      <c r="B705" t="s">
        <v>1381</v>
      </c>
      <c r="C705" t="s">
        <v>605</v>
      </c>
      <c r="D705" t="s">
        <v>605</v>
      </c>
      <c r="E705" t="s">
        <v>2384</v>
      </c>
    </row>
    <row r="706" spans="1:5">
      <c r="A706">
        <v>201214</v>
      </c>
      <c r="B706" t="s">
        <v>1383</v>
      </c>
      <c r="C706" t="s">
        <v>605</v>
      </c>
      <c r="D706" t="s">
        <v>605</v>
      </c>
      <c r="E706" t="s">
        <v>2384</v>
      </c>
    </row>
    <row r="707" spans="1:5">
      <c r="A707">
        <v>201215</v>
      </c>
      <c r="B707" t="s">
        <v>1384</v>
      </c>
      <c r="C707" t="s">
        <v>605</v>
      </c>
      <c r="D707" t="s">
        <v>605</v>
      </c>
      <c r="E707" t="s">
        <v>2384</v>
      </c>
    </row>
    <row r="708" spans="1:5">
      <c r="A708">
        <v>205101</v>
      </c>
      <c r="B708" t="s">
        <v>1425</v>
      </c>
      <c r="C708" t="s">
        <v>605</v>
      </c>
      <c r="D708" t="s">
        <v>605</v>
      </c>
      <c r="E708" t="s">
        <v>2384</v>
      </c>
    </row>
    <row r="709" spans="1:5">
      <c r="A709">
        <v>205102</v>
      </c>
      <c r="B709" t="s">
        <v>1426</v>
      </c>
      <c r="C709" t="s">
        <v>605</v>
      </c>
      <c r="D709" t="s">
        <v>605</v>
      </c>
      <c r="E709" t="s">
        <v>2384</v>
      </c>
    </row>
    <row r="710" spans="1:5">
      <c r="A710">
        <v>205103</v>
      </c>
      <c r="B710" t="s">
        <v>1427</v>
      </c>
      <c r="C710" t="s">
        <v>605</v>
      </c>
      <c r="D710" t="s">
        <v>605</v>
      </c>
      <c r="E710" t="s">
        <v>2384</v>
      </c>
    </row>
    <row r="711" spans="1:5">
      <c r="A711">
        <v>205104</v>
      </c>
      <c r="B711" t="s">
        <v>1428</v>
      </c>
      <c r="C711" t="s">
        <v>605</v>
      </c>
      <c r="D711" t="s">
        <v>605</v>
      </c>
      <c r="E711" t="s">
        <v>2384</v>
      </c>
    </row>
    <row r="712" spans="1:5">
      <c r="A712">
        <v>205105</v>
      </c>
      <c r="B712" t="s">
        <v>1429</v>
      </c>
      <c r="C712" t="s">
        <v>605</v>
      </c>
      <c r="D712" t="s">
        <v>605</v>
      </c>
      <c r="E712" t="s">
        <v>2384</v>
      </c>
    </row>
    <row r="713" spans="1:5">
      <c r="A713">
        <v>205106</v>
      </c>
      <c r="B713" t="s">
        <v>1430</v>
      </c>
      <c r="C713" t="s">
        <v>605</v>
      </c>
      <c r="D713" t="s">
        <v>605</v>
      </c>
      <c r="E713" t="s">
        <v>2384</v>
      </c>
    </row>
    <row r="714" spans="1:5">
      <c r="A714">
        <v>205109</v>
      </c>
      <c r="B714" t="s">
        <v>1433</v>
      </c>
      <c r="C714" t="s">
        <v>605</v>
      </c>
      <c r="D714" t="s">
        <v>605</v>
      </c>
      <c r="E714" t="s">
        <v>2384</v>
      </c>
    </row>
    <row r="715" spans="1:5">
      <c r="A715">
        <v>205110</v>
      </c>
      <c r="B715" t="s">
        <v>1434</v>
      </c>
      <c r="C715" t="s">
        <v>605</v>
      </c>
      <c r="D715" t="s">
        <v>605</v>
      </c>
      <c r="E715" t="s">
        <v>2384</v>
      </c>
    </row>
    <row r="716" spans="1:5">
      <c r="A716">
        <v>205111</v>
      </c>
      <c r="B716" t="s">
        <v>1435</v>
      </c>
      <c r="C716" t="s">
        <v>605</v>
      </c>
      <c r="D716" t="s">
        <v>605</v>
      </c>
      <c r="E716" t="s">
        <v>2384</v>
      </c>
    </row>
    <row r="717" spans="1:5">
      <c r="A717">
        <v>205112</v>
      </c>
      <c r="B717" t="s">
        <v>1436</v>
      </c>
      <c r="C717" t="s">
        <v>605</v>
      </c>
      <c r="D717" t="s">
        <v>605</v>
      </c>
      <c r="E717" t="s">
        <v>2384</v>
      </c>
    </row>
    <row r="718" spans="1:5">
      <c r="A718">
        <v>205113</v>
      </c>
      <c r="B718" t="s">
        <v>1437</v>
      </c>
      <c r="C718" t="s">
        <v>605</v>
      </c>
      <c r="D718" t="s">
        <v>605</v>
      </c>
      <c r="E718" t="s">
        <v>2384</v>
      </c>
    </row>
    <row r="719" spans="1:5">
      <c r="A719">
        <v>205119</v>
      </c>
      <c r="B719" t="s">
        <v>1441</v>
      </c>
      <c r="C719" t="s">
        <v>605</v>
      </c>
      <c r="D719" t="s">
        <v>605</v>
      </c>
      <c r="E719" t="s">
        <v>2384</v>
      </c>
    </row>
    <row r="720" spans="1:5">
      <c r="A720">
        <v>201221</v>
      </c>
      <c r="B720" t="s">
        <v>1385</v>
      </c>
      <c r="C720" t="s">
        <v>606</v>
      </c>
      <c r="D720" t="s">
        <v>606</v>
      </c>
      <c r="E720" t="s">
        <v>2384</v>
      </c>
    </row>
    <row r="721" spans="1:5">
      <c r="A721">
        <v>201222</v>
      </c>
      <c r="B721" t="s">
        <v>1386</v>
      </c>
      <c r="C721" t="s">
        <v>606</v>
      </c>
      <c r="D721" t="s">
        <v>606</v>
      </c>
      <c r="E721" t="s">
        <v>2384</v>
      </c>
    </row>
    <row r="722" spans="1:5">
      <c r="A722">
        <v>201223</v>
      </c>
      <c r="B722" t="s">
        <v>1387</v>
      </c>
      <c r="C722" t="s">
        <v>606</v>
      </c>
      <c r="D722" t="s">
        <v>606</v>
      </c>
      <c r="E722" t="s">
        <v>2384</v>
      </c>
    </row>
    <row r="723" spans="1:5">
      <c r="A723">
        <v>201224</v>
      </c>
      <c r="B723" t="s">
        <v>1388</v>
      </c>
      <c r="C723" t="s">
        <v>606</v>
      </c>
      <c r="D723" t="s">
        <v>606</v>
      </c>
      <c r="E723" t="s">
        <v>2384</v>
      </c>
    </row>
    <row r="724" spans="1:5">
      <c r="A724">
        <v>201232</v>
      </c>
      <c r="B724" t="s">
        <v>1394</v>
      </c>
      <c r="C724" t="s">
        <v>606</v>
      </c>
      <c r="D724" t="s">
        <v>606</v>
      </c>
      <c r="E724" t="s">
        <v>2384</v>
      </c>
    </row>
    <row r="725" spans="1:5">
      <c r="A725">
        <v>201233</v>
      </c>
      <c r="B725" t="s">
        <v>1395</v>
      </c>
      <c r="C725" t="s">
        <v>606</v>
      </c>
      <c r="D725" t="s">
        <v>606</v>
      </c>
      <c r="E725" t="s">
        <v>2384</v>
      </c>
    </row>
    <row r="726" spans="1:5">
      <c r="A726">
        <v>201234</v>
      </c>
      <c r="B726" t="s">
        <v>1396</v>
      </c>
      <c r="C726" t="s">
        <v>606</v>
      </c>
      <c r="D726" t="s">
        <v>606</v>
      </c>
      <c r="E726" t="s">
        <v>2384</v>
      </c>
    </row>
    <row r="727" spans="1:5">
      <c r="A727">
        <v>201235</v>
      </c>
      <c r="B727" t="s">
        <v>1397</v>
      </c>
      <c r="C727" t="s">
        <v>606</v>
      </c>
      <c r="D727" t="s">
        <v>606</v>
      </c>
      <c r="E727" t="s">
        <v>2384</v>
      </c>
    </row>
    <row r="728" spans="1:5">
      <c r="A728">
        <v>201236</v>
      </c>
      <c r="B728" t="s">
        <v>1398</v>
      </c>
      <c r="C728" t="s">
        <v>606</v>
      </c>
      <c r="D728" t="s">
        <v>606</v>
      </c>
      <c r="E728" t="s">
        <v>2384</v>
      </c>
    </row>
    <row r="729" spans="1:5">
      <c r="A729">
        <v>201228</v>
      </c>
      <c r="B729" t="s">
        <v>1391</v>
      </c>
      <c r="C729" t="s">
        <v>606</v>
      </c>
      <c r="D729" t="s">
        <v>606</v>
      </c>
      <c r="E729" t="s">
        <v>2384</v>
      </c>
    </row>
    <row r="730" spans="1:5">
      <c r="A730">
        <v>201050</v>
      </c>
      <c r="B730" t="s">
        <v>1356</v>
      </c>
      <c r="C730" t="s">
        <v>607</v>
      </c>
      <c r="D730" t="s">
        <v>607</v>
      </c>
      <c r="E730" t="s">
        <v>2384</v>
      </c>
    </row>
    <row r="731" spans="1:5">
      <c r="A731">
        <v>201052</v>
      </c>
      <c r="B731" t="s">
        <v>1357</v>
      </c>
      <c r="C731" t="s">
        <v>608</v>
      </c>
      <c r="D731" t="s">
        <v>608</v>
      </c>
      <c r="E731" t="s">
        <v>2384</v>
      </c>
    </row>
    <row r="732" spans="1:5">
      <c r="A732">
        <v>201066</v>
      </c>
      <c r="B732" t="s">
        <v>1359</v>
      </c>
      <c r="C732" t="s">
        <v>608</v>
      </c>
      <c r="D732" t="s">
        <v>608</v>
      </c>
      <c r="E732" t="s">
        <v>2384</v>
      </c>
    </row>
    <row r="733" spans="1:5">
      <c r="A733">
        <v>205115</v>
      </c>
      <c r="B733" t="s">
        <v>1439</v>
      </c>
      <c r="C733" t="s">
        <v>608</v>
      </c>
      <c r="D733" t="s">
        <v>608</v>
      </c>
      <c r="E733" t="s">
        <v>2384</v>
      </c>
    </row>
    <row r="734" spans="1:5">
      <c r="A734">
        <v>205116</v>
      </c>
      <c r="B734" t="s">
        <v>1440</v>
      </c>
      <c r="C734" t="s">
        <v>608</v>
      </c>
      <c r="D734" t="s">
        <v>608</v>
      </c>
      <c r="E734" t="s">
        <v>2384</v>
      </c>
    </row>
    <row r="735" spans="1:5">
      <c r="A735">
        <v>201213</v>
      </c>
      <c r="B735" t="s">
        <v>1382</v>
      </c>
      <c r="C735" t="s">
        <v>608</v>
      </c>
      <c r="D735" t="s">
        <v>608</v>
      </c>
      <c r="E735" t="s">
        <v>2384</v>
      </c>
    </row>
    <row r="736" spans="1:5">
      <c r="A736">
        <v>201080</v>
      </c>
      <c r="B736" t="s">
        <v>1363</v>
      </c>
      <c r="C736" t="s">
        <v>608</v>
      </c>
      <c r="D736" t="s">
        <v>608</v>
      </c>
      <c r="E736" t="s">
        <v>2384</v>
      </c>
    </row>
    <row r="737" spans="1:5">
      <c r="A737">
        <v>201085</v>
      </c>
      <c r="B737" t="s">
        <v>1364</v>
      </c>
      <c r="C737" t="s">
        <v>608</v>
      </c>
      <c r="D737" t="s">
        <v>608</v>
      </c>
      <c r="E737" t="s">
        <v>2384</v>
      </c>
    </row>
    <row r="738" spans="1:5">
      <c r="A738">
        <v>201075</v>
      </c>
      <c r="B738" t="s">
        <v>1361</v>
      </c>
      <c r="C738" t="s">
        <v>608</v>
      </c>
      <c r="D738" t="s">
        <v>608</v>
      </c>
      <c r="E738" t="s">
        <v>2384</v>
      </c>
    </row>
    <row r="739" spans="1:5">
      <c r="A739">
        <v>201076</v>
      </c>
      <c r="B739" t="s">
        <v>1362</v>
      </c>
      <c r="C739" t="s">
        <v>608</v>
      </c>
      <c r="D739" t="s">
        <v>608</v>
      </c>
      <c r="E739" t="s">
        <v>2384</v>
      </c>
    </row>
    <row r="740" spans="1:5">
      <c r="A740">
        <v>205091</v>
      </c>
      <c r="B740" t="s">
        <v>1422</v>
      </c>
      <c r="C740" t="s">
        <v>608</v>
      </c>
      <c r="D740" t="s">
        <v>608</v>
      </c>
      <c r="E740" t="s">
        <v>2384</v>
      </c>
    </row>
    <row r="741" spans="1:5">
      <c r="A741">
        <v>205092</v>
      </c>
      <c r="B741" t="s">
        <v>1423</v>
      </c>
      <c r="C741" t="s">
        <v>608</v>
      </c>
      <c r="D741" t="s">
        <v>608</v>
      </c>
      <c r="E741" t="s">
        <v>2384</v>
      </c>
    </row>
    <row r="742" spans="1:5">
      <c r="A742">
        <v>205107</v>
      </c>
      <c r="B742" t="s">
        <v>1431</v>
      </c>
      <c r="C742" t="s">
        <v>608</v>
      </c>
      <c r="D742" t="s">
        <v>608</v>
      </c>
      <c r="E742" t="s">
        <v>2384</v>
      </c>
    </row>
    <row r="743" spans="1:5">
      <c r="A743">
        <v>205108</v>
      </c>
      <c r="B743" t="s">
        <v>1432</v>
      </c>
      <c r="C743" t="s">
        <v>608</v>
      </c>
      <c r="D743" t="s">
        <v>608</v>
      </c>
      <c r="E743" t="s">
        <v>2384</v>
      </c>
    </row>
    <row r="744" spans="1:5">
      <c r="A744">
        <v>205014</v>
      </c>
      <c r="B744" t="s">
        <v>1406</v>
      </c>
      <c r="C744" t="s">
        <v>608</v>
      </c>
      <c r="D744" t="s">
        <v>608</v>
      </c>
      <c r="E744" t="s">
        <v>2384</v>
      </c>
    </row>
    <row r="745" spans="1:5">
      <c r="A745">
        <v>205123</v>
      </c>
      <c r="B745" t="s">
        <v>1445</v>
      </c>
      <c r="C745" t="s">
        <v>289</v>
      </c>
      <c r="D745" t="s">
        <v>289</v>
      </c>
      <c r="E745" t="s">
        <v>2384</v>
      </c>
    </row>
    <row r="746" spans="1:5">
      <c r="A746">
        <v>201231</v>
      </c>
      <c r="B746" t="s">
        <v>1393</v>
      </c>
      <c r="C746" t="s">
        <v>289</v>
      </c>
      <c r="D746" t="s">
        <v>289</v>
      </c>
      <c r="E746" t="s">
        <v>2384</v>
      </c>
    </row>
    <row r="747" spans="1:5">
      <c r="A747">
        <v>201202</v>
      </c>
      <c r="B747" t="s">
        <v>1378</v>
      </c>
      <c r="C747" t="s">
        <v>289</v>
      </c>
      <c r="D747" t="s">
        <v>289</v>
      </c>
      <c r="E747" t="s">
        <v>2384</v>
      </c>
    </row>
    <row r="748" spans="1:5">
      <c r="A748">
        <v>201203</v>
      </c>
      <c r="B748" t="s">
        <v>1379</v>
      </c>
      <c r="C748" t="s">
        <v>289</v>
      </c>
      <c r="D748" t="s">
        <v>289</v>
      </c>
      <c r="E748" t="s">
        <v>2384</v>
      </c>
    </row>
    <row r="749" spans="1:5">
      <c r="A749">
        <v>201243</v>
      </c>
      <c r="B749" t="s">
        <v>1401</v>
      </c>
      <c r="C749" t="s">
        <v>289</v>
      </c>
      <c r="D749" t="s">
        <v>289</v>
      </c>
      <c r="E749" t="s">
        <v>2384</v>
      </c>
    </row>
    <row r="750" spans="1:5">
      <c r="A750">
        <v>201244</v>
      </c>
      <c r="B750" t="s">
        <v>1402</v>
      </c>
      <c r="C750" t="s">
        <v>289</v>
      </c>
      <c r="D750" t="s">
        <v>289</v>
      </c>
      <c r="E750" t="s">
        <v>2384</v>
      </c>
    </row>
    <row r="751" spans="1:5">
      <c r="A751">
        <v>201201</v>
      </c>
      <c r="B751" t="s">
        <v>1377</v>
      </c>
      <c r="C751" t="s">
        <v>289</v>
      </c>
      <c r="D751" t="s">
        <v>289</v>
      </c>
      <c r="E751" t="s">
        <v>2384</v>
      </c>
    </row>
    <row r="752" spans="1:5">
      <c r="A752">
        <v>201010</v>
      </c>
      <c r="B752" t="s">
        <v>1345</v>
      </c>
      <c r="C752" t="s">
        <v>289</v>
      </c>
      <c r="D752" t="s">
        <v>289</v>
      </c>
      <c r="E752" t="s">
        <v>2384</v>
      </c>
    </row>
    <row r="753" spans="1:5">
      <c r="A753">
        <v>201015</v>
      </c>
      <c r="B753" t="s">
        <v>1346</v>
      </c>
      <c r="C753" t="s">
        <v>289</v>
      </c>
      <c r="D753" t="s">
        <v>289</v>
      </c>
      <c r="E753" t="s">
        <v>2384</v>
      </c>
    </row>
    <row r="754" spans="1:5">
      <c r="A754">
        <v>201017</v>
      </c>
      <c r="B754" t="s">
        <v>1347</v>
      </c>
      <c r="C754" t="s">
        <v>289</v>
      </c>
      <c r="D754" t="s">
        <v>289</v>
      </c>
      <c r="E754" t="s">
        <v>2384</v>
      </c>
    </row>
    <row r="755" spans="1:5">
      <c r="A755">
        <v>201020</v>
      </c>
      <c r="B755" t="s">
        <v>1348</v>
      </c>
      <c r="C755" t="s">
        <v>289</v>
      </c>
      <c r="D755" t="s">
        <v>289</v>
      </c>
      <c r="E755" t="s">
        <v>2384</v>
      </c>
    </row>
    <row r="756" spans="1:5">
      <c r="A756">
        <v>201023</v>
      </c>
      <c r="B756" t="s">
        <v>1349</v>
      </c>
      <c r="C756" t="s">
        <v>289</v>
      </c>
      <c r="D756" t="s">
        <v>289</v>
      </c>
      <c r="E756" t="s">
        <v>2384</v>
      </c>
    </row>
    <row r="757" spans="1:5">
      <c r="A757">
        <v>205048</v>
      </c>
      <c r="B757" t="s">
        <v>1417</v>
      </c>
      <c r="C757" t="s">
        <v>289</v>
      </c>
      <c r="D757" t="s">
        <v>289</v>
      </c>
      <c r="E757" t="s">
        <v>2384</v>
      </c>
    </row>
    <row r="758" spans="1:5">
      <c r="A758">
        <v>201045</v>
      </c>
      <c r="B758" t="s">
        <v>1353</v>
      </c>
      <c r="C758" t="s">
        <v>289</v>
      </c>
      <c r="D758" t="s">
        <v>289</v>
      </c>
      <c r="E758" t="s">
        <v>2384</v>
      </c>
    </row>
    <row r="759" spans="1:5">
      <c r="A759">
        <v>201046</v>
      </c>
      <c r="B759" t="s">
        <v>1354</v>
      </c>
      <c r="C759" t="s">
        <v>289</v>
      </c>
      <c r="D759" t="s">
        <v>289</v>
      </c>
      <c r="E759" t="s">
        <v>2384</v>
      </c>
    </row>
    <row r="760" spans="1:5">
      <c r="A760">
        <v>201047</v>
      </c>
      <c r="B760" t="s">
        <v>1355</v>
      </c>
      <c r="C760" t="s">
        <v>289</v>
      </c>
      <c r="D760" t="s">
        <v>289</v>
      </c>
      <c r="E760" t="s">
        <v>2384</v>
      </c>
    </row>
    <row r="761" spans="1:5">
      <c r="A761">
        <v>200016</v>
      </c>
      <c r="B761" t="s">
        <v>1338</v>
      </c>
      <c r="C761" t="s">
        <v>289</v>
      </c>
      <c r="D761" t="s">
        <v>289</v>
      </c>
      <c r="E761" t="s">
        <v>2384</v>
      </c>
    </row>
    <row r="762" spans="1:5">
      <c r="A762">
        <v>201035</v>
      </c>
      <c r="B762" t="s">
        <v>1350</v>
      </c>
      <c r="C762" t="s">
        <v>289</v>
      </c>
      <c r="D762" t="s">
        <v>289</v>
      </c>
      <c r="E762" t="s">
        <v>2384</v>
      </c>
    </row>
    <row r="763" spans="1:5">
      <c r="A763">
        <v>201101</v>
      </c>
      <c r="B763" t="s">
        <v>1365</v>
      </c>
      <c r="C763" t="s">
        <v>289</v>
      </c>
      <c r="D763" t="s">
        <v>289</v>
      </c>
      <c r="E763" t="s">
        <v>2384</v>
      </c>
    </row>
    <row r="764" spans="1:5">
      <c r="A764">
        <v>201102</v>
      </c>
      <c r="B764" t="s">
        <v>1366</v>
      </c>
      <c r="C764" t="s">
        <v>289</v>
      </c>
      <c r="D764" t="s">
        <v>289</v>
      </c>
      <c r="E764" t="s">
        <v>2384</v>
      </c>
    </row>
    <row r="765" spans="1:5">
      <c r="A765">
        <v>201103</v>
      </c>
      <c r="B765" t="s">
        <v>1367</v>
      </c>
      <c r="C765" t="s">
        <v>289</v>
      </c>
      <c r="D765" t="s">
        <v>289</v>
      </c>
      <c r="E765" t="s">
        <v>2384</v>
      </c>
    </row>
    <row r="766" spans="1:5">
      <c r="A766">
        <v>201104</v>
      </c>
      <c r="B766" t="s">
        <v>1368</v>
      </c>
      <c r="C766" t="s">
        <v>289</v>
      </c>
      <c r="D766" t="s">
        <v>289</v>
      </c>
      <c r="E766" t="s">
        <v>2384</v>
      </c>
    </row>
    <row r="767" spans="1:5">
      <c r="A767">
        <v>201105</v>
      </c>
      <c r="B767" t="s">
        <v>1369</v>
      </c>
      <c r="C767" t="s">
        <v>289</v>
      </c>
      <c r="D767" t="s">
        <v>289</v>
      </c>
      <c r="E767" t="s">
        <v>2384</v>
      </c>
    </row>
    <row r="768" spans="1:5">
      <c r="A768">
        <v>201106</v>
      </c>
      <c r="B768" t="s">
        <v>1370</v>
      </c>
      <c r="C768" t="s">
        <v>289</v>
      </c>
      <c r="D768" t="s">
        <v>289</v>
      </c>
      <c r="E768" t="s">
        <v>2384</v>
      </c>
    </row>
    <row r="769" spans="1:5">
      <c r="A769">
        <v>201107</v>
      </c>
      <c r="B769" t="s">
        <v>1371</v>
      </c>
      <c r="C769" t="s">
        <v>289</v>
      </c>
      <c r="D769" t="s">
        <v>289</v>
      </c>
      <c r="E769" t="s">
        <v>2384</v>
      </c>
    </row>
    <row r="770" spans="1:5">
      <c r="A770">
        <v>201108</v>
      </c>
      <c r="B770" t="s">
        <v>1372</v>
      </c>
      <c r="C770" t="s">
        <v>289</v>
      </c>
      <c r="D770" t="s">
        <v>289</v>
      </c>
      <c r="E770" t="s">
        <v>2384</v>
      </c>
    </row>
    <row r="771" spans="1:5">
      <c r="A771">
        <v>201109</v>
      </c>
      <c r="B771" t="s">
        <v>1373</v>
      </c>
      <c r="C771" t="s">
        <v>289</v>
      </c>
      <c r="D771" t="s">
        <v>289</v>
      </c>
      <c r="E771" t="s">
        <v>2384</v>
      </c>
    </row>
    <row r="772" spans="1:5">
      <c r="A772">
        <v>201114</v>
      </c>
      <c r="B772" t="s">
        <v>1374</v>
      </c>
      <c r="C772" t="s">
        <v>289</v>
      </c>
      <c r="D772" t="s">
        <v>289</v>
      </c>
      <c r="E772" t="s">
        <v>2384</v>
      </c>
    </row>
    <row r="773" spans="1:5">
      <c r="A773">
        <v>201115</v>
      </c>
      <c r="B773" t="s">
        <v>1375</v>
      </c>
      <c r="C773" t="s">
        <v>289</v>
      </c>
      <c r="D773" t="s">
        <v>289</v>
      </c>
      <c r="E773" t="s">
        <v>2384</v>
      </c>
    </row>
    <row r="774" spans="1:5">
      <c r="A774">
        <v>201117</v>
      </c>
      <c r="B774" t="s">
        <v>1376</v>
      </c>
      <c r="C774" t="s">
        <v>289</v>
      </c>
      <c r="D774" t="s">
        <v>289</v>
      </c>
      <c r="E774" t="s">
        <v>2384</v>
      </c>
    </row>
    <row r="775" spans="1:5">
      <c r="A775">
        <v>205046</v>
      </c>
      <c r="B775" t="s">
        <v>1415</v>
      </c>
      <c r="C775" t="s">
        <v>611</v>
      </c>
      <c r="D775" t="s">
        <v>611</v>
      </c>
      <c r="E775" t="s">
        <v>2384</v>
      </c>
    </row>
    <row r="776" spans="1:5">
      <c r="A776">
        <v>200013</v>
      </c>
      <c r="B776" t="s">
        <v>1335</v>
      </c>
      <c r="C776" t="s">
        <v>611</v>
      </c>
      <c r="D776" t="s">
        <v>611</v>
      </c>
      <c r="E776" t="s">
        <v>2384</v>
      </c>
    </row>
    <row r="777" spans="1:5">
      <c r="A777">
        <v>200014</v>
      </c>
      <c r="B777" t="s">
        <v>1336</v>
      </c>
      <c r="C777" t="s">
        <v>611</v>
      </c>
      <c r="D777" t="s">
        <v>611</v>
      </c>
      <c r="E777" t="s">
        <v>2384</v>
      </c>
    </row>
    <row r="778" spans="1:5">
      <c r="A778">
        <v>205030</v>
      </c>
      <c r="B778" t="s">
        <v>1409</v>
      </c>
      <c r="C778" t="s">
        <v>611</v>
      </c>
      <c r="D778" t="s">
        <v>611</v>
      </c>
      <c r="E778" t="s">
        <v>2384</v>
      </c>
    </row>
    <row r="779" spans="1:5">
      <c r="A779">
        <v>205010</v>
      </c>
      <c r="B779" t="s">
        <v>1403</v>
      </c>
      <c r="C779" t="s">
        <v>611</v>
      </c>
      <c r="D779" t="s">
        <v>611</v>
      </c>
      <c r="E779" t="s">
        <v>2384</v>
      </c>
    </row>
    <row r="780" spans="1:5">
      <c r="A780">
        <v>205032</v>
      </c>
      <c r="B780" t="s">
        <v>1410</v>
      </c>
      <c r="C780" t="s">
        <v>611</v>
      </c>
      <c r="D780" t="s">
        <v>611</v>
      </c>
      <c r="E780" t="s">
        <v>2384</v>
      </c>
    </row>
    <row r="781" spans="1:5">
      <c r="A781">
        <v>205041</v>
      </c>
      <c r="B781" t="s">
        <v>1412</v>
      </c>
      <c r="C781" t="s">
        <v>611</v>
      </c>
      <c r="D781" t="s">
        <v>611</v>
      </c>
      <c r="E781" t="s">
        <v>2384</v>
      </c>
    </row>
    <row r="782" spans="1:5">
      <c r="A782">
        <v>205042</v>
      </c>
      <c r="B782" t="s">
        <v>1413</v>
      </c>
      <c r="C782" t="s">
        <v>611</v>
      </c>
      <c r="D782" t="s">
        <v>611</v>
      </c>
      <c r="E782" t="s">
        <v>2384</v>
      </c>
    </row>
    <row r="783" spans="1:5">
      <c r="A783">
        <v>205087</v>
      </c>
      <c r="B783" t="s">
        <v>1420</v>
      </c>
      <c r="C783" t="s">
        <v>611</v>
      </c>
      <c r="D783" t="s">
        <v>611</v>
      </c>
      <c r="E783" t="s">
        <v>2384</v>
      </c>
    </row>
    <row r="784" spans="1:5">
      <c r="A784">
        <v>205011</v>
      </c>
      <c r="B784" t="s">
        <v>1404</v>
      </c>
      <c r="C784" t="s">
        <v>611</v>
      </c>
      <c r="D784" t="s">
        <v>611</v>
      </c>
      <c r="E784" t="s">
        <v>2384</v>
      </c>
    </row>
    <row r="785" spans="1:5">
      <c r="A785">
        <v>205012</v>
      </c>
      <c r="B785" t="s">
        <v>1405</v>
      </c>
      <c r="C785" t="s">
        <v>611</v>
      </c>
      <c r="D785" t="s">
        <v>611</v>
      </c>
      <c r="E785" t="s">
        <v>2384</v>
      </c>
    </row>
    <row r="786" spans="1:5">
      <c r="A786">
        <v>205015</v>
      </c>
      <c r="B786" t="s">
        <v>1407</v>
      </c>
      <c r="C786" t="s">
        <v>611</v>
      </c>
      <c r="D786" t="s">
        <v>611</v>
      </c>
      <c r="E786" t="s">
        <v>2384</v>
      </c>
    </row>
    <row r="787" spans="1:5">
      <c r="A787">
        <v>205122</v>
      </c>
      <c r="B787" t="s">
        <v>1444</v>
      </c>
      <c r="C787" t="s">
        <v>611</v>
      </c>
      <c r="D787" t="s">
        <v>611</v>
      </c>
      <c r="E787" t="s">
        <v>2384</v>
      </c>
    </row>
    <row r="788" spans="1:5">
      <c r="A788">
        <v>200018</v>
      </c>
      <c r="B788" t="s">
        <v>1339</v>
      </c>
      <c r="C788" t="s">
        <v>611</v>
      </c>
      <c r="D788" t="s">
        <v>611</v>
      </c>
      <c r="E788" t="s">
        <v>2384</v>
      </c>
    </row>
    <row r="789" spans="1:5">
      <c r="A789">
        <v>205047</v>
      </c>
      <c r="B789" t="s">
        <v>1416</v>
      </c>
      <c r="C789" t="s">
        <v>611</v>
      </c>
      <c r="D789" t="s">
        <v>611</v>
      </c>
      <c r="E789" t="s">
        <v>2384</v>
      </c>
    </row>
    <row r="790" spans="1:5">
      <c r="A790">
        <v>205085</v>
      </c>
      <c r="B790" t="s">
        <v>1419</v>
      </c>
      <c r="C790" t="s">
        <v>611</v>
      </c>
      <c r="D790" t="s">
        <v>611</v>
      </c>
      <c r="E790" t="s">
        <v>2384</v>
      </c>
    </row>
    <row r="791" spans="1:5">
      <c r="A791">
        <v>205020</v>
      </c>
      <c r="B791" t="s">
        <v>1408</v>
      </c>
      <c r="C791" t="s">
        <v>611</v>
      </c>
      <c r="D791" t="s">
        <v>611</v>
      </c>
      <c r="E791" t="s">
        <v>2384</v>
      </c>
    </row>
    <row r="792" spans="1:5">
      <c r="A792">
        <v>205080</v>
      </c>
      <c r="B792" t="s">
        <v>1418</v>
      </c>
      <c r="C792" t="s">
        <v>611</v>
      </c>
      <c r="D792" t="s">
        <v>611</v>
      </c>
      <c r="E792" t="s">
        <v>2384</v>
      </c>
    </row>
    <row r="793" spans="1:5">
      <c r="A793">
        <v>205121</v>
      </c>
      <c r="B793" t="s">
        <v>1443</v>
      </c>
      <c r="C793" t="s">
        <v>611</v>
      </c>
      <c r="D793" t="s">
        <v>611</v>
      </c>
      <c r="E793" t="s">
        <v>2384</v>
      </c>
    </row>
    <row r="794" spans="1:5">
      <c r="A794">
        <v>201005</v>
      </c>
      <c r="B794" t="s">
        <v>1344</v>
      </c>
      <c r="C794" t="s">
        <v>611</v>
      </c>
      <c r="D794" t="s">
        <v>611</v>
      </c>
      <c r="E794" t="s">
        <v>2384</v>
      </c>
    </row>
    <row r="795" spans="1:5">
      <c r="A795">
        <v>201030</v>
      </c>
      <c r="B795" t="s">
        <v>1351</v>
      </c>
      <c r="C795" t="s">
        <v>611</v>
      </c>
      <c r="D795" t="s">
        <v>611</v>
      </c>
      <c r="E795" t="s">
        <v>2384</v>
      </c>
    </row>
    <row r="796" spans="1:5">
      <c r="A796">
        <v>201040</v>
      </c>
      <c r="B796" t="s">
        <v>1352</v>
      </c>
      <c r="C796" t="s">
        <v>611</v>
      </c>
      <c r="D796" t="s">
        <v>611</v>
      </c>
      <c r="E796" t="s">
        <v>2384</v>
      </c>
    </row>
    <row r="797" spans="1:5">
      <c r="A797">
        <v>201065</v>
      </c>
      <c r="B797" t="s">
        <v>1358</v>
      </c>
      <c r="C797" t="s">
        <v>611</v>
      </c>
      <c r="D797" t="s">
        <v>611</v>
      </c>
      <c r="E797" t="s">
        <v>2384</v>
      </c>
    </row>
    <row r="798" spans="1:5">
      <c r="A798">
        <v>201070</v>
      </c>
      <c r="B798" t="s">
        <v>1360</v>
      </c>
      <c r="C798" t="s">
        <v>611</v>
      </c>
      <c r="D798" t="s">
        <v>611</v>
      </c>
      <c r="E798" t="s">
        <v>2384</v>
      </c>
    </row>
    <row r="799" spans="1:5">
      <c r="A799">
        <v>201225</v>
      </c>
      <c r="B799" t="s">
        <v>1389</v>
      </c>
      <c r="C799" t="s">
        <v>611</v>
      </c>
      <c r="D799" t="s">
        <v>611</v>
      </c>
      <c r="E799" t="s">
        <v>2384</v>
      </c>
    </row>
    <row r="800" spans="1:5">
      <c r="A800">
        <v>201226</v>
      </c>
      <c r="B800" t="s">
        <v>1390</v>
      </c>
      <c r="C800" t="s">
        <v>611</v>
      </c>
      <c r="D800" t="s">
        <v>611</v>
      </c>
      <c r="E800" t="s">
        <v>2384</v>
      </c>
    </row>
    <row r="801" spans="1:5">
      <c r="A801">
        <v>201230</v>
      </c>
      <c r="B801" t="s">
        <v>1392</v>
      </c>
      <c r="C801" t="s">
        <v>611</v>
      </c>
      <c r="D801" t="s">
        <v>611</v>
      </c>
      <c r="E801" t="s">
        <v>2384</v>
      </c>
    </row>
    <row r="802" spans="1:5">
      <c r="A802">
        <v>205130</v>
      </c>
      <c r="B802" t="s">
        <v>1448</v>
      </c>
      <c r="C802" t="s">
        <v>611</v>
      </c>
      <c r="D802" t="s">
        <v>611</v>
      </c>
      <c r="E802" t="s">
        <v>2384</v>
      </c>
    </row>
    <row r="803" spans="1:5">
      <c r="A803">
        <v>205090</v>
      </c>
      <c r="B803" t="s">
        <v>1421</v>
      </c>
      <c r="C803" t="s">
        <v>611</v>
      </c>
      <c r="D803" t="s">
        <v>611</v>
      </c>
      <c r="E803" t="s">
        <v>2384</v>
      </c>
    </row>
    <row r="804" spans="1:5">
      <c r="A804">
        <v>201225</v>
      </c>
      <c r="B804" t="s">
        <v>1389</v>
      </c>
      <c r="C804" t="s">
        <v>611</v>
      </c>
      <c r="D804" t="s">
        <v>611</v>
      </c>
      <c r="E804" t="s">
        <v>2384</v>
      </c>
    </row>
    <row r="805" spans="1:5">
      <c r="A805">
        <v>200026</v>
      </c>
      <c r="B805" t="s">
        <v>612</v>
      </c>
      <c r="C805" t="s">
        <v>613</v>
      </c>
      <c r="D805" t="s">
        <v>613</v>
      </c>
      <c r="E805" t="s">
        <v>2384</v>
      </c>
    </row>
    <row r="806" spans="1:5">
      <c r="A806">
        <v>206035</v>
      </c>
      <c r="B806" t="s">
        <v>1458</v>
      </c>
      <c r="C806" t="s">
        <v>615</v>
      </c>
      <c r="D806" t="s">
        <v>615</v>
      </c>
      <c r="E806" t="s">
        <v>2384</v>
      </c>
    </row>
    <row r="807" spans="1:5">
      <c r="A807">
        <v>206036</v>
      </c>
      <c r="B807" t="s">
        <v>1459</v>
      </c>
      <c r="C807" t="s">
        <v>615</v>
      </c>
      <c r="D807" t="s">
        <v>615</v>
      </c>
      <c r="E807" t="s">
        <v>2384</v>
      </c>
    </row>
    <row r="808" spans="1:5">
      <c r="A808">
        <v>206039</v>
      </c>
      <c r="B808" t="s">
        <v>1460</v>
      </c>
      <c r="C808" t="s">
        <v>615</v>
      </c>
      <c r="D808" t="s">
        <v>615</v>
      </c>
      <c r="E808" t="s">
        <v>2384</v>
      </c>
    </row>
    <row r="809" spans="1:5">
      <c r="A809">
        <v>206037</v>
      </c>
      <c r="B809" t="s">
        <v>827</v>
      </c>
      <c r="C809" t="s">
        <v>615</v>
      </c>
      <c r="D809" t="s">
        <v>615</v>
      </c>
      <c r="E809" t="s">
        <v>2384</v>
      </c>
    </row>
    <row r="810" spans="1:5">
      <c r="A810">
        <v>206010</v>
      </c>
      <c r="B810" t="s">
        <v>1451</v>
      </c>
      <c r="C810" t="s">
        <v>615</v>
      </c>
      <c r="D810" t="s">
        <v>615</v>
      </c>
      <c r="E810" t="s">
        <v>2384</v>
      </c>
    </row>
    <row r="811" spans="1:5">
      <c r="A811">
        <v>206020</v>
      </c>
      <c r="B811" t="s">
        <v>1452</v>
      </c>
      <c r="C811" t="s">
        <v>615</v>
      </c>
      <c r="D811" t="s">
        <v>615</v>
      </c>
      <c r="E811" t="s">
        <v>2384</v>
      </c>
    </row>
    <row r="812" spans="1:5">
      <c r="A812">
        <v>206030</v>
      </c>
      <c r="B812" t="s">
        <v>1457</v>
      </c>
      <c r="C812" t="s">
        <v>615</v>
      </c>
      <c r="D812" t="s">
        <v>615</v>
      </c>
      <c r="E812" t="s">
        <v>2384</v>
      </c>
    </row>
    <row r="813" spans="1:5">
      <c r="A813">
        <v>206034</v>
      </c>
      <c r="B813" t="s">
        <v>1456</v>
      </c>
      <c r="C813" t="s">
        <v>615</v>
      </c>
      <c r="D813" t="s">
        <v>615</v>
      </c>
      <c r="E813" t="s">
        <v>2384</v>
      </c>
    </row>
    <row r="814" spans="1:5">
      <c r="A814">
        <v>206023</v>
      </c>
      <c r="B814" t="s">
        <v>1453</v>
      </c>
      <c r="C814" t="s">
        <v>615</v>
      </c>
      <c r="D814" t="s">
        <v>615</v>
      </c>
      <c r="E814" t="s">
        <v>2384</v>
      </c>
    </row>
    <row r="815" spans="1:5">
      <c r="A815">
        <v>206026</v>
      </c>
      <c r="B815" t="s">
        <v>1454</v>
      </c>
      <c r="C815" t="s">
        <v>615</v>
      </c>
      <c r="D815" t="s">
        <v>615</v>
      </c>
      <c r="E815" t="s">
        <v>2384</v>
      </c>
    </row>
    <row r="816" spans="1:5">
      <c r="A816">
        <v>202010</v>
      </c>
      <c r="B816" t="s">
        <v>617</v>
      </c>
      <c r="C816" t="s">
        <v>617</v>
      </c>
      <c r="D816" t="s">
        <v>617</v>
      </c>
      <c r="E816" t="s">
        <v>2384</v>
      </c>
    </row>
    <row r="817" spans="1:5">
      <c r="A817">
        <v>206045</v>
      </c>
      <c r="B817" t="s">
        <v>618</v>
      </c>
      <c r="C817" t="s">
        <v>618</v>
      </c>
      <c r="D817" t="s">
        <v>618</v>
      </c>
      <c r="E817" t="s">
        <v>2384</v>
      </c>
    </row>
    <row r="818" spans="1:5">
      <c r="A818">
        <v>207010</v>
      </c>
      <c r="B818" t="s">
        <v>731</v>
      </c>
      <c r="C818" t="s">
        <v>619</v>
      </c>
      <c r="D818" t="s">
        <v>619</v>
      </c>
      <c r="E818" t="s">
        <v>2384</v>
      </c>
    </row>
    <row r="819" spans="1:5">
      <c r="A819">
        <v>210110</v>
      </c>
      <c r="B819" t="s">
        <v>1469</v>
      </c>
      <c r="C819" t="s">
        <v>620</v>
      </c>
      <c r="D819" t="s">
        <v>620</v>
      </c>
      <c r="E819" t="s">
        <v>2384</v>
      </c>
    </row>
    <row r="820" spans="1:5">
      <c r="A820">
        <v>210111</v>
      </c>
      <c r="B820" t="s">
        <v>1470</v>
      </c>
      <c r="C820" t="s">
        <v>620</v>
      </c>
      <c r="D820" t="s">
        <v>620</v>
      </c>
      <c r="E820" t="s">
        <v>2384</v>
      </c>
    </row>
    <row r="821" spans="1:5">
      <c r="A821">
        <v>210112</v>
      </c>
      <c r="B821" t="s">
        <v>1471</v>
      </c>
      <c r="C821" t="s">
        <v>620</v>
      </c>
      <c r="D821" t="s">
        <v>620</v>
      </c>
      <c r="E821" t="s">
        <v>2384</v>
      </c>
    </row>
    <row r="822" spans="1:5">
      <c r="A822">
        <v>210115</v>
      </c>
      <c r="B822" t="s">
        <v>1472</v>
      </c>
      <c r="C822" t="s">
        <v>620</v>
      </c>
      <c r="D822" t="s">
        <v>620</v>
      </c>
      <c r="E822" t="s">
        <v>2384</v>
      </c>
    </row>
    <row r="823" spans="1:5">
      <c r="A823">
        <v>210120</v>
      </c>
      <c r="B823" t="s">
        <v>1473</v>
      </c>
      <c r="C823" t="s">
        <v>620</v>
      </c>
      <c r="D823" t="s">
        <v>620</v>
      </c>
      <c r="E823" t="s">
        <v>2384</v>
      </c>
    </row>
    <row r="824" spans="1:5">
      <c r="A824">
        <v>210125</v>
      </c>
      <c r="B824" t="s">
        <v>1474</v>
      </c>
      <c r="C824" t="s">
        <v>620</v>
      </c>
      <c r="D824" t="s">
        <v>620</v>
      </c>
      <c r="E824" t="s">
        <v>2384</v>
      </c>
    </row>
    <row r="825" spans="1:5">
      <c r="A825">
        <v>210130</v>
      </c>
      <c r="B825" t="s">
        <v>1475</v>
      </c>
      <c r="C825" t="s">
        <v>620</v>
      </c>
      <c r="D825" t="s">
        <v>620</v>
      </c>
      <c r="E825" t="s">
        <v>2384</v>
      </c>
    </row>
    <row r="826" spans="1:5">
      <c r="A826">
        <v>210135</v>
      </c>
      <c r="B826" t="s">
        <v>1476</v>
      </c>
      <c r="C826" t="s">
        <v>620</v>
      </c>
      <c r="D826" t="s">
        <v>620</v>
      </c>
      <c r="E826" t="s">
        <v>2384</v>
      </c>
    </row>
    <row r="827" spans="1:5">
      <c r="A827">
        <v>210140</v>
      </c>
      <c r="B827" t="s">
        <v>1477</v>
      </c>
      <c r="C827" t="s">
        <v>620</v>
      </c>
      <c r="D827" t="s">
        <v>620</v>
      </c>
      <c r="E827" t="s">
        <v>2384</v>
      </c>
    </row>
    <row r="828" spans="1:5">
      <c r="A828">
        <v>210150</v>
      </c>
      <c r="B828" t="s">
        <v>1478</v>
      </c>
      <c r="C828" t="s">
        <v>620</v>
      </c>
      <c r="D828" t="s">
        <v>620</v>
      </c>
      <c r="E828" t="s">
        <v>2384</v>
      </c>
    </row>
    <row r="829" spans="1:5">
      <c r="A829">
        <v>210155</v>
      </c>
      <c r="B829" t="s">
        <v>1479</v>
      </c>
      <c r="C829" t="s">
        <v>620</v>
      </c>
      <c r="D829" t="s">
        <v>620</v>
      </c>
      <c r="E829" t="s">
        <v>2384</v>
      </c>
    </row>
    <row r="830" spans="1:5">
      <c r="A830">
        <v>210160</v>
      </c>
      <c r="B830" t="s">
        <v>1480</v>
      </c>
      <c r="C830" t="s">
        <v>620</v>
      </c>
      <c r="D830" t="s">
        <v>620</v>
      </c>
      <c r="E830" t="s">
        <v>2384</v>
      </c>
    </row>
    <row r="831" spans="1:5">
      <c r="A831">
        <v>210165</v>
      </c>
      <c r="B831" t="s">
        <v>1481</v>
      </c>
      <c r="C831" t="s">
        <v>620</v>
      </c>
      <c r="D831" t="s">
        <v>620</v>
      </c>
      <c r="E831" t="s">
        <v>2384</v>
      </c>
    </row>
    <row r="832" spans="1:5">
      <c r="A832">
        <v>210171</v>
      </c>
      <c r="B832" t="s">
        <v>1482</v>
      </c>
      <c r="C832" t="s">
        <v>620</v>
      </c>
      <c r="D832" t="s">
        <v>620</v>
      </c>
      <c r="E832" t="s">
        <v>2384</v>
      </c>
    </row>
    <row r="833" spans="1:5">
      <c r="A833">
        <v>210172</v>
      </c>
      <c r="B833" t="s">
        <v>1483</v>
      </c>
      <c r="C833" t="s">
        <v>620</v>
      </c>
      <c r="D833" t="s">
        <v>620</v>
      </c>
      <c r="E833" t="s">
        <v>2384</v>
      </c>
    </row>
    <row r="834" spans="1:5">
      <c r="A834">
        <v>210173</v>
      </c>
      <c r="B834" t="s">
        <v>1484</v>
      </c>
      <c r="C834" t="s">
        <v>620</v>
      </c>
      <c r="D834" t="s">
        <v>620</v>
      </c>
      <c r="E834" t="s">
        <v>2384</v>
      </c>
    </row>
    <row r="835" spans="1:5">
      <c r="A835">
        <v>210181</v>
      </c>
      <c r="B835" t="s">
        <v>1485</v>
      </c>
      <c r="C835" t="s">
        <v>620</v>
      </c>
      <c r="D835" t="s">
        <v>620</v>
      </c>
      <c r="E835" t="s">
        <v>2384</v>
      </c>
    </row>
    <row r="836" spans="1:5">
      <c r="A836">
        <v>210182</v>
      </c>
      <c r="B836" t="s">
        <v>1486</v>
      </c>
      <c r="C836" t="s">
        <v>620</v>
      </c>
      <c r="D836" t="s">
        <v>620</v>
      </c>
      <c r="E836" t="s">
        <v>2384</v>
      </c>
    </row>
    <row r="837" spans="1:5">
      <c r="A837">
        <v>210183</v>
      </c>
      <c r="B837" t="s">
        <v>1487</v>
      </c>
      <c r="C837" t="s">
        <v>620</v>
      </c>
      <c r="D837" t="s">
        <v>620</v>
      </c>
      <c r="E837" t="s">
        <v>2384</v>
      </c>
    </row>
    <row r="838" spans="1:5">
      <c r="A838">
        <v>210185</v>
      </c>
      <c r="B838" t="s">
        <v>1488</v>
      </c>
      <c r="C838" t="s">
        <v>620</v>
      </c>
      <c r="D838" t="s">
        <v>620</v>
      </c>
      <c r="E838" t="s">
        <v>2384</v>
      </c>
    </row>
    <row r="839" spans="1:5">
      <c r="A839">
        <v>210168</v>
      </c>
      <c r="B839" t="s">
        <v>1489</v>
      </c>
      <c r="C839" t="s">
        <v>620</v>
      </c>
      <c r="D839" t="s">
        <v>620</v>
      </c>
      <c r="E839" t="s">
        <v>2384</v>
      </c>
    </row>
    <row r="840" spans="1:5">
      <c r="A840">
        <v>710102</v>
      </c>
      <c r="B840" t="s">
        <v>1533</v>
      </c>
      <c r="C840" t="s">
        <v>620</v>
      </c>
      <c r="D840" t="s">
        <v>620</v>
      </c>
      <c r="E840" t="s">
        <v>2384</v>
      </c>
    </row>
    <row r="841" spans="1:5">
      <c r="A841">
        <v>240230</v>
      </c>
      <c r="B841" t="s">
        <v>1499</v>
      </c>
      <c r="C841" t="s">
        <v>20</v>
      </c>
      <c r="D841" t="s">
        <v>20</v>
      </c>
      <c r="E841" t="s">
        <v>2384</v>
      </c>
    </row>
    <row r="842" spans="1:5">
      <c r="A842">
        <v>240235</v>
      </c>
      <c r="B842" t="s">
        <v>1500</v>
      </c>
      <c r="C842" t="s">
        <v>20</v>
      </c>
      <c r="D842" t="s">
        <v>20</v>
      </c>
      <c r="E842" t="s">
        <v>2384</v>
      </c>
    </row>
    <row r="843" spans="1:5">
      <c r="A843">
        <v>205124</v>
      </c>
      <c r="B843" t="s">
        <v>1446</v>
      </c>
      <c r="C843" t="s">
        <v>20</v>
      </c>
      <c r="D843" t="s">
        <v>20</v>
      </c>
      <c r="E843" t="s">
        <v>2384</v>
      </c>
    </row>
    <row r="844" spans="1:5">
      <c r="A844">
        <v>206040</v>
      </c>
      <c r="B844" t="s">
        <v>1461</v>
      </c>
      <c r="C844" t="s">
        <v>20</v>
      </c>
      <c r="D844" t="s">
        <v>20</v>
      </c>
      <c r="E844" t="s">
        <v>2384</v>
      </c>
    </row>
    <row r="845" spans="1:5">
      <c r="A845">
        <v>110610</v>
      </c>
      <c r="B845" t="s">
        <v>1329</v>
      </c>
      <c r="C845" t="s">
        <v>20</v>
      </c>
      <c r="D845" t="s">
        <v>20</v>
      </c>
      <c r="E845" t="s">
        <v>2384</v>
      </c>
    </row>
    <row r="846" spans="1:5">
      <c r="A846">
        <v>101780</v>
      </c>
      <c r="B846" t="s">
        <v>1214</v>
      </c>
      <c r="C846" t="s">
        <v>20</v>
      </c>
      <c r="D846" t="s">
        <v>20</v>
      </c>
      <c r="E846" t="s">
        <v>2384</v>
      </c>
    </row>
    <row r="847" spans="1:5">
      <c r="A847">
        <v>101798</v>
      </c>
      <c r="B847" t="s">
        <v>621</v>
      </c>
      <c r="C847" t="s">
        <v>20</v>
      </c>
      <c r="D847" t="s">
        <v>20</v>
      </c>
      <c r="E847" t="s">
        <v>2384</v>
      </c>
    </row>
    <row r="848" spans="1:5">
      <c r="A848">
        <v>240001</v>
      </c>
      <c r="B848" t="s">
        <v>1495</v>
      </c>
      <c r="C848" t="s">
        <v>622</v>
      </c>
      <c r="D848" t="s">
        <v>622</v>
      </c>
      <c r="E848" t="s">
        <v>2384</v>
      </c>
    </row>
    <row r="849" spans="1:5">
      <c r="A849">
        <v>240002</v>
      </c>
      <c r="B849" t="s">
        <v>1496</v>
      </c>
      <c r="C849" t="s">
        <v>622</v>
      </c>
      <c r="D849" t="s">
        <v>622</v>
      </c>
      <c r="E849" t="s">
        <v>2384</v>
      </c>
    </row>
    <row r="850" spans="1:5">
      <c r="A850">
        <v>240003</v>
      </c>
      <c r="B850" t="s">
        <v>1497</v>
      </c>
      <c r="C850" t="s">
        <v>622</v>
      </c>
      <c r="D850" t="s">
        <v>622</v>
      </c>
      <c r="E850" t="s">
        <v>2384</v>
      </c>
    </row>
    <row r="851" spans="1:5">
      <c r="A851">
        <v>240004</v>
      </c>
      <c r="B851" t="s">
        <v>1498</v>
      </c>
      <c r="C851" t="s">
        <v>622</v>
      </c>
      <c r="D851" t="s">
        <v>622</v>
      </c>
      <c r="E851" t="s">
        <v>2384</v>
      </c>
    </row>
    <row r="852" spans="1:5">
      <c r="A852">
        <v>240236</v>
      </c>
      <c r="B852" t="s">
        <v>2295</v>
      </c>
      <c r="C852" t="s">
        <v>2303</v>
      </c>
      <c r="D852" t="s">
        <v>2303</v>
      </c>
      <c r="E852" t="s">
        <v>2384</v>
      </c>
    </row>
    <row r="853" spans="1:5">
      <c r="A853">
        <v>240237</v>
      </c>
      <c r="B853" t="s">
        <v>2296</v>
      </c>
      <c r="C853" t="s">
        <v>2303</v>
      </c>
      <c r="D853" t="s">
        <v>2303</v>
      </c>
      <c r="E853" t="s">
        <v>2384</v>
      </c>
    </row>
    <row r="854" spans="1:5">
      <c r="A854">
        <v>205094</v>
      </c>
      <c r="B854" t="s">
        <v>2296</v>
      </c>
      <c r="C854" t="s">
        <v>2304</v>
      </c>
      <c r="D854" t="s">
        <v>2304</v>
      </c>
      <c r="E854" t="s">
        <v>2384</v>
      </c>
    </row>
    <row r="855" spans="1:5">
      <c r="A855">
        <v>300010</v>
      </c>
      <c r="B855" t="s">
        <v>1501</v>
      </c>
      <c r="C855" t="s">
        <v>626</v>
      </c>
      <c r="D855" t="s">
        <v>626</v>
      </c>
      <c r="E855" t="s">
        <v>2384</v>
      </c>
    </row>
    <row r="856" spans="1:5">
      <c r="A856">
        <v>300110</v>
      </c>
      <c r="B856" t="s">
        <v>1502</v>
      </c>
      <c r="C856" t="s">
        <v>626</v>
      </c>
      <c r="D856" t="s">
        <v>626</v>
      </c>
      <c r="E856" t="s">
        <v>2384</v>
      </c>
    </row>
    <row r="857" spans="1:5">
      <c r="A857">
        <v>300115</v>
      </c>
      <c r="B857" t="s">
        <v>1503</v>
      </c>
      <c r="C857" t="s">
        <v>626</v>
      </c>
      <c r="D857" t="s">
        <v>626</v>
      </c>
      <c r="E857" t="s">
        <v>2384</v>
      </c>
    </row>
    <row r="858" spans="1:5">
      <c r="A858">
        <v>300120</v>
      </c>
      <c r="B858" t="s">
        <v>1504</v>
      </c>
      <c r="C858" t="s">
        <v>626</v>
      </c>
      <c r="D858" t="s">
        <v>626</v>
      </c>
      <c r="E858" t="s">
        <v>2384</v>
      </c>
    </row>
    <row r="859" spans="1:5">
      <c r="A859">
        <v>301001</v>
      </c>
      <c r="B859" t="s">
        <v>699</v>
      </c>
      <c r="C859" t="s">
        <v>81</v>
      </c>
      <c r="D859" t="s">
        <v>81</v>
      </c>
      <c r="E859" t="s">
        <v>2384</v>
      </c>
    </row>
    <row r="860" spans="1:5">
      <c r="A860">
        <v>301002</v>
      </c>
      <c r="B860" t="s">
        <v>1505</v>
      </c>
      <c r="C860" t="s">
        <v>81</v>
      </c>
      <c r="D860" t="s">
        <v>81</v>
      </c>
      <c r="E860" t="s">
        <v>2384</v>
      </c>
    </row>
    <row r="861" spans="1:5">
      <c r="A861">
        <v>301009</v>
      </c>
      <c r="B861" t="s">
        <v>1506</v>
      </c>
      <c r="C861" t="s">
        <v>81</v>
      </c>
      <c r="D861" t="s">
        <v>81</v>
      </c>
      <c r="E861" t="s">
        <v>2384</v>
      </c>
    </row>
    <row r="862" spans="1:5">
      <c r="A862">
        <v>301003</v>
      </c>
      <c r="B862" t="s">
        <v>628</v>
      </c>
      <c r="C862" t="s">
        <v>81</v>
      </c>
      <c r="D862" t="s">
        <v>81</v>
      </c>
      <c r="E862" t="s">
        <v>2384</v>
      </c>
    </row>
    <row r="863" spans="1:5">
      <c r="A863">
        <v>301004</v>
      </c>
      <c r="B863" t="s">
        <v>1509</v>
      </c>
      <c r="C863" t="s">
        <v>81</v>
      </c>
      <c r="D863" t="s">
        <v>81</v>
      </c>
      <c r="E863" t="s">
        <v>2384</v>
      </c>
    </row>
    <row r="864" spans="1:5">
      <c r="A864">
        <v>301005</v>
      </c>
      <c r="B864" t="s">
        <v>1510</v>
      </c>
      <c r="C864" t="s">
        <v>81</v>
      </c>
      <c r="D864" t="s">
        <v>81</v>
      </c>
      <c r="E864" t="s">
        <v>2384</v>
      </c>
    </row>
    <row r="865" spans="1:5">
      <c r="A865">
        <v>301006</v>
      </c>
      <c r="B865" t="s">
        <v>1525</v>
      </c>
      <c r="C865" t="s">
        <v>81</v>
      </c>
      <c r="D865" t="s">
        <v>81</v>
      </c>
      <c r="E865" t="s">
        <v>2384</v>
      </c>
    </row>
    <row r="866" spans="1:5">
      <c r="A866">
        <v>301008</v>
      </c>
      <c r="B866" t="s">
        <v>707</v>
      </c>
      <c r="C866" t="s">
        <v>81</v>
      </c>
      <c r="D866" t="s">
        <v>81</v>
      </c>
      <c r="E866" t="s">
        <v>2384</v>
      </c>
    </row>
    <row r="867" spans="1:5">
      <c r="A867">
        <v>300211</v>
      </c>
      <c r="B867" t="s">
        <v>1508</v>
      </c>
      <c r="C867" t="s">
        <v>81</v>
      </c>
      <c r="D867" t="s">
        <v>81</v>
      </c>
      <c r="E867" t="s">
        <v>2384</v>
      </c>
    </row>
    <row r="868" spans="1:5">
      <c r="A868">
        <v>300210</v>
      </c>
      <c r="B868" t="s">
        <v>1507</v>
      </c>
      <c r="C868" t="s">
        <v>81</v>
      </c>
      <c r="D868" t="s">
        <v>81</v>
      </c>
      <c r="E868" t="s">
        <v>2384</v>
      </c>
    </row>
    <row r="869" spans="1:5">
      <c r="A869">
        <v>300018</v>
      </c>
      <c r="B869" t="s">
        <v>1534</v>
      </c>
      <c r="C869" t="s">
        <v>81</v>
      </c>
      <c r="D869" t="s">
        <v>81</v>
      </c>
      <c r="E869" t="s">
        <v>2384</v>
      </c>
    </row>
    <row r="870" spans="1:5">
      <c r="A870">
        <v>300212</v>
      </c>
      <c r="B870" t="s">
        <v>1535</v>
      </c>
      <c r="C870" t="s">
        <v>81</v>
      </c>
      <c r="D870" t="s">
        <v>81</v>
      </c>
      <c r="E870" t="s">
        <v>2384</v>
      </c>
    </row>
  </sheetData>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134"/>
  <sheetViews>
    <sheetView showGridLines="0" workbookViewId="0">
      <selection activeCell="D16" sqref="D16"/>
    </sheetView>
  </sheetViews>
  <sheetFormatPr defaultColWidth="9.21875" defaultRowHeight="12"/>
  <cols>
    <col min="1" max="1" width="5.21875" style="640" customWidth="1"/>
    <col min="2" max="2" width="7" style="640" bestFit="1" customWidth="1"/>
    <col min="3" max="3" width="46.44140625" style="640" customWidth="1"/>
    <col min="4" max="4" width="14.21875" style="640" bestFit="1" customWidth="1"/>
    <col min="5" max="5" width="14.5546875" style="640" bestFit="1" customWidth="1"/>
    <col min="6" max="6" width="12.77734375" style="640" bestFit="1" customWidth="1"/>
    <col min="7" max="7" width="15.21875" style="640" bestFit="1" customWidth="1"/>
    <col min="8" max="9" width="14.21875" style="640" bestFit="1" customWidth="1"/>
    <col min="10" max="10" width="11.44140625" style="640" bestFit="1" customWidth="1"/>
    <col min="11" max="16384" width="9.21875" style="640"/>
  </cols>
  <sheetData>
    <row r="1" spans="1:8">
      <c r="A1" s="639" t="str">
        <f>+Master!B2</f>
        <v>Syntel Solutions (India) Private Limited</v>
      </c>
    </row>
    <row r="2" spans="1:8">
      <c r="A2" s="639" t="s">
        <v>2703</v>
      </c>
    </row>
    <row r="4" spans="1:8">
      <c r="A4" s="641" t="s">
        <v>722</v>
      </c>
      <c r="B4" s="642" t="s">
        <v>723</v>
      </c>
      <c r="C4" s="641" t="s">
        <v>724</v>
      </c>
      <c r="D4" s="643" t="s">
        <v>725</v>
      </c>
      <c r="E4" s="644" t="s">
        <v>726</v>
      </c>
    </row>
    <row r="5" spans="1:8">
      <c r="A5" s="645" t="str">
        <f>IF(B5="","",IF(B4="",SUM(COUNT($A4:A$5)+1),""))</f>
        <v/>
      </c>
      <c r="B5" s="640">
        <v>481100</v>
      </c>
      <c r="C5" s="640" t="str">
        <f>IF(B5="","",VLOOKUP(B5,'TB for financial'!A:B,2,0))</f>
        <v>DEFERRED CHARGES</v>
      </c>
      <c r="D5" s="646">
        <v>36104.545913932961</v>
      </c>
      <c r="F5" s="647">
        <f>+D5-E5</f>
        <v>36104.545913932961</v>
      </c>
      <c r="G5" s="640">
        <v>101873</v>
      </c>
      <c r="H5" s="640" t="s">
        <v>1532</v>
      </c>
    </row>
    <row r="6" spans="1:8">
      <c r="A6" s="645" t="str">
        <f>IF(B6="","",IF(B5="",SUM(COUNT($A$5:A5)+1),""))</f>
        <v/>
      </c>
      <c r="B6" s="640">
        <v>411700</v>
      </c>
      <c r="C6" s="640" t="str">
        <f>IF(B6="","",VLOOKUP(B6,'TB for financial'!A:B,2,0))</f>
        <v>TRADE DEBTORS - GUARANTEE RETENTIONS</v>
      </c>
      <c r="D6" s="646"/>
      <c r="E6" s="646">
        <f>+D5</f>
        <v>36104.545913932961</v>
      </c>
      <c r="F6" s="647">
        <f>+D6-E6</f>
        <v>-36104.545913932961</v>
      </c>
      <c r="G6" s="640">
        <v>101872</v>
      </c>
      <c r="H6" s="640" t="s">
        <v>1242</v>
      </c>
    </row>
    <row r="7" spans="1:8">
      <c r="A7" s="645" t="str">
        <f>IF(B7="","",IF(B6="",SUM(COUNT($A$5:A6)+1),""))</f>
        <v/>
      </c>
      <c r="C7" s="640" t="str">
        <f>IF(B7="","",VLOOKUP(B7,'TB for financial'!A:B,2,0))</f>
        <v/>
      </c>
      <c r="D7" s="646"/>
      <c r="E7" s="646"/>
      <c r="H7" s="640" t="s">
        <v>629</v>
      </c>
    </row>
    <row r="8" spans="1:8">
      <c r="A8" s="645">
        <f>IF(B8="","",IF(B7="",SUM(COUNT($A$5:A7)+1),""))</f>
        <v>1</v>
      </c>
      <c r="B8" s="640">
        <v>502112</v>
      </c>
      <c r="C8" s="640" t="str">
        <f>IF(B8="","",VLOOKUP(B8,'TB for financial'!A:B,2,0))</f>
        <v>Lease expense IC (IndAS)</v>
      </c>
      <c r="D8" s="647"/>
      <c r="E8" s="647"/>
      <c r="G8" s="640">
        <v>502112</v>
      </c>
      <c r="H8" s="640" t="s">
        <v>1695</v>
      </c>
    </row>
    <row r="9" spans="1:8">
      <c r="A9" s="645" t="str">
        <f>IF(B9="","",IF(B8="",SUM(COUNT($A$5:A8)+1),""))</f>
        <v/>
      </c>
      <c r="B9" s="640">
        <v>481100</v>
      </c>
      <c r="C9" s="640" t="str">
        <f>IF(B9="","",VLOOKUP(B9,'TB for financial'!A:B,2,0))</f>
        <v>DEFERRED CHARGES</v>
      </c>
      <c r="D9" s="647"/>
      <c r="E9" s="647"/>
      <c r="F9" s="647">
        <f>+D9-E9</f>
        <v>0</v>
      </c>
      <c r="G9" s="640">
        <v>101873</v>
      </c>
      <c r="H9" s="640" t="s">
        <v>1532</v>
      </c>
    </row>
    <row r="10" spans="1:8">
      <c r="A10" s="645" t="str">
        <f>IF(B10="","",IF(B9="",SUM(COUNT($A$5:A9)+1),""))</f>
        <v/>
      </c>
      <c r="C10" s="640" t="str">
        <f>IF(B10="","",VLOOKUP(B10,'TB for financial'!A:B,2,0))</f>
        <v/>
      </c>
      <c r="D10" s="648"/>
      <c r="H10" s="640" t="s">
        <v>629</v>
      </c>
    </row>
    <row r="11" spans="1:8">
      <c r="A11" s="645">
        <f>IF(B11="","",IF(B10="",SUM(COUNT($A$5:A10)+1),""))</f>
        <v>2</v>
      </c>
      <c r="B11" s="640">
        <v>411700</v>
      </c>
      <c r="C11" s="640" t="str">
        <f>IF(B11="","",VLOOKUP(B11,'TB for financial'!A:B,2,0))</f>
        <v>TRADE DEBTORS - GUARANTEE RETENTIONS</v>
      </c>
      <c r="D11" s="647">
        <v>158934.20789983301</v>
      </c>
      <c r="E11" s="647"/>
      <c r="F11" s="647">
        <f>+D11-E11</f>
        <v>158934.20789983301</v>
      </c>
      <c r="G11" s="640">
        <v>101872</v>
      </c>
      <c r="H11" s="640" t="s">
        <v>1242</v>
      </c>
    </row>
    <row r="12" spans="1:8">
      <c r="A12" s="645" t="str">
        <f>IF(B12="","",IF(B11="",SUM(COUNT($A$5:A11)+1),""))</f>
        <v/>
      </c>
      <c r="B12" s="640">
        <v>762511</v>
      </c>
      <c r="C12" s="640" t="str">
        <f>IF(B12="","",VLOOKUP(B12,'TB for financial'!A:B,2,0))</f>
        <v>Interest Income-Deposits</v>
      </c>
      <c r="D12" s="647"/>
      <c r="E12" s="647">
        <f>+D11</f>
        <v>158934.20789983301</v>
      </c>
      <c r="G12" s="640">
        <v>601032</v>
      </c>
      <c r="H12" s="640" t="s">
        <v>1783</v>
      </c>
    </row>
    <row r="13" spans="1:8">
      <c r="A13" s="645" t="str">
        <f>IF(B13="","",IF(B12="",SUM(COUNT($A$5:A12)+1),""))</f>
        <v/>
      </c>
      <c r="C13" s="640" t="str">
        <f>IF(B13="","",VLOOKUP(B13,'TB for financial'!A:B,2,0))</f>
        <v/>
      </c>
      <c r="D13" s="648"/>
      <c r="F13" s="647"/>
    </row>
    <row r="14" spans="1:8">
      <c r="A14" s="645">
        <f>IF(B14="","",IF(B13="",SUM(COUNT($A$5:A13)+1),""))</f>
        <v>3</v>
      </c>
      <c r="B14" s="640">
        <v>167211</v>
      </c>
      <c r="C14" s="640" t="str">
        <f>IF(B14="","",VLOOKUP(B14,'TB for financial'!A:B,2,0))</f>
        <v>Lease liability Real estate</v>
      </c>
      <c r="D14" s="647">
        <f>3461863.86*0+3462024</f>
        <v>3462024</v>
      </c>
      <c r="E14" s="647"/>
    </row>
    <row r="15" spans="1:8">
      <c r="A15" s="645" t="str">
        <f>IF(B15="","",IF(B14="",SUM(COUNT($A$5:A14)+1),""))</f>
        <v/>
      </c>
      <c r="B15" s="640">
        <v>613207</v>
      </c>
      <c r="C15" s="640" t="str">
        <f>IF(B15="","",VLOOKUP(B15,'TB for financial'!A:B,2,0))</f>
        <v>Reversal rent real estate IFRS 16</v>
      </c>
      <c r="D15" s="647"/>
      <c r="E15" s="647">
        <f>+D14</f>
        <v>3462024</v>
      </c>
    </row>
    <row r="16" spans="1:8">
      <c r="A16" s="645" t="str">
        <f>IF(B16="","",IF(B15="",SUM(COUNT($A$5:A15)+1),""))</f>
        <v/>
      </c>
      <c r="C16" s="640" t="str">
        <f>IF(B16="","",VLOOKUP(B16,'TB for financial'!A:B,2,0))</f>
        <v/>
      </c>
      <c r="D16" s="647"/>
      <c r="E16" s="647"/>
    </row>
    <row r="17" spans="1:10">
      <c r="A17" s="645">
        <f>IF(B17="","",IF(B16="",SUM(COUNT($A$5:A16)+1),""))</f>
        <v>4</v>
      </c>
      <c r="B17" s="640">
        <v>664011</v>
      </c>
      <c r="C17" s="640" t="str">
        <f>IF(B17="","",VLOOKUP(B17,'TB for financial'!A:B,2,0))</f>
        <v>Financial interests on lease liability Real estate</v>
      </c>
      <c r="D17" s="647">
        <v>845902.66036682122</v>
      </c>
      <c r="E17" s="647"/>
      <c r="H17" s="649"/>
      <c r="I17" s="649"/>
      <c r="J17" s="649"/>
    </row>
    <row r="18" spans="1:10">
      <c r="A18" s="645" t="str">
        <f>IF(B18="","",IF(B17="",SUM(COUNT($A$5:A17)+1),""))</f>
        <v/>
      </c>
      <c r="B18" s="640">
        <v>167211</v>
      </c>
      <c r="C18" s="640" t="str">
        <f>IF(B18="","",VLOOKUP(B18,'TB for financial'!A:B,2,0))</f>
        <v>Lease liability Real estate</v>
      </c>
      <c r="D18" s="647"/>
      <c r="E18" s="647">
        <f>+D17</f>
        <v>845902.66036682122</v>
      </c>
      <c r="H18" s="649"/>
      <c r="I18" s="649"/>
      <c r="J18" s="649"/>
    </row>
    <row r="19" spans="1:10">
      <c r="A19" s="645" t="str">
        <f>IF(B19="","",IF(B18="",SUM(COUNT($A$5:A18)+1),""))</f>
        <v/>
      </c>
      <c r="C19" s="640" t="str">
        <f>IF(B19="","",VLOOKUP(B19,'TB for financial'!A:B,2,0))</f>
        <v/>
      </c>
      <c r="D19" s="647"/>
      <c r="E19" s="647"/>
    </row>
    <row r="20" spans="1:10">
      <c r="A20" s="645">
        <f>IF(B20="","",IF(B19="",SUM(COUNT($A$5:A19)+1),""))</f>
        <v>5</v>
      </c>
      <c r="B20" s="640">
        <v>217000</v>
      </c>
      <c r="C20" s="640" t="str">
        <f>IF(B20="","",VLOOKUP(B20,'TB for financial'!A:B,2,0))</f>
        <v>Right of use real estate</v>
      </c>
      <c r="D20" s="646">
        <v>36104.545913932961</v>
      </c>
    </row>
    <row r="21" spans="1:10">
      <c r="A21" s="645" t="str">
        <f>IF(B21="","",IF(B20="",SUM(COUNT($A$5:A20)+1),""))</f>
        <v/>
      </c>
      <c r="B21" s="640">
        <v>481100</v>
      </c>
      <c r="C21" s="640" t="str">
        <f>IF(B21="","",VLOOKUP(B21,'TB for financial'!A:B,2,0))</f>
        <v>DEFERRED CHARGES</v>
      </c>
      <c r="D21" s="646"/>
      <c r="E21" s="646">
        <f>+D20</f>
        <v>36104.545913932961</v>
      </c>
    </row>
    <row r="22" spans="1:10">
      <c r="A22" s="645" t="str">
        <f>IF(B22="","",IF(B21="",SUM(COUNT($A$5:A21)+1),""))</f>
        <v/>
      </c>
      <c r="C22" s="640" t="str">
        <f>IF(B22="","",VLOOKUP(B22,'TB for financial'!A:B,2,0))</f>
        <v/>
      </c>
      <c r="D22" s="647"/>
      <c r="E22" s="647"/>
    </row>
    <row r="23" spans="1:10">
      <c r="A23" s="645">
        <f>IF(B23="","",IF(B22="",SUM(COUNT($A$5:A22)+1),""))</f>
        <v>6</v>
      </c>
      <c r="B23" s="640">
        <v>681210</v>
      </c>
      <c r="C23" s="640" t="str">
        <f>IF(B23="","",VLOOKUP(B23,'TB for financial'!A:B,2,0))</f>
        <v>Depreciations and impairment right of use</v>
      </c>
      <c r="D23" s="647">
        <v>3173732.0113862976</v>
      </c>
      <c r="E23" s="647"/>
    </row>
    <row r="24" spans="1:10">
      <c r="A24" s="645" t="str">
        <f>IF(B24="","",IF(B23="",SUM(COUNT($A$5:A23)+1),""))</f>
        <v/>
      </c>
      <c r="B24" s="640">
        <v>281700</v>
      </c>
      <c r="C24" s="640" t="str">
        <f>IF(B24="","",VLOOKUP(B24,'TB for financial'!A:B,2,0))</f>
        <v>Depreciation right of use real estate</v>
      </c>
      <c r="D24" s="647"/>
      <c r="E24" s="647">
        <f>+D23</f>
        <v>3173732.0113862976</v>
      </c>
    </row>
    <row r="25" spans="1:10">
      <c r="A25" s="645" t="str">
        <f>IF(B25="","",IF(B24="",SUM(COUNT($A$5:A24)+1),""))</f>
        <v/>
      </c>
      <c r="C25" s="640" t="str">
        <f>IF(B25="","",VLOOKUP(B25,'TB for financial'!A:B,2,0))</f>
        <v/>
      </c>
      <c r="D25" s="647"/>
      <c r="E25" s="647"/>
    </row>
    <row r="26" spans="1:10">
      <c r="A26" s="645">
        <f>IF(B26="","",IF(B25="",SUM(COUNT($A$5:A25)+1),""))</f>
        <v>7</v>
      </c>
      <c r="B26" s="640">
        <v>240237</v>
      </c>
      <c r="C26" s="640" t="str">
        <f>IF(B26="","",VLOOKUP(B26,'TB for financial'!A:B,2,0))</f>
        <v>Regrp of Lease Liabil</v>
      </c>
      <c r="D26" s="647"/>
      <c r="E26" s="647"/>
    </row>
    <row r="27" spans="1:10">
      <c r="A27" s="645" t="str">
        <f>IF(B27="","",IF(B26="",SUM(COUNT($A$5:A26)+1),""))</f>
        <v/>
      </c>
      <c r="B27" s="640">
        <v>205094</v>
      </c>
      <c r="C27" s="640" t="str">
        <f>IF(B27="","",VLOOKUP(B27,'TB for financial'!A:B,2,0))</f>
        <v>Regrp of Lease Liabil</v>
      </c>
      <c r="E27" s="647"/>
    </row>
    <row r="28" spans="1:10">
      <c r="A28" s="645" t="str">
        <f>IF(B28="","",IF(B27="",SUM(COUNT($A$5:A27)+1),""))</f>
        <v/>
      </c>
      <c r="C28" s="640" t="str">
        <f>IF(B28="","",VLOOKUP(B28,'TB for financial'!A:B,2,0))</f>
        <v/>
      </c>
      <c r="D28" s="647"/>
      <c r="E28" s="647"/>
    </row>
    <row r="29" spans="1:10">
      <c r="A29" s="645">
        <f>IF(B29="","",IF(B28="",SUM(COUNT($A$5:A28)+1),""))</f>
        <v>8</v>
      </c>
      <c r="B29" s="640">
        <v>101873</v>
      </c>
      <c r="C29" s="640" t="str">
        <f>IF(B29="","",VLOOKUP(B29,'TB for financial'!A:B,2,0))</f>
        <v>Deferred lease expense (IndAS)</v>
      </c>
      <c r="D29" s="647"/>
      <c r="E29" s="647"/>
      <c r="F29" s="647">
        <f>+D29-E29</f>
        <v>0</v>
      </c>
    </row>
    <row r="30" spans="1:10">
      <c r="A30" s="645" t="str">
        <f>IF(B30="","",IF(B29="",SUM(COUNT($A$5:A29)+1),""))</f>
        <v/>
      </c>
      <c r="B30" s="640">
        <v>101872</v>
      </c>
      <c r="C30" s="640" t="str">
        <f>IF(B30="","",VLOOKUP(B30,'TB for financial'!A:B,2,0))</f>
        <v>Prepaid rent - intrnl deposits</v>
      </c>
      <c r="E30" s="647"/>
      <c r="F30" s="647">
        <f>+D30-E30</f>
        <v>0</v>
      </c>
    </row>
    <row r="31" spans="1:10">
      <c r="A31" s="645" t="str">
        <f>IF(B31="","",IF(B30="",SUM(COUNT($A$5:A30)+1),""))</f>
        <v/>
      </c>
      <c r="C31" s="640" t="str">
        <f>IF(B31="","",VLOOKUP(B31,'TB for financial'!A:B,2,0))</f>
        <v/>
      </c>
      <c r="E31" s="647"/>
    </row>
    <row r="32" spans="1:10">
      <c r="A32" s="645">
        <f>IF(B32="","",IF(B31="",SUM(COUNT($A$5:A31)+1),""))</f>
        <v>9</v>
      </c>
      <c r="B32" s="640">
        <v>110049</v>
      </c>
      <c r="C32" s="640" t="str">
        <f>IF(B32="","",VLOOKUP(B32,'TB for financial'!A:B,2,0))</f>
        <v>ROU of Lease Assets</v>
      </c>
      <c r="D32" s="647"/>
      <c r="E32" s="647"/>
    </row>
    <row r="33" spans="1:6">
      <c r="A33" s="645" t="str">
        <f>IF(B33="","",IF(B32="",SUM(COUNT($A$5:A32)+1),""))</f>
        <v/>
      </c>
      <c r="B33" s="640">
        <v>101873</v>
      </c>
      <c r="C33" s="640" t="str">
        <f>IF(B33="","",VLOOKUP(B33,'TB for financial'!A:B,2,0))</f>
        <v>Deferred lease expense (IndAS)</v>
      </c>
      <c r="E33" s="647"/>
      <c r="F33" s="647">
        <f>+D33-E33</f>
        <v>0</v>
      </c>
    </row>
    <row r="34" spans="1:6">
      <c r="A34" s="645" t="str">
        <f>IF(B34="","",IF(B33="",SUM(COUNT($A$5:A33)+1),""))</f>
        <v/>
      </c>
      <c r="C34" s="640" t="str">
        <f>IF(B34="","",VLOOKUP(B34,'TB for financial'!A:B,2,0))</f>
        <v/>
      </c>
      <c r="E34" s="647"/>
    </row>
    <row r="35" spans="1:6">
      <c r="A35" s="645">
        <f>IF(B35="","",IF(B34="",SUM(COUNT($A$5:A34)+1),""))</f>
        <v>10</v>
      </c>
      <c r="B35" s="640">
        <v>101872</v>
      </c>
      <c r="C35" s="640" t="str">
        <f>IF(B35="","",VLOOKUP(B35,'TB for financial'!A:B,2,0))</f>
        <v>Prepaid rent - intrnl deposits</v>
      </c>
      <c r="D35" s="647"/>
      <c r="E35" s="647"/>
      <c r="F35" s="647">
        <f>+D35-E35</f>
        <v>0</v>
      </c>
    </row>
    <row r="36" spans="1:6">
      <c r="A36" s="645" t="str">
        <f>IF(B36="","",IF(B35="",SUM(COUNT($A$5:A35)+1),""))</f>
        <v/>
      </c>
      <c r="B36" s="640">
        <v>601032</v>
      </c>
      <c r="C36" s="640" t="str">
        <f>IF(B36="","",VLOOKUP(B36,'TB for financial'!A:B,2,0))</f>
        <v>Interest income IC Dep (IndAS)</v>
      </c>
      <c r="E36" s="647"/>
    </row>
    <row r="37" spans="1:6">
      <c r="A37" s="645" t="str">
        <f>IF(B37="","",IF(B36="",SUM(COUNT($A$5:A36)+1),""))</f>
        <v/>
      </c>
      <c r="C37" s="640" t="str">
        <f>IF(B37="","",VLOOKUP(B37,'TB for financial'!A:B,2,0))</f>
        <v/>
      </c>
      <c r="E37" s="647"/>
    </row>
    <row r="38" spans="1:6">
      <c r="A38" s="645" t="str">
        <f>IF(B38="","",IF(B37="",SUM(COUNT($A$5:A37)+1),""))</f>
        <v/>
      </c>
      <c r="C38" s="640" t="str">
        <f>IF(B38="","",VLOOKUP(B38,'TB for financial'!A:B,2,0))</f>
        <v/>
      </c>
      <c r="E38" s="647"/>
    </row>
    <row r="39" spans="1:6">
      <c r="A39" s="645" t="str">
        <f>IF(B39="","",IF(B38="",SUM(COUNT($A$5:A38)+1),""))</f>
        <v/>
      </c>
      <c r="C39" s="640" t="str">
        <f>IF(B39="","",VLOOKUP(B39,'TB for financial'!A:B,2,0))</f>
        <v/>
      </c>
      <c r="E39" s="647"/>
    </row>
    <row r="40" spans="1:6">
      <c r="A40" s="645" t="str">
        <f>IF(B40="","",IF(B39="",SUM(COUNT($A$5:A39)+1),""))</f>
        <v/>
      </c>
      <c r="C40" s="640" t="str">
        <f>IF(B40="","",VLOOKUP(B40,'TB for financial'!A:B,2,0))</f>
        <v/>
      </c>
      <c r="E40" s="647"/>
    </row>
    <row r="41" spans="1:6">
      <c r="A41" s="645" t="str">
        <f>IF(B41="","",IF(B40="",SUM(COUNT($A$5:A40)+1),""))</f>
        <v/>
      </c>
      <c r="C41" s="640" t="str">
        <f>IF(B41="","",VLOOKUP(B41,'TB for financial'!A:B,2,0))</f>
        <v/>
      </c>
      <c r="E41" s="647"/>
    </row>
    <row r="42" spans="1:6">
      <c r="A42" s="645" t="str">
        <f>IF(B42="","",IF(B41="",SUM(COUNT($A$5:A41)+1),""))</f>
        <v/>
      </c>
      <c r="C42" s="640" t="str">
        <f>IF(B42="","",VLOOKUP(B42,'TB for financial'!A:B,2,0))</f>
        <v/>
      </c>
      <c r="E42" s="647"/>
    </row>
    <row r="43" spans="1:6">
      <c r="A43" s="645" t="str">
        <f>IF(B43="","",IF(B42="",SUM(COUNT($A$5:A42)+1),""))</f>
        <v/>
      </c>
      <c r="C43" s="640" t="str">
        <f>IF(B43="","",VLOOKUP(B43,'TB for financial'!A:B,2,0))</f>
        <v/>
      </c>
      <c r="E43" s="647"/>
    </row>
    <row r="44" spans="1:6">
      <c r="A44" s="645" t="str">
        <f>IF(B44="","",IF(B43="",SUM(COUNT($A$5:A43)+1),""))</f>
        <v/>
      </c>
      <c r="C44" s="640" t="str">
        <f>IF(B44="","",VLOOKUP(B44,'TB for financial'!A:B,2,0))</f>
        <v/>
      </c>
      <c r="E44" s="647"/>
    </row>
    <row r="45" spans="1:6">
      <c r="A45" s="645" t="str">
        <f>IF(B45="","",IF(B44="",SUM(COUNT($A$5:A44)+1),""))</f>
        <v/>
      </c>
      <c r="C45" s="640" t="str">
        <f>IF(B45="","",VLOOKUP(B45,'TB for financial'!A:B,2,0))</f>
        <v/>
      </c>
      <c r="E45" s="647"/>
    </row>
    <row r="46" spans="1:6">
      <c r="A46" s="645" t="str">
        <f>IF(B46="","",IF(B45="",SUM(COUNT($A$5:A45)+1),""))</f>
        <v/>
      </c>
      <c r="C46" s="640" t="str">
        <f>IF(B46="","",VLOOKUP(B46,'TB for financial'!A:B,2,0))</f>
        <v/>
      </c>
      <c r="D46" s="650"/>
    </row>
    <row r="47" spans="1:6">
      <c r="A47" s="645" t="str">
        <f>IF(B47="","",IF(B46="",SUM(COUNT($A$5:A46)+1),""))</f>
        <v/>
      </c>
      <c r="C47" s="640" t="str">
        <f>IF(B47="","",VLOOKUP(B47,'TB for financial'!A:B,2,0))</f>
        <v/>
      </c>
      <c r="E47" s="651"/>
    </row>
    <row r="48" spans="1:6">
      <c r="A48" s="645" t="str">
        <f>IF(B48="","",IF(B47="",SUM(COUNT($A$5:A47)+1),""))</f>
        <v/>
      </c>
      <c r="C48" s="640" t="str">
        <f>IF(B48="","",VLOOKUP(B48,'TB for financial'!A:B,2,0))</f>
        <v/>
      </c>
      <c r="D48" s="651"/>
      <c r="E48" s="651"/>
    </row>
    <row r="49" spans="1:5">
      <c r="A49" s="645" t="str">
        <f>IF(B49="","",IF(B48="",SUM(COUNT($A$5:A48)+1),""))</f>
        <v/>
      </c>
      <c r="C49" s="640" t="str">
        <f>IF(B49="","",VLOOKUP(B49,'TB for financial'!A:B,2,0))</f>
        <v/>
      </c>
      <c r="D49" s="651"/>
      <c r="E49" s="651"/>
    </row>
    <row r="50" spans="1:5">
      <c r="A50" s="645" t="str">
        <f>IF(B50="","",IF(B49="",SUM(COUNT($A$5:A49)+1),""))</f>
        <v/>
      </c>
      <c r="C50" s="1469" t="s">
        <v>2679</v>
      </c>
      <c r="D50" s="647"/>
    </row>
    <row r="51" spans="1:5">
      <c r="A51" s="645" t="str">
        <f>IF(B51="","",IF(B50="",SUM(COUNT($A$5:A50)+1),""))</f>
        <v/>
      </c>
      <c r="C51" s="640" t="str">
        <f>IF(B51="","",VLOOKUP(B51,'TB for financial'!A:B,2,0))</f>
        <v/>
      </c>
      <c r="D51" s="647"/>
    </row>
    <row r="52" spans="1:5">
      <c r="A52" s="645" t="str">
        <f>IF(B52="","",IF(B51="",SUM(COUNT($A$5:A51)+1),""))</f>
        <v/>
      </c>
      <c r="C52" s="640" t="str">
        <f>IF(B52="","",VLOOKUP(B52,'TB for financial'!A:B,2,0))</f>
        <v/>
      </c>
      <c r="D52" s="647"/>
    </row>
    <row r="53" spans="1:5">
      <c r="A53" s="645" t="str">
        <f>IF(B53="","",IF(B52="",SUM(COUNT($A$5:A52)+1),""))</f>
        <v/>
      </c>
      <c r="C53" s="640" t="str">
        <f>IF(B53="","",VLOOKUP(B53,'TB for financial'!A:B,2,0))</f>
        <v/>
      </c>
      <c r="D53" s="647"/>
    </row>
    <row r="54" spans="1:5">
      <c r="A54" s="645" t="str">
        <f>IF(B54="","",IF(B53="",SUM(COUNT($A$5:A53)+1),""))</f>
        <v/>
      </c>
      <c r="C54" s="640" t="str">
        <f>IF(B54="","",VLOOKUP(B54,'TB for financial'!A:B,2,0))</f>
        <v/>
      </c>
      <c r="D54" s="647"/>
    </row>
    <row r="55" spans="1:5">
      <c r="A55" s="645" t="str">
        <f>IF(B55="","",IF(B54="",SUM(COUNT($A$5:A54)+1),""))</f>
        <v/>
      </c>
      <c r="C55" s="640" t="str">
        <f>IF(B55="","",VLOOKUP(B55,'TB for financial'!A:B,2,0))</f>
        <v/>
      </c>
      <c r="D55" s="647"/>
    </row>
    <row r="56" spans="1:5">
      <c r="A56" s="645" t="str">
        <f>IF(B56="","",IF(B55="",SUM(COUNT($A$5:A55)+1),""))</f>
        <v/>
      </c>
      <c r="C56" s="640" t="str">
        <f>IF(B56="","",VLOOKUP(B56,'TB for financial'!A:B,2,0))</f>
        <v/>
      </c>
      <c r="D56" s="647"/>
    </row>
    <row r="57" spans="1:5">
      <c r="A57" s="645" t="str">
        <f>IF(B57="","",IF(B56="",SUM(COUNT($A$5:A56)+1),""))</f>
        <v/>
      </c>
      <c r="C57" s="640" t="str">
        <f>IF(B57="","",VLOOKUP(B57,'TB for financial'!A:B,2,0))</f>
        <v/>
      </c>
      <c r="D57" s="647"/>
    </row>
    <row r="58" spans="1:5">
      <c r="A58" s="645" t="str">
        <f>IF(B58="","",IF(B57="",SUM(COUNT($A$5:A57)+1),""))</f>
        <v/>
      </c>
      <c r="C58" s="640" t="str">
        <f>IF(B58="","",VLOOKUP(B58,'TB for financial'!A:B,2,0))</f>
        <v/>
      </c>
      <c r="D58" s="647"/>
    </row>
    <row r="59" spans="1:5">
      <c r="A59" s="645" t="str">
        <f>IF(B59="","",IF(B58="",SUM(COUNT($A$5:A58)+1),""))</f>
        <v/>
      </c>
      <c r="C59" s="640" t="str">
        <f>IF(B59="","",VLOOKUP(B59,'TB for financial'!A:B,2,0))</f>
        <v/>
      </c>
      <c r="D59" s="647"/>
    </row>
    <row r="60" spans="1:5">
      <c r="A60" s="645" t="str">
        <f>IF(B60="","",IF(B59="",SUM(COUNT($A$5:A59)+1),""))</f>
        <v/>
      </c>
      <c r="C60" s="640" t="str">
        <f>IF(B60="","",VLOOKUP(B60,'TB for financial'!A:B,2,0))</f>
        <v/>
      </c>
      <c r="D60" s="647"/>
    </row>
    <row r="61" spans="1:5">
      <c r="A61" s="645" t="str">
        <f>IF(B61="","",IF(B60="",SUM(COUNT($A$5:A60)+1),""))</f>
        <v/>
      </c>
      <c r="C61" s="640" t="str">
        <f>IF(B61="","",VLOOKUP(B61,'TB for financial'!A:B,2,0))</f>
        <v/>
      </c>
      <c r="D61" s="647"/>
    </row>
    <row r="62" spans="1:5">
      <c r="A62" s="645" t="str">
        <f>IF(B62="","",IF(B61="",SUM(COUNT($A$5:A61)+1),""))</f>
        <v/>
      </c>
      <c r="C62" s="640" t="str">
        <f>IF(B62="","",VLOOKUP(B62,'TB for financial'!A:B,2,0))</f>
        <v/>
      </c>
      <c r="D62" s="647"/>
    </row>
    <row r="63" spans="1:5">
      <c r="A63" s="645" t="str">
        <f>IF(B63="","",IF(B62="",SUM(COUNT($A$5:A62)+1),""))</f>
        <v/>
      </c>
      <c r="C63" s="640" t="str">
        <f>IF(B63="","",VLOOKUP(B63,'TB for financial'!A:B,2,0))</f>
        <v/>
      </c>
      <c r="D63" s="647"/>
    </row>
    <row r="64" spans="1:5">
      <c r="A64" s="645" t="str">
        <f>IF(B64="","",IF(B63="",SUM(COUNT($A$5:A63)+1),""))</f>
        <v/>
      </c>
      <c r="C64" s="640" t="str">
        <f>IF(B64="","",VLOOKUP(B64,'TB for financial'!A:B,2,0))</f>
        <v/>
      </c>
      <c r="D64" s="647"/>
    </row>
    <row r="65" spans="1:6">
      <c r="A65" s="645" t="str">
        <f>IF(B65="","",IF(B64="",SUM(COUNT($A$5:A64)+1),""))</f>
        <v/>
      </c>
      <c r="C65" s="640" t="str">
        <f>IF(B65="","",VLOOKUP(B65,'TB for financial'!A:B,2,0))</f>
        <v/>
      </c>
      <c r="D65" s="647"/>
    </row>
    <row r="66" spans="1:6">
      <c r="A66" s="645" t="str">
        <f>IF(B66="","",IF(B65="",SUM(COUNT($A$5:A65)+1),""))</f>
        <v/>
      </c>
      <c r="C66" s="640" t="str">
        <f>IF(B66="","",VLOOKUP(B66,'TB for financial'!A:B,2,0))</f>
        <v/>
      </c>
      <c r="E66" s="647"/>
      <c r="F66" s="652"/>
    </row>
    <row r="67" spans="1:6">
      <c r="A67" s="645" t="str">
        <f>IF(B67="","",IF(B66="",SUM(COUNT($A$5:A66)+1),""))</f>
        <v/>
      </c>
      <c r="C67" s="640" t="str">
        <f>IF(B67="","",VLOOKUP(B67,'TB for financial'!A:B,2,0))</f>
        <v/>
      </c>
    </row>
    <row r="68" spans="1:6">
      <c r="A68" s="645" t="str">
        <f>IF(B68="","",IF(B67="",SUM(COUNT($A$5:A67)+1),""))</f>
        <v/>
      </c>
      <c r="C68" s="640" t="str">
        <f>IF(B68="","",VLOOKUP(B68,'TB for financial'!A:B,2,0))</f>
        <v/>
      </c>
    </row>
    <row r="69" spans="1:6">
      <c r="A69" s="645" t="str">
        <f>IF(B69="","",IF(B68="",SUM(COUNT($A$5:A68)+1),""))</f>
        <v/>
      </c>
      <c r="C69" s="640" t="str">
        <f>IF(B69="","",VLOOKUP(B69,'TB for financial'!A:B,2,0))</f>
        <v/>
      </c>
      <c r="E69" s="647"/>
    </row>
    <row r="70" spans="1:6">
      <c r="A70" s="645" t="str">
        <f>IF(B70="","",IF(B69="",SUM(COUNT($A$5:A69)+1),""))</f>
        <v/>
      </c>
      <c r="C70" s="640" t="str">
        <f>IF(B70="","",VLOOKUP(B70,'TB for financial'!A:B,2,0))</f>
        <v/>
      </c>
      <c r="D70" s="647"/>
    </row>
    <row r="71" spans="1:6">
      <c r="A71" s="645" t="str">
        <f>IF(B71="","",IF(B70="",SUM(COUNT($A$5:A70)+1),""))</f>
        <v/>
      </c>
      <c r="C71" s="640" t="str">
        <f>IF(B71="","",VLOOKUP(B71,'TB for financial'!A:B,2,0))</f>
        <v/>
      </c>
    </row>
    <row r="72" spans="1:6">
      <c r="A72" s="645" t="str">
        <f>IF(B72="","",IF(B71="",SUM(COUNT($A$5:A71)+1),""))</f>
        <v/>
      </c>
      <c r="C72" s="640" t="str">
        <f>IF(B72="","",VLOOKUP(B72,'TB for financial'!A:B,2,0))</f>
        <v/>
      </c>
    </row>
    <row r="73" spans="1:6">
      <c r="A73" s="645" t="str">
        <f>IF(B73="","",IF(B72="",SUM(COUNT($A$5:A72)+1),""))</f>
        <v/>
      </c>
      <c r="C73" s="640" t="str">
        <f>IF(B73="","",VLOOKUP(B73,'TB for financial'!A:B,2,0))</f>
        <v/>
      </c>
    </row>
    <row r="74" spans="1:6">
      <c r="A74" s="645" t="str">
        <f>IF(B74="","",IF(#REF!="",SUM(COUNT($A$5:A73)+1),""))</f>
        <v/>
      </c>
      <c r="C74" s="640" t="str">
        <f>IF(B74="","",VLOOKUP(B74,'TB for financial'!A:B,2,0))</f>
        <v/>
      </c>
    </row>
    <row r="75" spans="1:6">
      <c r="A75" s="645" t="str">
        <f>IF(B75="","",IF(B74="",SUM(COUNT($A$5:A74)+1),""))</f>
        <v/>
      </c>
      <c r="C75" s="640" t="str">
        <f>IF(B75="","",VLOOKUP(B75,'TB for financial'!A:B,2,0))</f>
        <v/>
      </c>
    </row>
    <row r="76" spans="1:6">
      <c r="A76" s="645" t="str">
        <f>IF(B76="","",IF(B75="",SUM(COUNT($A$5:A75)+1),""))</f>
        <v/>
      </c>
      <c r="C76" s="640" t="str">
        <f>IF(B76="","",VLOOKUP(B76,'TB for financial'!A:B,2,0))</f>
        <v/>
      </c>
    </row>
    <row r="77" spans="1:6">
      <c r="A77" s="645" t="str">
        <f>IF(B77="","",IF(B76="",SUM(COUNT($A$5:A76)+1),""))</f>
        <v/>
      </c>
      <c r="C77" s="640" t="str">
        <f>IF(B77="","",VLOOKUP(B77,'TB for financial'!A:B,2,0))</f>
        <v/>
      </c>
    </row>
    <row r="78" spans="1:6">
      <c r="A78" s="645" t="str">
        <f>IF(B78="","",IF(B77="",SUM(COUNT($A$5:A77)+1),""))</f>
        <v/>
      </c>
      <c r="C78" s="640" t="str">
        <f>IF(B78="","",VLOOKUP(B78,'TB for financial'!A:B,2,0))</f>
        <v/>
      </c>
    </row>
    <row r="79" spans="1:6">
      <c r="A79" s="645" t="str">
        <f>IF(B79="","",IF(B78="",SUM(COUNT($A$5:A78)+1),""))</f>
        <v/>
      </c>
      <c r="C79" s="640" t="str">
        <f>IF(B79="","",VLOOKUP(B79,'TB for financial'!A:B,2,0))</f>
        <v/>
      </c>
    </row>
    <row r="80" spans="1:6">
      <c r="A80" s="645" t="str">
        <f>IF(B80="","",IF(B79="",SUM(COUNT($A$5:A79)+1),""))</f>
        <v/>
      </c>
      <c r="C80" s="640" t="str">
        <f>IF(B80="","",VLOOKUP(B80,'TB for financial'!A:B,2,0))</f>
        <v/>
      </c>
    </row>
    <row r="81" spans="1:3">
      <c r="A81" s="645" t="str">
        <f>IF(B81="","",IF(B80="",SUM(COUNT($A$5:A80)+1),""))</f>
        <v/>
      </c>
      <c r="C81" s="640" t="str">
        <f>IF(B81="","",VLOOKUP(B81,'TB for financial'!A:B,2,0))</f>
        <v/>
      </c>
    </row>
    <row r="82" spans="1:3">
      <c r="A82" s="645" t="str">
        <f>IF(B82="","",IF(B81="",SUM(COUNT($A$5:A81)+1),""))</f>
        <v/>
      </c>
      <c r="C82" s="640" t="str">
        <f>IF(B82="","",VLOOKUP(B82,'TB for financial'!A:B,2,0))</f>
        <v/>
      </c>
    </row>
    <row r="83" spans="1:3">
      <c r="A83" s="645" t="str">
        <f>IF(B83="","",IF(B82="",SUM(COUNT($A$5:A82)+1),""))</f>
        <v/>
      </c>
      <c r="C83" s="640" t="str">
        <f>IF(B83="","",VLOOKUP(B83,'TB for financial'!A:B,2,0))</f>
        <v/>
      </c>
    </row>
    <row r="84" spans="1:3">
      <c r="A84" s="645" t="str">
        <f>IF(B84="","",IF(B83="",SUM(COUNT($A$5:A83)+1),""))</f>
        <v/>
      </c>
      <c r="C84" s="640" t="str">
        <f>IF(B84="","",VLOOKUP(B84,'TB for financial'!A:B,2,0))</f>
        <v/>
      </c>
    </row>
    <row r="85" spans="1:3">
      <c r="A85" s="645" t="str">
        <f>IF(B85="","",IF(B84="",SUM(COUNT($A$5:A84)+1),""))</f>
        <v/>
      </c>
      <c r="C85" s="640" t="str">
        <f>IF(B85="","",VLOOKUP(B85,'TB for financial'!A:B,2,0))</f>
        <v/>
      </c>
    </row>
    <row r="86" spans="1:3">
      <c r="A86" s="645" t="str">
        <f>IF(B86="","",IF(B85="",SUM(COUNT($A$5:A85)+1),""))</f>
        <v/>
      </c>
      <c r="C86" s="640" t="str">
        <f>IF(B86="","",VLOOKUP(B86,'TB for financial'!A:B,2,0))</f>
        <v/>
      </c>
    </row>
    <row r="87" spans="1:3">
      <c r="A87" s="645" t="str">
        <f>IF(B87="","",IF(B86="",SUM(COUNT($A$5:A86)+1),""))</f>
        <v/>
      </c>
      <c r="C87" s="640" t="str">
        <f>IF(B87="","",VLOOKUP(B87,'TB for financial'!A:B,2,0))</f>
        <v/>
      </c>
    </row>
    <row r="88" spans="1:3">
      <c r="A88" s="645" t="str">
        <f>IF(B88="","",IF(B87="",SUM(COUNT($A$5:A87)+1),""))</f>
        <v/>
      </c>
      <c r="C88" s="640" t="str">
        <f>IF(B88="","",VLOOKUP(B88,'TB for financial'!A:B,2,0))</f>
        <v/>
      </c>
    </row>
    <row r="89" spans="1:3">
      <c r="A89" s="645" t="str">
        <f>IF(B89="","",IF(B88="",SUM(COUNT($A$5:A88)+1),""))</f>
        <v/>
      </c>
      <c r="C89" s="640" t="str">
        <f>IF(B89="","",VLOOKUP(B89,'TB for financial'!A:B,2,0))</f>
        <v/>
      </c>
    </row>
    <row r="90" spans="1:3">
      <c r="A90" s="645" t="str">
        <f>IF(B90="","",IF(B89="",SUM(COUNT($A$5:A89)+1),""))</f>
        <v/>
      </c>
      <c r="C90" s="640" t="str">
        <f>IF(B90="","",VLOOKUP(B90,'TB for financial'!A:B,2,0))</f>
        <v/>
      </c>
    </row>
    <row r="91" spans="1:3">
      <c r="A91" s="645" t="str">
        <f>IF(B91="","",IF(B90="",SUM(COUNT($A$5:A90)+1),""))</f>
        <v/>
      </c>
      <c r="C91" s="640" t="str">
        <f>IF(B91="","",VLOOKUP(B91,'TB for financial'!A:B,2,0))</f>
        <v/>
      </c>
    </row>
    <row r="92" spans="1:3">
      <c r="A92" s="645" t="str">
        <f>IF(B92="","",IF(B91="",SUM(COUNT($A$5:A91)+1),""))</f>
        <v/>
      </c>
      <c r="C92" s="640" t="str">
        <f>IF(B92="","",VLOOKUP(B92,'TB for financial'!A:B,2,0))</f>
        <v/>
      </c>
    </row>
    <row r="93" spans="1:3">
      <c r="A93" s="645" t="str">
        <f>IF(B93="","",IF(B92="",SUM(COUNT($A$5:A92)+1),""))</f>
        <v/>
      </c>
      <c r="C93" s="640" t="str">
        <f>IF(B93="","",VLOOKUP(B93,'TB for financial'!A:B,2,0))</f>
        <v/>
      </c>
    </row>
    <row r="94" spans="1:3">
      <c r="A94" s="645" t="str">
        <f>IF(B94="","",IF(B93="",SUM(COUNT($A$5:A93)+1),""))</f>
        <v/>
      </c>
      <c r="C94" s="640" t="str">
        <f>IF(B94="","",VLOOKUP(B94,'TB for financial'!A:B,2,0))</f>
        <v/>
      </c>
    </row>
    <row r="95" spans="1:3">
      <c r="A95" s="645" t="str">
        <f>IF(B95="","",IF(B94="",SUM(COUNT($A$5:A94)+1),""))</f>
        <v/>
      </c>
      <c r="C95" s="640" t="str">
        <f>IF(B95="","",VLOOKUP(B95,'TB for financial'!A:B,2,0))</f>
        <v/>
      </c>
    </row>
    <row r="96" spans="1:3">
      <c r="A96" s="645" t="str">
        <f>IF(B96="","",IF(B95="",SUM(COUNT($A$5:A95)+1),""))</f>
        <v/>
      </c>
      <c r="C96" s="640" t="str">
        <f>IF(B96="","",VLOOKUP(B96,'TB for financial'!A:B,2,0))</f>
        <v/>
      </c>
    </row>
    <row r="97" spans="1:3">
      <c r="A97" s="645" t="str">
        <f>IF(B97="","",IF(B96="",SUM(COUNT($A$5:A96)+1),""))</f>
        <v/>
      </c>
      <c r="C97" s="640" t="str">
        <f>IF(B97="","",VLOOKUP(B97,'TB for financial'!A:B,2,0))</f>
        <v/>
      </c>
    </row>
    <row r="98" spans="1:3">
      <c r="A98" s="645" t="str">
        <f>IF(B98="","",IF(B97="",SUM(COUNT($A$5:A97)+1),""))</f>
        <v/>
      </c>
      <c r="C98" s="640" t="str">
        <f>IF(B98="","",VLOOKUP(B98,'TB for financial'!A:B,2,0))</f>
        <v/>
      </c>
    </row>
    <row r="99" spans="1:3">
      <c r="A99" s="645" t="str">
        <f>IF(B99="","",IF(B98="",SUM(COUNT($A$5:A98)+1),""))</f>
        <v/>
      </c>
      <c r="C99" s="640" t="str">
        <f>IF(B99="","",VLOOKUP(B99,'TB for financial'!A:B,2,0))</f>
        <v/>
      </c>
    </row>
    <row r="100" spans="1:3">
      <c r="A100" s="645" t="str">
        <f>IF(B100="","",IF(B99="",SUM(COUNT($A$5:A99)+1),""))</f>
        <v/>
      </c>
      <c r="C100" s="640" t="str">
        <f>IF(B100="","",VLOOKUP(B100,'TB for financial'!A:B,2,0))</f>
        <v/>
      </c>
    </row>
    <row r="101" spans="1:3">
      <c r="A101" s="645" t="str">
        <f>IF(B101="","",IF(B100="",SUM(COUNT($A$5:A100)+1),""))</f>
        <v/>
      </c>
      <c r="C101" s="640" t="str">
        <f>IF(B101="","",VLOOKUP(B101,'TB for financial'!A:B,2,0))</f>
        <v/>
      </c>
    </row>
    <row r="102" spans="1:3">
      <c r="A102" s="645" t="str">
        <f>IF(B102="","",IF(B101="",SUM(COUNT($A$5:A101)+1),""))</f>
        <v/>
      </c>
      <c r="C102" s="640" t="str">
        <f>IF(B102="","",VLOOKUP(B102,'TB for financial'!A:B,2,0))</f>
        <v/>
      </c>
    </row>
    <row r="103" spans="1:3">
      <c r="A103" s="645" t="str">
        <f>IF(B103="","",IF(B102="",SUM(COUNT($A$5:A102)+1),""))</f>
        <v/>
      </c>
      <c r="C103" s="640" t="str">
        <f>IF(B103="","",VLOOKUP(B103,'TB for financial'!A:B,2,0))</f>
        <v/>
      </c>
    </row>
    <row r="104" spans="1:3">
      <c r="A104" s="645" t="str">
        <f>IF(B104="","",IF(B103="",SUM(COUNT($A$5:A103)+1),""))</f>
        <v/>
      </c>
      <c r="C104" s="640" t="str">
        <f>IF(B104="","",VLOOKUP(B104,'TB for financial'!A:B,2,0))</f>
        <v/>
      </c>
    </row>
    <row r="105" spans="1:3">
      <c r="A105" s="645" t="str">
        <f>IF(B105="","",IF(B104="",SUM(COUNT($A$5:A104)+1),""))</f>
        <v/>
      </c>
      <c r="C105" s="640" t="str">
        <f>IF(B105="","",VLOOKUP(B105,'TB for financial'!A:B,2,0))</f>
        <v/>
      </c>
    </row>
    <row r="106" spans="1:3">
      <c r="A106" s="645" t="str">
        <f>IF(B106="","",IF(B105="",SUM(COUNT($A$5:A105)+1),""))</f>
        <v/>
      </c>
      <c r="C106" s="640" t="str">
        <f>IF(B106="","",VLOOKUP(B106,'TB for financial'!A:B,2,0))</f>
        <v/>
      </c>
    </row>
    <row r="107" spans="1:3">
      <c r="A107" s="645" t="str">
        <f>IF(B107="","",IF(B106="",SUM(COUNT($A$5:A106)+1),""))</f>
        <v/>
      </c>
      <c r="C107" s="640" t="str">
        <f>IF(B107="","",VLOOKUP(B107,'TB for financial'!A:B,2,0))</f>
        <v/>
      </c>
    </row>
    <row r="108" spans="1:3">
      <c r="A108" s="645" t="str">
        <f>IF(B108="","",IF(B107="",SUM(COUNT($A$5:A107)+1),""))</f>
        <v/>
      </c>
      <c r="C108" s="640" t="str">
        <f>IF(B108="","",VLOOKUP(B108,'TB for financial'!A:B,2,0))</f>
        <v/>
      </c>
    </row>
    <row r="109" spans="1:3">
      <c r="A109" s="645" t="str">
        <f>IF(B109="","",IF(B108="",SUM(COUNT($A$5:A108)+1),""))</f>
        <v/>
      </c>
      <c r="C109" s="640" t="str">
        <f>IF(B109="","",VLOOKUP(B109,'TB for financial'!A:B,2,0))</f>
        <v/>
      </c>
    </row>
    <row r="110" spans="1:3">
      <c r="A110" s="645" t="str">
        <f>IF(B110="","",IF(B109="",SUM(COUNT($A$5:A109)+1),""))</f>
        <v/>
      </c>
      <c r="C110" s="640" t="str">
        <f>IF(B110="","",VLOOKUP(B110,'TB for financial'!A:B,2,0))</f>
        <v/>
      </c>
    </row>
    <row r="111" spans="1:3">
      <c r="A111" s="645" t="str">
        <f>IF(B111="","",IF(B110="",SUM(COUNT($A$5:A110)+1),""))</f>
        <v/>
      </c>
      <c r="C111" s="640" t="str">
        <f>IF(B111="","",VLOOKUP(B111,'TB for financial'!A:B,2,0))</f>
        <v/>
      </c>
    </row>
    <row r="112" spans="1:3">
      <c r="A112" s="645" t="str">
        <f>IF(B112="","",IF(B111="",SUM(COUNT($A$5:A111)+1),""))</f>
        <v/>
      </c>
      <c r="C112" s="640" t="str">
        <f>IF(B112="","",VLOOKUP(B112,'TB for financial'!A:B,2,0))</f>
        <v/>
      </c>
    </row>
    <row r="113" spans="1:3">
      <c r="A113" s="645" t="str">
        <f>IF(B113="","",IF(B112="",SUM(COUNT($A$5:A112)+1),""))</f>
        <v/>
      </c>
      <c r="C113" s="640" t="str">
        <f>IF(B113="","",VLOOKUP(B113,'TB for financial'!A:B,2,0))</f>
        <v/>
      </c>
    </row>
    <row r="114" spans="1:3">
      <c r="A114" s="645" t="str">
        <f>IF(B114="","",IF(B113="",SUM(COUNT($A$5:A113)+1),""))</f>
        <v/>
      </c>
      <c r="C114" s="640" t="str">
        <f>IF(B114="","",VLOOKUP(B114,'TB for financial'!A:B,2,0))</f>
        <v/>
      </c>
    </row>
    <row r="115" spans="1:3">
      <c r="A115" s="645" t="str">
        <f>IF(B115="","",IF(B114="",SUM(COUNT($A$5:A114)+1),""))</f>
        <v/>
      </c>
      <c r="C115" s="640" t="str">
        <f>IF(B115="","",VLOOKUP(B115,'TB for financial'!A:B,2,0))</f>
        <v/>
      </c>
    </row>
    <row r="116" spans="1:3">
      <c r="A116" s="645" t="str">
        <f>IF(B116="","",IF(B115="",SUM(COUNT($A$5:A115)+1),""))</f>
        <v/>
      </c>
      <c r="C116" s="640" t="str">
        <f>IF(B116="","",VLOOKUP(B116,'TB for financial'!A:B,2,0))</f>
        <v/>
      </c>
    </row>
    <row r="117" spans="1:3">
      <c r="A117" s="645" t="str">
        <f>IF(B117="","",IF(B116="",SUM(COUNT($A$5:A116)+1),""))</f>
        <v/>
      </c>
      <c r="C117" s="640" t="str">
        <f>IF(B117="","",VLOOKUP(B117,'TB for financial'!A:B,2,0))</f>
        <v/>
      </c>
    </row>
    <row r="118" spans="1:3">
      <c r="A118" s="645" t="str">
        <f>IF(B118="","",IF(B117="",SUM(COUNT($A$5:A117)+1),""))</f>
        <v/>
      </c>
      <c r="C118" s="640" t="str">
        <f>IF(B118="","",VLOOKUP(B118,'TB for financial'!A:B,2,0))</f>
        <v/>
      </c>
    </row>
    <row r="119" spans="1:3">
      <c r="A119" s="645" t="str">
        <f>IF(B119="","",IF(B118="",SUM(COUNT($A$5:A118)+1),""))</f>
        <v/>
      </c>
      <c r="C119" s="640" t="str">
        <f>IF(B119="","",VLOOKUP(B119,'TB for financial'!A:B,2,0))</f>
        <v/>
      </c>
    </row>
    <row r="120" spans="1:3">
      <c r="A120" s="645" t="str">
        <f>IF(B120="","",IF(B119="",SUM(COUNT($A$5:A119)+1),""))</f>
        <v/>
      </c>
      <c r="C120" s="640" t="str">
        <f>IF(B120="","",VLOOKUP(B120,'TB for financial'!A:B,2,0))</f>
        <v/>
      </c>
    </row>
    <row r="121" spans="1:3">
      <c r="A121" s="645" t="str">
        <f>IF(B121="","",IF(B120="",SUM(COUNT($A$5:A120)+1),""))</f>
        <v/>
      </c>
      <c r="C121" s="640" t="str">
        <f>IF(B121="","",VLOOKUP(B121,'TB for financial'!A:B,2,0))</f>
        <v/>
      </c>
    </row>
    <row r="122" spans="1:3">
      <c r="A122" s="645" t="str">
        <f>IF(B122="","",IF(B121="",SUM(COUNT($A$5:A121)+1),""))</f>
        <v/>
      </c>
      <c r="C122" s="640" t="str">
        <f>IF(B122="","",VLOOKUP(B122,'TB for financial'!A:B,2,0))</f>
        <v/>
      </c>
    </row>
    <row r="123" spans="1:3">
      <c r="A123" s="645" t="str">
        <f>IF(B123="","",IF(B122="",SUM(COUNT($A$5:A122)+1),""))</f>
        <v/>
      </c>
      <c r="C123" s="640" t="str">
        <f>IF(B123="","",VLOOKUP(B123,'TB for financial'!A:B,2,0))</f>
        <v/>
      </c>
    </row>
    <row r="124" spans="1:3">
      <c r="A124" s="645" t="str">
        <f>IF(B124="","",IF(B123="",SUM(COUNT($A$5:A123)+1),""))</f>
        <v/>
      </c>
      <c r="C124" s="640" t="str">
        <f>IF(B124="","",VLOOKUP(B124,'TB for financial'!A:B,2,0))</f>
        <v/>
      </c>
    </row>
    <row r="125" spans="1:3">
      <c r="A125" s="645" t="str">
        <f>IF(B125="","",IF(B124="",SUM(COUNT($A$5:A124)+1),""))</f>
        <v/>
      </c>
      <c r="C125" s="640" t="str">
        <f>IF(B125="","",VLOOKUP(B125,'TB for financial'!A:B,2,0))</f>
        <v/>
      </c>
    </row>
    <row r="126" spans="1:3">
      <c r="A126" s="645" t="str">
        <f>IF(B126="","",IF(B125="",SUM(COUNT($A$5:A125)+1),""))</f>
        <v/>
      </c>
      <c r="C126" s="640" t="str">
        <f>IF(B126="","",VLOOKUP(B126,'TB for financial'!A:B,2,0))</f>
        <v/>
      </c>
    </row>
    <row r="127" spans="1:3">
      <c r="A127" s="645" t="str">
        <f>IF(B127="","",IF(B126="",SUM(COUNT($A$5:A126)+1),""))</f>
        <v/>
      </c>
      <c r="C127" s="640" t="str">
        <f>IF(B127="","",VLOOKUP(B127,'TB for financial'!A:B,2,0))</f>
        <v/>
      </c>
    </row>
    <row r="128" spans="1:3">
      <c r="A128" s="645" t="str">
        <f>IF(B128="","",IF(B127="",SUM(COUNT($A$5:A127)+1),""))</f>
        <v/>
      </c>
      <c r="C128" s="640" t="str">
        <f>IF(B128="","",VLOOKUP(B128,'TB for financial'!A:B,2,0))</f>
        <v/>
      </c>
    </row>
    <row r="129" spans="1:3">
      <c r="A129" s="645" t="str">
        <f>IF(B129="","",IF(B128="",SUM(COUNT($A$5:A128)+1),""))</f>
        <v/>
      </c>
      <c r="C129" s="640" t="str">
        <f>IF(B129="","",VLOOKUP(B129,'TB for financial'!A:B,2,0))</f>
        <v/>
      </c>
    </row>
    <row r="130" spans="1:3">
      <c r="A130" s="645" t="str">
        <f>IF(B130="","",IF(B129="",SUM(COUNT($A$5:A129)+1),""))</f>
        <v/>
      </c>
      <c r="C130" s="640" t="str">
        <f>IF(B130="","",VLOOKUP(B130,'TB for financial'!A:B,2,0))</f>
        <v/>
      </c>
    </row>
    <row r="131" spans="1:3">
      <c r="A131" s="645" t="str">
        <f>IF(B131="","",IF(B130="",SUM(COUNT($A$5:A130)+1),""))</f>
        <v/>
      </c>
      <c r="C131" s="640" t="str">
        <f>IF(B131="","",VLOOKUP(B131,'TB for financial'!A:B,2,0))</f>
        <v/>
      </c>
    </row>
    <row r="132" spans="1:3">
      <c r="A132" s="645" t="str">
        <f>IF(B132="","",IF(B131="",SUM(COUNT($A$5:A131)+1),""))</f>
        <v/>
      </c>
      <c r="C132" s="640" t="str">
        <f>IF(B132="","",VLOOKUP(B132,'TB for financial'!A:B,2,0))</f>
        <v/>
      </c>
    </row>
    <row r="133" spans="1:3">
      <c r="A133" s="645" t="str">
        <f>IF(B133="","",IF(B132="",SUM(COUNT($A$5:A132)+1),""))</f>
        <v/>
      </c>
      <c r="C133" s="640" t="str">
        <f>IF(B133="","",VLOOKUP(B133,'TB for financial'!A:B,2,0))</f>
        <v/>
      </c>
    </row>
    <row r="134" spans="1:3">
      <c r="A134" s="645" t="str">
        <f>IF(B134="","",IF(B133="",SUM(COUNT($A$5:A133)+1),""))</f>
        <v/>
      </c>
    </row>
  </sheetData>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855"/>
  <sheetViews>
    <sheetView showGridLines="0" workbookViewId="0">
      <selection activeCell="I7" sqref="I7"/>
    </sheetView>
  </sheetViews>
  <sheetFormatPr defaultColWidth="9.21875" defaultRowHeight="12"/>
  <cols>
    <col min="1" max="1" width="9.21875" style="654"/>
    <col min="2" max="2" width="53.44140625" style="654" bestFit="1" customWidth="1"/>
    <col min="3" max="4" width="15.21875" style="654" bestFit="1" customWidth="1"/>
    <col min="5" max="16384" width="9.21875" style="654"/>
  </cols>
  <sheetData>
    <row r="1" spans="1:4">
      <c r="A1" s="653" t="s">
        <v>402</v>
      </c>
    </row>
    <row r="2" spans="1:4">
      <c r="A2" s="653" t="s">
        <v>1801</v>
      </c>
    </row>
    <row r="3" spans="1:4">
      <c r="C3" s="655"/>
      <c r="D3" s="655"/>
    </row>
    <row r="4" spans="1:4" ht="12.6" thickBot="1">
      <c r="A4" s="656" t="s">
        <v>519</v>
      </c>
      <c r="B4" s="657" t="s">
        <v>82</v>
      </c>
      <c r="C4" s="657" t="s">
        <v>1798</v>
      </c>
      <c r="D4" s="657" t="s">
        <v>1799</v>
      </c>
    </row>
    <row r="5" spans="1:4" ht="12.6" thickTop="1">
      <c r="A5" s="658">
        <v>100000</v>
      </c>
      <c r="B5" s="659" t="s">
        <v>972</v>
      </c>
      <c r="C5" s="660">
        <f>SUMIF('IND AS entries 22-23'!B:B,'IND AS_TB18-19'!A5,'IND AS entries 22-23'!D:D)</f>
        <v>0</v>
      </c>
      <c r="D5" s="660">
        <f>SUMIF('IND AS entries 22-23'!B:B,'IND AS_TB18-19'!A5,'IND AS entries 22-23'!E:E)</f>
        <v>0</v>
      </c>
    </row>
    <row r="6" spans="1:4">
      <c r="A6" s="658">
        <v>100001</v>
      </c>
      <c r="B6" s="659" t="s">
        <v>973</v>
      </c>
      <c r="C6" s="660">
        <f>SUMIF('IND AS entries 22-23'!B:B,'IND AS_TB18-19'!A6,'IND AS entries 22-23'!D:D)</f>
        <v>0</v>
      </c>
      <c r="D6" s="660">
        <f>SUMIF('IND AS entries 22-23'!B:B,'IND AS_TB18-19'!A6,'IND AS entries 22-23'!E:E)</f>
        <v>0</v>
      </c>
    </row>
    <row r="7" spans="1:4">
      <c r="A7" s="658">
        <v>100300</v>
      </c>
      <c r="B7" s="659" t="s">
        <v>974</v>
      </c>
      <c r="C7" s="660">
        <f>SUMIF('IND AS entries 22-23'!B:B,'IND AS_TB18-19'!A7,'IND AS entries 22-23'!D:D)</f>
        <v>0</v>
      </c>
      <c r="D7" s="660">
        <f>SUMIF('IND AS entries 22-23'!B:B,'IND AS_TB18-19'!A7,'IND AS entries 22-23'!E:E)</f>
        <v>0</v>
      </c>
    </row>
    <row r="8" spans="1:4">
      <c r="A8" s="658">
        <v>100301</v>
      </c>
      <c r="B8" s="659" t="s">
        <v>975</v>
      </c>
      <c r="C8" s="660">
        <f>SUMIF('IND AS entries 22-23'!B:B,'IND AS_TB18-19'!A8,'IND AS entries 22-23'!D:D)</f>
        <v>0</v>
      </c>
      <c r="D8" s="660">
        <f>SUMIF('IND AS entries 22-23'!B:B,'IND AS_TB18-19'!A8,'IND AS entries 22-23'!E:E)</f>
        <v>0</v>
      </c>
    </row>
    <row r="9" spans="1:4">
      <c r="A9" s="658">
        <v>100302</v>
      </c>
      <c r="B9" s="661" t="s">
        <v>976</v>
      </c>
      <c r="C9" s="660">
        <f>SUMIF('IND AS entries 22-23'!B:B,'IND AS_TB18-19'!A9,'IND AS entries 22-23'!D:D)</f>
        <v>0</v>
      </c>
      <c r="D9" s="660">
        <f>SUMIF('IND AS entries 22-23'!B:B,'IND AS_TB18-19'!A9,'IND AS entries 22-23'!E:E)</f>
        <v>0</v>
      </c>
    </row>
    <row r="10" spans="1:4">
      <c r="A10" s="658">
        <v>100303</v>
      </c>
      <c r="B10" s="661" t="s">
        <v>977</v>
      </c>
      <c r="C10" s="660">
        <f>SUMIF('IND AS entries 22-23'!B:B,'IND AS_TB18-19'!A10,'IND AS entries 22-23'!D:D)</f>
        <v>0</v>
      </c>
      <c r="D10" s="660">
        <f>SUMIF('IND AS entries 22-23'!B:B,'IND AS_TB18-19'!A10,'IND AS entries 22-23'!E:E)</f>
        <v>0</v>
      </c>
    </row>
    <row r="11" spans="1:4">
      <c r="A11" s="658">
        <v>100304</v>
      </c>
      <c r="B11" s="661" t="s">
        <v>978</v>
      </c>
      <c r="C11" s="660">
        <f>SUMIF('IND AS entries 22-23'!B:B,'IND AS_TB18-19'!A11,'IND AS entries 22-23'!D:D)</f>
        <v>0</v>
      </c>
      <c r="D11" s="660">
        <f>SUMIF('IND AS entries 22-23'!B:B,'IND AS_TB18-19'!A11,'IND AS entries 22-23'!E:E)</f>
        <v>0</v>
      </c>
    </row>
    <row r="12" spans="1:4">
      <c r="A12" s="658">
        <v>100305</v>
      </c>
      <c r="B12" s="659" t="s">
        <v>979</v>
      </c>
      <c r="C12" s="660">
        <f>SUMIF('IND AS entries 22-23'!B:B,'IND AS_TB18-19'!A12,'IND AS entries 22-23'!D:D)</f>
        <v>0</v>
      </c>
      <c r="D12" s="660">
        <f>SUMIF('IND AS entries 22-23'!B:B,'IND AS_TB18-19'!A12,'IND AS entries 22-23'!E:E)</f>
        <v>0</v>
      </c>
    </row>
    <row r="13" spans="1:4">
      <c r="A13" s="658">
        <v>100314</v>
      </c>
      <c r="B13" s="661" t="s">
        <v>980</v>
      </c>
      <c r="C13" s="660">
        <f>SUMIF('IND AS entries 22-23'!B:B,'IND AS_TB18-19'!A13,'IND AS entries 22-23'!D:D)</f>
        <v>0</v>
      </c>
      <c r="D13" s="660">
        <f>SUMIF('IND AS entries 22-23'!B:B,'IND AS_TB18-19'!A13,'IND AS entries 22-23'!E:E)</f>
        <v>0</v>
      </c>
    </row>
    <row r="14" spans="1:4">
      <c r="A14" s="658">
        <v>100320</v>
      </c>
      <c r="B14" s="659" t="s">
        <v>981</v>
      </c>
      <c r="C14" s="660">
        <f>SUMIF('IND AS entries 22-23'!B:B,'IND AS_TB18-19'!A14,'IND AS entries 22-23'!D:D)</f>
        <v>0</v>
      </c>
      <c r="D14" s="660">
        <f>SUMIF('IND AS entries 22-23'!B:B,'IND AS_TB18-19'!A14,'IND AS entries 22-23'!E:E)</f>
        <v>0</v>
      </c>
    </row>
    <row r="15" spans="1:4">
      <c r="A15" s="658">
        <v>100325</v>
      </c>
      <c r="B15" s="659" t="s">
        <v>982</v>
      </c>
      <c r="C15" s="660">
        <f>SUMIF('IND AS entries 22-23'!B:B,'IND AS_TB18-19'!A15,'IND AS entries 22-23'!D:D)</f>
        <v>0</v>
      </c>
      <c r="D15" s="660">
        <f>SUMIF('IND AS entries 22-23'!B:B,'IND AS_TB18-19'!A15,'IND AS entries 22-23'!E:E)</f>
        <v>0</v>
      </c>
    </row>
    <row r="16" spans="1:4">
      <c r="A16" s="658">
        <v>100327</v>
      </c>
      <c r="B16" s="661" t="s">
        <v>983</v>
      </c>
      <c r="C16" s="660">
        <f>SUMIF('IND AS entries 22-23'!B:B,'IND AS_TB18-19'!A16,'IND AS entries 22-23'!D:D)</f>
        <v>0</v>
      </c>
      <c r="D16" s="660">
        <f>SUMIF('IND AS entries 22-23'!B:B,'IND AS_TB18-19'!A16,'IND AS entries 22-23'!E:E)</f>
        <v>0</v>
      </c>
    </row>
    <row r="17" spans="1:4">
      <c r="A17" s="658">
        <v>100400</v>
      </c>
      <c r="B17" s="659" t="s">
        <v>984</v>
      </c>
      <c r="C17" s="660">
        <f>SUMIF('IND AS entries 22-23'!B:B,'IND AS_TB18-19'!A17,'IND AS entries 22-23'!D:D)</f>
        <v>0</v>
      </c>
      <c r="D17" s="660">
        <f>SUMIF('IND AS entries 22-23'!B:B,'IND AS_TB18-19'!A17,'IND AS entries 22-23'!E:E)</f>
        <v>0</v>
      </c>
    </row>
    <row r="18" spans="1:4">
      <c r="A18" s="658">
        <v>100440</v>
      </c>
      <c r="B18" s="659" t="s">
        <v>985</v>
      </c>
      <c r="C18" s="660">
        <f>SUMIF('IND AS entries 22-23'!B:B,'IND AS_TB18-19'!A18,'IND AS entries 22-23'!D:D)</f>
        <v>0</v>
      </c>
      <c r="D18" s="660">
        <f>SUMIF('IND AS entries 22-23'!B:B,'IND AS_TB18-19'!A18,'IND AS entries 22-23'!E:E)</f>
        <v>0</v>
      </c>
    </row>
    <row r="19" spans="1:4">
      <c r="A19" s="658">
        <v>100441</v>
      </c>
      <c r="B19" s="659" t="s">
        <v>986</v>
      </c>
      <c r="C19" s="660">
        <f>SUMIF('IND AS entries 22-23'!B:B,'IND AS_TB18-19'!A19,'IND AS entries 22-23'!D:D)</f>
        <v>0</v>
      </c>
      <c r="D19" s="660">
        <f>SUMIF('IND AS entries 22-23'!B:B,'IND AS_TB18-19'!A19,'IND AS entries 22-23'!E:E)</f>
        <v>0</v>
      </c>
    </row>
    <row r="20" spans="1:4">
      <c r="A20" s="658">
        <v>100450</v>
      </c>
      <c r="B20" s="659" t="s">
        <v>987</v>
      </c>
      <c r="C20" s="660">
        <f>SUMIF('IND AS entries 22-23'!B:B,'IND AS_TB18-19'!A20,'IND AS entries 22-23'!D:D)</f>
        <v>0</v>
      </c>
      <c r="D20" s="660">
        <f>SUMIF('IND AS entries 22-23'!B:B,'IND AS_TB18-19'!A20,'IND AS entries 22-23'!E:E)</f>
        <v>0</v>
      </c>
    </row>
    <row r="21" spans="1:4">
      <c r="A21" s="658">
        <v>100460</v>
      </c>
      <c r="B21" s="659" t="s">
        <v>988</v>
      </c>
      <c r="C21" s="660">
        <f>SUMIF('IND AS entries 22-23'!B:B,'IND AS_TB18-19'!A21,'IND AS entries 22-23'!D:D)</f>
        <v>0</v>
      </c>
      <c r="D21" s="660">
        <f>SUMIF('IND AS entries 22-23'!B:B,'IND AS_TB18-19'!A21,'IND AS entries 22-23'!E:E)</f>
        <v>0</v>
      </c>
    </row>
    <row r="22" spans="1:4">
      <c r="A22" s="658">
        <v>100470</v>
      </c>
      <c r="B22" s="659" t="s">
        <v>989</v>
      </c>
      <c r="C22" s="660">
        <f>SUMIF('IND AS entries 22-23'!B:B,'IND AS_TB18-19'!A22,'IND AS entries 22-23'!D:D)</f>
        <v>0</v>
      </c>
      <c r="D22" s="660">
        <f>SUMIF('IND AS entries 22-23'!B:B,'IND AS_TB18-19'!A22,'IND AS entries 22-23'!E:E)</f>
        <v>0</v>
      </c>
    </row>
    <row r="23" spans="1:4">
      <c r="A23" s="658">
        <v>100480</v>
      </c>
      <c r="B23" s="659" t="s">
        <v>990</v>
      </c>
      <c r="C23" s="660">
        <f>SUMIF('IND AS entries 22-23'!B:B,'IND AS_TB18-19'!A23,'IND AS entries 22-23'!D:D)</f>
        <v>0</v>
      </c>
      <c r="D23" s="660">
        <f>SUMIF('IND AS entries 22-23'!B:B,'IND AS_TB18-19'!A23,'IND AS entries 22-23'!E:E)</f>
        <v>0</v>
      </c>
    </row>
    <row r="24" spans="1:4">
      <c r="A24" s="658">
        <v>100490</v>
      </c>
      <c r="B24" s="659" t="s">
        <v>991</v>
      </c>
      <c r="C24" s="660">
        <f>SUMIF('IND AS entries 22-23'!B:B,'IND AS_TB18-19'!A24,'IND AS entries 22-23'!D:D)</f>
        <v>0</v>
      </c>
      <c r="D24" s="660">
        <f>SUMIF('IND AS entries 22-23'!B:B,'IND AS_TB18-19'!A24,'IND AS entries 22-23'!E:E)</f>
        <v>0</v>
      </c>
    </row>
    <row r="25" spans="1:4">
      <c r="A25" s="658">
        <v>100491</v>
      </c>
      <c r="B25" s="659" t="s">
        <v>992</v>
      </c>
      <c r="C25" s="660">
        <f>SUMIF('IND AS entries 22-23'!B:B,'IND AS_TB18-19'!A25,'IND AS entries 22-23'!D:D)</f>
        <v>0</v>
      </c>
      <c r="D25" s="660">
        <f>SUMIF('IND AS entries 22-23'!B:B,'IND AS_TB18-19'!A25,'IND AS entries 22-23'!E:E)</f>
        <v>0</v>
      </c>
    </row>
    <row r="26" spans="1:4">
      <c r="A26" s="658">
        <v>100492</v>
      </c>
      <c r="B26" s="659" t="s">
        <v>555</v>
      </c>
      <c r="C26" s="660">
        <f>SUMIF('IND AS entries 22-23'!B:B,'IND AS_TB18-19'!A26,'IND AS entries 22-23'!D:D)</f>
        <v>0</v>
      </c>
      <c r="D26" s="660">
        <f>SUMIF('IND AS entries 22-23'!B:B,'IND AS_TB18-19'!A26,'IND AS entries 22-23'!E:E)</f>
        <v>0</v>
      </c>
    </row>
    <row r="27" spans="1:4">
      <c r="A27" s="658">
        <v>100493</v>
      </c>
      <c r="B27" s="659" t="s">
        <v>556</v>
      </c>
      <c r="C27" s="660">
        <f>SUMIF('IND AS entries 22-23'!B:B,'IND AS_TB18-19'!A27,'IND AS entries 22-23'!D:D)</f>
        <v>0</v>
      </c>
      <c r="D27" s="660">
        <f>SUMIF('IND AS entries 22-23'!B:B,'IND AS_TB18-19'!A27,'IND AS entries 22-23'!E:E)</f>
        <v>0</v>
      </c>
    </row>
    <row r="28" spans="1:4">
      <c r="A28" s="658">
        <v>100500</v>
      </c>
      <c r="B28" s="659" t="s">
        <v>993</v>
      </c>
      <c r="C28" s="660">
        <f>SUMIF('IND AS entries 22-23'!B:B,'IND AS_TB18-19'!A28,'IND AS entries 22-23'!D:D)</f>
        <v>0</v>
      </c>
      <c r="D28" s="660">
        <f>SUMIF('IND AS entries 22-23'!B:B,'IND AS_TB18-19'!A28,'IND AS entries 22-23'!E:E)</f>
        <v>0</v>
      </c>
    </row>
    <row r="29" spans="1:4">
      <c r="A29" s="658">
        <v>100501</v>
      </c>
      <c r="B29" s="659" t="s">
        <v>994</v>
      </c>
      <c r="C29" s="660">
        <f>SUMIF('IND AS entries 22-23'!B:B,'IND AS_TB18-19'!A29,'IND AS entries 22-23'!D:D)</f>
        <v>0</v>
      </c>
      <c r="D29" s="660">
        <f>SUMIF('IND AS entries 22-23'!B:B,'IND AS_TB18-19'!A29,'IND AS entries 22-23'!E:E)</f>
        <v>0</v>
      </c>
    </row>
    <row r="30" spans="1:4">
      <c r="A30" s="658">
        <v>100502</v>
      </c>
      <c r="B30" s="659" t="s">
        <v>995</v>
      </c>
      <c r="C30" s="660">
        <f>SUMIF('IND AS entries 22-23'!B:B,'IND AS_TB18-19'!A30,'IND AS entries 22-23'!D:D)</f>
        <v>0</v>
      </c>
      <c r="D30" s="660">
        <f>SUMIF('IND AS entries 22-23'!B:B,'IND AS_TB18-19'!A30,'IND AS entries 22-23'!E:E)</f>
        <v>0</v>
      </c>
    </row>
    <row r="31" spans="1:4">
      <c r="A31" s="658">
        <v>100503</v>
      </c>
      <c r="B31" s="659" t="s">
        <v>996</v>
      </c>
      <c r="C31" s="660">
        <f>SUMIF('IND AS entries 22-23'!B:B,'IND AS_TB18-19'!A31,'IND AS entries 22-23'!D:D)</f>
        <v>0</v>
      </c>
      <c r="D31" s="660">
        <f>SUMIF('IND AS entries 22-23'!B:B,'IND AS_TB18-19'!A31,'IND AS entries 22-23'!E:E)</f>
        <v>0</v>
      </c>
    </row>
    <row r="32" spans="1:4">
      <c r="A32" s="658">
        <v>100504</v>
      </c>
      <c r="B32" s="659" t="s">
        <v>997</v>
      </c>
      <c r="C32" s="660">
        <f>SUMIF('IND AS entries 22-23'!B:B,'IND AS_TB18-19'!A32,'IND AS entries 22-23'!D:D)</f>
        <v>0</v>
      </c>
      <c r="D32" s="660">
        <f>SUMIF('IND AS entries 22-23'!B:B,'IND AS_TB18-19'!A32,'IND AS entries 22-23'!E:E)</f>
        <v>0</v>
      </c>
    </row>
    <row r="33" spans="1:4">
      <c r="A33" s="658">
        <v>100505</v>
      </c>
      <c r="B33" s="659" t="s">
        <v>998</v>
      </c>
      <c r="C33" s="660">
        <f>SUMIF('IND AS entries 22-23'!B:B,'IND AS_TB18-19'!A33,'IND AS entries 22-23'!D:D)</f>
        <v>0</v>
      </c>
      <c r="D33" s="660">
        <f>SUMIF('IND AS entries 22-23'!B:B,'IND AS_TB18-19'!A33,'IND AS entries 22-23'!E:E)</f>
        <v>0</v>
      </c>
    </row>
    <row r="34" spans="1:4">
      <c r="A34" s="658">
        <v>100506</v>
      </c>
      <c r="B34" s="659" t="s">
        <v>999</v>
      </c>
      <c r="C34" s="660">
        <f>SUMIF('IND AS entries 22-23'!B:B,'IND AS_TB18-19'!A34,'IND AS entries 22-23'!D:D)</f>
        <v>0</v>
      </c>
      <c r="D34" s="660">
        <f>SUMIF('IND AS entries 22-23'!B:B,'IND AS_TB18-19'!A34,'IND AS entries 22-23'!E:E)</f>
        <v>0</v>
      </c>
    </row>
    <row r="35" spans="1:4">
      <c r="A35" s="658">
        <v>100507</v>
      </c>
      <c r="B35" s="659" t="s">
        <v>1000</v>
      </c>
      <c r="C35" s="660">
        <f>SUMIF('IND AS entries 22-23'!B:B,'IND AS_TB18-19'!A35,'IND AS entries 22-23'!D:D)</f>
        <v>0</v>
      </c>
      <c r="D35" s="660">
        <f>SUMIF('IND AS entries 22-23'!B:B,'IND AS_TB18-19'!A35,'IND AS entries 22-23'!E:E)</f>
        <v>0</v>
      </c>
    </row>
    <row r="36" spans="1:4">
      <c r="A36" s="658">
        <v>100508</v>
      </c>
      <c r="B36" s="659" t="s">
        <v>1001</v>
      </c>
      <c r="C36" s="660">
        <f>SUMIF('IND AS entries 22-23'!B:B,'IND AS_TB18-19'!A36,'IND AS entries 22-23'!D:D)</f>
        <v>0</v>
      </c>
      <c r="D36" s="660">
        <f>SUMIF('IND AS entries 22-23'!B:B,'IND AS_TB18-19'!A36,'IND AS entries 22-23'!E:E)</f>
        <v>0</v>
      </c>
    </row>
    <row r="37" spans="1:4">
      <c r="A37" s="658">
        <v>100509</v>
      </c>
      <c r="B37" s="659" t="s">
        <v>1002</v>
      </c>
      <c r="C37" s="660">
        <f>SUMIF('IND AS entries 22-23'!B:B,'IND AS_TB18-19'!A37,'IND AS entries 22-23'!D:D)</f>
        <v>0</v>
      </c>
      <c r="D37" s="660">
        <f>SUMIF('IND AS entries 22-23'!B:B,'IND AS_TB18-19'!A37,'IND AS entries 22-23'!E:E)</f>
        <v>0</v>
      </c>
    </row>
    <row r="38" spans="1:4">
      <c r="A38" s="658">
        <v>100510</v>
      </c>
      <c r="B38" s="659" t="s">
        <v>1003</v>
      </c>
      <c r="C38" s="660">
        <f>SUMIF('IND AS entries 22-23'!B:B,'IND AS_TB18-19'!A38,'IND AS entries 22-23'!D:D)</f>
        <v>0</v>
      </c>
      <c r="D38" s="660">
        <f>SUMIF('IND AS entries 22-23'!B:B,'IND AS_TB18-19'!A38,'IND AS entries 22-23'!E:E)</f>
        <v>0</v>
      </c>
    </row>
    <row r="39" spans="1:4">
      <c r="A39" s="658">
        <v>100511</v>
      </c>
      <c r="B39" s="659" t="s">
        <v>1004</v>
      </c>
      <c r="C39" s="660">
        <f>SUMIF('IND AS entries 22-23'!B:B,'IND AS_TB18-19'!A39,'IND AS entries 22-23'!D:D)</f>
        <v>0</v>
      </c>
      <c r="D39" s="660">
        <f>SUMIF('IND AS entries 22-23'!B:B,'IND AS_TB18-19'!A39,'IND AS entries 22-23'!E:E)</f>
        <v>0</v>
      </c>
    </row>
    <row r="40" spans="1:4">
      <c r="A40" s="658">
        <v>100513</v>
      </c>
      <c r="B40" s="659" t="s">
        <v>1005</v>
      </c>
      <c r="C40" s="660">
        <f>SUMIF('IND AS entries 22-23'!B:B,'IND AS_TB18-19'!A40,'IND AS entries 22-23'!D:D)</f>
        <v>0</v>
      </c>
      <c r="D40" s="660">
        <f>SUMIF('IND AS entries 22-23'!B:B,'IND AS_TB18-19'!A40,'IND AS entries 22-23'!E:E)</f>
        <v>0</v>
      </c>
    </row>
    <row r="41" spans="1:4">
      <c r="A41" s="658">
        <v>100514</v>
      </c>
      <c r="B41" s="659" t="s">
        <v>1006</v>
      </c>
      <c r="C41" s="660">
        <f>SUMIF('IND AS entries 22-23'!B:B,'IND AS_TB18-19'!A41,'IND AS entries 22-23'!D:D)</f>
        <v>0</v>
      </c>
      <c r="D41" s="660">
        <f>SUMIF('IND AS entries 22-23'!B:B,'IND AS_TB18-19'!A41,'IND AS entries 22-23'!E:E)</f>
        <v>0</v>
      </c>
    </row>
    <row r="42" spans="1:4">
      <c r="A42" s="658">
        <v>100515</v>
      </c>
      <c r="B42" s="659" t="s">
        <v>1007</v>
      </c>
      <c r="C42" s="660">
        <f>SUMIF('IND AS entries 22-23'!B:B,'IND AS_TB18-19'!A42,'IND AS entries 22-23'!D:D)</f>
        <v>0</v>
      </c>
      <c r="D42" s="660">
        <f>SUMIF('IND AS entries 22-23'!B:B,'IND AS_TB18-19'!A42,'IND AS entries 22-23'!E:E)</f>
        <v>0</v>
      </c>
    </row>
    <row r="43" spans="1:4">
      <c r="A43" s="658">
        <v>100516</v>
      </c>
      <c r="B43" s="659" t="s">
        <v>1008</v>
      </c>
      <c r="C43" s="660">
        <f>SUMIF('IND AS entries 22-23'!B:B,'IND AS_TB18-19'!A43,'IND AS entries 22-23'!D:D)</f>
        <v>0</v>
      </c>
      <c r="D43" s="660">
        <f>SUMIF('IND AS entries 22-23'!B:B,'IND AS_TB18-19'!A43,'IND AS entries 22-23'!E:E)</f>
        <v>0</v>
      </c>
    </row>
    <row r="44" spans="1:4">
      <c r="A44" s="658">
        <v>100519</v>
      </c>
      <c r="B44" s="659" t="s">
        <v>1009</v>
      </c>
      <c r="C44" s="660">
        <f>SUMIF('IND AS entries 22-23'!B:B,'IND AS_TB18-19'!A44,'IND AS entries 22-23'!D:D)</f>
        <v>0</v>
      </c>
      <c r="D44" s="660">
        <f>SUMIF('IND AS entries 22-23'!B:B,'IND AS_TB18-19'!A44,'IND AS entries 22-23'!E:E)</f>
        <v>0</v>
      </c>
    </row>
    <row r="45" spans="1:4">
      <c r="A45" s="658">
        <v>100520</v>
      </c>
      <c r="B45" s="659" t="s">
        <v>1010</v>
      </c>
      <c r="C45" s="660">
        <f>SUMIF('IND AS entries 22-23'!B:B,'IND AS_TB18-19'!A45,'IND AS entries 22-23'!D:D)</f>
        <v>0</v>
      </c>
      <c r="D45" s="660">
        <f>SUMIF('IND AS entries 22-23'!B:B,'IND AS_TB18-19'!A45,'IND AS entries 22-23'!E:E)</f>
        <v>0</v>
      </c>
    </row>
    <row r="46" spans="1:4">
      <c r="A46" s="658">
        <v>100517</v>
      </c>
      <c r="B46" s="659" t="s">
        <v>1011</v>
      </c>
      <c r="C46" s="660">
        <f>SUMIF('IND AS entries 22-23'!B:B,'IND AS_TB18-19'!A46,'IND AS entries 22-23'!D:D)</f>
        <v>0</v>
      </c>
      <c r="D46" s="660">
        <f>SUMIF('IND AS entries 22-23'!B:B,'IND AS_TB18-19'!A46,'IND AS entries 22-23'!E:E)</f>
        <v>0</v>
      </c>
    </row>
    <row r="47" spans="1:4">
      <c r="A47" s="658">
        <v>100521</v>
      </c>
      <c r="B47" s="659" t="s">
        <v>1012</v>
      </c>
      <c r="C47" s="660">
        <f>SUMIF('IND AS entries 22-23'!B:B,'IND AS_TB18-19'!A47,'IND AS entries 22-23'!D:D)</f>
        <v>0</v>
      </c>
      <c r="D47" s="660">
        <f>SUMIF('IND AS entries 22-23'!B:B,'IND AS_TB18-19'!A47,'IND AS entries 22-23'!E:E)</f>
        <v>0</v>
      </c>
    </row>
    <row r="48" spans="1:4">
      <c r="A48" s="658">
        <v>100522</v>
      </c>
      <c r="B48" s="659" t="s">
        <v>1013</v>
      </c>
      <c r="C48" s="660">
        <f>SUMIF('IND AS entries 22-23'!B:B,'IND AS_TB18-19'!A48,'IND AS entries 22-23'!D:D)</f>
        <v>0</v>
      </c>
      <c r="D48" s="660">
        <f>SUMIF('IND AS entries 22-23'!B:B,'IND AS_TB18-19'!A48,'IND AS entries 22-23'!E:E)</f>
        <v>0</v>
      </c>
    </row>
    <row r="49" spans="1:4">
      <c r="A49" s="658">
        <v>100523</v>
      </c>
      <c r="B49" s="659" t="s">
        <v>1014</v>
      </c>
      <c r="C49" s="660">
        <f>SUMIF('IND AS entries 22-23'!B:B,'IND AS_TB18-19'!A49,'IND AS entries 22-23'!D:D)</f>
        <v>0</v>
      </c>
      <c r="D49" s="660">
        <f>SUMIF('IND AS entries 22-23'!B:B,'IND AS_TB18-19'!A49,'IND AS entries 22-23'!E:E)</f>
        <v>0</v>
      </c>
    </row>
    <row r="50" spans="1:4">
      <c r="A50" s="658">
        <v>100524</v>
      </c>
      <c r="B50" s="659" t="s">
        <v>1015</v>
      </c>
      <c r="C50" s="660">
        <f>SUMIF('IND AS entries 22-23'!B:B,'IND AS_TB18-19'!A50,'IND AS entries 22-23'!D:D)</f>
        <v>0</v>
      </c>
      <c r="D50" s="660">
        <f>SUMIF('IND AS entries 22-23'!B:B,'IND AS_TB18-19'!A50,'IND AS entries 22-23'!E:E)</f>
        <v>0</v>
      </c>
    </row>
    <row r="51" spans="1:4">
      <c r="A51" s="658">
        <v>100525</v>
      </c>
      <c r="B51" s="659" t="s">
        <v>1016</v>
      </c>
      <c r="C51" s="660">
        <f>SUMIF('IND AS entries 22-23'!B:B,'IND AS_TB18-19'!A51,'IND AS entries 22-23'!D:D)</f>
        <v>0</v>
      </c>
      <c r="D51" s="660">
        <f>SUMIF('IND AS entries 22-23'!B:B,'IND AS_TB18-19'!A51,'IND AS entries 22-23'!E:E)</f>
        <v>0</v>
      </c>
    </row>
    <row r="52" spans="1:4">
      <c r="A52" s="658">
        <v>100526</v>
      </c>
      <c r="B52" s="659" t="s">
        <v>1017</v>
      </c>
      <c r="C52" s="660">
        <f>SUMIF('IND AS entries 22-23'!B:B,'IND AS_TB18-19'!A52,'IND AS entries 22-23'!D:D)</f>
        <v>0</v>
      </c>
      <c r="D52" s="660">
        <f>SUMIF('IND AS entries 22-23'!B:B,'IND AS_TB18-19'!A52,'IND AS entries 22-23'!E:E)</f>
        <v>0</v>
      </c>
    </row>
    <row r="53" spans="1:4">
      <c r="A53" s="658">
        <v>100527</v>
      </c>
      <c r="B53" s="659" t="s">
        <v>558</v>
      </c>
      <c r="C53" s="660">
        <f>SUMIF('IND AS entries 22-23'!B:B,'IND AS_TB18-19'!A53,'IND AS entries 22-23'!D:D)</f>
        <v>0</v>
      </c>
      <c r="D53" s="660">
        <f>SUMIF('IND AS entries 22-23'!B:B,'IND AS_TB18-19'!A53,'IND AS entries 22-23'!E:E)</f>
        <v>0</v>
      </c>
    </row>
    <row r="54" spans="1:4">
      <c r="A54" s="658">
        <v>100528</v>
      </c>
      <c r="B54" s="659" t="s">
        <v>1018</v>
      </c>
      <c r="C54" s="660">
        <f>SUMIF('IND AS entries 22-23'!B:B,'IND AS_TB18-19'!A54,'IND AS entries 22-23'!D:D)</f>
        <v>0</v>
      </c>
      <c r="D54" s="660">
        <f>SUMIF('IND AS entries 22-23'!B:B,'IND AS_TB18-19'!A54,'IND AS entries 22-23'!E:E)</f>
        <v>0</v>
      </c>
    </row>
    <row r="55" spans="1:4">
      <c r="A55" s="658">
        <v>100529</v>
      </c>
      <c r="B55" s="659" t="s">
        <v>1019</v>
      </c>
      <c r="C55" s="660">
        <f>SUMIF('IND AS entries 22-23'!B:B,'IND AS_TB18-19'!A55,'IND AS entries 22-23'!D:D)</f>
        <v>0</v>
      </c>
      <c r="D55" s="660">
        <f>SUMIF('IND AS entries 22-23'!B:B,'IND AS_TB18-19'!A55,'IND AS entries 22-23'!E:E)</f>
        <v>0</v>
      </c>
    </row>
    <row r="56" spans="1:4">
      <c r="A56" s="658">
        <v>100530</v>
      </c>
      <c r="B56" s="659" t="s">
        <v>560</v>
      </c>
      <c r="C56" s="660">
        <f>SUMIF('IND AS entries 22-23'!B:B,'IND AS_TB18-19'!A56,'IND AS entries 22-23'!D:D)</f>
        <v>0</v>
      </c>
      <c r="D56" s="660">
        <f>SUMIF('IND AS entries 22-23'!B:B,'IND AS_TB18-19'!A56,'IND AS entries 22-23'!E:E)</f>
        <v>0</v>
      </c>
    </row>
    <row r="57" spans="1:4">
      <c r="A57" s="658">
        <v>100531</v>
      </c>
      <c r="B57" s="659" t="s">
        <v>1020</v>
      </c>
      <c r="C57" s="660">
        <f>SUMIF('IND AS entries 22-23'!B:B,'IND AS_TB18-19'!A57,'IND AS entries 22-23'!D:D)</f>
        <v>0</v>
      </c>
      <c r="D57" s="660">
        <f>SUMIF('IND AS entries 22-23'!B:B,'IND AS_TB18-19'!A57,'IND AS entries 22-23'!E:E)</f>
        <v>0</v>
      </c>
    </row>
    <row r="58" spans="1:4">
      <c r="A58" s="658">
        <v>100533</v>
      </c>
      <c r="B58" s="659" t="s">
        <v>1021</v>
      </c>
      <c r="C58" s="660">
        <f>SUMIF('IND AS entries 22-23'!B:B,'IND AS_TB18-19'!A58,'IND AS entries 22-23'!D:D)</f>
        <v>0</v>
      </c>
      <c r="D58" s="660">
        <f>SUMIF('IND AS entries 22-23'!B:B,'IND AS_TB18-19'!A58,'IND AS entries 22-23'!E:E)</f>
        <v>0</v>
      </c>
    </row>
    <row r="59" spans="1:4">
      <c r="A59" s="658">
        <v>100534</v>
      </c>
      <c r="B59" s="659" t="s">
        <v>1022</v>
      </c>
      <c r="C59" s="660">
        <f>SUMIF('IND AS entries 22-23'!B:B,'IND AS_TB18-19'!A59,'IND AS entries 22-23'!D:D)</f>
        <v>0</v>
      </c>
      <c r="D59" s="660">
        <f>SUMIF('IND AS entries 22-23'!B:B,'IND AS_TB18-19'!A59,'IND AS entries 22-23'!E:E)</f>
        <v>0</v>
      </c>
    </row>
    <row r="60" spans="1:4">
      <c r="A60" s="658">
        <v>100535</v>
      </c>
      <c r="B60" s="659" t="s">
        <v>1023</v>
      </c>
      <c r="C60" s="660">
        <f>SUMIF('IND AS entries 22-23'!B:B,'IND AS_TB18-19'!A60,'IND AS entries 22-23'!D:D)</f>
        <v>0</v>
      </c>
      <c r="D60" s="660">
        <f>SUMIF('IND AS entries 22-23'!B:B,'IND AS_TB18-19'!A60,'IND AS entries 22-23'!E:E)</f>
        <v>0</v>
      </c>
    </row>
    <row r="61" spans="1:4">
      <c r="A61" s="658">
        <v>100536</v>
      </c>
      <c r="B61" s="659" t="s">
        <v>559</v>
      </c>
      <c r="C61" s="660">
        <f>SUMIF('IND AS entries 22-23'!B:B,'IND AS_TB18-19'!A61,'IND AS entries 22-23'!D:D)</f>
        <v>0</v>
      </c>
      <c r="D61" s="660">
        <f>SUMIF('IND AS entries 22-23'!B:B,'IND AS_TB18-19'!A61,'IND AS entries 22-23'!E:E)</f>
        <v>0</v>
      </c>
    </row>
    <row r="62" spans="1:4">
      <c r="A62" s="658">
        <v>100539</v>
      </c>
      <c r="B62" s="659" t="s">
        <v>1024</v>
      </c>
      <c r="C62" s="660">
        <f>SUMIF('IND AS entries 22-23'!B:B,'IND AS_TB18-19'!A62,'IND AS entries 22-23'!D:D)</f>
        <v>0</v>
      </c>
      <c r="D62" s="660">
        <f>SUMIF('IND AS entries 22-23'!B:B,'IND AS_TB18-19'!A62,'IND AS entries 22-23'!E:E)</f>
        <v>0</v>
      </c>
    </row>
    <row r="63" spans="1:4">
      <c r="A63" s="658">
        <v>100545</v>
      </c>
      <c r="B63" s="659" t="s">
        <v>1025</v>
      </c>
      <c r="C63" s="660">
        <f>SUMIF('IND AS entries 22-23'!B:B,'IND AS_TB18-19'!A63,'IND AS entries 22-23'!D:D)</f>
        <v>0</v>
      </c>
      <c r="D63" s="660">
        <f>SUMIF('IND AS entries 22-23'!B:B,'IND AS_TB18-19'!A63,'IND AS entries 22-23'!E:E)</f>
        <v>0</v>
      </c>
    </row>
    <row r="64" spans="1:4">
      <c r="A64" s="658">
        <v>100546</v>
      </c>
      <c r="B64" s="659" t="s">
        <v>552</v>
      </c>
      <c r="C64" s="660">
        <f>SUMIF('IND AS entries 22-23'!B:B,'IND AS_TB18-19'!A64,'IND AS entries 22-23'!D:D)</f>
        <v>0</v>
      </c>
      <c r="D64" s="660">
        <f>SUMIF('IND AS entries 22-23'!B:B,'IND AS_TB18-19'!A64,'IND AS entries 22-23'!E:E)</f>
        <v>0</v>
      </c>
    </row>
    <row r="65" spans="1:4">
      <c r="A65" s="658">
        <v>100540</v>
      </c>
      <c r="B65" s="659" t="s">
        <v>1026</v>
      </c>
      <c r="C65" s="660">
        <f>SUMIF('IND AS entries 22-23'!B:B,'IND AS_TB18-19'!A65,'IND AS entries 22-23'!D:D)</f>
        <v>0</v>
      </c>
      <c r="D65" s="660">
        <f>SUMIF('IND AS entries 22-23'!B:B,'IND AS_TB18-19'!A65,'IND AS entries 22-23'!E:E)</f>
        <v>0</v>
      </c>
    </row>
    <row r="66" spans="1:4">
      <c r="A66" s="658">
        <v>100541</v>
      </c>
      <c r="B66" s="659" t="s">
        <v>1027</v>
      </c>
      <c r="C66" s="660">
        <f>SUMIF('IND AS entries 22-23'!B:B,'IND AS_TB18-19'!A66,'IND AS entries 22-23'!D:D)</f>
        <v>0</v>
      </c>
      <c r="D66" s="660">
        <f>SUMIF('IND AS entries 22-23'!B:B,'IND AS_TB18-19'!A66,'IND AS entries 22-23'!E:E)</f>
        <v>0</v>
      </c>
    </row>
    <row r="67" spans="1:4">
      <c r="A67" s="658">
        <v>100542</v>
      </c>
      <c r="B67" s="659" t="s">
        <v>1028</v>
      </c>
      <c r="C67" s="660">
        <f>SUMIF('IND AS entries 22-23'!B:B,'IND AS_TB18-19'!A67,'IND AS entries 22-23'!D:D)</f>
        <v>0</v>
      </c>
      <c r="D67" s="660">
        <f>SUMIF('IND AS entries 22-23'!B:B,'IND AS_TB18-19'!A67,'IND AS entries 22-23'!E:E)</f>
        <v>0</v>
      </c>
    </row>
    <row r="68" spans="1:4">
      <c r="A68" s="658">
        <v>100543</v>
      </c>
      <c r="B68" s="659" t="s">
        <v>1029</v>
      </c>
      <c r="C68" s="660">
        <f>SUMIF('IND AS entries 22-23'!B:B,'IND AS_TB18-19'!A68,'IND AS entries 22-23'!D:D)</f>
        <v>0</v>
      </c>
      <c r="D68" s="660">
        <f>SUMIF('IND AS entries 22-23'!B:B,'IND AS_TB18-19'!A68,'IND AS entries 22-23'!E:E)</f>
        <v>0</v>
      </c>
    </row>
    <row r="69" spans="1:4">
      <c r="A69" s="658">
        <v>100547</v>
      </c>
      <c r="B69" s="659" t="s">
        <v>1030</v>
      </c>
      <c r="C69" s="660">
        <f>SUMIF('IND AS entries 22-23'!B:B,'IND AS_TB18-19'!A69,'IND AS entries 22-23'!D:D)</f>
        <v>0</v>
      </c>
      <c r="D69" s="660">
        <f>SUMIF('IND AS entries 22-23'!B:B,'IND AS_TB18-19'!A69,'IND AS entries 22-23'!E:E)</f>
        <v>0</v>
      </c>
    </row>
    <row r="70" spans="1:4">
      <c r="A70" s="658">
        <v>100548</v>
      </c>
      <c r="B70" s="659" t="s">
        <v>1031</v>
      </c>
      <c r="C70" s="660">
        <f>SUMIF('IND AS entries 22-23'!B:B,'IND AS_TB18-19'!A70,'IND AS entries 22-23'!D:D)</f>
        <v>0</v>
      </c>
      <c r="D70" s="660">
        <f>SUMIF('IND AS entries 22-23'!B:B,'IND AS_TB18-19'!A70,'IND AS entries 22-23'!E:E)</f>
        <v>0</v>
      </c>
    </row>
    <row r="71" spans="1:4">
      <c r="A71" s="658">
        <v>100549</v>
      </c>
      <c r="B71" s="659" t="s">
        <v>1032</v>
      </c>
      <c r="C71" s="660">
        <f>SUMIF('IND AS entries 22-23'!B:B,'IND AS_TB18-19'!A71,'IND AS entries 22-23'!D:D)</f>
        <v>0</v>
      </c>
      <c r="D71" s="660">
        <f>SUMIF('IND AS entries 22-23'!B:B,'IND AS_TB18-19'!A71,'IND AS entries 22-23'!E:E)</f>
        <v>0</v>
      </c>
    </row>
    <row r="72" spans="1:4">
      <c r="A72" s="658">
        <v>100550</v>
      </c>
      <c r="B72" s="659" t="s">
        <v>1033</v>
      </c>
      <c r="C72" s="660">
        <f>SUMIF('IND AS entries 22-23'!B:B,'IND AS_TB18-19'!A72,'IND AS entries 22-23'!D:D)</f>
        <v>0</v>
      </c>
      <c r="D72" s="660">
        <f>SUMIF('IND AS entries 22-23'!B:B,'IND AS_TB18-19'!A72,'IND AS entries 22-23'!E:E)</f>
        <v>0</v>
      </c>
    </row>
    <row r="73" spans="1:4">
      <c r="A73" s="658">
        <v>100518</v>
      </c>
      <c r="B73" s="659" t="s">
        <v>1034</v>
      </c>
      <c r="C73" s="660">
        <f>SUMIF('IND AS entries 22-23'!B:B,'IND AS_TB18-19'!A73,'IND AS entries 22-23'!D:D)</f>
        <v>0</v>
      </c>
      <c r="D73" s="660">
        <f>SUMIF('IND AS entries 22-23'!B:B,'IND AS_TB18-19'!A73,'IND AS entries 22-23'!E:E)</f>
        <v>0</v>
      </c>
    </row>
    <row r="74" spans="1:4">
      <c r="A74" s="658">
        <v>100551</v>
      </c>
      <c r="B74" s="659" t="s">
        <v>1035</v>
      </c>
      <c r="C74" s="660">
        <f>SUMIF('IND AS entries 22-23'!B:B,'IND AS_TB18-19'!A74,'IND AS entries 22-23'!D:D)</f>
        <v>0</v>
      </c>
      <c r="D74" s="660">
        <f>SUMIF('IND AS entries 22-23'!B:B,'IND AS_TB18-19'!A74,'IND AS entries 22-23'!E:E)</f>
        <v>0</v>
      </c>
    </row>
    <row r="75" spans="1:4">
      <c r="A75" s="658">
        <v>100552</v>
      </c>
      <c r="B75" s="659" t="s">
        <v>1036</v>
      </c>
      <c r="C75" s="660">
        <f>SUMIF('IND AS entries 22-23'!B:B,'IND AS_TB18-19'!A75,'IND AS entries 22-23'!D:D)</f>
        <v>0</v>
      </c>
      <c r="D75" s="660">
        <f>SUMIF('IND AS entries 22-23'!B:B,'IND AS_TB18-19'!A75,'IND AS entries 22-23'!E:E)</f>
        <v>0</v>
      </c>
    </row>
    <row r="76" spans="1:4">
      <c r="A76" s="658">
        <v>100553</v>
      </c>
      <c r="B76" s="659" t="s">
        <v>1037</v>
      </c>
      <c r="C76" s="660">
        <f>SUMIF('IND AS entries 22-23'!B:B,'IND AS_TB18-19'!A76,'IND AS entries 22-23'!D:D)</f>
        <v>0</v>
      </c>
      <c r="D76" s="660">
        <f>SUMIF('IND AS entries 22-23'!B:B,'IND AS_TB18-19'!A76,'IND AS entries 22-23'!E:E)</f>
        <v>0</v>
      </c>
    </row>
    <row r="77" spans="1:4">
      <c r="A77" s="658">
        <v>100554</v>
      </c>
      <c r="B77" s="659" t="s">
        <v>1038</v>
      </c>
      <c r="C77" s="660">
        <f>SUMIF('IND AS entries 22-23'!B:B,'IND AS_TB18-19'!A77,'IND AS entries 22-23'!D:D)</f>
        <v>0</v>
      </c>
      <c r="D77" s="660">
        <f>SUMIF('IND AS entries 22-23'!B:B,'IND AS_TB18-19'!A77,'IND AS entries 22-23'!E:E)</f>
        <v>0</v>
      </c>
    </row>
    <row r="78" spans="1:4">
      <c r="A78" s="658">
        <v>100555</v>
      </c>
      <c r="B78" s="659" t="s">
        <v>1039</v>
      </c>
      <c r="C78" s="660">
        <f>SUMIF('IND AS entries 22-23'!B:B,'IND AS_TB18-19'!A78,'IND AS entries 22-23'!D:D)</f>
        <v>0</v>
      </c>
      <c r="D78" s="660">
        <f>SUMIF('IND AS entries 22-23'!B:B,'IND AS_TB18-19'!A78,'IND AS entries 22-23'!E:E)</f>
        <v>0</v>
      </c>
    </row>
    <row r="79" spans="1:4">
      <c r="A79" s="658">
        <v>100556</v>
      </c>
      <c r="B79" s="659" t="s">
        <v>1040</v>
      </c>
      <c r="C79" s="660">
        <f>SUMIF('IND AS entries 22-23'!B:B,'IND AS_TB18-19'!A79,'IND AS entries 22-23'!D:D)</f>
        <v>0</v>
      </c>
      <c r="D79" s="660">
        <f>SUMIF('IND AS entries 22-23'!B:B,'IND AS_TB18-19'!A79,'IND AS entries 22-23'!E:E)</f>
        <v>0</v>
      </c>
    </row>
    <row r="80" spans="1:4">
      <c r="A80" s="658">
        <v>100557</v>
      </c>
      <c r="B80" s="659" t="s">
        <v>1041</v>
      </c>
      <c r="C80" s="660">
        <f>SUMIF('IND AS entries 22-23'!B:B,'IND AS_TB18-19'!A80,'IND AS entries 22-23'!D:D)</f>
        <v>0</v>
      </c>
      <c r="D80" s="660">
        <f>SUMIF('IND AS entries 22-23'!B:B,'IND AS_TB18-19'!A80,'IND AS entries 22-23'!E:E)</f>
        <v>0</v>
      </c>
    </row>
    <row r="81" spans="1:4">
      <c r="A81" s="658">
        <v>100558</v>
      </c>
      <c r="B81" s="659" t="s">
        <v>1042</v>
      </c>
      <c r="C81" s="660">
        <f>SUMIF('IND AS entries 22-23'!B:B,'IND AS_TB18-19'!A81,'IND AS entries 22-23'!D:D)</f>
        <v>0</v>
      </c>
      <c r="D81" s="660">
        <f>SUMIF('IND AS entries 22-23'!B:B,'IND AS_TB18-19'!A81,'IND AS entries 22-23'!E:E)</f>
        <v>0</v>
      </c>
    </row>
    <row r="82" spans="1:4">
      <c r="A82" s="658">
        <v>100559</v>
      </c>
      <c r="B82" s="659" t="s">
        <v>1043</v>
      </c>
      <c r="C82" s="660">
        <f>SUMIF('IND AS entries 22-23'!B:B,'IND AS_TB18-19'!A82,'IND AS entries 22-23'!D:D)</f>
        <v>0</v>
      </c>
      <c r="D82" s="660">
        <f>SUMIF('IND AS entries 22-23'!B:B,'IND AS_TB18-19'!A82,'IND AS entries 22-23'!E:E)</f>
        <v>0</v>
      </c>
    </row>
    <row r="83" spans="1:4">
      <c r="A83" s="658">
        <v>100560</v>
      </c>
      <c r="B83" s="659" t="s">
        <v>1044</v>
      </c>
      <c r="C83" s="660">
        <f>SUMIF('IND AS entries 22-23'!B:B,'IND AS_TB18-19'!A83,'IND AS entries 22-23'!D:D)</f>
        <v>0</v>
      </c>
      <c r="D83" s="660">
        <f>SUMIF('IND AS entries 22-23'!B:B,'IND AS_TB18-19'!A83,'IND AS entries 22-23'!E:E)</f>
        <v>0</v>
      </c>
    </row>
    <row r="84" spans="1:4">
      <c r="A84" s="658">
        <v>100561</v>
      </c>
      <c r="B84" s="659" t="s">
        <v>1045</v>
      </c>
      <c r="C84" s="660">
        <f>SUMIF('IND AS entries 22-23'!B:B,'IND AS_TB18-19'!A84,'IND AS entries 22-23'!D:D)</f>
        <v>0</v>
      </c>
      <c r="D84" s="660">
        <f>SUMIF('IND AS entries 22-23'!B:B,'IND AS_TB18-19'!A84,'IND AS entries 22-23'!E:E)</f>
        <v>0</v>
      </c>
    </row>
    <row r="85" spans="1:4">
      <c r="A85" s="658">
        <v>100562</v>
      </c>
      <c r="B85" s="659" t="s">
        <v>1046</v>
      </c>
      <c r="C85" s="660">
        <f>SUMIF('IND AS entries 22-23'!B:B,'IND AS_TB18-19'!A85,'IND AS entries 22-23'!D:D)</f>
        <v>0</v>
      </c>
      <c r="D85" s="660">
        <f>SUMIF('IND AS entries 22-23'!B:B,'IND AS_TB18-19'!A85,'IND AS entries 22-23'!E:E)</f>
        <v>0</v>
      </c>
    </row>
    <row r="86" spans="1:4">
      <c r="A86" s="658">
        <v>100563</v>
      </c>
      <c r="B86" s="659" t="s">
        <v>1047</v>
      </c>
      <c r="C86" s="660">
        <f>SUMIF('IND AS entries 22-23'!B:B,'IND AS_TB18-19'!A86,'IND AS entries 22-23'!D:D)</f>
        <v>0</v>
      </c>
      <c r="D86" s="660">
        <f>SUMIF('IND AS entries 22-23'!B:B,'IND AS_TB18-19'!A86,'IND AS entries 22-23'!E:E)</f>
        <v>0</v>
      </c>
    </row>
    <row r="87" spans="1:4">
      <c r="A87" s="658">
        <v>100564</v>
      </c>
      <c r="B87" s="659" t="s">
        <v>1048</v>
      </c>
      <c r="C87" s="660">
        <f>SUMIF('IND AS entries 22-23'!B:B,'IND AS_TB18-19'!A87,'IND AS entries 22-23'!D:D)</f>
        <v>0</v>
      </c>
      <c r="D87" s="660">
        <f>SUMIF('IND AS entries 22-23'!B:B,'IND AS_TB18-19'!A87,'IND AS entries 22-23'!E:E)</f>
        <v>0</v>
      </c>
    </row>
    <row r="88" spans="1:4">
      <c r="A88" s="658">
        <v>100565</v>
      </c>
      <c r="B88" s="659" t="s">
        <v>1049</v>
      </c>
      <c r="C88" s="660">
        <f>SUMIF('IND AS entries 22-23'!B:B,'IND AS_TB18-19'!A88,'IND AS entries 22-23'!D:D)</f>
        <v>0</v>
      </c>
      <c r="D88" s="660">
        <f>SUMIF('IND AS entries 22-23'!B:B,'IND AS_TB18-19'!A88,'IND AS entries 22-23'!E:E)</f>
        <v>0</v>
      </c>
    </row>
    <row r="89" spans="1:4">
      <c r="A89" s="658">
        <v>100566</v>
      </c>
      <c r="B89" s="659" t="s">
        <v>1050</v>
      </c>
      <c r="C89" s="660">
        <f>SUMIF('IND AS entries 22-23'!B:B,'IND AS_TB18-19'!A89,'IND AS entries 22-23'!D:D)</f>
        <v>0</v>
      </c>
      <c r="D89" s="660">
        <f>SUMIF('IND AS entries 22-23'!B:B,'IND AS_TB18-19'!A89,'IND AS entries 22-23'!E:E)</f>
        <v>0</v>
      </c>
    </row>
    <row r="90" spans="1:4">
      <c r="A90" s="658">
        <v>100567</v>
      </c>
      <c r="B90" s="659" t="s">
        <v>1051</v>
      </c>
      <c r="C90" s="660">
        <f>SUMIF('IND AS entries 22-23'!B:B,'IND AS_TB18-19'!A90,'IND AS entries 22-23'!D:D)</f>
        <v>0</v>
      </c>
      <c r="D90" s="660">
        <f>SUMIF('IND AS entries 22-23'!B:B,'IND AS_TB18-19'!A90,'IND AS entries 22-23'!E:E)</f>
        <v>0</v>
      </c>
    </row>
    <row r="91" spans="1:4">
      <c r="A91" s="658">
        <v>100568</v>
      </c>
      <c r="B91" s="659" t="s">
        <v>1052</v>
      </c>
      <c r="C91" s="660">
        <f>SUMIF('IND AS entries 22-23'!B:B,'IND AS_TB18-19'!A91,'IND AS entries 22-23'!D:D)</f>
        <v>0</v>
      </c>
      <c r="D91" s="660">
        <f>SUMIF('IND AS entries 22-23'!B:B,'IND AS_TB18-19'!A91,'IND AS entries 22-23'!E:E)</f>
        <v>0</v>
      </c>
    </row>
    <row r="92" spans="1:4">
      <c r="A92" s="658">
        <v>100569</v>
      </c>
      <c r="B92" s="659" t="s">
        <v>1053</v>
      </c>
      <c r="C92" s="660">
        <f>SUMIF('IND AS entries 22-23'!B:B,'IND AS_TB18-19'!A92,'IND AS entries 22-23'!D:D)</f>
        <v>0</v>
      </c>
      <c r="D92" s="660">
        <f>SUMIF('IND AS entries 22-23'!B:B,'IND AS_TB18-19'!A92,'IND AS entries 22-23'!E:E)</f>
        <v>0</v>
      </c>
    </row>
    <row r="93" spans="1:4">
      <c r="A93" s="658">
        <v>100570</v>
      </c>
      <c r="B93" s="659" t="s">
        <v>1054</v>
      </c>
      <c r="C93" s="660">
        <f>SUMIF('IND AS entries 22-23'!B:B,'IND AS_TB18-19'!A93,'IND AS entries 22-23'!D:D)</f>
        <v>0</v>
      </c>
      <c r="D93" s="660">
        <f>SUMIF('IND AS entries 22-23'!B:B,'IND AS_TB18-19'!A93,'IND AS entries 22-23'!E:E)</f>
        <v>0</v>
      </c>
    </row>
    <row r="94" spans="1:4">
      <c r="A94" s="658">
        <v>100571</v>
      </c>
      <c r="B94" s="659" t="s">
        <v>1055</v>
      </c>
      <c r="C94" s="660">
        <f>SUMIF('IND AS entries 22-23'!B:B,'IND AS_TB18-19'!A94,'IND AS entries 22-23'!D:D)</f>
        <v>0</v>
      </c>
      <c r="D94" s="660">
        <f>SUMIF('IND AS entries 22-23'!B:B,'IND AS_TB18-19'!A94,'IND AS entries 22-23'!E:E)</f>
        <v>0</v>
      </c>
    </row>
    <row r="95" spans="1:4">
      <c r="A95" s="658">
        <v>100572</v>
      </c>
      <c r="B95" s="659" t="s">
        <v>1056</v>
      </c>
      <c r="C95" s="660">
        <f>SUMIF('IND AS entries 22-23'!B:B,'IND AS_TB18-19'!A95,'IND AS entries 22-23'!D:D)</f>
        <v>0</v>
      </c>
      <c r="D95" s="660">
        <f>SUMIF('IND AS entries 22-23'!B:B,'IND AS_TB18-19'!A95,'IND AS entries 22-23'!E:E)</f>
        <v>0</v>
      </c>
    </row>
    <row r="96" spans="1:4">
      <c r="A96" s="658">
        <v>100573</v>
      </c>
      <c r="B96" s="659" t="s">
        <v>1057</v>
      </c>
      <c r="C96" s="660">
        <f>SUMIF('IND AS entries 22-23'!B:B,'IND AS_TB18-19'!A96,'IND AS entries 22-23'!D:D)</f>
        <v>0</v>
      </c>
      <c r="D96" s="660">
        <f>SUMIF('IND AS entries 22-23'!B:B,'IND AS_TB18-19'!A96,'IND AS entries 22-23'!E:E)</f>
        <v>0</v>
      </c>
    </row>
    <row r="97" spans="1:4">
      <c r="A97" s="658">
        <v>100574</v>
      </c>
      <c r="B97" s="659" t="s">
        <v>1058</v>
      </c>
      <c r="C97" s="660">
        <f>SUMIF('IND AS entries 22-23'!B:B,'IND AS_TB18-19'!A97,'IND AS entries 22-23'!D:D)</f>
        <v>0</v>
      </c>
      <c r="D97" s="660">
        <f>SUMIF('IND AS entries 22-23'!B:B,'IND AS_TB18-19'!A97,'IND AS entries 22-23'!E:E)</f>
        <v>0</v>
      </c>
    </row>
    <row r="98" spans="1:4">
      <c r="A98" s="658">
        <v>100575</v>
      </c>
      <c r="B98" s="659" t="s">
        <v>1059</v>
      </c>
      <c r="C98" s="660">
        <f>SUMIF('IND AS entries 22-23'!B:B,'IND AS_TB18-19'!A98,'IND AS entries 22-23'!D:D)</f>
        <v>0</v>
      </c>
      <c r="D98" s="660">
        <f>SUMIF('IND AS entries 22-23'!B:B,'IND AS_TB18-19'!A98,'IND AS entries 22-23'!E:E)</f>
        <v>0</v>
      </c>
    </row>
    <row r="99" spans="1:4">
      <c r="A99" s="658">
        <v>100576</v>
      </c>
      <c r="B99" s="659" t="s">
        <v>1060</v>
      </c>
      <c r="C99" s="660">
        <f>SUMIF('IND AS entries 22-23'!B:B,'IND AS_TB18-19'!A99,'IND AS entries 22-23'!D:D)</f>
        <v>0</v>
      </c>
      <c r="D99" s="660">
        <f>SUMIF('IND AS entries 22-23'!B:B,'IND AS_TB18-19'!A99,'IND AS entries 22-23'!E:E)</f>
        <v>0</v>
      </c>
    </row>
    <row r="100" spans="1:4">
      <c r="A100" s="658">
        <v>100577</v>
      </c>
      <c r="B100" s="659" t="s">
        <v>1061</v>
      </c>
      <c r="C100" s="660">
        <f>SUMIF('IND AS entries 22-23'!B:B,'IND AS_TB18-19'!A100,'IND AS entries 22-23'!D:D)</f>
        <v>0</v>
      </c>
      <c r="D100" s="660">
        <f>SUMIF('IND AS entries 22-23'!B:B,'IND AS_TB18-19'!A100,'IND AS entries 22-23'!E:E)</f>
        <v>0</v>
      </c>
    </row>
    <row r="101" spans="1:4">
      <c r="A101" s="658">
        <v>100578</v>
      </c>
      <c r="B101" s="659" t="s">
        <v>1062</v>
      </c>
      <c r="C101" s="660">
        <f>SUMIF('IND AS entries 22-23'!B:B,'IND AS_TB18-19'!A101,'IND AS entries 22-23'!D:D)</f>
        <v>0</v>
      </c>
      <c r="D101" s="660">
        <f>SUMIF('IND AS entries 22-23'!B:B,'IND AS_TB18-19'!A101,'IND AS entries 22-23'!E:E)</f>
        <v>0</v>
      </c>
    </row>
    <row r="102" spans="1:4">
      <c r="A102" s="658">
        <v>100579</v>
      </c>
      <c r="B102" s="659" t="s">
        <v>1063</v>
      </c>
      <c r="C102" s="660">
        <f>SUMIF('IND AS entries 22-23'!B:B,'IND AS_TB18-19'!A102,'IND AS entries 22-23'!D:D)</f>
        <v>0</v>
      </c>
      <c r="D102" s="660">
        <f>SUMIF('IND AS entries 22-23'!B:B,'IND AS_TB18-19'!A102,'IND AS entries 22-23'!E:E)</f>
        <v>0</v>
      </c>
    </row>
    <row r="103" spans="1:4">
      <c r="A103" s="658">
        <v>100580</v>
      </c>
      <c r="B103" s="659" t="s">
        <v>1064</v>
      </c>
      <c r="C103" s="660">
        <f>SUMIF('IND AS entries 22-23'!B:B,'IND AS_TB18-19'!A103,'IND AS entries 22-23'!D:D)</f>
        <v>0</v>
      </c>
      <c r="D103" s="660">
        <f>SUMIF('IND AS entries 22-23'!B:B,'IND AS_TB18-19'!A103,'IND AS entries 22-23'!E:E)</f>
        <v>0</v>
      </c>
    </row>
    <row r="104" spans="1:4">
      <c r="A104" s="658">
        <v>100581</v>
      </c>
      <c r="B104" s="659" t="s">
        <v>1035</v>
      </c>
      <c r="C104" s="660">
        <f>SUMIF('IND AS entries 22-23'!B:B,'IND AS_TB18-19'!A104,'IND AS entries 22-23'!D:D)</f>
        <v>0</v>
      </c>
      <c r="D104" s="660">
        <f>SUMIF('IND AS entries 22-23'!B:B,'IND AS_TB18-19'!A104,'IND AS entries 22-23'!E:E)</f>
        <v>0</v>
      </c>
    </row>
    <row r="105" spans="1:4">
      <c r="A105" s="658">
        <v>100582</v>
      </c>
      <c r="B105" s="659" t="s">
        <v>1065</v>
      </c>
      <c r="C105" s="660">
        <f>SUMIF('IND AS entries 22-23'!B:B,'IND AS_TB18-19'!A105,'IND AS entries 22-23'!D:D)</f>
        <v>0</v>
      </c>
      <c r="D105" s="660">
        <f>SUMIF('IND AS entries 22-23'!B:B,'IND AS_TB18-19'!A105,'IND AS entries 22-23'!E:E)</f>
        <v>0</v>
      </c>
    </row>
    <row r="106" spans="1:4">
      <c r="A106" s="658">
        <v>100583</v>
      </c>
      <c r="B106" s="659" t="s">
        <v>1066</v>
      </c>
      <c r="C106" s="660">
        <f>SUMIF('IND AS entries 22-23'!B:B,'IND AS_TB18-19'!A106,'IND AS entries 22-23'!D:D)</f>
        <v>0</v>
      </c>
      <c r="D106" s="660">
        <f>SUMIF('IND AS entries 22-23'!B:B,'IND AS_TB18-19'!A106,'IND AS entries 22-23'!E:E)</f>
        <v>0</v>
      </c>
    </row>
    <row r="107" spans="1:4">
      <c r="A107" s="658">
        <v>100584</v>
      </c>
      <c r="B107" s="659" t="s">
        <v>1067</v>
      </c>
      <c r="C107" s="660">
        <f>SUMIF('IND AS entries 22-23'!B:B,'IND AS_TB18-19'!A107,'IND AS entries 22-23'!D:D)</f>
        <v>0</v>
      </c>
      <c r="D107" s="660">
        <f>SUMIF('IND AS entries 22-23'!B:B,'IND AS_TB18-19'!A107,'IND AS entries 22-23'!E:E)</f>
        <v>0</v>
      </c>
    </row>
    <row r="108" spans="1:4">
      <c r="A108" s="658">
        <v>100586</v>
      </c>
      <c r="B108" s="659" t="s">
        <v>1068</v>
      </c>
      <c r="C108" s="660">
        <f>SUMIF('IND AS entries 22-23'!B:B,'IND AS_TB18-19'!A108,'IND AS entries 22-23'!D:D)</f>
        <v>0</v>
      </c>
      <c r="D108" s="660">
        <f>SUMIF('IND AS entries 22-23'!B:B,'IND AS_TB18-19'!A108,'IND AS entries 22-23'!E:E)</f>
        <v>0</v>
      </c>
    </row>
    <row r="109" spans="1:4">
      <c r="A109" s="658">
        <v>100587</v>
      </c>
      <c r="B109" s="659" t="s">
        <v>1069</v>
      </c>
      <c r="C109" s="660">
        <f>SUMIF('IND AS entries 22-23'!B:B,'IND AS_TB18-19'!A109,'IND AS entries 22-23'!D:D)</f>
        <v>0</v>
      </c>
      <c r="D109" s="660">
        <f>SUMIF('IND AS entries 22-23'!B:B,'IND AS_TB18-19'!A109,'IND AS entries 22-23'!E:E)</f>
        <v>0</v>
      </c>
    </row>
    <row r="110" spans="1:4">
      <c r="A110" s="658">
        <v>100588</v>
      </c>
      <c r="B110" s="659" t="s">
        <v>1070</v>
      </c>
      <c r="C110" s="660">
        <f>SUMIF('IND AS entries 22-23'!B:B,'IND AS_TB18-19'!A110,'IND AS entries 22-23'!D:D)</f>
        <v>0</v>
      </c>
      <c r="D110" s="660">
        <f>SUMIF('IND AS entries 22-23'!B:B,'IND AS_TB18-19'!A110,'IND AS entries 22-23'!E:E)</f>
        <v>0</v>
      </c>
    </row>
    <row r="111" spans="1:4">
      <c r="A111" s="658">
        <v>100589</v>
      </c>
      <c r="B111" s="659" t="s">
        <v>1071</v>
      </c>
      <c r="C111" s="660">
        <f>SUMIF('IND AS entries 22-23'!B:B,'IND AS_TB18-19'!A111,'IND AS entries 22-23'!D:D)</f>
        <v>0</v>
      </c>
      <c r="D111" s="660">
        <f>SUMIF('IND AS entries 22-23'!B:B,'IND AS_TB18-19'!A111,'IND AS entries 22-23'!E:E)</f>
        <v>0</v>
      </c>
    </row>
    <row r="112" spans="1:4">
      <c r="A112" s="658">
        <v>100590</v>
      </c>
      <c r="B112" s="659" t="s">
        <v>1072</v>
      </c>
      <c r="C112" s="660">
        <f>SUMIF('IND AS entries 22-23'!B:B,'IND AS_TB18-19'!A112,'IND AS entries 22-23'!D:D)</f>
        <v>0</v>
      </c>
      <c r="D112" s="660">
        <f>SUMIF('IND AS entries 22-23'!B:B,'IND AS_TB18-19'!A112,'IND AS entries 22-23'!E:E)</f>
        <v>0</v>
      </c>
    </row>
    <row r="113" spans="1:4">
      <c r="A113" s="658">
        <v>100593</v>
      </c>
      <c r="B113" s="659" t="s">
        <v>1073</v>
      </c>
      <c r="C113" s="660">
        <f>SUMIF('IND AS entries 22-23'!B:B,'IND AS_TB18-19'!A113,'IND AS entries 22-23'!D:D)</f>
        <v>0</v>
      </c>
      <c r="D113" s="660">
        <f>SUMIF('IND AS entries 22-23'!B:B,'IND AS_TB18-19'!A113,'IND AS entries 22-23'!E:E)</f>
        <v>0</v>
      </c>
    </row>
    <row r="114" spans="1:4">
      <c r="A114" s="658">
        <v>100594</v>
      </c>
      <c r="B114" s="659" t="s">
        <v>1074</v>
      </c>
      <c r="C114" s="660">
        <f>SUMIF('IND AS entries 22-23'!B:B,'IND AS_TB18-19'!A114,'IND AS entries 22-23'!D:D)</f>
        <v>0</v>
      </c>
      <c r="D114" s="660">
        <f>SUMIF('IND AS entries 22-23'!B:B,'IND AS_TB18-19'!A114,'IND AS entries 22-23'!E:E)</f>
        <v>0</v>
      </c>
    </row>
    <row r="115" spans="1:4">
      <c r="A115" s="658">
        <v>100595</v>
      </c>
      <c r="B115" s="659" t="s">
        <v>1075</v>
      </c>
      <c r="C115" s="660">
        <f>SUMIF('IND AS entries 22-23'!B:B,'IND AS_TB18-19'!A115,'IND AS entries 22-23'!D:D)</f>
        <v>0</v>
      </c>
      <c r="D115" s="660">
        <f>SUMIF('IND AS entries 22-23'!B:B,'IND AS_TB18-19'!A115,'IND AS entries 22-23'!E:E)</f>
        <v>0</v>
      </c>
    </row>
    <row r="116" spans="1:4">
      <c r="A116" s="658">
        <v>100597</v>
      </c>
      <c r="B116" s="659" t="s">
        <v>1076</v>
      </c>
      <c r="C116" s="660">
        <f>SUMIF('IND AS entries 22-23'!B:B,'IND AS_TB18-19'!A116,'IND AS entries 22-23'!D:D)</f>
        <v>0</v>
      </c>
      <c r="D116" s="660">
        <f>SUMIF('IND AS entries 22-23'!B:B,'IND AS_TB18-19'!A116,'IND AS entries 22-23'!E:E)</f>
        <v>0</v>
      </c>
    </row>
    <row r="117" spans="1:4">
      <c r="A117" s="658">
        <v>100598</v>
      </c>
      <c r="B117" s="659" t="s">
        <v>1077</v>
      </c>
      <c r="C117" s="660">
        <f>SUMIF('IND AS entries 22-23'!B:B,'IND AS_TB18-19'!A117,'IND AS entries 22-23'!D:D)</f>
        <v>0</v>
      </c>
      <c r="D117" s="660">
        <f>SUMIF('IND AS entries 22-23'!B:B,'IND AS_TB18-19'!A117,'IND AS entries 22-23'!E:E)</f>
        <v>0</v>
      </c>
    </row>
    <row r="118" spans="1:4">
      <c r="A118" s="658">
        <v>100599</v>
      </c>
      <c r="B118" s="659" t="s">
        <v>1078</v>
      </c>
      <c r="C118" s="660">
        <f>SUMIF('IND AS entries 22-23'!B:B,'IND AS_TB18-19'!A118,'IND AS entries 22-23'!D:D)</f>
        <v>0</v>
      </c>
      <c r="D118" s="660">
        <f>SUMIF('IND AS entries 22-23'!B:B,'IND AS_TB18-19'!A118,'IND AS entries 22-23'!E:E)</f>
        <v>0</v>
      </c>
    </row>
    <row r="119" spans="1:4">
      <c r="A119" s="658">
        <v>100600</v>
      </c>
      <c r="B119" s="659" t="s">
        <v>1079</v>
      </c>
      <c r="C119" s="660">
        <f>SUMIF('IND AS entries 22-23'!B:B,'IND AS_TB18-19'!A119,'IND AS entries 22-23'!D:D)</f>
        <v>0</v>
      </c>
      <c r="D119" s="660">
        <f>SUMIF('IND AS entries 22-23'!B:B,'IND AS_TB18-19'!A119,'IND AS entries 22-23'!E:E)</f>
        <v>0</v>
      </c>
    </row>
    <row r="120" spans="1:4">
      <c r="A120" s="658">
        <v>100601</v>
      </c>
      <c r="B120" s="659" t="s">
        <v>1080</v>
      </c>
      <c r="C120" s="660">
        <f>SUMIF('IND AS entries 22-23'!B:B,'IND AS_TB18-19'!A120,'IND AS entries 22-23'!D:D)</f>
        <v>0</v>
      </c>
      <c r="D120" s="660">
        <f>SUMIF('IND AS entries 22-23'!B:B,'IND AS_TB18-19'!A120,'IND AS entries 22-23'!E:E)</f>
        <v>0</v>
      </c>
    </row>
    <row r="121" spans="1:4">
      <c r="A121" s="658">
        <v>100605</v>
      </c>
      <c r="B121" s="659" t="s">
        <v>1081</v>
      </c>
      <c r="C121" s="660">
        <f>SUMIF('IND AS entries 22-23'!B:B,'IND AS_TB18-19'!A121,'IND AS entries 22-23'!D:D)</f>
        <v>0</v>
      </c>
      <c r="D121" s="660">
        <f>SUMIF('IND AS entries 22-23'!B:B,'IND AS_TB18-19'!A121,'IND AS entries 22-23'!E:E)</f>
        <v>0</v>
      </c>
    </row>
    <row r="122" spans="1:4">
      <c r="A122" s="658">
        <v>100602</v>
      </c>
      <c r="B122" s="659" t="s">
        <v>533</v>
      </c>
      <c r="C122" s="660">
        <f>SUMIF('IND AS entries 22-23'!B:B,'IND AS_TB18-19'!A122,'IND AS entries 22-23'!D:D)</f>
        <v>0</v>
      </c>
      <c r="D122" s="660">
        <f>SUMIF('IND AS entries 22-23'!B:B,'IND AS_TB18-19'!A122,'IND AS entries 22-23'!E:E)</f>
        <v>0</v>
      </c>
    </row>
    <row r="123" spans="1:4">
      <c r="A123" s="658">
        <v>100700</v>
      </c>
      <c r="B123" s="659" t="s">
        <v>1082</v>
      </c>
      <c r="C123" s="660">
        <f>SUMIF('IND AS entries 22-23'!B:B,'IND AS_TB18-19'!A123,'IND AS entries 22-23'!D:D)</f>
        <v>0</v>
      </c>
      <c r="D123" s="660">
        <f>SUMIF('IND AS entries 22-23'!B:B,'IND AS_TB18-19'!A123,'IND AS entries 22-23'!E:E)</f>
        <v>0</v>
      </c>
    </row>
    <row r="124" spans="1:4">
      <c r="A124" s="658">
        <v>100750</v>
      </c>
      <c r="B124" s="659" t="s">
        <v>1083</v>
      </c>
      <c r="C124" s="660">
        <f>SUMIF('IND AS entries 22-23'!B:B,'IND AS_TB18-19'!A124,'IND AS entries 22-23'!D:D)</f>
        <v>0</v>
      </c>
      <c r="D124" s="660">
        <f>SUMIF('IND AS entries 22-23'!B:B,'IND AS_TB18-19'!A124,'IND AS entries 22-23'!E:E)</f>
        <v>0</v>
      </c>
    </row>
    <row r="125" spans="1:4">
      <c r="A125" s="658">
        <v>100760</v>
      </c>
      <c r="B125" s="659" t="s">
        <v>1084</v>
      </c>
      <c r="C125" s="660">
        <f>SUMIF('IND AS entries 22-23'!B:B,'IND AS_TB18-19'!A125,'IND AS entries 22-23'!D:D)</f>
        <v>0</v>
      </c>
      <c r="D125" s="660">
        <f>SUMIF('IND AS entries 22-23'!B:B,'IND AS_TB18-19'!A125,'IND AS entries 22-23'!E:E)</f>
        <v>0</v>
      </c>
    </row>
    <row r="126" spans="1:4">
      <c r="A126" s="658">
        <v>100761</v>
      </c>
      <c r="B126" s="659" t="s">
        <v>1085</v>
      </c>
      <c r="C126" s="660">
        <f>SUMIF('IND AS entries 22-23'!B:B,'IND AS_TB18-19'!A126,'IND AS entries 22-23'!D:D)</f>
        <v>0</v>
      </c>
      <c r="D126" s="660">
        <f>SUMIF('IND AS entries 22-23'!B:B,'IND AS_TB18-19'!A126,'IND AS entries 22-23'!E:E)</f>
        <v>0</v>
      </c>
    </row>
    <row r="127" spans="1:4">
      <c r="A127" s="658">
        <v>100762</v>
      </c>
      <c r="B127" s="659" t="s">
        <v>1086</v>
      </c>
      <c r="C127" s="660">
        <f>SUMIF('IND AS entries 22-23'!B:B,'IND AS_TB18-19'!A127,'IND AS entries 22-23'!D:D)</f>
        <v>0</v>
      </c>
      <c r="D127" s="660">
        <f>SUMIF('IND AS entries 22-23'!B:B,'IND AS_TB18-19'!A127,'IND AS entries 22-23'!E:E)</f>
        <v>0</v>
      </c>
    </row>
    <row r="128" spans="1:4">
      <c r="A128" s="658">
        <v>100763</v>
      </c>
      <c r="B128" s="659" t="s">
        <v>1087</v>
      </c>
      <c r="C128" s="660">
        <f>SUMIF('IND AS entries 22-23'!B:B,'IND AS_TB18-19'!A128,'IND AS entries 22-23'!D:D)</f>
        <v>0</v>
      </c>
      <c r="D128" s="660">
        <f>SUMIF('IND AS entries 22-23'!B:B,'IND AS_TB18-19'!A128,'IND AS entries 22-23'!E:E)</f>
        <v>0</v>
      </c>
    </row>
    <row r="129" spans="1:4">
      <c r="A129" s="658">
        <v>100765</v>
      </c>
      <c r="B129" s="659" t="s">
        <v>1088</v>
      </c>
      <c r="C129" s="660">
        <f>SUMIF('IND AS entries 22-23'!B:B,'IND AS_TB18-19'!A129,'IND AS entries 22-23'!D:D)</f>
        <v>0</v>
      </c>
      <c r="D129" s="660">
        <f>SUMIF('IND AS entries 22-23'!B:B,'IND AS_TB18-19'!A129,'IND AS entries 22-23'!E:E)</f>
        <v>0</v>
      </c>
    </row>
    <row r="130" spans="1:4">
      <c r="A130" s="658">
        <v>100770</v>
      </c>
      <c r="B130" s="659" t="s">
        <v>1089</v>
      </c>
      <c r="C130" s="660">
        <f>SUMIF('IND AS entries 22-23'!B:B,'IND AS_TB18-19'!A130,'IND AS entries 22-23'!D:D)</f>
        <v>0</v>
      </c>
      <c r="D130" s="660">
        <f>SUMIF('IND AS entries 22-23'!B:B,'IND AS_TB18-19'!A130,'IND AS entries 22-23'!E:E)</f>
        <v>0</v>
      </c>
    </row>
    <row r="131" spans="1:4">
      <c r="A131" s="658">
        <v>100780</v>
      </c>
      <c r="B131" s="659" t="s">
        <v>1090</v>
      </c>
      <c r="C131" s="660">
        <f>SUMIF('IND AS entries 22-23'!B:B,'IND AS_TB18-19'!A131,'IND AS entries 22-23'!D:D)</f>
        <v>0</v>
      </c>
      <c r="D131" s="660">
        <f>SUMIF('IND AS entries 22-23'!B:B,'IND AS_TB18-19'!A131,'IND AS entries 22-23'!E:E)</f>
        <v>0</v>
      </c>
    </row>
    <row r="132" spans="1:4">
      <c r="A132" s="658">
        <v>100800</v>
      </c>
      <c r="B132" s="659" t="s">
        <v>1091</v>
      </c>
      <c r="C132" s="660">
        <f>SUMIF('IND AS entries 22-23'!B:B,'IND AS_TB18-19'!A132,'IND AS entries 22-23'!D:D)</f>
        <v>0</v>
      </c>
      <c r="D132" s="660">
        <f>SUMIF('IND AS entries 22-23'!B:B,'IND AS_TB18-19'!A132,'IND AS entries 22-23'!E:E)</f>
        <v>0</v>
      </c>
    </row>
    <row r="133" spans="1:4">
      <c r="A133" s="658">
        <v>100801</v>
      </c>
      <c r="B133" s="659" t="s">
        <v>1092</v>
      </c>
      <c r="C133" s="660">
        <f>SUMIF('IND AS entries 22-23'!B:B,'IND AS_TB18-19'!A133,'IND AS entries 22-23'!D:D)</f>
        <v>0</v>
      </c>
      <c r="D133" s="660">
        <f>SUMIF('IND AS entries 22-23'!B:B,'IND AS_TB18-19'!A133,'IND AS entries 22-23'!E:E)</f>
        <v>0</v>
      </c>
    </row>
    <row r="134" spans="1:4">
      <c r="A134" s="658">
        <v>100802</v>
      </c>
      <c r="B134" s="659" t="s">
        <v>1093</v>
      </c>
      <c r="C134" s="660">
        <f>SUMIF('IND AS entries 22-23'!B:B,'IND AS_TB18-19'!A134,'IND AS entries 22-23'!D:D)</f>
        <v>0</v>
      </c>
      <c r="D134" s="660">
        <f>SUMIF('IND AS entries 22-23'!B:B,'IND AS_TB18-19'!A134,'IND AS entries 22-23'!E:E)</f>
        <v>0</v>
      </c>
    </row>
    <row r="135" spans="1:4">
      <c r="A135" s="658">
        <v>100803</v>
      </c>
      <c r="B135" s="659" t="s">
        <v>1094</v>
      </c>
      <c r="C135" s="660">
        <f>SUMIF('IND AS entries 22-23'!B:B,'IND AS_TB18-19'!A135,'IND AS entries 22-23'!D:D)</f>
        <v>0</v>
      </c>
      <c r="D135" s="660">
        <f>SUMIF('IND AS entries 22-23'!B:B,'IND AS_TB18-19'!A135,'IND AS entries 22-23'!E:E)</f>
        <v>0</v>
      </c>
    </row>
    <row r="136" spans="1:4">
      <c r="A136" s="658">
        <v>100804</v>
      </c>
      <c r="B136" s="659" t="s">
        <v>1095</v>
      </c>
      <c r="C136" s="660">
        <f>SUMIF('IND AS entries 22-23'!B:B,'IND AS_TB18-19'!A136,'IND AS entries 22-23'!D:D)</f>
        <v>0</v>
      </c>
      <c r="D136" s="660">
        <f>SUMIF('IND AS entries 22-23'!B:B,'IND AS_TB18-19'!A136,'IND AS entries 22-23'!E:E)</f>
        <v>0</v>
      </c>
    </row>
    <row r="137" spans="1:4">
      <c r="A137" s="658">
        <v>100806</v>
      </c>
      <c r="B137" s="659" t="s">
        <v>220</v>
      </c>
      <c r="C137" s="660">
        <f>SUMIF('IND AS entries 22-23'!B:B,'IND AS_TB18-19'!A137,'IND AS entries 22-23'!D:D)</f>
        <v>0</v>
      </c>
      <c r="D137" s="660">
        <f>SUMIF('IND AS entries 22-23'!B:B,'IND AS_TB18-19'!A137,'IND AS entries 22-23'!E:E)</f>
        <v>0</v>
      </c>
    </row>
    <row r="138" spans="1:4">
      <c r="A138" s="658">
        <v>100807</v>
      </c>
      <c r="B138" s="659" t="s">
        <v>1096</v>
      </c>
      <c r="C138" s="660">
        <f>SUMIF('IND AS entries 22-23'!B:B,'IND AS_TB18-19'!A138,'IND AS entries 22-23'!D:D)</f>
        <v>0</v>
      </c>
      <c r="D138" s="660">
        <f>SUMIF('IND AS entries 22-23'!B:B,'IND AS_TB18-19'!A138,'IND AS entries 22-23'!E:E)</f>
        <v>0</v>
      </c>
    </row>
    <row r="139" spans="1:4">
      <c r="A139" s="658">
        <v>101000</v>
      </c>
      <c r="B139" s="659" t="s">
        <v>1097</v>
      </c>
      <c r="C139" s="660">
        <f>SUMIF('IND AS entries 22-23'!B:B,'IND AS_TB18-19'!A139,'IND AS entries 22-23'!D:D)</f>
        <v>0</v>
      </c>
      <c r="D139" s="660">
        <f>SUMIF('IND AS entries 22-23'!B:B,'IND AS_TB18-19'!A139,'IND AS entries 22-23'!E:E)</f>
        <v>0</v>
      </c>
    </row>
    <row r="140" spans="1:4">
      <c r="A140" s="658">
        <v>101001</v>
      </c>
      <c r="B140" s="659" t="s">
        <v>1098</v>
      </c>
      <c r="C140" s="660">
        <f>SUMIF('IND AS entries 22-23'!B:B,'IND AS_TB18-19'!A140,'IND AS entries 22-23'!D:D)</f>
        <v>0</v>
      </c>
      <c r="D140" s="660">
        <f>SUMIF('IND AS entries 22-23'!B:B,'IND AS_TB18-19'!A140,'IND AS entries 22-23'!E:E)</f>
        <v>0</v>
      </c>
    </row>
    <row r="141" spans="1:4">
      <c r="A141" s="658">
        <v>101002</v>
      </c>
      <c r="B141" s="659" t="s">
        <v>1099</v>
      </c>
      <c r="C141" s="660">
        <f>SUMIF('IND AS entries 22-23'!B:B,'IND AS_TB18-19'!A141,'IND AS entries 22-23'!D:D)</f>
        <v>0</v>
      </c>
      <c r="D141" s="660">
        <f>SUMIF('IND AS entries 22-23'!B:B,'IND AS_TB18-19'!A141,'IND AS entries 22-23'!E:E)</f>
        <v>0</v>
      </c>
    </row>
    <row r="142" spans="1:4">
      <c r="A142" s="658">
        <v>101003</v>
      </c>
      <c r="B142" s="661" t="s">
        <v>1100</v>
      </c>
      <c r="C142" s="660">
        <f>SUMIF('IND AS entries 22-23'!B:B,'IND AS_TB18-19'!A142,'IND AS entries 22-23'!D:D)</f>
        <v>0</v>
      </c>
      <c r="D142" s="660">
        <f>SUMIF('IND AS entries 22-23'!B:B,'IND AS_TB18-19'!A142,'IND AS entries 22-23'!E:E)</f>
        <v>0</v>
      </c>
    </row>
    <row r="143" spans="1:4">
      <c r="A143" s="658">
        <v>101050</v>
      </c>
      <c r="B143" s="659" t="s">
        <v>1101</v>
      </c>
      <c r="C143" s="660">
        <f>SUMIF('IND AS entries 22-23'!B:B,'IND AS_TB18-19'!A143,'IND AS entries 22-23'!D:D)</f>
        <v>0</v>
      </c>
      <c r="D143" s="660">
        <f>SUMIF('IND AS entries 22-23'!B:B,'IND AS_TB18-19'!A143,'IND AS entries 22-23'!E:E)</f>
        <v>0</v>
      </c>
    </row>
    <row r="144" spans="1:4">
      <c r="A144" s="658">
        <v>101052</v>
      </c>
      <c r="B144" s="659" t="s">
        <v>1102</v>
      </c>
      <c r="C144" s="660">
        <f>SUMIF('IND AS entries 22-23'!B:B,'IND AS_TB18-19'!A144,'IND AS entries 22-23'!D:D)</f>
        <v>0</v>
      </c>
      <c r="D144" s="660">
        <f>SUMIF('IND AS entries 22-23'!B:B,'IND AS_TB18-19'!A144,'IND AS entries 22-23'!E:E)</f>
        <v>0</v>
      </c>
    </row>
    <row r="145" spans="1:4">
      <c r="A145" s="658">
        <v>101060</v>
      </c>
      <c r="B145" s="659" t="s">
        <v>1103</v>
      </c>
      <c r="C145" s="660">
        <f>SUMIF('IND AS entries 22-23'!B:B,'IND AS_TB18-19'!A145,'IND AS entries 22-23'!D:D)</f>
        <v>0</v>
      </c>
      <c r="D145" s="660">
        <f>SUMIF('IND AS entries 22-23'!B:B,'IND AS_TB18-19'!A145,'IND AS entries 22-23'!E:E)</f>
        <v>0</v>
      </c>
    </row>
    <row r="146" spans="1:4">
      <c r="A146" s="658">
        <v>101065</v>
      </c>
      <c r="B146" s="659" t="s">
        <v>1104</v>
      </c>
      <c r="C146" s="660">
        <f>SUMIF('IND AS entries 22-23'!B:B,'IND AS_TB18-19'!A146,'IND AS entries 22-23'!D:D)</f>
        <v>0</v>
      </c>
      <c r="D146" s="660">
        <f>SUMIF('IND AS entries 22-23'!B:B,'IND AS_TB18-19'!A146,'IND AS entries 22-23'!E:E)</f>
        <v>0</v>
      </c>
    </row>
    <row r="147" spans="1:4">
      <c r="A147" s="658">
        <v>101090</v>
      </c>
      <c r="B147" s="659" t="s">
        <v>1105</v>
      </c>
      <c r="C147" s="660">
        <f>SUMIF('IND AS entries 22-23'!B:B,'IND AS_TB18-19'!A147,'IND AS entries 22-23'!D:D)</f>
        <v>0</v>
      </c>
      <c r="D147" s="660">
        <f>SUMIF('IND AS entries 22-23'!B:B,'IND AS_TB18-19'!A147,'IND AS entries 22-23'!E:E)</f>
        <v>0</v>
      </c>
    </row>
    <row r="148" spans="1:4">
      <c r="A148" s="658">
        <v>101120</v>
      </c>
      <c r="B148" s="659" t="s">
        <v>1106</v>
      </c>
      <c r="C148" s="660">
        <f>SUMIF('IND AS entries 22-23'!B:B,'IND AS_TB18-19'!A148,'IND AS entries 22-23'!D:D)</f>
        <v>0</v>
      </c>
      <c r="D148" s="660">
        <f>SUMIF('IND AS entries 22-23'!B:B,'IND AS_TB18-19'!A148,'IND AS entries 22-23'!E:E)</f>
        <v>0</v>
      </c>
    </row>
    <row r="149" spans="1:4">
      <c r="A149" s="658">
        <v>101130</v>
      </c>
      <c r="B149" s="659" t="s">
        <v>1107</v>
      </c>
      <c r="C149" s="660">
        <f>SUMIF('IND AS entries 22-23'!B:B,'IND AS_TB18-19'!A149,'IND AS entries 22-23'!D:D)</f>
        <v>0</v>
      </c>
      <c r="D149" s="660">
        <f>SUMIF('IND AS entries 22-23'!B:B,'IND AS_TB18-19'!A149,'IND AS entries 22-23'!E:E)</f>
        <v>0</v>
      </c>
    </row>
    <row r="150" spans="1:4">
      <c r="A150" s="658">
        <v>101150</v>
      </c>
      <c r="B150" s="659" t="s">
        <v>1108</v>
      </c>
      <c r="C150" s="660">
        <f>SUMIF('IND AS entries 22-23'!B:B,'IND AS_TB18-19'!A150,'IND AS entries 22-23'!D:D)</f>
        <v>0</v>
      </c>
      <c r="D150" s="660">
        <f>SUMIF('IND AS entries 22-23'!B:B,'IND AS_TB18-19'!A150,'IND AS entries 22-23'!E:E)</f>
        <v>0</v>
      </c>
    </row>
    <row r="151" spans="1:4">
      <c r="A151" s="658">
        <v>101160</v>
      </c>
      <c r="B151" s="659" t="s">
        <v>1109</v>
      </c>
      <c r="C151" s="660">
        <f>SUMIF('IND AS entries 22-23'!B:B,'IND AS_TB18-19'!A151,'IND AS entries 22-23'!D:D)</f>
        <v>0</v>
      </c>
      <c r="D151" s="660">
        <f>SUMIF('IND AS entries 22-23'!B:B,'IND AS_TB18-19'!A151,'IND AS entries 22-23'!E:E)</f>
        <v>0</v>
      </c>
    </row>
    <row r="152" spans="1:4">
      <c r="A152" s="658">
        <v>101170</v>
      </c>
      <c r="B152" s="659" t="s">
        <v>1110</v>
      </c>
      <c r="C152" s="660">
        <f>SUMIF('IND AS entries 22-23'!B:B,'IND AS_TB18-19'!A152,'IND AS entries 22-23'!D:D)</f>
        <v>0</v>
      </c>
      <c r="D152" s="660">
        <f>SUMIF('IND AS entries 22-23'!B:B,'IND AS_TB18-19'!A152,'IND AS entries 22-23'!E:E)</f>
        <v>0</v>
      </c>
    </row>
    <row r="153" spans="1:4">
      <c r="A153" s="658">
        <v>101180</v>
      </c>
      <c r="B153" s="659" t="s">
        <v>1111</v>
      </c>
      <c r="C153" s="660">
        <f>SUMIF('IND AS entries 22-23'!B:B,'IND AS_TB18-19'!A153,'IND AS entries 22-23'!D:D)</f>
        <v>0</v>
      </c>
      <c r="D153" s="660">
        <f>SUMIF('IND AS entries 22-23'!B:B,'IND AS_TB18-19'!A153,'IND AS entries 22-23'!E:E)</f>
        <v>0</v>
      </c>
    </row>
    <row r="154" spans="1:4">
      <c r="A154" s="658">
        <v>101190</v>
      </c>
      <c r="B154" s="659" t="s">
        <v>1112</v>
      </c>
      <c r="C154" s="660">
        <f>SUMIF('IND AS entries 22-23'!B:B,'IND AS_TB18-19'!A154,'IND AS entries 22-23'!D:D)</f>
        <v>0</v>
      </c>
      <c r="D154" s="660">
        <f>SUMIF('IND AS entries 22-23'!B:B,'IND AS_TB18-19'!A154,'IND AS entries 22-23'!E:E)</f>
        <v>0</v>
      </c>
    </row>
    <row r="155" spans="1:4">
      <c r="A155" s="658">
        <v>101200</v>
      </c>
      <c r="B155" s="661" t="s">
        <v>1113</v>
      </c>
      <c r="C155" s="660">
        <f>SUMIF('IND AS entries 22-23'!B:B,'IND AS_TB18-19'!A155,'IND AS entries 22-23'!D:D)</f>
        <v>0</v>
      </c>
      <c r="D155" s="660">
        <f>SUMIF('IND AS entries 22-23'!B:B,'IND AS_TB18-19'!A155,'IND AS entries 22-23'!E:E)</f>
        <v>0</v>
      </c>
    </row>
    <row r="156" spans="1:4">
      <c r="A156" s="658">
        <v>101201</v>
      </c>
      <c r="B156" s="659" t="s">
        <v>1114</v>
      </c>
      <c r="C156" s="660">
        <f>SUMIF('IND AS entries 22-23'!B:B,'IND AS_TB18-19'!A156,'IND AS entries 22-23'!D:D)</f>
        <v>0</v>
      </c>
      <c r="D156" s="660">
        <f>SUMIF('IND AS entries 22-23'!B:B,'IND AS_TB18-19'!A156,'IND AS entries 22-23'!E:E)</f>
        <v>0</v>
      </c>
    </row>
    <row r="157" spans="1:4">
      <c r="A157" s="658">
        <v>101202</v>
      </c>
      <c r="B157" s="659" t="s">
        <v>1115</v>
      </c>
      <c r="C157" s="660">
        <f>SUMIF('IND AS entries 22-23'!B:B,'IND AS_TB18-19'!A157,'IND AS entries 22-23'!D:D)</f>
        <v>0</v>
      </c>
      <c r="D157" s="660">
        <f>SUMIF('IND AS entries 22-23'!B:B,'IND AS_TB18-19'!A157,'IND AS entries 22-23'!E:E)</f>
        <v>0</v>
      </c>
    </row>
    <row r="158" spans="1:4">
      <c r="A158" s="658">
        <v>101309</v>
      </c>
      <c r="B158" s="659" t="s">
        <v>1116</v>
      </c>
      <c r="C158" s="660">
        <f>SUMIF('IND AS entries 22-23'!B:B,'IND AS_TB18-19'!A158,'IND AS entries 22-23'!D:D)</f>
        <v>0</v>
      </c>
      <c r="D158" s="660">
        <f>SUMIF('IND AS entries 22-23'!B:B,'IND AS_TB18-19'!A158,'IND AS entries 22-23'!E:E)</f>
        <v>0</v>
      </c>
    </row>
    <row r="159" spans="1:4">
      <c r="A159" s="658">
        <v>101310</v>
      </c>
      <c r="B159" s="659" t="s">
        <v>1117</v>
      </c>
      <c r="C159" s="660">
        <f>SUMIF('IND AS entries 22-23'!B:B,'IND AS_TB18-19'!A159,'IND AS entries 22-23'!D:D)</f>
        <v>0</v>
      </c>
      <c r="D159" s="660">
        <f>SUMIF('IND AS entries 22-23'!B:B,'IND AS_TB18-19'!A159,'IND AS entries 22-23'!E:E)</f>
        <v>0</v>
      </c>
    </row>
    <row r="160" spans="1:4">
      <c r="A160" s="658">
        <v>101311</v>
      </c>
      <c r="B160" s="659" t="s">
        <v>1118</v>
      </c>
      <c r="C160" s="660">
        <f>SUMIF('IND AS entries 22-23'!B:B,'IND AS_TB18-19'!A160,'IND AS entries 22-23'!D:D)</f>
        <v>0</v>
      </c>
      <c r="D160" s="660">
        <f>SUMIF('IND AS entries 22-23'!B:B,'IND AS_TB18-19'!A160,'IND AS entries 22-23'!E:E)</f>
        <v>0</v>
      </c>
    </row>
    <row r="161" spans="1:4">
      <c r="A161" s="658">
        <v>101312</v>
      </c>
      <c r="B161" s="659" t="s">
        <v>1119</v>
      </c>
      <c r="C161" s="660">
        <f>SUMIF('IND AS entries 22-23'!B:B,'IND AS_TB18-19'!A161,'IND AS entries 22-23'!D:D)</f>
        <v>0</v>
      </c>
      <c r="D161" s="660">
        <f>SUMIF('IND AS entries 22-23'!B:B,'IND AS_TB18-19'!A161,'IND AS entries 22-23'!E:E)</f>
        <v>0</v>
      </c>
    </row>
    <row r="162" spans="1:4">
      <c r="A162" s="658">
        <v>101313</v>
      </c>
      <c r="B162" s="659" t="s">
        <v>1120</v>
      </c>
      <c r="C162" s="660">
        <f>SUMIF('IND AS entries 22-23'!B:B,'IND AS_TB18-19'!A162,'IND AS entries 22-23'!D:D)</f>
        <v>0</v>
      </c>
      <c r="D162" s="660">
        <f>SUMIF('IND AS entries 22-23'!B:B,'IND AS_TB18-19'!A162,'IND AS entries 22-23'!E:E)</f>
        <v>0</v>
      </c>
    </row>
    <row r="163" spans="1:4">
      <c r="A163" s="658">
        <v>101314</v>
      </c>
      <c r="B163" s="659" t="s">
        <v>1121</v>
      </c>
      <c r="C163" s="660">
        <f>SUMIF('IND AS entries 22-23'!B:B,'IND AS_TB18-19'!A163,'IND AS entries 22-23'!D:D)</f>
        <v>0</v>
      </c>
      <c r="D163" s="660">
        <f>SUMIF('IND AS entries 22-23'!B:B,'IND AS_TB18-19'!A163,'IND AS entries 22-23'!E:E)</f>
        <v>0</v>
      </c>
    </row>
    <row r="164" spans="1:4">
      <c r="A164" s="658">
        <v>101315</v>
      </c>
      <c r="B164" s="659" t="s">
        <v>1122</v>
      </c>
      <c r="C164" s="660">
        <f>SUMIF('IND AS entries 22-23'!B:B,'IND AS_TB18-19'!A164,'IND AS entries 22-23'!D:D)</f>
        <v>0</v>
      </c>
      <c r="D164" s="660">
        <f>SUMIF('IND AS entries 22-23'!B:B,'IND AS_TB18-19'!A164,'IND AS entries 22-23'!E:E)</f>
        <v>0</v>
      </c>
    </row>
    <row r="165" spans="1:4">
      <c r="A165" s="658">
        <v>101316</v>
      </c>
      <c r="B165" s="659" t="s">
        <v>1123</v>
      </c>
      <c r="C165" s="660">
        <f>SUMIF('IND AS entries 22-23'!B:B,'IND AS_TB18-19'!A165,'IND AS entries 22-23'!D:D)</f>
        <v>0</v>
      </c>
      <c r="D165" s="660">
        <f>SUMIF('IND AS entries 22-23'!B:B,'IND AS_TB18-19'!A165,'IND AS entries 22-23'!E:E)</f>
        <v>0</v>
      </c>
    </row>
    <row r="166" spans="1:4">
      <c r="A166" s="658">
        <v>101317</v>
      </c>
      <c r="B166" s="659" t="s">
        <v>1124</v>
      </c>
      <c r="C166" s="660">
        <f>SUMIF('IND AS entries 22-23'!B:B,'IND AS_TB18-19'!A166,'IND AS entries 22-23'!D:D)</f>
        <v>0</v>
      </c>
      <c r="D166" s="660">
        <f>SUMIF('IND AS entries 22-23'!B:B,'IND AS_TB18-19'!A166,'IND AS entries 22-23'!E:E)</f>
        <v>0</v>
      </c>
    </row>
    <row r="167" spans="1:4">
      <c r="A167" s="658">
        <v>101318</v>
      </c>
      <c r="B167" s="659" t="s">
        <v>1125</v>
      </c>
      <c r="C167" s="660">
        <f>SUMIF('IND AS entries 22-23'!B:B,'IND AS_TB18-19'!A167,'IND AS entries 22-23'!D:D)</f>
        <v>0</v>
      </c>
      <c r="D167" s="660">
        <f>SUMIF('IND AS entries 22-23'!B:B,'IND AS_TB18-19'!A167,'IND AS entries 22-23'!E:E)</f>
        <v>0</v>
      </c>
    </row>
    <row r="168" spans="1:4">
      <c r="A168" s="658">
        <v>101320</v>
      </c>
      <c r="B168" s="659" t="s">
        <v>1126</v>
      </c>
      <c r="C168" s="660">
        <f>SUMIF('IND AS entries 22-23'!B:B,'IND AS_TB18-19'!A168,'IND AS entries 22-23'!D:D)</f>
        <v>0</v>
      </c>
      <c r="D168" s="660">
        <f>SUMIF('IND AS entries 22-23'!B:B,'IND AS_TB18-19'!A168,'IND AS entries 22-23'!E:E)</f>
        <v>0</v>
      </c>
    </row>
    <row r="169" spans="1:4">
      <c r="A169" s="658">
        <v>101321</v>
      </c>
      <c r="B169" s="659" t="s">
        <v>1127</v>
      </c>
      <c r="C169" s="660">
        <f>SUMIF('IND AS entries 22-23'!B:B,'IND AS_TB18-19'!A169,'IND AS entries 22-23'!D:D)</f>
        <v>0</v>
      </c>
      <c r="D169" s="660">
        <f>SUMIF('IND AS entries 22-23'!B:B,'IND AS_TB18-19'!A169,'IND AS entries 22-23'!E:E)</f>
        <v>0</v>
      </c>
    </row>
    <row r="170" spans="1:4">
      <c r="A170" s="658">
        <v>101322</v>
      </c>
      <c r="B170" s="659" t="s">
        <v>1128</v>
      </c>
      <c r="C170" s="660">
        <f>SUMIF('IND AS entries 22-23'!B:B,'IND AS_TB18-19'!A170,'IND AS entries 22-23'!D:D)</f>
        <v>0</v>
      </c>
      <c r="D170" s="660">
        <f>SUMIF('IND AS entries 22-23'!B:B,'IND AS_TB18-19'!A170,'IND AS entries 22-23'!E:E)</f>
        <v>0</v>
      </c>
    </row>
    <row r="171" spans="1:4">
      <c r="A171" s="658">
        <v>101323</v>
      </c>
      <c r="B171" s="659" t="s">
        <v>1129</v>
      </c>
      <c r="C171" s="660">
        <f>SUMIF('IND AS entries 22-23'!B:B,'IND AS_TB18-19'!A171,'IND AS entries 22-23'!D:D)</f>
        <v>0</v>
      </c>
      <c r="D171" s="660">
        <f>SUMIF('IND AS entries 22-23'!B:B,'IND AS_TB18-19'!A171,'IND AS entries 22-23'!E:E)</f>
        <v>0</v>
      </c>
    </row>
    <row r="172" spans="1:4">
      <c r="A172" s="658">
        <v>101324</v>
      </c>
      <c r="B172" s="659" t="s">
        <v>1130</v>
      </c>
      <c r="C172" s="660">
        <f>SUMIF('IND AS entries 22-23'!B:B,'IND AS_TB18-19'!A172,'IND AS entries 22-23'!D:D)</f>
        <v>0</v>
      </c>
      <c r="D172" s="660">
        <f>SUMIF('IND AS entries 22-23'!B:B,'IND AS_TB18-19'!A172,'IND AS entries 22-23'!E:E)</f>
        <v>0</v>
      </c>
    </row>
    <row r="173" spans="1:4">
      <c r="A173" s="658">
        <v>101325</v>
      </c>
      <c r="B173" s="659" t="s">
        <v>1131</v>
      </c>
      <c r="C173" s="660">
        <f>SUMIF('IND AS entries 22-23'!B:B,'IND AS_TB18-19'!A173,'IND AS entries 22-23'!D:D)</f>
        <v>0</v>
      </c>
      <c r="D173" s="660">
        <f>SUMIF('IND AS entries 22-23'!B:B,'IND AS_TB18-19'!A173,'IND AS entries 22-23'!E:E)</f>
        <v>0</v>
      </c>
    </row>
    <row r="174" spans="1:4">
      <c r="A174" s="658">
        <v>101326</v>
      </c>
      <c r="B174" s="659" t="s">
        <v>1132</v>
      </c>
      <c r="C174" s="660">
        <f>SUMIF('IND AS entries 22-23'!B:B,'IND AS_TB18-19'!A174,'IND AS entries 22-23'!D:D)</f>
        <v>0</v>
      </c>
      <c r="D174" s="660">
        <f>SUMIF('IND AS entries 22-23'!B:B,'IND AS_TB18-19'!A174,'IND AS entries 22-23'!E:E)</f>
        <v>0</v>
      </c>
    </row>
    <row r="175" spans="1:4">
      <c r="A175" s="658">
        <v>101327</v>
      </c>
      <c r="B175" s="659" t="s">
        <v>1133</v>
      </c>
      <c r="C175" s="660">
        <f>SUMIF('IND AS entries 22-23'!B:B,'IND AS_TB18-19'!A175,'IND AS entries 22-23'!D:D)</f>
        <v>0</v>
      </c>
      <c r="D175" s="660">
        <f>SUMIF('IND AS entries 22-23'!B:B,'IND AS_TB18-19'!A175,'IND AS entries 22-23'!E:E)</f>
        <v>0</v>
      </c>
    </row>
    <row r="176" spans="1:4">
      <c r="A176" s="658">
        <v>101328</v>
      </c>
      <c r="B176" s="659" t="s">
        <v>1134</v>
      </c>
      <c r="C176" s="660">
        <f>SUMIF('IND AS entries 22-23'!B:B,'IND AS_TB18-19'!A176,'IND AS entries 22-23'!D:D)</f>
        <v>0</v>
      </c>
      <c r="D176" s="660">
        <f>SUMIF('IND AS entries 22-23'!B:B,'IND AS_TB18-19'!A176,'IND AS entries 22-23'!E:E)</f>
        <v>0</v>
      </c>
    </row>
    <row r="177" spans="1:4">
      <c r="A177" s="658">
        <v>101329</v>
      </c>
      <c r="B177" s="659" t="s">
        <v>1135</v>
      </c>
      <c r="C177" s="660">
        <f>SUMIF('IND AS entries 22-23'!B:B,'IND AS_TB18-19'!A177,'IND AS entries 22-23'!D:D)</f>
        <v>0</v>
      </c>
      <c r="D177" s="660">
        <f>SUMIF('IND AS entries 22-23'!B:B,'IND AS_TB18-19'!A177,'IND AS entries 22-23'!E:E)</f>
        <v>0</v>
      </c>
    </row>
    <row r="178" spans="1:4">
      <c r="A178" s="658">
        <v>101330</v>
      </c>
      <c r="B178" s="659" t="s">
        <v>1136</v>
      </c>
      <c r="C178" s="660">
        <f>SUMIF('IND AS entries 22-23'!B:B,'IND AS_TB18-19'!A178,'IND AS entries 22-23'!D:D)</f>
        <v>0</v>
      </c>
      <c r="D178" s="660">
        <f>SUMIF('IND AS entries 22-23'!B:B,'IND AS_TB18-19'!A178,'IND AS entries 22-23'!E:E)</f>
        <v>0</v>
      </c>
    </row>
    <row r="179" spans="1:4">
      <c r="A179" s="658">
        <v>101331</v>
      </c>
      <c r="B179" s="659" t="s">
        <v>1137</v>
      </c>
      <c r="C179" s="660">
        <f>SUMIF('IND AS entries 22-23'!B:B,'IND AS_TB18-19'!A179,'IND AS entries 22-23'!D:D)</f>
        <v>0</v>
      </c>
      <c r="D179" s="660">
        <f>SUMIF('IND AS entries 22-23'!B:B,'IND AS_TB18-19'!A179,'IND AS entries 22-23'!E:E)</f>
        <v>0</v>
      </c>
    </row>
    <row r="180" spans="1:4">
      <c r="A180" s="658">
        <v>101332</v>
      </c>
      <c r="B180" s="659" t="s">
        <v>1138</v>
      </c>
      <c r="C180" s="660">
        <f>SUMIF('IND AS entries 22-23'!B:B,'IND AS_TB18-19'!A180,'IND AS entries 22-23'!D:D)</f>
        <v>0</v>
      </c>
      <c r="D180" s="660">
        <f>SUMIF('IND AS entries 22-23'!B:B,'IND AS_TB18-19'!A180,'IND AS entries 22-23'!E:E)</f>
        <v>0</v>
      </c>
    </row>
    <row r="181" spans="1:4">
      <c r="A181" s="658">
        <v>101333</v>
      </c>
      <c r="B181" s="659" t="s">
        <v>1139</v>
      </c>
      <c r="C181" s="660">
        <f>SUMIF('IND AS entries 22-23'!B:B,'IND AS_TB18-19'!A181,'IND AS entries 22-23'!D:D)</f>
        <v>0</v>
      </c>
      <c r="D181" s="660">
        <f>SUMIF('IND AS entries 22-23'!B:B,'IND AS_TB18-19'!A181,'IND AS entries 22-23'!E:E)</f>
        <v>0</v>
      </c>
    </row>
    <row r="182" spans="1:4">
      <c r="A182" s="658">
        <v>101334</v>
      </c>
      <c r="B182" s="659" t="s">
        <v>1140</v>
      </c>
      <c r="C182" s="660">
        <f>SUMIF('IND AS entries 22-23'!B:B,'IND AS_TB18-19'!A182,'IND AS entries 22-23'!D:D)</f>
        <v>0</v>
      </c>
      <c r="D182" s="660">
        <f>SUMIF('IND AS entries 22-23'!B:B,'IND AS_TB18-19'!A182,'IND AS entries 22-23'!E:E)</f>
        <v>0</v>
      </c>
    </row>
    <row r="183" spans="1:4">
      <c r="A183" s="658">
        <v>101335</v>
      </c>
      <c r="B183" s="659" t="s">
        <v>1141</v>
      </c>
      <c r="C183" s="660">
        <f>SUMIF('IND AS entries 22-23'!B:B,'IND AS_TB18-19'!A183,'IND AS entries 22-23'!D:D)</f>
        <v>0</v>
      </c>
      <c r="D183" s="660">
        <f>SUMIF('IND AS entries 22-23'!B:B,'IND AS_TB18-19'!A183,'IND AS entries 22-23'!E:E)</f>
        <v>0</v>
      </c>
    </row>
    <row r="184" spans="1:4">
      <c r="A184" s="658">
        <v>101336</v>
      </c>
      <c r="B184" s="659" t="s">
        <v>1142</v>
      </c>
      <c r="C184" s="660">
        <f>SUMIF('IND AS entries 22-23'!B:B,'IND AS_TB18-19'!A184,'IND AS entries 22-23'!D:D)</f>
        <v>0</v>
      </c>
      <c r="D184" s="660">
        <f>SUMIF('IND AS entries 22-23'!B:B,'IND AS_TB18-19'!A184,'IND AS entries 22-23'!E:E)</f>
        <v>0</v>
      </c>
    </row>
    <row r="185" spans="1:4">
      <c r="A185" s="658">
        <v>101337</v>
      </c>
      <c r="B185" s="659" t="s">
        <v>1143</v>
      </c>
      <c r="C185" s="660">
        <f>SUMIF('IND AS entries 22-23'!B:B,'IND AS_TB18-19'!A185,'IND AS entries 22-23'!D:D)</f>
        <v>0</v>
      </c>
      <c r="D185" s="660">
        <f>SUMIF('IND AS entries 22-23'!B:B,'IND AS_TB18-19'!A185,'IND AS entries 22-23'!E:E)</f>
        <v>0</v>
      </c>
    </row>
    <row r="186" spans="1:4">
      <c r="A186" s="658">
        <v>101338</v>
      </c>
      <c r="B186" s="659" t="s">
        <v>1144</v>
      </c>
      <c r="C186" s="660">
        <f>SUMIF('IND AS entries 22-23'!B:B,'IND AS_TB18-19'!A186,'IND AS entries 22-23'!D:D)</f>
        <v>0</v>
      </c>
      <c r="D186" s="660">
        <f>SUMIF('IND AS entries 22-23'!B:B,'IND AS_TB18-19'!A186,'IND AS entries 22-23'!E:E)</f>
        <v>0</v>
      </c>
    </row>
    <row r="187" spans="1:4">
      <c r="A187" s="658">
        <v>101339</v>
      </c>
      <c r="B187" s="659" t="s">
        <v>1145</v>
      </c>
      <c r="C187" s="660">
        <f>SUMIF('IND AS entries 22-23'!B:B,'IND AS_TB18-19'!A187,'IND AS entries 22-23'!D:D)</f>
        <v>0</v>
      </c>
      <c r="D187" s="660">
        <f>SUMIF('IND AS entries 22-23'!B:B,'IND AS_TB18-19'!A187,'IND AS entries 22-23'!E:E)</f>
        <v>0</v>
      </c>
    </row>
    <row r="188" spans="1:4">
      <c r="A188" s="658">
        <v>101340</v>
      </c>
      <c r="B188" s="659" t="s">
        <v>1146</v>
      </c>
      <c r="C188" s="660">
        <f>SUMIF('IND AS entries 22-23'!B:B,'IND AS_TB18-19'!A188,'IND AS entries 22-23'!D:D)</f>
        <v>0</v>
      </c>
      <c r="D188" s="660">
        <f>SUMIF('IND AS entries 22-23'!B:B,'IND AS_TB18-19'!A188,'IND AS entries 22-23'!E:E)</f>
        <v>0</v>
      </c>
    </row>
    <row r="189" spans="1:4">
      <c r="A189" s="658">
        <v>101341</v>
      </c>
      <c r="B189" s="661" t="s">
        <v>1147</v>
      </c>
      <c r="C189" s="660">
        <f>SUMIF('IND AS entries 22-23'!B:B,'IND AS_TB18-19'!A189,'IND AS entries 22-23'!D:D)</f>
        <v>0</v>
      </c>
      <c r="D189" s="660">
        <f>SUMIF('IND AS entries 22-23'!B:B,'IND AS_TB18-19'!A189,'IND AS entries 22-23'!E:E)</f>
        <v>0</v>
      </c>
    </row>
    <row r="190" spans="1:4">
      <c r="A190" s="658">
        <v>101342</v>
      </c>
      <c r="B190" s="661" t="s">
        <v>1148</v>
      </c>
      <c r="C190" s="660">
        <f>SUMIF('IND AS entries 22-23'!B:B,'IND AS_TB18-19'!A190,'IND AS entries 22-23'!D:D)</f>
        <v>0</v>
      </c>
      <c r="D190" s="660">
        <f>SUMIF('IND AS entries 22-23'!B:B,'IND AS_TB18-19'!A190,'IND AS entries 22-23'!E:E)</f>
        <v>0</v>
      </c>
    </row>
    <row r="191" spans="1:4">
      <c r="A191" s="658">
        <v>101360</v>
      </c>
      <c r="B191" s="659" t="s">
        <v>1149</v>
      </c>
      <c r="C191" s="660">
        <f>SUMIF('IND AS entries 22-23'!B:B,'IND AS_TB18-19'!A191,'IND AS entries 22-23'!D:D)</f>
        <v>0</v>
      </c>
      <c r="D191" s="660">
        <f>SUMIF('IND AS entries 22-23'!B:B,'IND AS_TB18-19'!A191,'IND AS entries 22-23'!E:E)</f>
        <v>0</v>
      </c>
    </row>
    <row r="192" spans="1:4">
      <c r="A192" s="658">
        <v>101361</v>
      </c>
      <c r="B192" s="659" t="s">
        <v>1150</v>
      </c>
      <c r="C192" s="660">
        <f>SUMIF('IND AS entries 22-23'!B:B,'IND AS_TB18-19'!A192,'IND AS entries 22-23'!D:D)</f>
        <v>0</v>
      </c>
      <c r="D192" s="660">
        <f>SUMIF('IND AS entries 22-23'!B:B,'IND AS_TB18-19'!A192,'IND AS entries 22-23'!E:E)</f>
        <v>0</v>
      </c>
    </row>
    <row r="193" spans="1:4">
      <c r="A193" s="658">
        <v>101363</v>
      </c>
      <c r="B193" s="661" t="s">
        <v>1151</v>
      </c>
      <c r="C193" s="660">
        <f>SUMIF('IND AS entries 22-23'!B:B,'IND AS_TB18-19'!A193,'IND AS entries 22-23'!D:D)</f>
        <v>0</v>
      </c>
      <c r="D193" s="660">
        <f>SUMIF('IND AS entries 22-23'!B:B,'IND AS_TB18-19'!A193,'IND AS entries 22-23'!E:E)</f>
        <v>0</v>
      </c>
    </row>
    <row r="194" spans="1:4">
      <c r="A194" s="658">
        <v>101366</v>
      </c>
      <c r="B194" s="659" t="s">
        <v>1152</v>
      </c>
      <c r="C194" s="660">
        <f>SUMIF('IND AS entries 22-23'!B:B,'IND AS_TB18-19'!A194,'IND AS entries 22-23'!D:D)</f>
        <v>0</v>
      </c>
      <c r="D194" s="660">
        <f>SUMIF('IND AS entries 22-23'!B:B,'IND AS_TB18-19'!A194,'IND AS entries 22-23'!E:E)</f>
        <v>0</v>
      </c>
    </row>
    <row r="195" spans="1:4">
      <c r="A195" s="658">
        <v>101367</v>
      </c>
      <c r="B195" s="659" t="s">
        <v>1153</v>
      </c>
      <c r="C195" s="660">
        <f>SUMIF('IND AS entries 22-23'!B:B,'IND AS_TB18-19'!A195,'IND AS entries 22-23'!D:D)</f>
        <v>0</v>
      </c>
      <c r="D195" s="660">
        <f>SUMIF('IND AS entries 22-23'!B:B,'IND AS_TB18-19'!A195,'IND AS entries 22-23'!E:E)</f>
        <v>0</v>
      </c>
    </row>
    <row r="196" spans="1:4">
      <c r="A196" s="658">
        <v>101368</v>
      </c>
      <c r="B196" s="659" t="s">
        <v>1154</v>
      </c>
      <c r="C196" s="660">
        <f>SUMIF('IND AS entries 22-23'!B:B,'IND AS_TB18-19'!A196,'IND AS entries 22-23'!D:D)</f>
        <v>0</v>
      </c>
      <c r="D196" s="660">
        <f>SUMIF('IND AS entries 22-23'!B:B,'IND AS_TB18-19'!A196,'IND AS entries 22-23'!E:E)</f>
        <v>0</v>
      </c>
    </row>
    <row r="197" spans="1:4">
      <c r="A197" s="658">
        <v>101369</v>
      </c>
      <c r="B197" s="659" t="s">
        <v>1155</v>
      </c>
      <c r="C197" s="660">
        <f>SUMIF('IND AS entries 22-23'!B:B,'IND AS_TB18-19'!A197,'IND AS entries 22-23'!D:D)</f>
        <v>0</v>
      </c>
      <c r="D197" s="660">
        <f>SUMIF('IND AS entries 22-23'!B:B,'IND AS_TB18-19'!A197,'IND AS entries 22-23'!E:E)</f>
        <v>0</v>
      </c>
    </row>
    <row r="198" spans="1:4">
      <c r="A198" s="658">
        <v>101370</v>
      </c>
      <c r="B198" s="659" t="s">
        <v>1156</v>
      </c>
      <c r="C198" s="660">
        <f>SUMIF('IND AS entries 22-23'!B:B,'IND AS_TB18-19'!A198,'IND AS entries 22-23'!D:D)</f>
        <v>0</v>
      </c>
      <c r="D198" s="660">
        <f>SUMIF('IND AS entries 22-23'!B:B,'IND AS_TB18-19'!A198,'IND AS entries 22-23'!E:E)</f>
        <v>0</v>
      </c>
    </row>
    <row r="199" spans="1:4">
      <c r="A199" s="658">
        <v>101371</v>
      </c>
      <c r="B199" s="659" t="s">
        <v>1157</v>
      </c>
      <c r="C199" s="660">
        <f>SUMIF('IND AS entries 22-23'!B:B,'IND AS_TB18-19'!A199,'IND AS entries 22-23'!D:D)</f>
        <v>0</v>
      </c>
      <c r="D199" s="660">
        <f>SUMIF('IND AS entries 22-23'!B:B,'IND AS_TB18-19'!A199,'IND AS entries 22-23'!E:E)</f>
        <v>0</v>
      </c>
    </row>
    <row r="200" spans="1:4">
      <c r="A200" s="658">
        <v>101372</v>
      </c>
      <c r="B200" s="659" t="s">
        <v>1158</v>
      </c>
      <c r="C200" s="660">
        <f>SUMIF('IND AS entries 22-23'!B:B,'IND AS_TB18-19'!A200,'IND AS entries 22-23'!D:D)</f>
        <v>0</v>
      </c>
      <c r="D200" s="660">
        <f>SUMIF('IND AS entries 22-23'!B:B,'IND AS_TB18-19'!A200,'IND AS entries 22-23'!E:E)</f>
        <v>0</v>
      </c>
    </row>
    <row r="201" spans="1:4">
      <c r="A201" s="658">
        <v>101373</v>
      </c>
      <c r="B201" s="659" t="s">
        <v>1159</v>
      </c>
      <c r="C201" s="660">
        <f>SUMIF('IND AS entries 22-23'!B:B,'IND AS_TB18-19'!A201,'IND AS entries 22-23'!D:D)</f>
        <v>0</v>
      </c>
      <c r="D201" s="660">
        <f>SUMIF('IND AS entries 22-23'!B:B,'IND AS_TB18-19'!A201,'IND AS entries 22-23'!E:E)</f>
        <v>0</v>
      </c>
    </row>
    <row r="202" spans="1:4">
      <c r="A202" s="658">
        <v>101374</v>
      </c>
      <c r="B202" s="659" t="s">
        <v>1160</v>
      </c>
      <c r="C202" s="660">
        <f>SUMIF('IND AS entries 22-23'!B:B,'IND AS_TB18-19'!A202,'IND AS entries 22-23'!D:D)</f>
        <v>0</v>
      </c>
      <c r="D202" s="660">
        <f>SUMIF('IND AS entries 22-23'!B:B,'IND AS_TB18-19'!A202,'IND AS entries 22-23'!E:E)</f>
        <v>0</v>
      </c>
    </row>
    <row r="203" spans="1:4">
      <c r="A203" s="658">
        <v>101376</v>
      </c>
      <c r="B203" s="659" t="s">
        <v>1161</v>
      </c>
      <c r="C203" s="660">
        <f>SUMIF('IND AS entries 22-23'!B:B,'IND AS_TB18-19'!A203,'IND AS entries 22-23'!D:D)</f>
        <v>0</v>
      </c>
      <c r="D203" s="660">
        <f>SUMIF('IND AS entries 22-23'!B:B,'IND AS_TB18-19'!A203,'IND AS entries 22-23'!E:E)</f>
        <v>0</v>
      </c>
    </row>
    <row r="204" spans="1:4">
      <c r="A204" s="658">
        <v>101377</v>
      </c>
      <c r="B204" s="659" t="s">
        <v>1162</v>
      </c>
      <c r="C204" s="660">
        <f>SUMIF('IND AS entries 22-23'!B:B,'IND AS_TB18-19'!A204,'IND AS entries 22-23'!D:D)</f>
        <v>0</v>
      </c>
      <c r="D204" s="660">
        <f>SUMIF('IND AS entries 22-23'!B:B,'IND AS_TB18-19'!A204,'IND AS entries 22-23'!E:E)</f>
        <v>0</v>
      </c>
    </row>
    <row r="205" spans="1:4">
      <c r="A205" s="658">
        <v>101378</v>
      </c>
      <c r="B205" s="659" t="s">
        <v>1163</v>
      </c>
      <c r="C205" s="660">
        <f>SUMIF('IND AS entries 22-23'!B:B,'IND AS_TB18-19'!A205,'IND AS entries 22-23'!D:D)</f>
        <v>0</v>
      </c>
      <c r="D205" s="660">
        <f>SUMIF('IND AS entries 22-23'!B:B,'IND AS_TB18-19'!A205,'IND AS entries 22-23'!E:E)</f>
        <v>0</v>
      </c>
    </row>
    <row r="206" spans="1:4">
      <c r="A206" s="658">
        <v>101379</v>
      </c>
      <c r="B206" s="659" t="s">
        <v>1164</v>
      </c>
      <c r="C206" s="660">
        <f>SUMIF('IND AS entries 22-23'!B:B,'IND AS_TB18-19'!A206,'IND AS entries 22-23'!D:D)</f>
        <v>0</v>
      </c>
      <c r="D206" s="660">
        <f>SUMIF('IND AS entries 22-23'!B:B,'IND AS_TB18-19'!A206,'IND AS entries 22-23'!E:E)</f>
        <v>0</v>
      </c>
    </row>
    <row r="207" spans="1:4">
      <c r="A207" s="658">
        <v>101380</v>
      </c>
      <c r="B207" s="659" t="s">
        <v>1165</v>
      </c>
      <c r="C207" s="660">
        <f>SUMIF('IND AS entries 22-23'!B:B,'IND AS_TB18-19'!A207,'IND AS entries 22-23'!D:D)</f>
        <v>0</v>
      </c>
      <c r="D207" s="660">
        <f>SUMIF('IND AS entries 22-23'!B:B,'IND AS_TB18-19'!A207,'IND AS entries 22-23'!E:E)</f>
        <v>0</v>
      </c>
    </row>
    <row r="208" spans="1:4">
      <c r="A208" s="658">
        <v>101381</v>
      </c>
      <c r="B208" s="659" t="s">
        <v>1166</v>
      </c>
      <c r="C208" s="660">
        <f>SUMIF('IND AS entries 22-23'!B:B,'IND AS_TB18-19'!A208,'IND AS entries 22-23'!D:D)</f>
        <v>0</v>
      </c>
      <c r="D208" s="660">
        <f>SUMIF('IND AS entries 22-23'!B:B,'IND AS_TB18-19'!A208,'IND AS entries 22-23'!E:E)</f>
        <v>0</v>
      </c>
    </row>
    <row r="209" spans="1:4">
      <c r="A209" s="658">
        <v>101382</v>
      </c>
      <c r="B209" s="659" t="s">
        <v>1167</v>
      </c>
      <c r="C209" s="660">
        <f>SUMIF('IND AS entries 22-23'!B:B,'IND AS_TB18-19'!A209,'IND AS entries 22-23'!D:D)</f>
        <v>0</v>
      </c>
      <c r="D209" s="660">
        <f>SUMIF('IND AS entries 22-23'!B:B,'IND AS_TB18-19'!A209,'IND AS entries 22-23'!E:E)</f>
        <v>0</v>
      </c>
    </row>
    <row r="210" spans="1:4">
      <c r="A210" s="658">
        <v>101383</v>
      </c>
      <c r="B210" s="659" t="s">
        <v>1168</v>
      </c>
      <c r="C210" s="660">
        <f>SUMIF('IND AS entries 22-23'!B:B,'IND AS_TB18-19'!A210,'IND AS entries 22-23'!D:D)</f>
        <v>0</v>
      </c>
      <c r="D210" s="660">
        <f>SUMIF('IND AS entries 22-23'!B:B,'IND AS_TB18-19'!A210,'IND AS entries 22-23'!E:E)</f>
        <v>0</v>
      </c>
    </row>
    <row r="211" spans="1:4">
      <c r="A211" s="658">
        <v>101384</v>
      </c>
      <c r="B211" s="659" t="s">
        <v>1169</v>
      </c>
      <c r="C211" s="660">
        <f>SUMIF('IND AS entries 22-23'!B:B,'IND AS_TB18-19'!A211,'IND AS entries 22-23'!D:D)</f>
        <v>0</v>
      </c>
      <c r="D211" s="660">
        <f>SUMIF('IND AS entries 22-23'!B:B,'IND AS_TB18-19'!A211,'IND AS entries 22-23'!E:E)</f>
        <v>0</v>
      </c>
    </row>
    <row r="212" spans="1:4">
      <c r="A212" s="658">
        <v>101385</v>
      </c>
      <c r="B212" s="659" t="s">
        <v>1170</v>
      </c>
      <c r="C212" s="660">
        <f>SUMIF('IND AS entries 22-23'!B:B,'IND AS_TB18-19'!A212,'IND AS entries 22-23'!D:D)</f>
        <v>0</v>
      </c>
      <c r="D212" s="660">
        <f>SUMIF('IND AS entries 22-23'!B:B,'IND AS_TB18-19'!A212,'IND AS entries 22-23'!E:E)</f>
        <v>0</v>
      </c>
    </row>
    <row r="213" spans="1:4">
      <c r="A213" s="658">
        <v>101386</v>
      </c>
      <c r="B213" s="659" t="s">
        <v>1171</v>
      </c>
      <c r="C213" s="660">
        <f>SUMIF('IND AS entries 22-23'!B:B,'IND AS_TB18-19'!A213,'IND AS entries 22-23'!D:D)</f>
        <v>0</v>
      </c>
      <c r="D213" s="660">
        <f>SUMIF('IND AS entries 22-23'!B:B,'IND AS_TB18-19'!A213,'IND AS entries 22-23'!E:E)</f>
        <v>0</v>
      </c>
    </row>
    <row r="214" spans="1:4">
      <c r="A214" s="658">
        <v>101388</v>
      </c>
      <c r="B214" s="659" t="s">
        <v>1173</v>
      </c>
      <c r="C214" s="660">
        <f>SUMIF('IND AS entries 22-23'!B:B,'IND AS_TB18-19'!A214,'IND AS entries 22-23'!D:D)</f>
        <v>0</v>
      </c>
      <c r="D214" s="660">
        <f>SUMIF('IND AS entries 22-23'!B:B,'IND AS_TB18-19'!A214,'IND AS entries 22-23'!E:E)</f>
        <v>0</v>
      </c>
    </row>
    <row r="215" spans="1:4">
      <c r="A215" s="658">
        <v>101389</v>
      </c>
      <c r="B215" s="659" t="s">
        <v>1174</v>
      </c>
      <c r="C215" s="660">
        <f>SUMIF('IND AS entries 22-23'!B:B,'IND AS_TB18-19'!A215,'IND AS entries 22-23'!D:D)</f>
        <v>0</v>
      </c>
      <c r="D215" s="660">
        <f>SUMIF('IND AS entries 22-23'!B:B,'IND AS_TB18-19'!A215,'IND AS entries 22-23'!E:E)</f>
        <v>0</v>
      </c>
    </row>
    <row r="216" spans="1:4">
      <c r="A216" s="658">
        <v>101390</v>
      </c>
      <c r="B216" s="659" t="s">
        <v>1175</v>
      </c>
      <c r="C216" s="660">
        <f>SUMIF('IND AS entries 22-23'!B:B,'IND AS_TB18-19'!A216,'IND AS entries 22-23'!D:D)</f>
        <v>0</v>
      </c>
      <c r="D216" s="660">
        <f>SUMIF('IND AS entries 22-23'!B:B,'IND AS_TB18-19'!A216,'IND AS entries 22-23'!E:E)</f>
        <v>0</v>
      </c>
    </row>
    <row r="217" spans="1:4">
      <c r="A217" s="658">
        <v>101391</v>
      </c>
      <c r="B217" s="659" t="s">
        <v>1176</v>
      </c>
      <c r="C217" s="660">
        <f>SUMIF('IND AS entries 22-23'!B:B,'IND AS_TB18-19'!A217,'IND AS entries 22-23'!D:D)</f>
        <v>0</v>
      </c>
      <c r="D217" s="660">
        <f>SUMIF('IND AS entries 22-23'!B:B,'IND AS_TB18-19'!A217,'IND AS entries 22-23'!E:E)</f>
        <v>0</v>
      </c>
    </row>
    <row r="218" spans="1:4">
      <c r="A218" s="658">
        <v>101392</v>
      </c>
      <c r="B218" s="659" t="s">
        <v>1177</v>
      </c>
      <c r="C218" s="660">
        <f>SUMIF('IND AS entries 22-23'!B:B,'IND AS_TB18-19'!A218,'IND AS entries 22-23'!D:D)</f>
        <v>0</v>
      </c>
      <c r="D218" s="660">
        <f>SUMIF('IND AS entries 22-23'!B:B,'IND AS_TB18-19'!A218,'IND AS entries 22-23'!E:E)</f>
        <v>0</v>
      </c>
    </row>
    <row r="219" spans="1:4">
      <c r="A219" s="658">
        <v>101393</v>
      </c>
      <c r="B219" s="659" t="s">
        <v>1178</v>
      </c>
      <c r="C219" s="660">
        <f>SUMIF('IND AS entries 22-23'!B:B,'IND AS_TB18-19'!A219,'IND AS entries 22-23'!D:D)</f>
        <v>0</v>
      </c>
      <c r="D219" s="660">
        <f>SUMIF('IND AS entries 22-23'!B:B,'IND AS_TB18-19'!A219,'IND AS entries 22-23'!E:E)</f>
        <v>0</v>
      </c>
    </row>
    <row r="220" spans="1:4">
      <c r="A220" s="658">
        <v>101394</v>
      </c>
      <c r="B220" s="659" t="s">
        <v>1179</v>
      </c>
      <c r="C220" s="660">
        <f>SUMIF('IND AS entries 22-23'!B:B,'IND AS_TB18-19'!A220,'IND AS entries 22-23'!D:D)</f>
        <v>0</v>
      </c>
      <c r="D220" s="660">
        <f>SUMIF('IND AS entries 22-23'!B:B,'IND AS_TB18-19'!A220,'IND AS entries 22-23'!E:E)</f>
        <v>0</v>
      </c>
    </row>
    <row r="221" spans="1:4">
      <c r="A221" s="658">
        <v>101395</v>
      </c>
      <c r="B221" s="659" t="s">
        <v>1180</v>
      </c>
      <c r="C221" s="660">
        <f>SUMIF('IND AS entries 22-23'!B:B,'IND AS_TB18-19'!A221,'IND AS entries 22-23'!D:D)</f>
        <v>0</v>
      </c>
      <c r="D221" s="660">
        <f>SUMIF('IND AS entries 22-23'!B:B,'IND AS_TB18-19'!A221,'IND AS entries 22-23'!E:E)</f>
        <v>0</v>
      </c>
    </row>
    <row r="222" spans="1:4">
      <c r="A222" s="658">
        <v>101396</v>
      </c>
      <c r="B222" s="659" t="s">
        <v>1181</v>
      </c>
      <c r="C222" s="660">
        <f>SUMIF('IND AS entries 22-23'!B:B,'IND AS_TB18-19'!A222,'IND AS entries 22-23'!D:D)</f>
        <v>0</v>
      </c>
      <c r="D222" s="660">
        <f>SUMIF('IND AS entries 22-23'!B:B,'IND AS_TB18-19'!A222,'IND AS entries 22-23'!E:E)</f>
        <v>0</v>
      </c>
    </row>
    <row r="223" spans="1:4">
      <c r="A223" s="658">
        <v>101397</v>
      </c>
      <c r="B223" s="659" t="s">
        <v>1182</v>
      </c>
      <c r="C223" s="660">
        <f>SUMIF('IND AS entries 22-23'!B:B,'IND AS_TB18-19'!A223,'IND AS entries 22-23'!D:D)</f>
        <v>0</v>
      </c>
      <c r="D223" s="660">
        <f>SUMIF('IND AS entries 22-23'!B:B,'IND AS_TB18-19'!A223,'IND AS entries 22-23'!E:E)</f>
        <v>0</v>
      </c>
    </row>
    <row r="224" spans="1:4">
      <c r="A224" s="658">
        <v>101398</v>
      </c>
      <c r="B224" s="659" t="s">
        <v>1183</v>
      </c>
      <c r="C224" s="660">
        <f>SUMIF('IND AS entries 22-23'!B:B,'IND AS_TB18-19'!A224,'IND AS entries 22-23'!D:D)</f>
        <v>0</v>
      </c>
      <c r="D224" s="660">
        <f>SUMIF('IND AS entries 22-23'!B:B,'IND AS_TB18-19'!A224,'IND AS entries 22-23'!E:E)</f>
        <v>0</v>
      </c>
    </row>
    <row r="225" spans="1:4">
      <c r="A225" s="658">
        <v>101399</v>
      </c>
      <c r="B225" s="659" t="s">
        <v>567</v>
      </c>
      <c r="C225" s="660">
        <f>SUMIF('IND AS entries 22-23'!B:B,'IND AS_TB18-19'!A225,'IND AS entries 22-23'!D:D)</f>
        <v>0</v>
      </c>
      <c r="D225" s="660">
        <f>SUMIF('IND AS entries 22-23'!B:B,'IND AS_TB18-19'!A225,'IND AS entries 22-23'!E:E)</f>
        <v>0</v>
      </c>
    </row>
    <row r="226" spans="1:4">
      <c r="A226" s="658">
        <v>101400</v>
      </c>
      <c r="B226" s="661" t="s">
        <v>1184</v>
      </c>
      <c r="C226" s="660">
        <f>SUMIF('IND AS entries 22-23'!B:B,'IND AS_TB18-19'!A226,'IND AS entries 22-23'!D:D)</f>
        <v>0</v>
      </c>
      <c r="D226" s="660">
        <f>SUMIF('IND AS entries 22-23'!B:B,'IND AS_TB18-19'!A226,'IND AS entries 22-23'!E:E)</f>
        <v>0</v>
      </c>
    </row>
    <row r="227" spans="1:4">
      <c r="A227" s="658">
        <v>101410</v>
      </c>
      <c r="B227" s="659" t="s">
        <v>1185</v>
      </c>
      <c r="C227" s="660">
        <f>SUMIF('IND AS entries 22-23'!B:B,'IND AS_TB18-19'!A227,'IND AS entries 22-23'!D:D)</f>
        <v>0</v>
      </c>
      <c r="D227" s="660">
        <f>SUMIF('IND AS entries 22-23'!B:B,'IND AS_TB18-19'!A227,'IND AS entries 22-23'!E:E)</f>
        <v>0</v>
      </c>
    </row>
    <row r="228" spans="1:4">
      <c r="A228" s="658">
        <v>101415</v>
      </c>
      <c r="B228" s="659" t="s">
        <v>1186</v>
      </c>
      <c r="C228" s="660">
        <f>SUMIF('IND AS entries 22-23'!B:B,'IND AS_TB18-19'!A228,'IND AS entries 22-23'!D:D)</f>
        <v>0</v>
      </c>
      <c r="D228" s="660">
        <f>SUMIF('IND AS entries 22-23'!B:B,'IND AS_TB18-19'!A228,'IND AS entries 22-23'!E:E)</f>
        <v>0</v>
      </c>
    </row>
    <row r="229" spans="1:4">
      <c r="A229" s="658">
        <v>101416</v>
      </c>
      <c r="B229" s="659" t="s">
        <v>1187</v>
      </c>
      <c r="C229" s="660">
        <f>SUMIF('IND AS entries 22-23'!B:B,'IND AS_TB18-19'!A229,'IND AS entries 22-23'!D:D)</f>
        <v>0</v>
      </c>
      <c r="D229" s="660">
        <f>SUMIF('IND AS entries 22-23'!B:B,'IND AS_TB18-19'!A229,'IND AS entries 22-23'!E:E)</f>
        <v>0</v>
      </c>
    </row>
    <row r="230" spans="1:4">
      <c r="A230" s="658">
        <v>101417</v>
      </c>
      <c r="B230" s="659" t="s">
        <v>1188</v>
      </c>
      <c r="C230" s="660">
        <f>SUMIF('IND AS entries 22-23'!B:B,'IND AS_TB18-19'!A230,'IND AS entries 22-23'!D:D)</f>
        <v>0</v>
      </c>
      <c r="D230" s="660">
        <f>SUMIF('IND AS entries 22-23'!B:B,'IND AS_TB18-19'!A230,'IND AS entries 22-23'!E:E)</f>
        <v>0</v>
      </c>
    </row>
    <row r="231" spans="1:4">
      <c r="A231" s="658">
        <v>101418</v>
      </c>
      <c r="B231" s="659" t="s">
        <v>1189</v>
      </c>
      <c r="C231" s="660">
        <f>SUMIF('IND AS entries 22-23'!B:B,'IND AS_TB18-19'!A231,'IND AS entries 22-23'!D:D)</f>
        <v>0</v>
      </c>
      <c r="D231" s="660">
        <f>SUMIF('IND AS entries 22-23'!B:B,'IND AS_TB18-19'!A231,'IND AS entries 22-23'!E:E)</f>
        <v>0</v>
      </c>
    </row>
    <row r="232" spans="1:4">
      <c r="A232" s="658">
        <v>101420</v>
      </c>
      <c r="B232" s="659" t="s">
        <v>1190</v>
      </c>
      <c r="C232" s="660">
        <f>SUMIF('IND AS entries 22-23'!B:B,'IND AS_TB18-19'!A232,'IND AS entries 22-23'!D:D)</f>
        <v>0</v>
      </c>
      <c r="D232" s="660">
        <f>SUMIF('IND AS entries 22-23'!B:B,'IND AS_TB18-19'!A232,'IND AS entries 22-23'!E:E)</f>
        <v>0</v>
      </c>
    </row>
    <row r="233" spans="1:4">
      <c r="A233" s="658">
        <v>101421</v>
      </c>
      <c r="B233" s="659" t="s">
        <v>1191</v>
      </c>
      <c r="C233" s="660">
        <f>SUMIF('IND AS entries 22-23'!B:B,'IND AS_TB18-19'!A233,'IND AS entries 22-23'!D:D)</f>
        <v>0</v>
      </c>
      <c r="D233" s="660">
        <f>SUMIF('IND AS entries 22-23'!B:B,'IND AS_TB18-19'!A233,'IND AS entries 22-23'!E:E)</f>
        <v>0</v>
      </c>
    </row>
    <row r="234" spans="1:4">
      <c r="A234" s="658">
        <v>101425</v>
      </c>
      <c r="B234" s="659" t="s">
        <v>1192</v>
      </c>
      <c r="C234" s="660">
        <f>SUMIF('IND AS entries 22-23'!B:B,'IND AS_TB18-19'!A234,'IND AS entries 22-23'!D:D)</f>
        <v>0</v>
      </c>
      <c r="D234" s="660">
        <f>SUMIF('IND AS entries 22-23'!B:B,'IND AS_TB18-19'!A234,'IND AS entries 22-23'!E:E)</f>
        <v>0</v>
      </c>
    </row>
    <row r="235" spans="1:4">
      <c r="A235" s="658">
        <v>101430</v>
      </c>
      <c r="B235" s="659" t="s">
        <v>1193</v>
      </c>
      <c r="C235" s="660">
        <f>SUMIF('IND AS entries 22-23'!B:B,'IND AS_TB18-19'!A235,'IND AS entries 22-23'!D:D)</f>
        <v>0</v>
      </c>
      <c r="D235" s="660">
        <f>SUMIF('IND AS entries 22-23'!B:B,'IND AS_TB18-19'!A235,'IND AS entries 22-23'!E:E)</f>
        <v>0</v>
      </c>
    </row>
    <row r="236" spans="1:4">
      <c r="A236" s="658">
        <v>101435</v>
      </c>
      <c r="B236" s="659" t="s">
        <v>1194</v>
      </c>
      <c r="C236" s="660">
        <f>SUMIF('IND AS entries 22-23'!B:B,'IND AS_TB18-19'!A236,'IND AS entries 22-23'!D:D)</f>
        <v>0</v>
      </c>
      <c r="D236" s="660">
        <f>SUMIF('IND AS entries 22-23'!B:B,'IND AS_TB18-19'!A236,'IND AS entries 22-23'!E:E)</f>
        <v>0</v>
      </c>
    </row>
    <row r="237" spans="1:4">
      <c r="A237" s="658">
        <v>101436</v>
      </c>
      <c r="B237" s="659" t="s">
        <v>1195</v>
      </c>
      <c r="C237" s="660">
        <f>SUMIF('IND AS entries 22-23'!B:B,'IND AS_TB18-19'!A237,'IND AS entries 22-23'!D:D)</f>
        <v>0</v>
      </c>
      <c r="D237" s="660">
        <f>SUMIF('IND AS entries 22-23'!B:B,'IND AS_TB18-19'!A237,'IND AS entries 22-23'!E:E)</f>
        <v>0</v>
      </c>
    </row>
    <row r="238" spans="1:4">
      <c r="A238" s="658">
        <v>101437</v>
      </c>
      <c r="B238" s="659" t="s">
        <v>1196</v>
      </c>
      <c r="C238" s="660">
        <f>SUMIF('IND AS entries 22-23'!B:B,'IND AS_TB18-19'!A238,'IND AS entries 22-23'!D:D)</f>
        <v>0</v>
      </c>
      <c r="D238" s="660">
        <f>SUMIF('IND AS entries 22-23'!B:B,'IND AS_TB18-19'!A238,'IND AS entries 22-23'!E:E)</f>
        <v>0</v>
      </c>
    </row>
    <row r="239" spans="1:4">
      <c r="A239" s="658">
        <v>101438</v>
      </c>
      <c r="B239" s="659" t="s">
        <v>1197</v>
      </c>
      <c r="C239" s="660">
        <f>SUMIF('IND AS entries 22-23'!B:B,'IND AS_TB18-19'!A239,'IND AS entries 22-23'!D:D)</f>
        <v>0</v>
      </c>
      <c r="D239" s="660">
        <f>SUMIF('IND AS entries 22-23'!B:B,'IND AS_TB18-19'!A239,'IND AS entries 22-23'!E:E)</f>
        <v>0</v>
      </c>
    </row>
    <row r="240" spans="1:4">
      <c r="A240" s="658">
        <v>101439</v>
      </c>
      <c r="B240" s="659" t="s">
        <v>1198</v>
      </c>
      <c r="C240" s="660">
        <f>SUMIF('IND AS entries 22-23'!B:B,'IND AS_TB18-19'!A240,'IND AS entries 22-23'!D:D)</f>
        <v>0</v>
      </c>
      <c r="D240" s="660">
        <f>SUMIF('IND AS entries 22-23'!B:B,'IND AS_TB18-19'!A240,'IND AS entries 22-23'!E:E)</f>
        <v>0</v>
      </c>
    </row>
    <row r="241" spans="1:4">
      <c r="A241" s="658">
        <v>101440</v>
      </c>
      <c r="B241" s="659" t="s">
        <v>1199</v>
      </c>
      <c r="C241" s="660">
        <f>SUMIF('IND AS entries 22-23'!B:B,'IND AS_TB18-19'!A241,'IND AS entries 22-23'!D:D)</f>
        <v>0</v>
      </c>
      <c r="D241" s="660">
        <f>SUMIF('IND AS entries 22-23'!B:B,'IND AS_TB18-19'!A241,'IND AS entries 22-23'!E:E)</f>
        <v>0</v>
      </c>
    </row>
    <row r="242" spans="1:4">
      <c r="A242" s="658">
        <v>101441</v>
      </c>
      <c r="B242" s="659" t="s">
        <v>1200</v>
      </c>
      <c r="C242" s="660">
        <f>SUMIF('IND AS entries 22-23'!B:B,'IND AS_TB18-19'!A242,'IND AS entries 22-23'!D:D)</f>
        <v>0</v>
      </c>
      <c r="D242" s="660">
        <f>SUMIF('IND AS entries 22-23'!B:B,'IND AS_TB18-19'!A242,'IND AS entries 22-23'!E:E)</f>
        <v>0</v>
      </c>
    </row>
    <row r="243" spans="1:4">
      <c r="A243" s="658">
        <v>101442</v>
      </c>
      <c r="B243" s="659" t="s">
        <v>1201</v>
      </c>
      <c r="C243" s="660">
        <f>SUMIF('IND AS entries 22-23'!B:B,'IND AS_TB18-19'!A243,'IND AS entries 22-23'!D:D)</f>
        <v>0</v>
      </c>
      <c r="D243" s="660">
        <f>SUMIF('IND AS entries 22-23'!B:B,'IND AS_TB18-19'!A243,'IND AS entries 22-23'!E:E)</f>
        <v>0</v>
      </c>
    </row>
    <row r="244" spans="1:4">
      <c r="A244" s="658">
        <v>101443</v>
      </c>
      <c r="B244" s="659" t="s">
        <v>1202</v>
      </c>
      <c r="C244" s="660">
        <f>SUMIF('IND AS entries 22-23'!B:B,'IND AS_TB18-19'!A244,'IND AS entries 22-23'!D:D)</f>
        <v>0</v>
      </c>
      <c r="D244" s="660">
        <f>SUMIF('IND AS entries 22-23'!B:B,'IND AS_TB18-19'!A244,'IND AS entries 22-23'!E:E)</f>
        <v>0</v>
      </c>
    </row>
    <row r="245" spans="1:4">
      <c r="A245" s="658">
        <v>101444</v>
      </c>
      <c r="B245" s="659" t="s">
        <v>1203</v>
      </c>
      <c r="C245" s="660">
        <f>SUMIF('IND AS entries 22-23'!B:B,'IND AS_TB18-19'!A245,'IND AS entries 22-23'!D:D)</f>
        <v>0</v>
      </c>
      <c r="D245" s="660">
        <f>SUMIF('IND AS entries 22-23'!B:B,'IND AS_TB18-19'!A245,'IND AS entries 22-23'!E:E)</f>
        <v>0</v>
      </c>
    </row>
    <row r="246" spans="1:4">
      <c r="A246" s="658">
        <v>101445</v>
      </c>
      <c r="B246" s="659" t="s">
        <v>1204</v>
      </c>
      <c r="C246" s="660">
        <f>SUMIF('IND AS entries 22-23'!B:B,'IND AS_TB18-19'!A246,'IND AS entries 22-23'!D:D)</f>
        <v>0</v>
      </c>
      <c r="D246" s="660">
        <f>SUMIF('IND AS entries 22-23'!B:B,'IND AS_TB18-19'!A246,'IND AS entries 22-23'!E:E)</f>
        <v>0</v>
      </c>
    </row>
    <row r="247" spans="1:4">
      <c r="A247" s="658">
        <v>101475</v>
      </c>
      <c r="B247" s="659" t="s">
        <v>1205</v>
      </c>
      <c r="C247" s="660">
        <f>SUMIF('IND AS entries 22-23'!B:B,'IND AS_TB18-19'!A247,'IND AS entries 22-23'!D:D)</f>
        <v>0</v>
      </c>
      <c r="D247" s="660">
        <f>SUMIF('IND AS entries 22-23'!B:B,'IND AS_TB18-19'!A247,'IND AS entries 22-23'!E:E)</f>
        <v>0</v>
      </c>
    </row>
    <row r="248" spans="1:4">
      <c r="A248" s="658">
        <v>101741</v>
      </c>
      <c r="B248" s="661" t="s">
        <v>1212</v>
      </c>
      <c r="C248" s="660">
        <f>SUMIF('IND AS entries 22-23'!B:B,'IND AS_TB18-19'!A248,'IND AS entries 22-23'!D:D)</f>
        <v>0</v>
      </c>
      <c r="D248" s="660">
        <f>SUMIF('IND AS entries 22-23'!B:B,'IND AS_TB18-19'!A248,'IND AS entries 22-23'!E:E)</f>
        <v>0</v>
      </c>
    </row>
    <row r="249" spans="1:4">
      <c r="A249" s="658">
        <v>101751</v>
      </c>
      <c r="B249" s="661" t="s">
        <v>1213</v>
      </c>
      <c r="C249" s="660">
        <f>SUMIF('IND AS entries 22-23'!B:B,'IND AS_TB18-19'!A249,'IND AS entries 22-23'!D:D)</f>
        <v>0</v>
      </c>
      <c r="D249" s="660">
        <f>SUMIF('IND AS entries 22-23'!B:B,'IND AS_TB18-19'!A249,'IND AS entries 22-23'!E:E)</f>
        <v>0</v>
      </c>
    </row>
    <row r="250" spans="1:4">
      <c r="A250" s="658">
        <v>101780</v>
      </c>
      <c r="B250" s="659" t="s">
        <v>1214</v>
      </c>
      <c r="C250" s="660">
        <f>SUMIF('IND AS entries 22-23'!B:B,'IND AS_TB18-19'!A250,'IND AS entries 22-23'!D:D)</f>
        <v>0</v>
      </c>
      <c r="D250" s="660">
        <f>SUMIF('IND AS entries 22-23'!B:B,'IND AS_TB18-19'!A250,'IND AS entries 22-23'!E:E)</f>
        <v>0</v>
      </c>
    </row>
    <row r="251" spans="1:4">
      <c r="A251" s="658">
        <v>101785</v>
      </c>
      <c r="B251" s="659" t="s">
        <v>1215</v>
      </c>
      <c r="C251" s="660">
        <f>SUMIF('IND AS entries 22-23'!B:B,'IND AS_TB18-19'!A251,'IND AS entries 22-23'!D:D)</f>
        <v>0</v>
      </c>
      <c r="D251" s="660">
        <f>SUMIF('IND AS entries 22-23'!B:B,'IND AS_TB18-19'!A251,'IND AS entries 22-23'!E:E)</f>
        <v>0</v>
      </c>
    </row>
    <row r="252" spans="1:4">
      <c r="A252" s="658">
        <v>101788</v>
      </c>
      <c r="B252" s="659" t="s">
        <v>1216</v>
      </c>
      <c r="C252" s="660">
        <f>SUMIF('IND AS entries 22-23'!B:B,'IND AS_TB18-19'!A252,'IND AS entries 22-23'!D:D)</f>
        <v>0</v>
      </c>
      <c r="D252" s="660">
        <f>SUMIF('IND AS entries 22-23'!B:B,'IND AS_TB18-19'!A252,'IND AS entries 22-23'!E:E)</f>
        <v>0</v>
      </c>
    </row>
    <row r="253" spans="1:4">
      <c r="A253" s="658">
        <v>101789</v>
      </c>
      <c r="B253" s="659" t="s">
        <v>938</v>
      </c>
      <c r="C253" s="660">
        <f>SUMIF('IND AS entries 22-23'!B:B,'IND AS_TB18-19'!A253,'IND AS entries 22-23'!D:D)</f>
        <v>0</v>
      </c>
      <c r="D253" s="660">
        <f>SUMIF('IND AS entries 22-23'!B:B,'IND AS_TB18-19'!A253,'IND AS entries 22-23'!E:E)</f>
        <v>0</v>
      </c>
    </row>
    <row r="254" spans="1:4">
      <c r="A254" s="658">
        <v>101790</v>
      </c>
      <c r="B254" s="659" t="s">
        <v>1217</v>
      </c>
      <c r="C254" s="660">
        <f>SUMIF('IND AS entries 22-23'!B:B,'IND AS_TB18-19'!A254,'IND AS entries 22-23'!D:D)</f>
        <v>0</v>
      </c>
      <c r="D254" s="660">
        <f>SUMIF('IND AS entries 22-23'!B:B,'IND AS_TB18-19'!A254,'IND AS entries 22-23'!E:E)</f>
        <v>0</v>
      </c>
    </row>
    <row r="255" spans="1:4">
      <c r="A255" s="658">
        <v>101791</v>
      </c>
      <c r="B255" s="659" t="s">
        <v>1218</v>
      </c>
      <c r="C255" s="660">
        <f>SUMIF('IND AS entries 22-23'!B:B,'IND AS_TB18-19'!A255,'IND AS entries 22-23'!D:D)</f>
        <v>0</v>
      </c>
      <c r="D255" s="660">
        <f>SUMIF('IND AS entries 22-23'!B:B,'IND AS_TB18-19'!A255,'IND AS entries 22-23'!E:E)</f>
        <v>0</v>
      </c>
    </row>
    <row r="256" spans="1:4">
      <c r="A256" s="658">
        <v>101792</v>
      </c>
      <c r="B256" s="659" t="s">
        <v>1219</v>
      </c>
      <c r="C256" s="660">
        <f>SUMIF('IND AS entries 22-23'!B:B,'IND AS_TB18-19'!A256,'IND AS entries 22-23'!D:D)</f>
        <v>0</v>
      </c>
      <c r="D256" s="660">
        <f>SUMIF('IND AS entries 22-23'!B:B,'IND AS_TB18-19'!A256,'IND AS entries 22-23'!E:E)</f>
        <v>0</v>
      </c>
    </row>
    <row r="257" spans="1:4">
      <c r="A257" s="658">
        <v>101793</v>
      </c>
      <c r="B257" s="659" t="s">
        <v>1221</v>
      </c>
      <c r="C257" s="660">
        <f>SUMIF('IND AS entries 22-23'!B:B,'IND AS_TB18-19'!A257,'IND AS entries 22-23'!D:D)</f>
        <v>0</v>
      </c>
      <c r="D257" s="660">
        <f>SUMIF('IND AS entries 22-23'!B:B,'IND AS_TB18-19'!A257,'IND AS entries 22-23'!E:E)</f>
        <v>0</v>
      </c>
    </row>
    <row r="258" spans="1:4">
      <c r="A258" s="658">
        <v>101794</v>
      </c>
      <c r="B258" s="659" t="s">
        <v>1222</v>
      </c>
      <c r="C258" s="660">
        <f>SUMIF('IND AS entries 22-23'!B:B,'IND AS_TB18-19'!A258,'IND AS entries 22-23'!D:D)</f>
        <v>0</v>
      </c>
      <c r="D258" s="660">
        <f>SUMIF('IND AS entries 22-23'!B:B,'IND AS_TB18-19'!A258,'IND AS entries 22-23'!E:E)</f>
        <v>0</v>
      </c>
    </row>
    <row r="259" spans="1:4">
      <c r="A259" s="658">
        <v>101795</v>
      </c>
      <c r="B259" s="659" t="s">
        <v>1223</v>
      </c>
      <c r="C259" s="660">
        <f>SUMIF('IND AS entries 22-23'!B:B,'IND AS_TB18-19'!A259,'IND AS entries 22-23'!D:D)</f>
        <v>0</v>
      </c>
      <c r="D259" s="660">
        <f>SUMIF('IND AS entries 22-23'!B:B,'IND AS_TB18-19'!A259,'IND AS entries 22-23'!E:E)</f>
        <v>0</v>
      </c>
    </row>
    <row r="260" spans="1:4">
      <c r="A260" s="658">
        <v>101796</v>
      </c>
      <c r="B260" s="659" t="s">
        <v>1224</v>
      </c>
      <c r="C260" s="660">
        <f>SUMIF('IND AS entries 22-23'!B:B,'IND AS_TB18-19'!A260,'IND AS entries 22-23'!D:D)</f>
        <v>0</v>
      </c>
      <c r="D260" s="660">
        <f>SUMIF('IND AS entries 22-23'!B:B,'IND AS_TB18-19'!A260,'IND AS entries 22-23'!E:E)</f>
        <v>0</v>
      </c>
    </row>
    <row r="261" spans="1:4">
      <c r="A261" s="658">
        <v>101797</v>
      </c>
      <c r="B261" s="659" t="s">
        <v>1225</v>
      </c>
      <c r="C261" s="660">
        <f>SUMIF('IND AS entries 22-23'!B:B,'IND AS_TB18-19'!A261,'IND AS entries 22-23'!D:D)</f>
        <v>0</v>
      </c>
      <c r="D261" s="660">
        <f>SUMIF('IND AS entries 22-23'!B:B,'IND AS_TB18-19'!A261,'IND AS entries 22-23'!E:E)</f>
        <v>0</v>
      </c>
    </row>
    <row r="262" spans="1:4">
      <c r="A262" s="658">
        <v>101798</v>
      </c>
      <c r="B262" s="659" t="s">
        <v>621</v>
      </c>
      <c r="C262" s="660">
        <f>SUMIF('IND AS entries 22-23'!B:B,'IND AS_TB18-19'!A262,'IND AS entries 22-23'!D:D)</f>
        <v>0</v>
      </c>
      <c r="D262" s="660">
        <f>SUMIF('IND AS entries 22-23'!B:B,'IND AS_TB18-19'!A262,'IND AS entries 22-23'!E:E)</f>
        <v>0</v>
      </c>
    </row>
    <row r="263" spans="1:4">
      <c r="A263" s="658">
        <v>101799</v>
      </c>
      <c r="B263" s="659" t="s">
        <v>1226</v>
      </c>
      <c r="C263" s="660">
        <f>SUMIF('IND AS entries 22-23'!B:B,'IND AS_TB18-19'!A263,'IND AS entries 22-23'!D:D)</f>
        <v>0</v>
      </c>
      <c r="D263" s="660">
        <f>SUMIF('IND AS entries 22-23'!B:B,'IND AS_TB18-19'!A263,'IND AS entries 22-23'!E:E)</f>
        <v>0</v>
      </c>
    </row>
    <row r="264" spans="1:4">
      <c r="A264" s="658">
        <v>101801</v>
      </c>
      <c r="B264" s="659" t="s">
        <v>1228</v>
      </c>
      <c r="C264" s="660">
        <f>SUMIF('IND AS entries 22-23'!B:B,'IND AS_TB18-19'!A264,'IND AS entries 22-23'!D:D)</f>
        <v>0</v>
      </c>
      <c r="D264" s="660">
        <f>SUMIF('IND AS entries 22-23'!B:B,'IND AS_TB18-19'!A264,'IND AS entries 22-23'!E:E)</f>
        <v>0</v>
      </c>
    </row>
    <row r="265" spans="1:4">
      <c r="A265" s="658">
        <v>101803</v>
      </c>
      <c r="B265" s="661" t="s">
        <v>1230</v>
      </c>
      <c r="C265" s="660">
        <f>SUMIF('IND AS entries 22-23'!B:B,'IND AS_TB18-19'!A265,'IND AS entries 22-23'!D:D)</f>
        <v>0</v>
      </c>
      <c r="D265" s="660">
        <f>SUMIF('IND AS entries 22-23'!B:B,'IND AS_TB18-19'!A265,'IND AS entries 22-23'!E:E)</f>
        <v>0</v>
      </c>
    </row>
    <row r="266" spans="1:4">
      <c r="A266" s="658">
        <v>101804</v>
      </c>
      <c r="B266" s="661" t="s">
        <v>1231</v>
      </c>
      <c r="C266" s="660">
        <f>SUMIF('IND AS entries 22-23'!B:B,'IND AS_TB18-19'!A266,'IND AS entries 22-23'!D:D)</f>
        <v>0</v>
      </c>
      <c r="D266" s="660">
        <f>SUMIF('IND AS entries 22-23'!B:B,'IND AS_TB18-19'!A266,'IND AS entries 22-23'!E:E)</f>
        <v>0</v>
      </c>
    </row>
    <row r="267" spans="1:4">
      <c r="A267" s="658">
        <v>101806</v>
      </c>
      <c r="B267" s="661" t="s">
        <v>1232</v>
      </c>
      <c r="C267" s="660">
        <f>SUMIF('IND AS entries 22-23'!B:B,'IND AS_TB18-19'!A267,'IND AS entries 22-23'!D:D)</f>
        <v>0</v>
      </c>
      <c r="D267" s="660">
        <f>SUMIF('IND AS entries 22-23'!B:B,'IND AS_TB18-19'!A267,'IND AS entries 22-23'!E:E)</f>
        <v>0</v>
      </c>
    </row>
    <row r="268" spans="1:4">
      <c r="A268" s="658">
        <v>101807</v>
      </c>
      <c r="B268" s="661" t="s">
        <v>1233</v>
      </c>
      <c r="C268" s="660">
        <f>SUMIF('IND AS entries 22-23'!B:B,'IND AS_TB18-19'!A268,'IND AS entries 22-23'!D:D)</f>
        <v>0</v>
      </c>
      <c r="D268" s="660">
        <f>SUMIF('IND AS entries 22-23'!B:B,'IND AS_TB18-19'!A268,'IND AS entries 22-23'!E:E)</f>
        <v>0</v>
      </c>
    </row>
    <row r="269" spans="1:4">
      <c r="A269" s="658">
        <v>101811</v>
      </c>
      <c r="B269" s="659" t="s">
        <v>1236</v>
      </c>
      <c r="C269" s="660">
        <f>SUMIF('IND AS entries 22-23'!B:B,'IND AS_TB18-19'!A269,'IND AS entries 22-23'!D:D)</f>
        <v>0</v>
      </c>
      <c r="D269" s="660">
        <f>SUMIF('IND AS entries 22-23'!B:B,'IND AS_TB18-19'!A269,'IND AS entries 22-23'!E:E)</f>
        <v>0</v>
      </c>
    </row>
    <row r="270" spans="1:4">
      <c r="A270" s="658">
        <v>101812</v>
      </c>
      <c r="B270" s="659" t="s">
        <v>1237</v>
      </c>
      <c r="C270" s="660">
        <f>SUMIF('IND AS entries 22-23'!B:B,'IND AS_TB18-19'!A270,'IND AS entries 22-23'!D:D)</f>
        <v>0</v>
      </c>
      <c r="D270" s="660">
        <f>SUMIF('IND AS entries 22-23'!B:B,'IND AS_TB18-19'!A270,'IND AS entries 22-23'!E:E)</f>
        <v>0</v>
      </c>
    </row>
    <row r="271" spans="1:4">
      <c r="A271" s="658">
        <v>101813</v>
      </c>
      <c r="B271" s="659" t="s">
        <v>1238</v>
      </c>
      <c r="C271" s="660">
        <f>SUMIF('IND AS entries 22-23'!B:B,'IND AS_TB18-19'!A271,'IND AS entries 22-23'!D:D)</f>
        <v>0</v>
      </c>
      <c r="D271" s="660">
        <f>SUMIF('IND AS entries 22-23'!B:B,'IND AS_TB18-19'!A271,'IND AS entries 22-23'!E:E)</f>
        <v>0</v>
      </c>
    </row>
    <row r="272" spans="1:4">
      <c r="A272" s="658">
        <v>101814</v>
      </c>
      <c r="B272" s="659" t="s">
        <v>1239</v>
      </c>
      <c r="C272" s="660">
        <f>SUMIF('IND AS entries 22-23'!B:B,'IND AS_TB18-19'!A272,'IND AS entries 22-23'!D:D)</f>
        <v>0</v>
      </c>
      <c r="D272" s="660">
        <f>SUMIF('IND AS entries 22-23'!B:B,'IND AS_TB18-19'!A272,'IND AS entries 22-23'!E:E)</f>
        <v>0</v>
      </c>
    </row>
    <row r="273" spans="1:4">
      <c r="A273" s="658">
        <v>101815</v>
      </c>
      <c r="B273" s="659" t="s">
        <v>1240</v>
      </c>
      <c r="C273" s="660">
        <f>SUMIF('IND AS entries 22-23'!B:B,'IND AS_TB18-19'!A273,'IND AS entries 22-23'!D:D)</f>
        <v>0</v>
      </c>
      <c r="D273" s="660">
        <f>SUMIF('IND AS entries 22-23'!B:B,'IND AS_TB18-19'!A273,'IND AS entries 22-23'!E:E)</f>
        <v>0</v>
      </c>
    </row>
    <row r="274" spans="1:4">
      <c r="A274" s="658">
        <v>101816</v>
      </c>
      <c r="B274" s="659" t="s">
        <v>1241</v>
      </c>
      <c r="C274" s="660">
        <f>SUMIF('IND AS entries 22-23'!B:B,'IND AS_TB18-19'!A274,'IND AS entries 22-23'!D:D)</f>
        <v>0</v>
      </c>
      <c r="D274" s="660">
        <f>SUMIF('IND AS entries 22-23'!B:B,'IND AS_TB18-19'!A274,'IND AS entries 22-23'!E:E)</f>
        <v>0</v>
      </c>
    </row>
    <row r="275" spans="1:4">
      <c r="A275" s="658">
        <v>101872</v>
      </c>
      <c r="B275" s="659" t="s">
        <v>1242</v>
      </c>
      <c r="C275" s="660">
        <f>SUMIF('IND AS entries 22-23'!B:B,'IND AS_TB18-19'!A275,'IND AS entries 22-23'!D:D)</f>
        <v>0</v>
      </c>
      <c r="D275" s="660">
        <f>SUMIF('IND AS entries 22-23'!B:B,'IND AS_TB18-19'!A275,'IND AS entries 22-23'!E:E)</f>
        <v>0</v>
      </c>
    </row>
    <row r="276" spans="1:4">
      <c r="A276" s="658">
        <v>101873</v>
      </c>
      <c r="B276" s="659" t="s">
        <v>1532</v>
      </c>
      <c r="C276" s="660">
        <f>SUMIF('IND AS entries 22-23'!B:B,'IND AS_TB18-19'!A276,'IND AS entries 22-23'!D:D)</f>
        <v>0</v>
      </c>
      <c r="D276" s="660">
        <f>SUMIF('IND AS entries 22-23'!B:B,'IND AS_TB18-19'!A276,'IND AS entries 22-23'!E:E)</f>
        <v>0</v>
      </c>
    </row>
    <row r="277" spans="1:4">
      <c r="A277" s="658">
        <v>101817</v>
      </c>
      <c r="B277" s="659" t="s">
        <v>1243</v>
      </c>
      <c r="C277" s="660">
        <f>SUMIF('IND AS entries 22-23'!B:B,'IND AS_TB18-19'!A277,'IND AS entries 22-23'!D:D)</f>
        <v>0</v>
      </c>
      <c r="D277" s="660">
        <f>SUMIF('IND AS entries 22-23'!B:B,'IND AS_TB18-19'!A277,'IND AS entries 22-23'!E:E)</f>
        <v>0</v>
      </c>
    </row>
    <row r="278" spans="1:4">
      <c r="A278" s="658">
        <v>101818</v>
      </c>
      <c r="B278" s="659" t="s">
        <v>1244</v>
      </c>
      <c r="C278" s="660">
        <f>SUMIF('IND AS entries 22-23'!B:B,'IND AS_TB18-19'!A278,'IND AS entries 22-23'!D:D)</f>
        <v>0</v>
      </c>
      <c r="D278" s="660">
        <f>SUMIF('IND AS entries 22-23'!B:B,'IND AS_TB18-19'!A278,'IND AS entries 22-23'!E:E)</f>
        <v>0</v>
      </c>
    </row>
    <row r="279" spans="1:4">
      <c r="A279" s="658">
        <v>101819</v>
      </c>
      <c r="B279" s="659" t="s">
        <v>1245</v>
      </c>
      <c r="C279" s="660">
        <f>SUMIF('IND AS entries 22-23'!B:B,'IND AS_TB18-19'!A279,'IND AS entries 22-23'!D:D)</f>
        <v>0</v>
      </c>
      <c r="D279" s="660">
        <f>SUMIF('IND AS entries 22-23'!B:B,'IND AS_TB18-19'!A279,'IND AS entries 22-23'!E:E)</f>
        <v>0</v>
      </c>
    </row>
    <row r="280" spans="1:4">
      <c r="A280" s="658">
        <v>101820</v>
      </c>
      <c r="B280" s="659" t="s">
        <v>1246</v>
      </c>
      <c r="C280" s="660">
        <f>SUMIF('IND AS entries 22-23'!B:B,'IND AS_TB18-19'!A280,'IND AS entries 22-23'!D:D)</f>
        <v>0</v>
      </c>
      <c r="D280" s="660">
        <f>SUMIF('IND AS entries 22-23'!B:B,'IND AS_TB18-19'!A280,'IND AS entries 22-23'!E:E)</f>
        <v>0</v>
      </c>
    </row>
    <row r="281" spans="1:4">
      <c r="A281" s="658">
        <v>101821</v>
      </c>
      <c r="B281" s="659" t="s">
        <v>1247</v>
      </c>
      <c r="C281" s="660">
        <f>SUMIF('IND AS entries 22-23'!B:B,'IND AS_TB18-19'!A281,'IND AS entries 22-23'!D:D)</f>
        <v>0</v>
      </c>
      <c r="D281" s="660">
        <f>SUMIF('IND AS entries 22-23'!B:B,'IND AS_TB18-19'!A281,'IND AS entries 22-23'!E:E)</f>
        <v>0</v>
      </c>
    </row>
    <row r="282" spans="1:4">
      <c r="A282" s="658">
        <v>101822</v>
      </c>
      <c r="B282" s="659" t="s">
        <v>1248</v>
      </c>
      <c r="C282" s="660">
        <f>SUMIF('IND AS entries 22-23'!B:B,'IND AS_TB18-19'!A282,'IND AS entries 22-23'!D:D)</f>
        <v>0</v>
      </c>
      <c r="D282" s="660">
        <f>SUMIF('IND AS entries 22-23'!B:B,'IND AS_TB18-19'!A282,'IND AS entries 22-23'!E:E)</f>
        <v>0</v>
      </c>
    </row>
    <row r="283" spans="1:4">
      <c r="A283" s="658">
        <v>101823</v>
      </c>
      <c r="B283" s="659" t="s">
        <v>1249</v>
      </c>
      <c r="C283" s="660">
        <f>SUMIF('IND AS entries 22-23'!B:B,'IND AS_TB18-19'!A283,'IND AS entries 22-23'!D:D)</f>
        <v>0</v>
      </c>
      <c r="D283" s="660">
        <f>SUMIF('IND AS entries 22-23'!B:B,'IND AS_TB18-19'!A283,'IND AS entries 22-23'!E:E)</f>
        <v>0</v>
      </c>
    </row>
    <row r="284" spans="1:4">
      <c r="A284" s="658">
        <v>101824</v>
      </c>
      <c r="B284" s="659" t="s">
        <v>1250</v>
      </c>
      <c r="C284" s="660">
        <f>SUMIF('IND AS entries 22-23'!B:B,'IND AS_TB18-19'!A284,'IND AS entries 22-23'!D:D)</f>
        <v>0</v>
      </c>
      <c r="D284" s="660">
        <f>SUMIF('IND AS entries 22-23'!B:B,'IND AS_TB18-19'!A284,'IND AS entries 22-23'!E:E)</f>
        <v>0</v>
      </c>
    </row>
    <row r="285" spans="1:4">
      <c r="A285" s="658">
        <v>101825</v>
      </c>
      <c r="B285" s="659" t="s">
        <v>1251</v>
      </c>
      <c r="C285" s="660">
        <f>SUMIF('IND AS entries 22-23'!B:B,'IND AS_TB18-19'!A285,'IND AS entries 22-23'!D:D)</f>
        <v>0</v>
      </c>
      <c r="D285" s="660">
        <f>SUMIF('IND AS entries 22-23'!B:B,'IND AS_TB18-19'!A285,'IND AS entries 22-23'!E:E)</f>
        <v>0</v>
      </c>
    </row>
    <row r="286" spans="1:4">
      <c r="A286" s="658">
        <v>101826</v>
      </c>
      <c r="B286" s="659" t="s">
        <v>1252</v>
      </c>
      <c r="C286" s="660">
        <f>SUMIF('IND AS entries 22-23'!B:B,'IND AS_TB18-19'!A286,'IND AS entries 22-23'!D:D)</f>
        <v>0</v>
      </c>
      <c r="D286" s="660">
        <f>SUMIF('IND AS entries 22-23'!B:B,'IND AS_TB18-19'!A286,'IND AS entries 22-23'!E:E)</f>
        <v>0</v>
      </c>
    </row>
    <row r="287" spans="1:4">
      <c r="A287" s="658">
        <v>101827</v>
      </c>
      <c r="B287" s="659" t="s">
        <v>1253</v>
      </c>
      <c r="C287" s="660">
        <f>SUMIF('IND AS entries 22-23'!B:B,'IND AS_TB18-19'!A287,'IND AS entries 22-23'!D:D)</f>
        <v>0</v>
      </c>
      <c r="D287" s="660">
        <f>SUMIF('IND AS entries 22-23'!B:B,'IND AS_TB18-19'!A287,'IND AS entries 22-23'!E:E)</f>
        <v>0</v>
      </c>
    </row>
    <row r="288" spans="1:4">
      <c r="A288" s="658">
        <v>101828</v>
      </c>
      <c r="B288" s="659" t="s">
        <v>1254</v>
      </c>
      <c r="C288" s="660">
        <f>SUMIF('IND AS entries 22-23'!B:B,'IND AS_TB18-19'!A288,'IND AS entries 22-23'!D:D)</f>
        <v>0</v>
      </c>
      <c r="D288" s="660">
        <f>SUMIF('IND AS entries 22-23'!B:B,'IND AS_TB18-19'!A288,'IND AS entries 22-23'!E:E)</f>
        <v>0</v>
      </c>
    </row>
    <row r="289" spans="1:4">
      <c r="A289" s="658">
        <v>101829</v>
      </c>
      <c r="B289" s="659" t="s">
        <v>1255</v>
      </c>
      <c r="C289" s="660">
        <f>SUMIF('IND AS entries 22-23'!B:B,'IND AS_TB18-19'!A289,'IND AS entries 22-23'!D:D)</f>
        <v>0</v>
      </c>
      <c r="D289" s="660">
        <f>SUMIF('IND AS entries 22-23'!B:B,'IND AS_TB18-19'!A289,'IND AS entries 22-23'!E:E)</f>
        <v>0</v>
      </c>
    </row>
    <row r="290" spans="1:4">
      <c r="A290" s="658">
        <v>101830</v>
      </c>
      <c r="B290" s="659" t="s">
        <v>1256</v>
      </c>
      <c r="C290" s="660">
        <f>SUMIF('IND AS entries 22-23'!B:B,'IND AS_TB18-19'!A290,'IND AS entries 22-23'!D:D)</f>
        <v>0</v>
      </c>
      <c r="D290" s="660">
        <f>SUMIF('IND AS entries 22-23'!B:B,'IND AS_TB18-19'!A290,'IND AS entries 22-23'!E:E)</f>
        <v>0</v>
      </c>
    </row>
    <row r="291" spans="1:4">
      <c r="A291" s="658">
        <v>101831</v>
      </c>
      <c r="B291" s="659" t="s">
        <v>1257</v>
      </c>
      <c r="C291" s="660">
        <f>SUMIF('IND AS entries 22-23'!B:B,'IND AS_TB18-19'!A291,'IND AS entries 22-23'!D:D)</f>
        <v>0</v>
      </c>
      <c r="D291" s="660">
        <f>SUMIF('IND AS entries 22-23'!B:B,'IND AS_TB18-19'!A291,'IND AS entries 22-23'!E:E)</f>
        <v>0</v>
      </c>
    </row>
    <row r="292" spans="1:4">
      <c r="A292" s="658">
        <v>101832</v>
      </c>
      <c r="B292" s="659" t="s">
        <v>1258</v>
      </c>
      <c r="C292" s="660">
        <f>SUMIF('IND AS entries 22-23'!B:B,'IND AS_TB18-19'!A292,'IND AS entries 22-23'!D:D)</f>
        <v>0</v>
      </c>
      <c r="D292" s="660">
        <f>SUMIF('IND AS entries 22-23'!B:B,'IND AS_TB18-19'!A292,'IND AS entries 22-23'!E:E)</f>
        <v>0</v>
      </c>
    </row>
    <row r="293" spans="1:4">
      <c r="A293" s="658">
        <v>101833</v>
      </c>
      <c r="B293" s="659" t="s">
        <v>1259</v>
      </c>
      <c r="C293" s="660">
        <f>SUMIF('IND AS entries 22-23'!B:B,'IND AS_TB18-19'!A293,'IND AS entries 22-23'!D:D)</f>
        <v>0</v>
      </c>
      <c r="D293" s="660">
        <f>SUMIF('IND AS entries 22-23'!B:B,'IND AS_TB18-19'!A293,'IND AS entries 22-23'!E:E)</f>
        <v>0</v>
      </c>
    </row>
    <row r="294" spans="1:4">
      <c r="A294" s="658">
        <v>101834</v>
      </c>
      <c r="B294" s="659" t="s">
        <v>1260</v>
      </c>
      <c r="C294" s="660">
        <f>SUMIF('IND AS entries 22-23'!B:B,'IND AS_TB18-19'!A294,'IND AS entries 22-23'!D:D)</f>
        <v>0</v>
      </c>
      <c r="D294" s="660">
        <f>SUMIF('IND AS entries 22-23'!B:B,'IND AS_TB18-19'!A294,'IND AS entries 22-23'!E:E)</f>
        <v>0</v>
      </c>
    </row>
    <row r="295" spans="1:4">
      <c r="A295" s="658">
        <v>101835</v>
      </c>
      <c r="B295" s="659" t="s">
        <v>1261</v>
      </c>
      <c r="C295" s="660">
        <f>SUMIF('IND AS entries 22-23'!B:B,'IND AS_TB18-19'!A295,'IND AS entries 22-23'!D:D)</f>
        <v>0</v>
      </c>
      <c r="D295" s="660">
        <f>SUMIF('IND AS entries 22-23'!B:B,'IND AS_TB18-19'!A295,'IND AS entries 22-23'!E:E)</f>
        <v>0</v>
      </c>
    </row>
    <row r="296" spans="1:4">
      <c r="A296" s="658">
        <v>101836</v>
      </c>
      <c r="B296" s="659" t="s">
        <v>1262</v>
      </c>
      <c r="C296" s="660">
        <f>SUMIF('IND AS entries 22-23'!B:B,'IND AS_TB18-19'!A296,'IND AS entries 22-23'!D:D)</f>
        <v>0</v>
      </c>
      <c r="D296" s="660">
        <f>SUMIF('IND AS entries 22-23'!B:B,'IND AS_TB18-19'!A296,'IND AS entries 22-23'!E:E)</f>
        <v>0</v>
      </c>
    </row>
    <row r="297" spans="1:4">
      <c r="A297" s="658">
        <v>101837</v>
      </c>
      <c r="B297" s="659" t="s">
        <v>1263</v>
      </c>
      <c r="C297" s="660">
        <f>SUMIF('IND AS entries 22-23'!B:B,'IND AS_TB18-19'!A297,'IND AS entries 22-23'!D:D)</f>
        <v>0</v>
      </c>
      <c r="D297" s="660">
        <f>SUMIF('IND AS entries 22-23'!B:B,'IND AS_TB18-19'!A297,'IND AS entries 22-23'!E:E)</f>
        <v>0</v>
      </c>
    </row>
    <row r="298" spans="1:4">
      <c r="A298" s="658">
        <v>101838</v>
      </c>
      <c r="B298" s="659" t="s">
        <v>1264</v>
      </c>
      <c r="C298" s="660">
        <f>SUMIF('IND AS entries 22-23'!B:B,'IND AS_TB18-19'!A298,'IND AS entries 22-23'!D:D)</f>
        <v>0</v>
      </c>
      <c r="D298" s="660">
        <f>SUMIF('IND AS entries 22-23'!B:B,'IND AS_TB18-19'!A298,'IND AS entries 22-23'!E:E)</f>
        <v>0</v>
      </c>
    </row>
    <row r="299" spans="1:4">
      <c r="A299" s="658">
        <v>101839</v>
      </c>
      <c r="B299" s="661" t="s">
        <v>1265</v>
      </c>
      <c r="C299" s="660">
        <f>SUMIF('IND AS entries 22-23'!B:B,'IND AS_TB18-19'!A299,'IND AS entries 22-23'!D:D)</f>
        <v>0</v>
      </c>
      <c r="D299" s="660">
        <f>SUMIF('IND AS entries 22-23'!B:B,'IND AS_TB18-19'!A299,'IND AS entries 22-23'!E:E)</f>
        <v>0</v>
      </c>
    </row>
    <row r="300" spans="1:4">
      <c r="A300" s="658">
        <v>101850</v>
      </c>
      <c r="B300" s="659" t="s">
        <v>1266</v>
      </c>
      <c r="C300" s="660">
        <f>SUMIF('IND AS entries 22-23'!B:B,'IND AS_TB18-19'!A300,'IND AS entries 22-23'!D:D)</f>
        <v>0</v>
      </c>
      <c r="D300" s="660">
        <f>SUMIF('IND AS entries 22-23'!B:B,'IND AS_TB18-19'!A300,'IND AS entries 22-23'!E:E)</f>
        <v>0</v>
      </c>
    </row>
    <row r="301" spans="1:4">
      <c r="A301" s="658">
        <v>101851</v>
      </c>
      <c r="B301" s="659" t="s">
        <v>575</v>
      </c>
      <c r="C301" s="660">
        <f>SUMIF('IND AS entries 22-23'!B:B,'IND AS_TB18-19'!A301,'IND AS entries 22-23'!D:D)</f>
        <v>0</v>
      </c>
      <c r="D301" s="660">
        <f>SUMIF('IND AS entries 22-23'!B:B,'IND AS_TB18-19'!A301,'IND AS entries 22-23'!E:E)</f>
        <v>0</v>
      </c>
    </row>
    <row r="302" spans="1:4">
      <c r="A302" s="662">
        <v>110020</v>
      </c>
      <c r="B302" s="659" t="s">
        <v>1269</v>
      </c>
      <c r="C302" s="660">
        <f>SUMIF('IND AS entries 22-23'!B:B,'IND AS_TB18-19'!A302,'IND AS entries 22-23'!D:D)</f>
        <v>0</v>
      </c>
      <c r="D302" s="660">
        <f>SUMIF('IND AS entries 22-23'!B:B,'IND AS_TB18-19'!A302,'IND AS entries 22-23'!E:E)</f>
        <v>0</v>
      </c>
    </row>
    <row r="303" spans="1:4">
      <c r="A303" s="658">
        <v>110025</v>
      </c>
      <c r="B303" s="659" t="s">
        <v>586</v>
      </c>
      <c r="C303" s="660">
        <f>SUMIF('IND AS entries 22-23'!B:B,'IND AS_TB18-19'!A303,'IND AS entries 22-23'!D:D)</f>
        <v>0</v>
      </c>
      <c r="D303" s="660">
        <f>SUMIF('IND AS entries 22-23'!B:B,'IND AS_TB18-19'!A303,'IND AS entries 22-23'!E:E)</f>
        <v>0</v>
      </c>
    </row>
    <row r="304" spans="1:4">
      <c r="A304" s="662">
        <v>110030</v>
      </c>
      <c r="B304" s="659" t="s">
        <v>1270</v>
      </c>
      <c r="C304" s="660">
        <f>SUMIF('IND AS entries 22-23'!B:B,'IND AS_TB18-19'!A304,'IND AS entries 22-23'!D:D)</f>
        <v>0</v>
      </c>
      <c r="D304" s="660">
        <f>SUMIF('IND AS entries 22-23'!B:B,'IND AS_TB18-19'!A304,'IND AS entries 22-23'!E:E)</f>
        <v>0</v>
      </c>
    </row>
    <row r="305" spans="1:4">
      <c r="A305" s="658">
        <v>110031</v>
      </c>
      <c r="B305" s="659" t="s">
        <v>1271</v>
      </c>
      <c r="C305" s="660">
        <f>SUMIF('IND AS entries 22-23'!B:B,'IND AS_TB18-19'!A305,'IND AS entries 22-23'!D:D)</f>
        <v>0</v>
      </c>
      <c r="D305" s="660">
        <f>SUMIF('IND AS entries 22-23'!B:B,'IND AS_TB18-19'!A305,'IND AS entries 22-23'!E:E)</f>
        <v>0</v>
      </c>
    </row>
    <row r="306" spans="1:4">
      <c r="A306" s="662">
        <v>110040</v>
      </c>
      <c r="B306" s="659" t="s">
        <v>946</v>
      </c>
      <c r="C306" s="660">
        <f>SUMIF('IND AS entries 22-23'!B:B,'IND AS_TB18-19'!A306,'IND AS entries 22-23'!D:D)</f>
        <v>0</v>
      </c>
      <c r="D306" s="660">
        <f>SUMIF('IND AS entries 22-23'!B:B,'IND AS_TB18-19'!A306,'IND AS entries 22-23'!E:E)</f>
        <v>0</v>
      </c>
    </row>
    <row r="307" spans="1:4">
      <c r="A307" s="662">
        <v>110050</v>
      </c>
      <c r="B307" s="659" t="s">
        <v>1273</v>
      </c>
      <c r="C307" s="660">
        <f>SUMIF('IND AS entries 22-23'!B:B,'IND AS_TB18-19'!A307,'IND AS entries 22-23'!D:D)</f>
        <v>0</v>
      </c>
      <c r="D307" s="660">
        <f>SUMIF('IND AS entries 22-23'!B:B,'IND AS_TB18-19'!A307,'IND AS entries 22-23'!E:E)</f>
        <v>0</v>
      </c>
    </row>
    <row r="308" spans="1:4">
      <c r="A308" s="658">
        <v>110055</v>
      </c>
      <c r="B308" s="659" t="s">
        <v>1274</v>
      </c>
      <c r="C308" s="660">
        <f>SUMIF('IND AS entries 22-23'!B:B,'IND AS_TB18-19'!A308,'IND AS entries 22-23'!D:D)</f>
        <v>0</v>
      </c>
      <c r="D308" s="660">
        <f>SUMIF('IND AS entries 22-23'!B:B,'IND AS_TB18-19'!A308,'IND AS entries 22-23'!E:E)</f>
        <v>0</v>
      </c>
    </row>
    <row r="309" spans="1:4">
      <c r="A309" s="662">
        <v>110060</v>
      </c>
      <c r="B309" s="659" t="s">
        <v>1275</v>
      </c>
      <c r="C309" s="660">
        <f>SUMIF('IND AS entries 22-23'!B:B,'IND AS_TB18-19'!A309,'IND AS entries 22-23'!D:D)</f>
        <v>0</v>
      </c>
      <c r="D309" s="660">
        <f>SUMIF('IND AS entries 22-23'!B:B,'IND AS_TB18-19'!A309,'IND AS entries 22-23'!E:E)</f>
        <v>0</v>
      </c>
    </row>
    <row r="310" spans="1:4">
      <c r="A310" s="662">
        <v>110061</v>
      </c>
      <c r="B310" s="659" t="s">
        <v>1276</v>
      </c>
      <c r="C310" s="660">
        <f>SUMIF('IND AS entries 22-23'!B:B,'IND AS_TB18-19'!A310,'IND AS entries 22-23'!D:D)</f>
        <v>0</v>
      </c>
      <c r="D310" s="660">
        <f>SUMIF('IND AS entries 22-23'!B:B,'IND AS_TB18-19'!A310,'IND AS entries 22-23'!E:E)</f>
        <v>0</v>
      </c>
    </row>
    <row r="311" spans="1:4">
      <c r="A311" s="662">
        <v>110062</v>
      </c>
      <c r="B311" s="659" t="s">
        <v>1277</v>
      </c>
      <c r="C311" s="660">
        <f>SUMIF('IND AS entries 22-23'!B:B,'IND AS_TB18-19'!A311,'IND AS entries 22-23'!D:D)</f>
        <v>0</v>
      </c>
      <c r="D311" s="660">
        <f>SUMIF('IND AS entries 22-23'!B:B,'IND AS_TB18-19'!A311,'IND AS entries 22-23'!E:E)</f>
        <v>0</v>
      </c>
    </row>
    <row r="312" spans="1:4">
      <c r="A312" s="662">
        <v>110063</v>
      </c>
      <c r="B312" s="659" t="s">
        <v>1278</v>
      </c>
      <c r="C312" s="660">
        <f>SUMIF('IND AS entries 22-23'!B:B,'IND AS_TB18-19'!A312,'IND AS entries 22-23'!D:D)</f>
        <v>0</v>
      </c>
      <c r="D312" s="660">
        <f>SUMIF('IND AS entries 22-23'!B:B,'IND AS_TB18-19'!A312,'IND AS entries 22-23'!E:E)</f>
        <v>0</v>
      </c>
    </row>
    <row r="313" spans="1:4">
      <c r="A313" s="662">
        <v>110064</v>
      </c>
      <c r="B313" s="659" t="s">
        <v>1279</v>
      </c>
      <c r="C313" s="660">
        <f>SUMIF('IND AS entries 22-23'!B:B,'IND AS_TB18-19'!A313,'IND AS entries 22-23'!D:D)</f>
        <v>0</v>
      </c>
      <c r="D313" s="660">
        <f>SUMIF('IND AS entries 22-23'!B:B,'IND AS_TB18-19'!A313,'IND AS entries 22-23'!E:E)</f>
        <v>0</v>
      </c>
    </row>
    <row r="314" spans="1:4">
      <c r="A314" s="662">
        <v>110065</v>
      </c>
      <c r="B314" s="659" t="s">
        <v>1280</v>
      </c>
      <c r="C314" s="660">
        <f>SUMIF('IND AS entries 22-23'!B:B,'IND AS_TB18-19'!A314,'IND AS entries 22-23'!D:D)</f>
        <v>0</v>
      </c>
      <c r="D314" s="660">
        <f>SUMIF('IND AS entries 22-23'!B:B,'IND AS_TB18-19'!A314,'IND AS entries 22-23'!E:E)</f>
        <v>0</v>
      </c>
    </row>
    <row r="315" spans="1:4">
      <c r="A315" s="658">
        <v>110066</v>
      </c>
      <c r="B315" s="659" t="s">
        <v>1281</v>
      </c>
      <c r="C315" s="660">
        <f>SUMIF('IND AS entries 22-23'!B:B,'IND AS_TB18-19'!A315,'IND AS entries 22-23'!D:D)</f>
        <v>0</v>
      </c>
      <c r="D315" s="660">
        <f>SUMIF('IND AS entries 22-23'!B:B,'IND AS_TB18-19'!A315,'IND AS entries 22-23'!E:E)</f>
        <v>0</v>
      </c>
    </row>
    <row r="316" spans="1:4">
      <c r="A316" s="658">
        <v>110067</v>
      </c>
      <c r="B316" s="659" t="s">
        <v>1282</v>
      </c>
      <c r="C316" s="660">
        <f>SUMIF('IND AS entries 22-23'!B:B,'IND AS_TB18-19'!A316,'IND AS entries 22-23'!D:D)</f>
        <v>0</v>
      </c>
      <c r="D316" s="660">
        <f>SUMIF('IND AS entries 22-23'!B:B,'IND AS_TB18-19'!A316,'IND AS entries 22-23'!E:E)</f>
        <v>0</v>
      </c>
    </row>
    <row r="317" spans="1:4">
      <c r="A317" s="658">
        <v>110068</v>
      </c>
      <c r="B317" s="659" t="s">
        <v>1283</v>
      </c>
      <c r="C317" s="660">
        <f>SUMIF('IND AS entries 22-23'!B:B,'IND AS_TB18-19'!A317,'IND AS entries 22-23'!D:D)</f>
        <v>0</v>
      </c>
      <c r="D317" s="660">
        <f>SUMIF('IND AS entries 22-23'!B:B,'IND AS_TB18-19'!A317,'IND AS entries 22-23'!E:E)</f>
        <v>0</v>
      </c>
    </row>
    <row r="318" spans="1:4">
      <c r="A318" s="662">
        <v>110070</v>
      </c>
      <c r="B318" s="659" t="s">
        <v>1284</v>
      </c>
      <c r="C318" s="660">
        <f>SUMIF('IND AS entries 22-23'!B:B,'IND AS_TB18-19'!A318,'IND AS entries 22-23'!D:D)</f>
        <v>0</v>
      </c>
      <c r="D318" s="660">
        <f>SUMIF('IND AS entries 22-23'!B:B,'IND AS_TB18-19'!A318,'IND AS entries 22-23'!E:E)</f>
        <v>0</v>
      </c>
    </row>
    <row r="319" spans="1:4">
      <c r="A319" s="658">
        <v>110080</v>
      </c>
      <c r="B319" s="659" t="s">
        <v>1285</v>
      </c>
      <c r="C319" s="660">
        <f>SUMIF('IND AS entries 22-23'!B:B,'IND AS_TB18-19'!A319,'IND AS entries 22-23'!D:D)</f>
        <v>0</v>
      </c>
      <c r="D319" s="660">
        <f>SUMIF('IND AS entries 22-23'!B:B,'IND AS_TB18-19'!A319,'IND AS entries 22-23'!E:E)</f>
        <v>0</v>
      </c>
    </row>
    <row r="320" spans="1:4">
      <c r="A320" s="658">
        <v>110085</v>
      </c>
      <c r="B320" s="659" t="s">
        <v>1286</v>
      </c>
      <c r="C320" s="660">
        <f>SUMIF('IND AS entries 22-23'!B:B,'IND AS_TB18-19'!A320,'IND AS entries 22-23'!D:D)</f>
        <v>0</v>
      </c>
      <c r="D320" s="660">
        <f>SUMIF('IND AS entries 22-23'!B:B,'IND AS_TB18-19'!A320,'IND AS entries 22-23'!E:E)</f>
        <v>0</v>
      </c>
    </row>
    <row r="321" spans="1:4">
      <c r="A321" s="658">
        <v>110089</v>
      </c>
      <c r="B321" s="659" t="s">
        <v>1287</v>
      </c>
      <c r="C321" s="660">
        <f>SUMIF('IND AS entries 22-23'!B:B,'IND AS_TB18-19'!A321,'IND AS entries 22-23'!D:D)</f>
        <v>0</v>
      </c>
      <c r="D321" s="660">
        <f>SUMIF('IND AS entries 22-23'!B:B,'IND AS_TB18-19'!A321,'IND AS entries 22-23'!E:E)</f>
        <v>0</v>
      </c>
    </row>
    <row r="322" spans="1:4">
      <c r="A322" s="658">
        <v>110090</v>
      </c>
      <c r="B322" s="659" t="s">
        <v>1288</v>
      </c>
      <c r="C322" s="660">
        <f>SUMIF('IND AS entries 22-23'!B:B,'IND AS_TB18-19'!A322,'IND AS entries 22-23'!D:D)</f>
        <v>0</v>
      </c>
      <c r="D322" s="660">
        <f>SUMIF('IND AS entries 22-23'!B:B,'IND AS_TB18-19'!A322,'IND AS entries 22-23'!E:E)</f>
        <v>0</v>
      </c>
    </row>
    <row r="323" spans="1:4">
      <c r="A323" s="658">
        <v>110091</v>
      </c>
      <c r="B323" s="659" t="s">
        <v>1289</v>
      </c>
      <c r="C323" s="660">
        <f>SUMIF('IND AS entries 22-23'!B:B,'IND AS_TB18-19'!A323,'IND AS entries 22-23'!D:D)</f>
        <v>0</v>
      </c>
      <c r="D323" s="660">
        <f>SUMIF('IND AS entries 22-23'!B:B,'IND AS_TB18-19'!A323,'IND AS entries 22-23'!E:E)</f>
        <v>0</v>
      </c>
    </row>
    <row r="324" spans="1:4">
      <c r="A324" s="658">
        <v>110092</v>
      </c>
      <c r="B324" s="659" t="s">
        <v>1290</v>
      </c>
      <c r="C324" s="660">
        <f>SUMIF('IND AS entries 22-23'!B:B,'IND AS_TB18-19'!A324,'IND AS entries 22-23'!D:D)</f>
        <v>0</v>
      </c>
      <c r="D324" s="660">
        <f>SUMIF('IND AS entries 22-23'!B:B,'IND AS_TB18-19'!A324,'IND AS entries 22-23'!E:E)</f>
        <v>0</v>
      </c>
    </row>
    <row r="325" spans="1:4">
      <c r="A325" s="658">
        <v>110093</v>
      </c>
      <c r="B325" s="659" t="s">
        <v>1291</v>
      </c>
      <c r="C325" s="660">
        <f>SUMIF('IND AS entries 22-23'!B:B,'IND AS_TB18-19'!A325,'IND AS entries 22-23'!D:D)</f>
        <v>0</v>
      </c>
      <c r="D325" s="660">
        <f>SUMIF('IND AS entries 22-23'!B:B,'IND AS_TB18-19'!A325,'IND AS entries 22-23'!E:E)</f>
        <v>0</v>
      </c>
    </row>
    <row r="326" spans="1:4">
      <c r="A326" s="658">
        <v>110094</v>
      </c>
      <c r="B326" s="659" t="s">
        <v>1292</v>
      </c>
      <c r="C326" s="660">
        <f>SUMIF('IND AS entries 22-23'!B:B,'IND AS_TB18-19'!A326,'IND AS entries 22-23'!D:D)</f>
        <v>0</v>
      </c>
      <c r="D326" s="660">
        <f>SUMIF('IND AS entries 22-23'!B:B,'IND AS_TB18-19'!A326,'IND AS entries 22-23'!E:E)</f>
        <v>0</v>
      </c>
    </row>
    <row r="327" spans="1:4">
      <c r="A327" s="658">
        <v>110095</v>
      </c>
      <c r="B327" s="659" t="s">
        <v>1293</v>
      </c>
      <c r="C327" s="660">
        <f>SUMIF('IND AS entries 22-23'!B:B,'IND AS_TB18-19'!A327,'IND AS entries 22-23'!D:D)</f>
        <v>0</v>
      </c>
      <c r="D327" s="660">
        <f>SUMIF('IND AS entries 22-23'!B:B,'IND AS_TB18-19'!A327,'IND AS entries 22-23'!E:E)</f>
        <v>0</v>
      </c>
    </row>
    <row r="328" spans="1:4">
      <c r="A328" s="658">
        <v>110096</v>
      </c>
      <c r="B328" s="659" t="s">
        <v>1294</v>
      </c>
      <c r="C328" s="660">
        <f>SUMIF('IND AS entries 22-23'!B:B,'IND AS_TB18-19'!A328,'IND AS entries 22-23'!D:D)</f>
        <v>0</v>
      </c>
      <c r="D328" s="660">
        <f>SUMIF('IND AS entries 22-23'!B:B,'IND AS_TB18-19'!A328,'IND AS entries 22-23'!E:E)</f>
        <v>0</v>
      </c>
    </row>
    <row r="329" spans="1:4">
      <c r="A329" s="658">
        <v>110097</v>
      </c>
      <c r="B329" s="659" t="s">
        <v>1295</v>
      </c>
      <c r="C329" s="660">
        <f>SUMIF('IND AS entries 22-23'!B:B,'IND AS_TB18-19'!A329,'IND AS entries 22-23'!D:D)</f>
        <v>0</v>
      </c>
      <c r="D329" s="660">
        <f>SUMIF('IND AS entries 22-23'!B:B,'IND AS_TB18-19'!A329,'IND AS entries 22-23'!E:E)</f>
        <v>0</v>
      </c>
    </row>
    <row r="330" spans="1:4">
      <c r="A330" s="658">
        <v>110099</v>
      </c>
      <c r="B330" s="659" t="s">
        <v>1296</v>
      </c>
      <c r="C330" s="660">
        <f>SUMIF('IND AS entries 22-23'!B:B,'IND AS_TB18-19'!A330,'IND AS entries 22-23'!D:D)</f>
        <v>0</v>
      </c>
      <c r="D330" s="660">
        <f>SUMIF('IND AS entries 22-23'!B:B,'IND AS_TB18-19'!A330,'IND AS entries 22-23'!E:E)</f>
        <v>0</v>
      </c>
    </row>
    <row r="331" spans="1:4">
      <c r="A331" s="658">
        <v>110098</v>
      </c>
      <c r="B331" s="659" t="s">
        <v>1297</v>
      </c>
      <c r="C331" s="660">
        <f>SUMIF('IND AS entries 22-23'!B:B,'IND AS_TB18-19'!A331,'IND AS entries 22-23'!D:D)</f>
        <v>0</v>
      </c>
      <c r="D331" s="660">
        <f>SUMIF('IND AS entries 22-23'!B:B,'IND AS_TB18-19'!A331,'IND AS entries 22-23'!E:E)</f>
        <v>0</v>
      </c>
    </row>
    <row r="332" spans="1:4">
      <c r="A332" s="658">
        <v>110120</v>
      </c>
      <c r="B332" s="659" t="s">
        <v>1298</v>
      </c>
      <c r="C332" s="660">
        <f>SUMIF('IND AS entries 22-23'!B:B,'IND AS_TB18-19'!A332,'IND AS entries 22-23'!D:D)</f>
        <v>0</v>
      </c>
      <c r="D332" s="660">
        <f>SUMIF('IND AS entries 22-23'!B:B,'IND AS_TB18-19'!A332,'IND AS entries 22-23'!E:E)</f>
        <v>0</v>
      </c>
    </row>
    <row r="333" spans="1:4">
      <c r="A333" s="658">
        <v>110125</v>
      </c>
      <c r="B333" s="659" t="s">
        <v>1299</v>
      </c>
      <c r="C333" s="660">
        <f>SUMIF('IND AS entries 22-23'!B:B,'IND AS_TB18-19'!A333,'IND AS entries 22-23'!D:D)</f>
        <v>0</v>
      </c>
      <c r="D333" s="660">
        <f>SUMIF('IND AS entries 22-23'!B:B,'IND AS_TB18-19'!A333,'IND AS entries 22-23'!E:E)</f>
        <v>0</v>
      </c>
    </row>
    <row r="334" spans="1:4">
      <c r="A334" s="658">
        <v>110130</v>
      </c>
      <c r="B334" s="659" t="s">
        <v>1300</v>
      </c>
      <c r="C334" s="660">
        <f>SUMIF('IND AS entries 22-23'!B:B,'IND AS_TB18-19'!A334,'IND AS entries 22-23'!D:D)</f>
        <v>0</v>
      </c>
      <c r="D334" s="660">
        <f>SUMIF('IND AS entries 22-23'!B:B,'IND AS_TB18-19'!A334,'IND AS entries 22-23'!E:E)</f>
        <v>0</v>
      </c>
    </row>
    <row r="335" spans="1:4">
      <c r="A335" s="658">
        <v>110140</v>
      </c>
      <c r="B335" s="659" t="s">
        <v>1302</v>
      </c>
      <c r="C335" s="660">
        <f>SUMIF('IND AS entries 22-23'!B:B,'IND AS_TB18-19'!A335,'IND AS entries 22-23'!D:D)</f>
        <v>0</v>
      </c>
      <c r="D335" s="660">
        <f>SUMIF('IND AS entries 22-23'!B:B,'IND AS_TB18-19'!A335,'IND AS entries 22-23'!E:E)</f>
        <v>0</v>
      </c>
    </row>
    <row r="336" spans="1:4">
      <c r="A336" s="658">
        <v>110150</v>
      </c>
      <c r="B336" s="659" t="s">
        <v>1303</v>
      </c>
      <c r="C336" s="660">
        <f>SUMIF('IND AS entries 22-23'!B:B,'IND AS_TB18-19'!A336,'IND AS entries 22-23'!D:D)</f>
        <v>0</v>
      </c>
      <c r="D336" s="660">
        <f>SUMIF('IND AS entries 22-23'!B:B,'IND AS_TB18-19'!A336,'IND AS entries 22-23'!E:E)</f>
        <v>0</v>
      </c>
    </row>
    <row r="337" spans="1:4">
      <c r="A337" s="658">
        <v>110155</v>
      </c>
      <c r="B337" s="659" t="s">
        <v>1304</v>
      </c>
      <c r="C337" s="660">
        <f>SUMIF('IND AS entries 22-23'!B:B,'IND AS_TB18-19'!A337,'IND AS entries 22-23'!D:D)</f>
        <v>0</v>
      </c>
      <c r="D337" s="660">
        <f>SUMIF('IND AS entries 22-23'!B:B,'IND AS_TB18-19'!A337,'IND AS entries 22-23'!E:E)</f>
        <v>0</v>
      </c>
    </row>
    <row r="338" spans="1:4">
      <c r="A338" s="658">
        <v>110160</v>
      </c>
      <c r="B338" s="659" t="s">
        <v>1305</v>
      </c>
      <c r="C338" s="660">
        <f>SUMIF('IND AS entries 22-23'!B:B,'IND AS_TB18-19'!A338,'IND AS entries 22-23'!D:D)</f>
        <v>0</v>
      </c>
      <c r="D338" s="660">
        <f>SUMIF('IND AS entries 22-23'!B:B,'IND AS_TB18-19'!A338,'IND AS entries 22-23'!E:E)</f>
        <v>0</v>
      </c>
    </row>
    <row r="339" spans="1:4">
      <c r="A339" s="658">
        <v>110161</v>
      </c>
      <c r="B339" s="659" t="s">
        <v>1306</v>
      </c>
      <c r="C339" s="660">
        <f>SUMIF('IND AS entries 22-23'!B:B,'IND AS_TB18-19'!A339,'IND AS entries 22-23'!D:D)</f>
        <v>0</v>
      </c>
      <c r="D339" s="660">
        <f>SUMIF('IND AS entries 22-23'!B:B,'IND AS_TB18-19'!A339,'IND AS entries 22-23'!E:E)</f>
        <v>0</v>
      </c>
    </row>
    <row r="340" spans="1:4">
      <c r="A340" s="658">
        <v>110162</v>
      </c>
      <c r="B340" s="659" t="s">
        <v>1307</v>
      </c>
      <c r="C340" s="660">
        <f>SUMIF('IND AS entries 22-23'!B:B,'IND AS_TB18-19'!A340,'IND AS entries 22-23'!D:D)</f>
        <v>0</v>
      </c>
      <c r="D340" s="660">
        <f>SUMIF('IND AS entries 22-23'!B:B,'IND AS_TB18-19'!A340,'IND AS entries 22-23'!E:E)</f>
        <v>0</v>
      </c>
    </row>
    <row r="341" spans="1:4">
      <c r="A341" s="658">
        <v>110163</v>
      </c>
      <c r="B341" s="659" t="s">
        <v>1308</v>
      </c>
      <c r="C341" s="660">
        <f>SUMIF('IND AS entries 22-23'!B:B,'IND AS_TB18-19'!A341,'IND AS entries 22-23'!D:D)</f>
        <v>0</v>
      </c>
      <c r="D341" s="660">
        <f>SUMIF('IND AS entries 22-23'!B:B,'IND AS_TB18-19'!A341,'IND AS entries 22-23'!E:E)</f>
        <v>0</v>
      </c>
    </row>
    <row r="342" spans="1:4">
      <c r="A342" s="658">
        <v>110164</v>
      </c>
      <c r="B342" s="659" t="s">
        <v>1309</v>
      </c>
      <c r="C342" s="660">
        <f>SUMIF('IND AS entries 22-23'!B:B,'IND AS_TB18-19'!A342,'IND AS entries 22-23'!D:D)</f>
        <v>0</v>
      </c>
      <c r="D342" s="660">
        <f>SUMIF('IND AS entries 22-23'!B:B,'IND AS_TB18-19'!A342,'IND AS entries 22-23'!E:E)</f>
        <v>0</v>
      </c>
    </row>
    <row r="343" spans="1:4">
      <c r="A343" s="658">
        <v>110165</v>
      </c>
      <c r="B343" s="659" t="s">
        <v>956</v>
      </c>
      <c r="C343" s="660">
        <f>SUMIF('IND AS entries 22-23'!B:B,'IND AS_TB18-19'!A343,'IND AS entries 22-23'!D:D)</f>
        <v>0</v>
      </c>
      <c r="D343" s="660">
        <f>SUMIF('IND AS entries 22-23'!B:B,'IND AS_TB18-19'!A343,'IND AS entries 22-23'!E:E)</f>
        <v>0</v>
      </c>
    </row>
    <row r="344" spans="1:4">
      <c r="A344" s="658">
        <v>110170</v>
      </c>
      <c r="B344" s="659" t="s">
        <v>1310</v>
      </c>
      <c r="C344" s="660">
        <f>SUMIF('IND AS entries 22-23'!B:B,'IND AS_TB18-19'!A344,'IND AS entries 22-23'!D:D)</f>
        <v>0</v>
      </c>
      <c r="D344" s="660">
        <f>SUMIF('IND AS entries 22-23'!B:B,'IND AS_TB18-19'!A344,'IND AS entries 22-23'!E:E)</f>
        <v>0</v>
      </c>
    </row>
    <row r="345" spans="1:4">
      <c r="A345" s="658">
        <v>110175</v>
      </c>
      <c r="B345" s="659" t="s">
        <v>1311</v>
      </c>
      <c r="C345" s="660">
        <f>SUMIF('IND AS entries 22-23'!B:B,'IND AS_TB18-19'!A345,'IND AS entries 22-23'!D:D)</f>
        <v>0</v>
      </c>
      <c r="D345" s="660">
        <f>SUMIF('IND AS entries 22-23'!B:B,'IND AS_TB18-19'!A345,'IND AS entries 22-23'!E:E)</f>
        <v>0</v>
      </c>
    </row>
    <row r="346" spans="1:4">
      <c r="A346" s="658">
        <v>110180</v>
      </c>
      <c r="B346" s="659" t="s">
        <v>1312</v>
      </c>
      <c r="C346" s="660">
        <f>SUMIF('IND AS entries 22-23'!B:B,'IND AS_TB18-19'!A346,'IND AS entries 22-23'!D:D)</f>
        <v>0</v>
      </c>
      <c r="D346" s="660">
        <f>SUMIF('IND AS entries 22-23'!B:B,'IND AS_TB18-19'!A346,'IND AS entries 22-23'!E:E)</f>
        <v>0</v>
      </c>
    </row>
    <row r="347" spans="1:4">
      <c r="A347" s="658">
        <v>110190</v>
      </c>
      <c r="B347" s="659" t="s">
        <v>1313</v>
      </c>
      <c r="C347" s="660">
        <f>SUMIF('IND AS entries 22-23'!B:B,'IND AS_TB18-19'!A347,'IND AS entries 22-23'!D:D)</f>
        <v>0</v>
      </c>
      <c r="D347" s="660">
        <f>SUMIF('IND AS entries 22-23'!B:B,'IND AS_TB18-19'!A347,'IND AS entries 22-23'!E:E)</f>
        <v>0</v>
      </c>
    </row>
    <row r="348" spans="1:4">
      <c r="A348" s="658">
        <v>110195</v>
      </c>
      <c r="B348" s="659" t="s">
        <v>1314</v>
      </c>
      <c r="C348" s="660">
        <f>SUMIF('IND AS entries 22-23'!B:B,'IND AS_TB18-19'!A348,'IND AS entries 22-23'!D:D)</f>
        <v>0</v>
      </c>
      <c r="D348" s="660">
        <f>SUMIF('IND AS entries 22-23'!B:B,'IND AS_TB18-19'!A348,'IND AS entries 22-23'!E:E)</f>
        <v>0</v>
      </c>
    </row>
    <row r="349" spans="1:4">
      <c r="A349" s="658">
        <v>110510</v>
      </c>
      <c r="B349" s="659" t="s">
        <v>1315</v>
      </c>
      <c r="C349" s="660">
        <f>SUMIF('IND AS entries 22-23'!B:B,'IND AS_TB18-19'!A349,'IND AS entries 22-23'!D:D)</f>
        <v>0</v>
      </c>
      <c r="D349" s="660">
        <f>SUMIF('IND AS entries 22-23'!B:B,'IND AS_TB18-19'!A349,'IND AS entries 22-23'!E:E)</f>
        <v>0</v>
      </c>
    </row>
    <row r="350" spans="1:4">
      <c r="A350" s="658">
        <v>110520</v>
      </c>
      <c r="B350" s="659" t="s">
        <v>1316</v>
      </c>
      <c r="C350" s="660">
        <f>SUMIF('IND AS entries 22-23'!B:B,'IND AS_TB18-19'!A350,'IND AS entries 22-23'!D:D)</f>
        <v>0</v>
      </c>
      <c r="D350" s="660">
        <f>SUMIF('IND AS entries 22-23'!B:B,'IND AS_TB18-19'!A350,'IND AS entries 22-23'!E:E)</f>
        <v>0</v>
      </c>
    </row>
    <row r="351" spans="1:4">
      <c r="A351" s="658">
        <v>110530</v>
      </c>
      <c r="B351" s="659" t="s">
        <v>1317</v>
      </c>
      <c r="C351" s="660">
        <f>SUMIF('IND AS entries 22-23'!B:B,'IND AS_TB18-19'!A351,'IND AS entries 22-23'!D:D)</f>
        <v>0</v>
      </c>
      <c r="D351" s="660">
        <f>SUMIF('IND AS entries 22-23'!B:B,'IND AS_TB18-19'!A351,'IND AS entries 22-23'!E:E)</f>
        <v>0</v>
      </c>
    </row>
    <row r="352" spans="1:4">
      <c r="A352" s="658">
        <v>110540</v>
      </c>
      <c r="B352" s="659" t="s">
        <v>1318</v>
      </c>
      <c r="C352" s="660">
        <f>SUMIF('IND AS entries 22-23'!B:B,'IND AS_TB18-19'!A352,'IND AS entries 22-23'!D:D)</f>
        <v>0</v>
      </c>
      <c r="D352" s="660">
        <f>SUMIF('IND AS entries 22-23'!B:B,'IND AS_TB18-19'!A352,'IND AS entries 22-23'!E:E)</f>
        <v>0</v>
      </c>
    </row>
    <row r="353" spans="1:4">
      <c r="A353" s="658">
        <v>110550</v>
      </c>
      <c r="B353" s="659" t="s">
        <v>1319</v>
      </c>
      <c r="C353" s="660">
        <f>SUMIF('IND AS entries 22-23'!B:B,'IND AS_TB18-19'!A353,'IND AS entries 22-23'!D:D)</f>
        <v>0</v>
      </c>
      <c r="D353" s="660">
        <f>SUMIF('IND AS entries 22-23'!B:B,'IND AS_TB18-19'!A353,'IND AS entries 22-23'!E:E)</f>
        <v>0</v>
      </c>
    </row>
    <row r="354" spans="1:4">
      <c r="A354" s="658">
        <v>110560</v>
      </c>
      <c r="B354" s="659" t="s">
        <v>1320</v>
      </c>
      <c r="C354" s="660">
        <f>SUMIF('IND AS entries 22-23'!B:B,'IND AS_TB18-19'!A354,'IND AS entries 22-23'!D:D)</f>
        <v>0</v>
      </c>
      <c r="D354" s="660">
        <f>SUMIF('IND AS entries 22-23'!B:B,'IND AS_TB18-19'!A354,'IND AS entries 22-23'!E:E)</f>
        <v>0</v>
      </c>
    </row>
    <row r="355" spans="1:4">
      <c r="A355" s="658">
        <v>110570</v>
      </c>
      <c r="B355" s="659" t="s">
        <v>1321</v>
      </c>
      <c r="C355" s="660">
        <f>SUMIF('IND AS entries 22-23'!B:B,'IND AS_TB18-19'!A355,'IND AS entries 22-23'!D:D)</f>
        <v>0</v>
      </c>
      <c r="D355" s="660">
        <f>SUMIF('IND AS entries 22-23'!B:B,'IND AS_TB18-19'!A355,'IND AS entries 22-23'!E:E)</f>
        <v>0</v>
      </c>
    </row>
    <row r="356" spans="1:4">
      <c r="A356" s="658">
        <v>110580</v>
      </c>
      <c r="B356" s="659" t="s">
        <v>1322</v>
      </c>
      <c r="C356" s="660">
        <f>SUMIF('IND AS entries 22-23'!B:B,'IND AS_TB18-19'!A356,'IND AS entries 22-23'!D:D)</f>
        <v>0</v>
      </c>
      <c r="D356" s="660">
        <f>SUMIF('IND AS entries 22-23'!B:B,'IND AS_TB18-19'!A356,'IND AS entries 22-23'!E:E)</f>
        <v>0</v>
      </c>
    </row>
    <row r="357" spans="1:4">
      <c r="A357" s="658">
        <v>110590</v>
      </c>
      <c r="B357" s="659" t="s">
        <v>1323</v>
      </c>
      <c r="C357" s="660">
        <f>SUMIF('IND AS entries 22-23'!B:B,'IND AS_TB18-19'!A357,'IND AS entries 22-23'!D:D)</f>
        <v>0</v>
      </c>
      <c r="D357" s="660">
        <f>SUMIF('IND AS entries 22-23'!B:B,'IND AS_TB18-19'!A357,'IND AS entries 22-23'!E:E)</f>
        <v>0</v>
      </c>
    </row>
    <row r="358" spans="1:4">
      <c r="A358" s="658">
        <v>110591</v>
      </c>
      <c r="B358" s="659" t="s">
        <v>1324</v>
      </c>
      <c r="C358" s="660">
        <f>SUMIF('IND AS entries 22-23'!B:B,'IND AS_TB18-19'!A358,'IND AS entries 22-23'!D:D)</f>
        <v>0</v>
      </c>
      <c r="D358" s="660">
        <f>SUMIF('IND AS entries 22-23'!B:B,'IND AS_TB18-19'!A358,'IND AS entries 22-23'!E:E)</f>
        <v>0</v>
      </c>
    </row>
    <row r="359" spans="1:4">
      <c r="A359" s="658">
        <v>110592</v>
      </c>
      <c r="B359" s="659" t="s">
        <v>1325</v>
      </c>
      <c r="C359" s="660">
        <f>SUMIF('IND AS entries 22-23'!B:B,'IND AS_TB18-19'!A359,'IND AS entries 22-23'!D:D)</f>
        <v>0</v>
      </c>
      <c r="D359" s="660">
        <f>SUMIF('IND AS entries 22-23'!B:B,'IND AS_TB18-19'!A359,'IND AS entries 22-23'!E:E)</f>
        <v>0</v>
      </c>
    </row>
    <row r="360" spans="1:4">
      <c r="A360" s="658">
        <v>110593</v>
      </c>
      <c r="B360" s="659" t="s">
        <v>1326</v>
      </c>
      <c r="C360" s="660">
        <f>SUMIF('IND AS entries 22-23'!B:B,'IND AS_TB18-19'!A360,'IND AS entries 22-23'!D:D)</f>
        <v>0</v>
      </c>
      <c r="D360" s="660">
        <f>SUMIF('IND AS entries 22-23'!B:B,'IND AS_TB18-19'!A360,'IND AS entries 22-23'!E:E)</f>
        <v>0</v>
      </c>
    </row>
    <row r="361" spans="1:4">
      <c r="A361" s="658">
        <v>110594</v>
      </c>
      <c r="B361" s="659" t="s">
        <v>1327</v>
      </c>
      <c r="C361" s="660">
        <f>SUMIF('IND AS entries 22-23'!B:B,'IND AS_TB18-19'!A361,'IND AS entries 22-23'!D:D)</f>
        <v>0</v>
      </c>
      <c r="D361" s="660">
        <f>SUMIF('IND AS entries 22-23'!B:B,'IND AS_TB18-19'!A361,'IND AS entries 22-23'!E:E)</f>
        <v>0</v>
      </c>
    </row>
    <row r="362" spans="1:4">
      <c r="A362" s="658">
        <v>110595</v>
      </c>
      <c r="B362" s="659" t="s">
        <v>1328</v>
      </c>
      <c r="C362" s="660">
        <f>SUMIF('IND AS entries 22-23'!B:B,'IND AS_TB18-19'!A362,'IND AS entries 22-23'!D:D)</f>
        <v>0</v>
      </c>
      <c r="D362" s="660">
        <f>SUMIF('IND AS entries 22-23'!B:B,'IND AS_TB18-19'!A362,'IND AS entries 22-23'!E:E)</f>
        <v>0</v>
      </c>
    </row>
    <row r="363" spans="1:4">
      <c r="A363" s="658">
        <v>110610</v>
      </c>
      <c r="B363" s="659" t="s">
        <v>1329</v>
      </c>
      <c r="C363" s="660">
        <f>SUMIF('IND AS entries 22-23'!B:B,'IND AS_TB18-19'!A363,'IND AS entries 22-23'!D:D)</f>
        <v>0</v>
      </c>
      <c r="D363" s="660">
        <f>SUMIF('IND AS entries 22-23'!B:B,'IND AS_TB18-19'!A363,'IND AS entries 22-23'!E:E)</f>
        <v>0</v>
      </c>
    </row>
    <row r="364" spans="1:4">
      <c r="A364" s="658">
        <v>120101</v>
      </c>
      <c r="B364" s="659" t="s">
        <v>1330</v>
      </c>
      <c r="C364" s="660">
        <f>SUMIF('IND AS entries 22-23'!B:B,'IND AS_TB18-19'!A364,'IND AS entries 22-23'!D:D)</f>
        <v>0</v>
      </c>
      <c r="D364" s="660">
        <f>SUMIF('IND AS entries 22-23'!B:B,'IND AS_TB18-19'!A364,'IND AS entries 22-23'!E:E)</f>
        <v>0</v>
      </c>
    </row>
    <row r="365" spans="1:4">
      <c r="A365" s="658">
        <v>120201</v>
      </c>
      <c r="B365" s="659" t="s">
        <v>1331</v>
      </c>
      <c r="C365" s="660">
        <f>SUMIF('IND AS entries 22-23'!B:B,'IND AS_TB18-19'!A365,'IND AS entries 22-23'!D:D)</f>
        <v>0</v>
      </c>
      <c r="D365" s="660">
        <f>SUMIF('IND AS entries 22-23'!B:B,'IND AS_TB18-19'!A365,'IND AS entries 22-23'!E:E)</f>
        <v>0</v>
      </c>
    </row>
    <row r="366" spans="1:4">
      <c r="A366" s="658">
        <v>200010</v>
      </c>
      <c r="B366" s="659" t="s">
        <v>1332</v>
      </c>
      <c r="C366" s="660">
        <f>SUMIF('IND AS entries 22-23'!B:B,'IND AS_TB18-19'!A366,'IND AS entries 22-23'!D:D)</f>
        <v>0</v>
      </c>
      <c r="D366" s="660">
        <f>SUMIF('IND AS entries 22-23'!B:B,'IND AS_TB18-19'!A366,'IND AS entries 22-23'!E:E)</f>
        <v>0</v>
      </c>
    </row>
    <row r="367" spans="1:4">
      <c r="A367" s="658">
        <v>200011</v>
      </c>
      <c r="B367" s="659" t="s">
        <v>1333</v>
      </c>
      <c r="C367" s="660">
        <f>SUMIF('IND AS entries 22-23'!B:B,'IND AS_TB18-19'!A367,'IND AS entries 22-23'!D:D)</f>
        <v>0</v>
      </c>
      <c r="D367" s="660">
        <f>SUMIF('IND AS entries 22-23'!B:B,'IND AS_TB18-19'!A367,'IND AS entries 22-23'!E:E)</f>
        <v>0</v>
      </c>
    </row>
    <row r="368" spans="1:4">
      <c r="A368" s="658">
        <v>200012</v>
      </c>
      <c r="B368" s="659" t="s">
        <v>1334</v>
      </c>
      <c r="C368" s="660">
        <f>SUMIF('IND AS entries 22-23'!B:B,'IND AS_TB18-19'!A368,'IND AS entries 22-23'!D:D)</f>
        <v>0</v>
      </c>
      <c r="D368" s="660">
        <f>SUMIF('IND AS entries 22-23'!B:B,'IND AS_TB18-19'!A368,'IND AS entries 22-23'!E:E)</f>
        <v>0</v>
      </c>
    </row>
    <row r="369" spans="1:4">
      <c r="A369" s="658">
        <v>200013</v>
      </c>
      <c r="B369" s="659" t="s">
        <v>1335</v>
      </c>
      <c r="C369" s="660">
        <f>SUMIF('IND AS entries 22-23'!B:B,'IND AS_TB18-19'!A369,'IND AS entries 22-23'!D:D)</f>
        <v>0</v>
      </c>
      <c r="D369" s="660">
        <f>SUMIF('IND AS entries 22-23'!B:B,'IND AS_TB18-19'!A369,'IND AS entries 22-23'!E:E)</f>
        <v>0</v>
      </c>
    </row>
    <row r="370" spans="1:4">
      <c r="A370" s="658">
        <v>200014</v>
      </c>
      <c r="B370" s="659" t="s">
        <v>1336</v>
      </c>
      <c r="C370" s="660">
        <f>SUMIF('IND AS entries 22-23'!B:B,'IND AS_TB18-19'!A370,'IND AS entries 22-23'!D:D)</f>
        <v>0</v>
      </c>
      <c r="D370" s="660">
        <f>SUMIF('IND AS entries 22-23'!B:B,'IND AS_TB18-19'!A370,'IND AS entries 22-23'!E:E)</f>
        <v>0</v>
      </c>
    </row>
    <row r="371" spans="1:4">
      <c r="A371" s="658">
        <v>200015</v>
      </c>
      <c r="B371" s="659" t="s">
        <v>1337</v>
      </c>
      <c r="C371" s="660">
        <f>SUMIF('IND AS entries 22-23'!B:B,'IND AS_TB18-19'!A371,'IND AS entries 22-23'!D:D)</f>
        <v>0</v>
      </c>
      <c r="D371" s="660">
        <f>SUMIF('IND AS entries 22-23'!B:B,'IND AS_TB18-19'!A371,'IND AS entries 22-23'!E:E)</f>
        <v>0</v>
      </c>
    </row>
    <row r="372" spans="1:4">
      <c r="A372" s="658">
        <v>200016</v>
      </c>
      <c r="B372" s="659" t="s">
        <v>1338</v>
      </c>
      <c r="C372" s="660">
        <f>SUMIF('IND AS entries 22-23'!B:B,'IND AS_TB18-19'!A372,'IND AS entries 22-23'!D:D)</f>
        <v>0</v>
      </c>
      <c r="D372" s="660">
        <f>SUMIF('IND AS entries 22-23'!B:B,'IND AS_TB18-19'!A372,'IND AS entries 22-23'!E:E)</f>
        <v>0</v>
      </c>
    </row>
    <row r="373" spans="1:4">
      <c r="A373" s="658">
        <v>200018</v>
      </c>
      <c r="B373" s="659" t="s">
        <v>1339</v>
      </c>
      <c r="C373" s="660">
        <f>SUMIF('IND AS entries 22-23'!B:B,'IND AS_TB18-19'!A373,'IND AS entries 22-23'!D:D)</f>
        <v>0</v>
      </c>
      <c r="D373" s="660">
        <f>SUMIF('IND AS entries 22-23'!B:B,'IND AS_TB18-19'!A373,'IND AS entries 22-23'!E:E)</f>
        <v>0</v>
      </c>
    </row>
    <row r="374" spans="1:4">
      <c r="A374" s="658">
        <v>200019</v>
      </c>
      <c r="B374" s="659" t="s">
        <v>1340</v>
      </c>
      <c r="C374" s="660">
        <f>SUMIF('IND AS entries 22-23'!B:B,'IND AS_TB18-19'!A374,'IND AS entries 22-23'!D:D)</f>
        <v>0</v>
      </c>
      <c r="D374" s="660">
        <f>SUMIF('IND AS entries 22-23'!B:B,'IND AS_TB18-19'!A374,'IND AS entries 22-23'!E:E)</f>
        <v>0</v>
      </c>
    </row>
    <row r="375" spans="1:4">
      <c r="A375" s="658">
        <v>200021</v>
      </c>
      <c r="B375" s="659" t="s">
        <v>1341</v>
      </c>
      <c r="C375" s="660">
        <f>SUMIF('IND AS entries 22-23'!B:B,'IND AS_TB18-19'!A375,'IND AS entries 22-23'!D:D)</f>
        <v>0</v>
      </c>
      <c r="D375" s="660">
        <f>SUMIF('IND AS entries 22-23'!B:B,'IND AS_TB18-19'!A375,'IND AS entries 22-23'!E:E)</f>
        <v>0</v>
      </c>
    </row>
    <row r="376" spans="1:4">
      <c r="A376" s="658">
        <v>200022</v>
      </c>
      <c r="B376" s="659" t="s">
        <v>1342</v>
      </c>
      <c r="C376" s="660">
        <f>SUMIF('IND AS entries 22-23'!B:B,'IND AS_TB18-19'!A376,'IND AS entries 22-23'!D:D)</f>
        <v>0</v>
      </c>
      <c r="D376" s="660">
        <f>SUMIF('IND AS entries 22-23'!B:B,'IND AS_TB18-19'!A376,'IND AS entries 22-23'!E:E)</f>
        <v>0</v>
      </c>
    </row>
    <row r="377" spans="1:4">
      <c r="A377" s="658">
        <v>200041</v>
      </c>
      <c r="B377" s="659" t="s">
        <v>1343</v>
      </c>
      <c r="C377" s="660">
        <f>SUMIF('IND AS entries 22-23'!B:B,'IND AS_TB18-19'!A377,'IND AS entries 22-23'!D:D)</f>
        <v>0</v>
      </c>
      <c r="D377" s="660">
        <f>SUMIF('IND AS entries 22-23'!B:B,'IND AS_TB18-19'!A377,'IND AS entries 22-23'!E:E)</f>
        <v>0</v>
      </c>
    </row>
    <row r="378" spans="1:4">
      <c r="A378" s="658">
        <v>201005</v>
      </c>
      <c r="B378" s="659" t="s">
        <v>1344</v>
      </c>
      <c r="C378" s="660">
        <f>SUMIF('IND AS entries 22-23'!B:B,'IND AS_TB18-19'!A378,'IND AS entries 22-23'!D:D)</f>
        <v>0</v>
      </c>
      <c r="D378" s="660">
        <f>SUMIF('IND AS entries 22-23'!B:B,'IND AS_TB18-19'!A378,'IND AS entries 22-23'!E:E)</f>
        <v>0</v>
      </c>
    </row>
    <row r="379" spans="1:4">
      <c r="A379" s="658">
        <v>201010</v>
      </c>
      <c r="B379" s="659" t="s">
        <v>1345</v>
      </c>
      <c r="C379" s="660">
        <f>SUMIF('IND AS entries 22-23'!B:B,'IND AS_TB18-19'!A379,'IND AS entries 22-23'!D:D)</f>
        <v>0</v>
      </c>
      <c r="D379" s="660">
        <f>SUMIF('IND AS entries 22-23'!B:B,'IND AS_TB18-19'!A379,'IND AS entries 22-23'!E:E)</f>
        <v>0</v>
      </c>
    </row>
    <row r="380" spans="1:4">
      <c r="A380" s="658">
        <v>201015</v>
      </c>
      <c r="B380" s="659" t="s">
        <v>1346</v>
      </c>
      <c r="C380" s="660">
        <f>SUMIF('IND AS entries 22-23'!B:B,'IND AS_TB18-19'!A380,'IND AS entries 22-23'!D:D)</f>
        <v>0</v>
      </c>
      <c r="D380" s="660">
        <f>SUMIF('IND AS entries 22-23'!B:B,'IND AS_TB18-19'!A380,'IND AS entries 22-23'!E:E)</f>
        <v>0</v>
      </c>
    </row>
    <row r="381" spans="1:4">
      <c r="A381" s="658">
        <v>201017</v>
      </c>
      <c r="B381" s="659" t="s">
        <v>1347</v>
      </c>
      <c r="C381" s="660">
        <f>SUMIF('IND AS entries 22-23'!B:B,'IND AS_TB18-19'!A381,'IND AS entries 22-23'!D:D)</f>
        <v>0</v>
      </c>
      <c r="D381" s="660">
        <f>SUMIF('IND AS entries 22-23'!B:B,'IND AS_TB18-19'!A381,'IND AS entries 22-23'!E:E)</f>
        <v>0</v>
      </c>
    </row>
    <row r="382" spans="1:4">
      <c r="A382" s="658">
        <v>201020</v>
      </c>
      <c r="B382" s="659" t="s">
        <v>1348</v>
      </c>
      <c r="C382" s="660">
        <f>SUMIF('IND AS entries 22-23'!B:B,'IND AS_TB18-19'!A382,'IND AS entries 22-23'!D:D)</f>
        <v>0</v>
      </c>
      <c r="D382" s="660">
        <f>SUMIF('IND AS entries 22-23'!B:B,'IND AS_TB18-19'!A382,'IND AS entries 22-23'!E:E)</f>
        <v>0</v>
      </c>
    </row>
    <row r="383" spans="1:4">
      <c r="A383" s="658">
        <v>201023</v>
      </c>
      <c r="B383" s="659" t="s">
        <v>1349</v>
      </c>
      <c r="C383" s="660">
        <f>SUMIF('IND AS entries 22-23'!B:B,'IND AS_TB18-19'!A383,'IND AS entries 22-23'!D:D)</f>
        <v>0</v>
      </c>
      <c r="D383" s="660">
        <f>SUMIF('IND AS entries 22-23'!B:B,'IND AS_TB18-19'!A383,'IND AS entries 22-23'!E:E)</f>
        <v>0</v>
      </c>
    </row>
    <row r="384" spans="1:4">
      <c r="A384" s="658">
        <v>201035</v>
      </c>
      <c r="B384" s="659" t="s">
        <v>1350</v>
      </c>
      <c r="C384" s="660">
        <f>SUMIF('IND AS entries 22-23'!B:B,'IND AS_TB18-19'!A384,'IND AS entries 22-23'!D:D)</f>
        <v>0</v>
      </c>
      <c r="D384" s="660">
        <f>SUMIF('IND AS entries 22-23'!B:B,'IND AS_TB18-19'!A384,'IND AS entries 22-23'!E:E)</f>
        <v>0</v>
      </c>
    </row>
    <row r="385" spans="1:4">
      <c r="A385" s="658">
        <v>201030</v>
      </c>
      <c r="B385" s="659" t="s">
        <v>1351</v>
      </c>
      <c r="C385" s="660">
        <f>SUMIF('IND AS entries 22-23'!B:B,'IND AS_TB18-19'!A385,'IND AS entries 22-23'!D:D)</f>
        <v>0</v>
      </c>
      <c r="D385" s="660">
        <f>SUMIF('IND AS entries 22-23'!B:B,'IND AS_TB18-19'!A385,'IND AS entries 22-23'!E:E)</f>
        <v>0</v>
      </c>
    </row>
    <row r="386" spans="1:4">
      <c r="A386" s="658">
        <v>201040</v>
      </c>
      <c r="B386" s="659" t="s">
        <v>1352</v>
      </c>
      <c r="C386" s="660">
        <f>SUMIF('IND AS entries 22-23'!B:B,'IND AS_TB18-19'!A386,'IND AS entries 22-23'!D:D)</f>
        <v>0</v>
      </c>
      <c r="D386" s="660">
        <f>SUMIF('IND AS entries 22-23'!B:B,'IND AS_TB18-19'!A386,'IND AS entries 22-23'!E:E)</f>
        <v>0</v>
      </c>
    </row>
    <row r="387" spans="1:4">
      <c r="A387" s="658">
        <v>201045</v>
      </c>
      <c r="B387" s="659" t="s">
        <v>1353</v>
      </c>
      <c r="C387" s="660">
        <f>SUMIF('IND AS entries 22-23'!B:B,'IND AS_TB18-19'!A387,'IND AS entries 22-23'!D:D)</f>
        <v>0</v>
      </c>
      <c r="D387" s="660">
        <f>SUMIF('IND AS entries 22-23'!B:B,'IND AS_TB18-19'!A387,'IND AS entries 22-23'!E:E)</f>
        <v>0</v>
      </c>
    </row>
    <row r="388" spans="1:4">
      <c r="A388" s="658">
        <v>201046</v>
      </c>
      <c r="B388" s="659" t="s">
        <v>1354</v>
      </c>
      <c r="C388" s="660">
        <f>SUMIF('IND AS entries 22-23'!B:B,'IND AS_TB18-19'!A388,'IND AS entries 22-23'!D:D)</f>
        <v>0</v>
      </c>
      <c r="D388" s="660">
        <f>SUMIF('IND AS entries 22-23'!B:B,'IND AS_TB18-19'!A388,'IND AS entries 22-23'!E:E)</f>
        <v>0</v>
      </c>
    </row>
    <row r="389" spans="1:4">
      <c r="A389" s="658">
        <v>201047</v>
      </c>
      <c r="B389" s="659" t="s">
        <v>1355</v>
      </c>
      <c r="C389" s="660">
        <f>SUMIF('IND AS entries 22-23'!B:B,'IND AS_TB18-19'!A389,'IND AS entries 22-23'!D:D)</f>
        <v>0</v>
      </c>
      <c r="D389" s="660">
        <f>SUMIF('IND AS entries 22-23'!B:B,'IND AS_TB18-19'!A389,'IND AS entries 22-23'!E:E)</f>
        <v>0</v>
      </c>
    </row>
    <row r="390" spans="1:4">
      <c r="A390" s="658">
        <v>201050</v>
      </c>
      <c r="B390" s="659" t="s">
        <v>1356</v>
      </c>
      <c r="C390" s="660">
        <f>SUMIF('IND AS entries 22-23'!B:B,'IND AS_TB18-19'!A390,'IND AS entries 22-23'!D:D)</f>
        <v>0</v>
      </c>
      <c r="D390" s="660">
        <f>SUMIF('IND AS entries 22-23'!B:B,'IND AS_TB18-19'!A390,'IND AS entries 22-23'!E:E)</f>
        <v>0</v>
      </c>
    </row>
    <row r="391" spans="1:4">
      <c r="A391" s="658">
        <v>201052</v>
      </c>
      <c r="B391" s="659" t="s">
        <v>1357</v>
      </c>
      <c r="C391" s="660">
        <f>SUMIF('IND AS entries 22-23'!B:B,'IND AS_TB18-19'!A391,'IND AS entries 22-23'!D:D)</f>
        <v>0</v>
      </c>
      <c r="D391" s="660">
        <f>SUMIF('IND AS entries 22-23'!B:B,'IND AS_TB18-19'!A391,'IND AS entries 22-23'!E:E)</f>
        <v>0</v>
      </c>
    </row>
    <row r="392" spans="1:4">
      <c r="A392" s="658">
        <v>201065</v>
      </c>
      <c r="B392" s="659" t="s">
        <v>1358</v>
      </c>
      <c r="C392" s="660">
        <f>SUMIF('IND AS entries 22-23'!B:B,'IND AS_TB18-19'!A392,'IND AS entries 22-23'!D:D)</f>
        <v>0</v>
      </c>
      <c r="D392" s="660">
        <f>SUMIF('IND AS entries 22-23'!B:B,'IND AS_TB18-19'!A392,'IND AS entries 22-23'!E:E)</f>
        <v>0</v>
      </c>
    </row>
    <row r="393" spans="1:4">
      <c r="A393" s="658">
        <v>201066</v>
      </c>
      <c r="B393" s="659" t="s">
        <v>1359</v>
      </c>
      <c r="C393" s="660">
        <f>SUMIF('IND AS entries 22-23'!B:B,'IND AS_TB18-19'!A393,'IND AS entries 22-23'!D:D)</f>
        <v>0</v>
      </c>
      <c r="D393" s="660">
        <f>SUMIF('IND AS entries 22-23'!B:B,'IND AS_TB18-19'!A393,'IND AS entries 22-23'!E:E)</f>
        <v>0</v>
      </c>
    </row>
    <row r="394" spans="1:4">
      <c r="A394" s="658">
        <v>201070</v>
      </c>
      <c r="B394" s="659" t="s">
        <v>1360</v>
      </c>
      <c r="C394" s="660">
        <f>SUMIF('IND AS entries 22-23'!B:B,'IND AS_TB18-19'!A394,'IND AS entries 22-23'!D:D)</f>
        <v>0</v>
      </c>
      <c r="D394" s="660">
        <f>SUMIF('IND AS entries 22-23'!B:B,'IND AS_TB18-19'!A394,'IND AS entries 22-23'!E:E)</f>
        <v>0</v>
      </c>
    </row>
    <row r="395" spans="1:4">
      <c r="A395" s="658">
        <v>201075</v>
      </c>
      <c r="B395" s="659" t="s">
        <v>1361</v>
      </c>
      <c r="C395" s="660">
        <f>SUMIF('IND AS entries 22-23'!B:B,'IND AS_TB18-19'!A395,'IND AS entries 22-23'!D:D)</f>
        <v>0</v>
      </c>
      <c r="D395" s="660">
        <f>SUMIF('IND AS entries 22-23'!B:B,'IND AS_TB18-19'!A395,'IND AS entries 22-23'!E:E)</f>
        <v>0</v>
      </c>
    </row>
    <row r="396" spans="1:4">
      <c r="A396" s="658">
        <v>201076</v>
      </c>
      <c r="B396" s="659" t="s">
        <v>1362</v>
      </c>
      <c r="C396" s="660">
        <f>SUMIF('IND AS entries 22-23'!B:B,'IND AS_TB18-19'!A396,'IND AS entries 22-23'!D:D)</f>
        <v>0</v>
      </c>
      <c r="D396" s="660">
        <f>SUMIF('IND AS entries 22-23'!B:B,'IND AS_TB18-19'!A396,'IND AS entries 22-23'!E:E)</f>
        <v>0</v>
      </c>
    </row>
    <row r="397" spans="1:4">
      <c r="A397" s="658">
        <v>201080</v>
      </c>
      <c r="B397" s="659" t="s">
        <v>1363</v>
      </c>
      <c r="C397" s="660">
        <f>SUMIF('IND AS entries 22-23'!B:B,'IND AS_TB18-19'!A397,'IND AS entries 22-23'!D:D)</f>
        <v>0</v>
      </c>
      <c r="D397" s="660">
        <f>SUMIF('IND AS entries 22-23'!B:B,'IND AS_TB18-19'!A397,'IND AS entries 22-23'!E:E)</f>
        <v>0</v>
      </c>
    </row>
    <row r="398" spans="1:4">
      <c r="A398" s="658">
        <v>201085</v>
      </c>
      <c r="B398" s="659" t="s">
        <v>1364</v>
      </c>
      <c r="C398" s="660">
        <f>SUMIF('IND AS entries 22-23'!B:B,'IND AS_TB18-19'!A398,'IND AS entries 22-23'!D:D)</f>
        <v>0</v>
      </c>
      <c r="D398" s="660">
        <f>SUMIF('IND AS entries 22-23'!B:B,'IND AS_TB18-19'!A398,'IND AS entries 22-23'!E:E)</f>
        <v>0</v>
      </c>
    </row>
    <row r="399" spans="1:4">
      <c r="A399" s="658">
        <v>201101</v>
      </c>
      <c r="B399" s="659" t="s">
        <v>1365</v>
      </c>
      <c r="C399" s="660">
        <f>SUMIF('IND AS entries 22-23'!B:B,'IND AS_TB18-19'!A399,'IND AS entries 22-23'!D:D)</f>
        <v>0</v>
      </c>
      <c r="D399" s="660">
        <f>SUMIF('IND AS entries 22-23'!B:B,'IND AS_TB18-19'!A399,'IND AS entries 22-23'!E:E)</f>
        <v>0</v>
      </c>
    </row>
    <row r="400" spans="1:4">
      <c r="A400" s="658">
        <v>201102</v>
      </c>
      <c r="B400" s="659" t="s">
        <v>1366</v>
      </c>
      <c r="C400" s="660">
        <f>SUMIF('IND AS entries 22-23'!B:B,'IND AS_TB18-19'!A400,'IND AS entries 22-23'!D:D)</f>
        <v>0</v>
      </c>
      <c r="D400" s="660">
        <f>SUMIF('IND AS entries 22-23'!B:B,'IND AS_TB18-19'!A400,'IND AS entries 22-23'!E:E)</f>
        <v>0</v>
      </c>
    </row>
    <row r="401" spans="1:4">
      <c r="A401" s="658">
        <v>201103</v>
      </c>
      <c r="B401" s="659" t="s">
        <v>1367</v>
      </c>
      <c r="C401" s="660">
        <f>SUMIF('IND AS entries 22-23'!B:B,'IND AS_TB18-19'!A401,'IND AS entries 22-23'!D:D)</f>
        <v>0</v>
      </c>
      <c r="D401" s="660">
        <f>SUMIF('IND AS entries 22-23'!B:B,'IND AS_TB18-19'!A401,'IND AS entries 22-23'!E:E)</f>
        <v>0</v>
      </c>
    </row>
    <row r="402" spans="1:4">
      <c r="A402" s="658">
        <v>201104</v>
      </c>
      <c r="B402" s="659" t="s">
        <v>1368</v>
      </c>
      <c r="C402" s="660">
        <f>SUMIF('IND AS entries 22-23'!B:B,'IND AS_TB18-19'!A402,'IND AS entries 22-23'!D:D)</f>
        <v>0</v>
      </c>
      <c r="D402" s="660">
        <f>SUMIF('IND AS entries 22-23'!B:B,'IND AS_TB18-19'!A402,'IND AS entries 22-23'!E:E)</f>
        <v>0</v>
      </c>
    </row>
    <row r="403" spans="1:4">
      <c r="A403" s="658">
        <v>201105</v>
      </c>
      <c r="B403" s="659" t="s">
        <v>1369</v>
      </c>
      <c r="C403" s="660">
        <f>SUMIF('IND AS entries 22-23'!B:B,'IND AS_TB18-19'!A403,'IND AS entries 22-23'!D:D)</f>
        <v>0</v>
      </c>
      <c r="D403" s="660">
        <f>SUMIF('IND AS entries 22-23'!B:B,'IND AS_TB18-19'!A403,'IND AS entries 22-23'!E:E)</f>
        <v>0</v>
      </c>
    </row>
    <row r="404" spans="1:4">
      <c r="A404" s="658">
        <v>201106</v>
      </c>
      <c r="B404" s="659" t="s">
        <v>1370</v>
      </c>
      <c r="C404" s="660">
        <f>SUMIF('IND AS entries 22-23'!B:B,'IND AS_TB18-19'!A404,'IND AS entries 22-23'!D:D)</f>
        <v>0</v>
      </c>
      <c r="D404" s="660">
        <f>SUMIF('IND AS entries 22-23'!B:B,'IND AS_TB18-19'!A404,'IND AS entries 22-23'!E:E)</f>
        <v>0</v>
      </c>
    </row>
    <row r="405" spans="1:4">
      <c r="A405" s="658">
        <v>201107</v>
      </c>
      <c r="B405" s="659" t="s">
        <v>1371</v>
      </c>
      <c r="C405" s="660">
        <f>SUMIF('IND AS entries 22-23'!B:B,'IND AS_TB18-19'!A405,'IND AS entries 22-23'!D:D)</f>
        <v>0</v>
      </c>
      <c r="D405" s="660">
        <f>SUMIF('IND AS entries 22-23'!B:B,'IND AS_TB18-19'!A405,'IND AS entries 22-23'!E:E)</f>
        <v>0</v>
      </c>
    </row>
    <row r="406" spans="1:4">
      <c r="A406" s="658">
        <v>201108</v>
      </c>
      <c r="B406" s="659" t="s">
        <v>1372</v>
      </c>
      <c r="C406" s="660">
        <f>SUMIF('IND AS entries 22-23'!B:B,'IND AS_TB18-19'!A406,'IND AS entries 22-23'!D:D)</f>
        <v>0</v>
      </c>
      <c r="D406" s="660">
        <f>SUMIF('IND AS entries 22-23'!B:B,'IND AS_TB18-19'!A406,'IND AS entries 22-23'!E:E)</f>
        <v>0</v>
      </c>
    </row>
    <row r="407" spans="1:4">
      <c r="A407" s="658">
        <v>201109</v>
      </c>
      <c r="B407" s="659" t="s">
        <v>1373</v>
      </c>
      <c r="C407" s="660">
        <f>SUMIF('IND AS entries 22-23'!B:B,'IND AS_TB18-19'!A407,'IND AS entries 22-23'!D:D)</f>
        <v>0</v>
      </c>
      <c r="D407" s="660">
        <f>SUMIF('IND AS entries 22-23'!B:B,'IND AS_TB18-19'!A407,'IND AS entries 22-23'!E:E)</f>
        <v>0</v>
      </c>
    </row>
    <row r="408" spans="1:4">
      <c r="A408" s="658">
        <v>201114</v>
      </c>
      <c r="B408" s="659" t="s">
        <v>1374</v>
      </c>
      <c r="C408" s="660">
        <f>SUMIF('IND AS entries 22-23'!B:B,'IND AS_TB18-19'!A408,'IND AS entries 22-23'!D:D)</f>
        <v>0</v>
      </c>
      <c r="D408" s="660">
        <f>SUMIF('IND AS entries 22-23'!B:B,'IND AS_TB18-19'!A408,'IND AS entries 22-23'!E:E)</f>
        <v>0</v>
      </c>
    </row>
    <row r="409" spans="1:4">
      <c r="A409" s="658">
        <v>201115</v>
      </c>
      <c r="B409" s="659" t="s">
        <v>1375</v>
      </c>
      <c r="C409" s="660">
        <f>SUMIF('IND AS entries 22-23'!B:B,'IND AS_TB18-19'!A409,'IND AS entries 22-23'!D:D)</f>
        <v>0</v>
      </c>
      <c r="D409" s="660">
        <f>SUMIF('IND AS entries 22-23'!B:B,'IND AS_TB18-19'!A409,'IND AS entries 22-23'!E:E)</f>
        <v>0</v>
      </c>
    </row>
    <row r="410" spans="1:4">
      <c r="A410" s="658">
        <v>201117</v>
      </c>
      <c r="B410" s="659" t="s">
        <v>1376</v>
      </c>
      <c r="C410" s="660">
        <f>SUMIF('IND AS entries 22-23'!B:B,'IND AS_TB18-19'!A410,'IND AS entries 22-23'!D:D)</f>
        <v>0</v>
      </c>
      <c r="D410" s="660">
        <f>SUMIF('IND AS entries 22-23'!B:B,'IND AS_TB18-19'!A410,'IND AS entries 22-23'!E:E)</f>
        <v>0</v>
      </c>
    </row>
    <row r="411" spans="1:4">
      <c r="A411" s="658">
        <v>201201</v>
      </c>
      <c r="B411" s="659" t="s">
        <v>1377</v>
      </c>
      <c r="C411" s="660">
        <f>SUMIF('IND AS entries 22-23'!B:B,'IND AS_TB18-19'!A411,'IND AS entries 22-23'!D:D)</f>
        <v>0</v>
      </c>
      <c r="D411" s="660">
        <f>SUMIF('IND AS entries 22-23'!B:B,'IND AS_TB18-19'!A411,'IND AS entries 22-23'!E:E)</f>
        <v>0</v>
      </c>
    </row>
    <row r="412" spans="1:4">
      <c r="A412" s="658">
        <v>201202</v>
      </c>
      <c r="B412" s="659" t="s">
        <v>1378</v>
      </c>
      <c r="C412" s="660">
        <f>SUMIF('IND AS entries 22-23'!B:B,'IND AS_TB18-19'!A412,'IND AS entries 22-23'!D:D)</f>
        <v>0</v>
      </c>
      <c r="D412" s="660">
        <f>SUMIF('IND AS entries 22-23'!B:B,'IND AS_TB18-19'!A412,'IND AS entries 22-23'!E:E)</f>
        <v>0</v>
      </c>
    </row>
    <row r="413" spans="1:4">
      <c r="A413" s="658">
        <v>201203</v>
      </c>
      <c r="B413" s="661" t="s">
        <v>1379</v>
      </c>
      <c r="C413" s="660">
        <f>SUMIF('IND AS entries 22-23'!B:B,'IND AS_TB18-19'!A413,'IND AS entries 22-23'!D:D)</f>
        <v>0</v>
      </c>
      <c r="D413" s="660">
        <f>SUMIF('IND AS entries 22-23'!B:B,'IND AS_TB18-19'!A413,'IND AS entries 22-23'!E:E)</f>
        <v>0</v>
      </c>
    </row>
    <row r="414" spans="1:4">
      <c r="A414" s="658">
        <v>201211</v>
      </c>
      <c r="B414" s="659" t="s">
        <v>1380</v>
      </c>
      <c r="C414" s="660">
        <f>SUMIF('IND AS entries 22-23'!B:B,'IND AS_TB18-19'!A414,'IND AS entries 22-23'!D:D)</f>
        <v>0</v>
      </c>
      <c r="D414" s="660">
        <f>SUMIF('IND AS entries 22-23'!B:B,'IND AS_TB18-19'!A414,'IND AS entries 22-23'!E:E)</f>
        <v>0</v>
      </c>
    </row>
    <row r="415" spans="1:4">
      <c r="A415" s="658">
        <v>201212</v>
      </c>
      <c r="B415" s="659" t="s">
        <v>1381</v>
      </c>
      <c r="C415" s="660">
        <f>SUMIF('IND AS entries 22-23'!B:B,'IND AS_TB18-19'!A415,'IND AS entries 22-23'!D:D)</f>
        <v>0</v>
      </c>
      <c r="D415" s="660">
        <f>SUMIF('IND AS entries 22-23'!B:B,'IND AS_TB18-19'!A415,'IND AS entries 22-23'!E:E)</f>
        <v>0</v>
      </c>
    </row>
    <row r="416" spans="1:4">
      <c r="A416" s="658">
        <v>201213</v>
      </c>
      <c r="B416" s="659" t="s">
        <v>1382</v>
      </c>
      <c r="C416" s="660">
        <f>SUMIF('IND AS entries 22-23'!B:B,'IND AS_TB18-19'!A416,'IND AS entries 22-23'!D:D)</f>
        <v>0</v>
      </c>
      <c r="D416" s="660">
        <f>SUMIF('IND AS entries 22-23'!B:B,'IND AS_TB18-19'!A416,'IND AS entries 22-23'!E:E)</f>
        <v>0</v>
      </c>
    </row>
    <row r="417" spans="1:4">
      <c r="A417" s="658">
        <v>201214</v>
      </c>
      <c r="B417" s="659" t="s">
        <v>1383</v>
      </c>
      <c r="C417" s="660">
        <f>SUMIF('IND AS entries 22-23'!B:B,'IND AS_TB18-19'!A417,'IND AS entries 22-23'!D:D)</f>
        <v>0</v>
      </c>
      <c r="D417" s="660">
        <f>SUMIF('IND AS entries 22-23'!B:B,'IND AS_TB18-19'!A417,'IND AS entries 22-23'!E:E)</f>
        <v>0</v>
      </c>
    </row>
    <row r="418" spans="1:4">
      <c r="A418" s="658">
        <v>201215</v>
      </c>
      <c r="B418" s="659" t="s">
        <v>1384</v>
      </c>
      <c r="C418" s="660">
        <f>SUMIF('IND AS entries 22-23'!B:B,'IND AS_TB18-19'!A418,'IND AS entries 22-23'!D:D)</f>
        <v>0</v>
      </c>
      <c r="D418" s="660">
        <f>SUMIF('IND AS entries 22-23'!B:B,'IND AS_TB18-19'!A418,'IND AS entries 22-23'!E:E)</f>
        <v>0</v>
      </c>
    </row>
    <row r="419" spans="1:4">
      <c r="A419" s="658">
        <v>201221</v>
      </c>
      <c r="B419" s="659" t="s">
        <v>1385</v>
      </c>
      <c r="C419" s="660">
        <f>SUMIF('IND AS entries 22-23'!B:B,'IND AS_TB18-19'!A419,'IND AS entries 22-23'!D:D)</f>
        <v>0</v>
      </c>
      <c r="D419" s="660">
        <f>SUMIF('IND AS entries 22-23'!B:B,'IND AS_TB18-19'!A419,'IND AS entries 22-23'!E:E)</f>
        <v>0</v>
      </c>
    </row>
    <row r="420" spans="1:4">
      <c r="A420" s="658">
        <v>201222</v>
      </c>
      <c r="B420" s="659" t="s">
        <v>1386</v>
      </c>
      <c r="C420" s="660">
        <f>SUMIF('IND AS entries 22-23'!B:B,'IND AS_TB18-19'!A420,'IND AS entries 22-23'!D:D)</f>
        <v>0</v>
      </c>
      <c r="D420" s="660">
        <f>SUMIF('IND AS entries 22-23'!B:B,'IND AS_TB18-19'!A420,'IND AS entries 22-23'!E:E)</f>
        <v>0</v>
      </c>
    </row>
    <row r="421" spans="1:4">
      <c r="A421" s="658">
        <v>201223</v>
      </c>
      <c r="B421" s="659" t="s">
        <v>1387</v>
      </c>
      <c r="C421" s="660">
        <f>SUMIF('IND AS entries 22-23'!B:B,'IND AS_TB18-19'!A421,'IND AS entries 22-23'!D:D)</f>
        <v>0</v>
      </c>
      <c r="D421" s="660">
        <f>SUMIF('IND AS entries 22-23'!B:B,'IND AS_TB18-19'!A421,'IND AS entries 22-23'!E:E)</f>
        <v>0</v>
      </c>
    </row>
    <row r="422" spans="1:4">
      <c r="A422" s="658">
        <v>201224</v>
      </c>
      <c r="B422" s="659" t="s">
        <v>1388</v>
      </c>
      <c r="C422" s="660">
        <f>SUMIF('IND AS entries 22-23'!B:B,'IND AS_TB18-19'!A422,'IND AS entries 22-23'!D:D)</f>
        <v>0</v>
      </c>
      <c r="D422" s="660">
        <f>SUMIF('IND AS entries 22-23'!B:B,'IND AS_TB18-19'!A422,'IND AS entries 22-23'!E:E)</f>
        <v>0</v>
      </c>
    </row>
    <row r="423" spans="1:4">
      <c r="A423" s="658">
        <v>201225</v>
      </c>
      <c r="B423" s="659" t="s">
        <v>1389</v>
      </c>
      <c r="C423" s="660">
        <f>SUMIF('IND AS entries 22-23'!B:B,'IND AS_TB18-19'!A423,'IND AS entries 22-23'!D:D)</f>
        <v>0</v>
      </c>
      <c r="D423" s="660">
        <f>SUMIF('IND AS entries 22-23'!B:B,'IND AS_TB18-19'!A423,'IND AS entries 22-23'!E:E)</f>
        <v>0</v>
      </c>
    </row>
    <row r="424" spans="1:4">
      <c r="A424" s="658">
        <v>201226</v>
      </c>
      <c r="B424" s="659" t="s">
        <v>1390</v>
      </c>
      <c r="C424" s="660">
        <f>SUMIF('IND AS entries 22-23'!B:B,'IND AS_TB18-19'!A424,'IND AS entries 22-23'!D:D)</f>
        <v>0</v>
      </c>
      <c r="D424" s="660">
        <f>SUMIF('IND AS entries 22-23'!B:B,'IND AS_TB18-19'!A424,'IND AS entries 22-23'!E:E)</f>
        <v>0</v>
      </c>
    </row>
    <row r="425" spans="1:4">
      <c r="A425" s="658">
        <v>201228</v>
      </c>
      <c r="B425" s="659" t="s">
        <v>1391</v>
      </c>
      <c r="C425" s="660">
        <f>SUMIF('IND AS entries 22-23'!B:B,'IND AS_TB18-19'!A425,'IND AS entries 22-23'!D:D)</f>
        <v>0</v>
      </c>
      <c r="D425" s="660">
        <f>SUMIF('IND AS entries 22-23'!B:B,'IND AS_TB18-19'!A425,'IND AS entries 22-23'!E:E)</f>
        <v>0</v>
      </c>
    </row>
    <row r="426" spans="1:4">
      <c r="A426" s="658">
        <v>201230</v>
      </c>
      <c r="B426" s="661" t="s">
        <v>1392</v>
      </c>
      <c r="C426" s="660">
        <f>SUMIF('IND AS entries 22-23'!B:B,'IND AS_TB18-19'!A426,'IND AS entries 22-23'!D:D)</f>
        <v>0</v>
      </c>
      <c r="D426" s="660">
        <f>SUMIF('IND AS entries 22-23'!B:B,'IND AS_TB18-19'!A426,'IND AS entries 22-23'!E:E)</f>
        <v>0</v>
      </c>
    </row>
    <row r="427" spans="1:4">
      <c r="A427" s="658">
        <v>201231</v>
      </c>
      <c r="B427" s="659" t="s">
        <v>1393</v>
      </c>
      <c r="C427" s="660">
        <f>SUMIF('IND AS entries 22-23'!B:B,'IND AS_TB18-19'!A427,'IND AS entries 22-23'!D:D)</f>
        <v>0</v>
      </c>
      <c r="D427" s="660">
        <f>SUMIF('IND AS entries 22-23'!B:B,'IND AS_TB18-19'!A427,'IND AS entries 22-23'!E:E)</f>
        <v>0</v>
      </c>
    </row>
    <row r="428" spans="1:4">
      <c r="A428" s="658">
        <v>201232</v>
      </c>
      <c r="B428" s="659" t="s">
        <v>1394</v>
      </c>
      <c r="C428" s="660">
        <f>SUMIF('IND AS entries 22-23'!B:B,'IND AS_TB18-19'!A428,'IND AS entries 22-23'!D:D)</f>
        <v>0</v>
      </c>
      <c r="D428" s="660">
        <f>SUMIF('IND AS entries 22-23'!B:B,'IND AS_TB18-19'!A428,'IND AS entries 22-23'!E:E)</f>
        <v>0</v>
      </c>
    </row>
    <row r="429" spans="1:4">
      <c r="A429" s="658">
        <v>201233</v>
      </c>
      <c r="B429" s="659" t="s">
        <v>1395</v>
      </c>
      <c r="C429" s="660">
        <f>SUMIF('IND AS entries 22-23'!B:B,'IND AS_TB18-19'!A429,'IND AS entries 22-23'!D:D)</f>
        <v>0</v>
      </c>
      <c r="D429" s="660">
        <f>SUMIF('IND AS entries 22-23'!B:B,'IND AS_TB18-19'!A429,'IND AS entries 22-23'!E:E)</f>
        <v>0</v>
      </c>
    </row>
    <row r="430" spans="1:4">
      <c r="A430" s="658">
        <v>201234</v>
      </c>
      <c r="B430" s="659" t="s">
        <v>1396</v>
      </c>
      <c r="C430" s="660">
        <f>SUMIF('IND AS entries 22-23'!B:B,'IND AS_TB18-19'!A430,'IND AS entries 22-23'!D:D)</f>
        <v>0</v>
      </c>
      <c r="D430" s="660">
        <f>SUMIF('IND AS entries 22-23'!B:B,'IND AS_TB18-19'!A430,'IND AS entries 22-23'!E:E)</f>
        <v>0</v>
      </c>
    </row>
    <row r="431" spans="1:4">
      <c r="A431" s="658">
        <v>201235</v>
      </c>
      <c r="B431" s="659" t="s">
        <v>1397</v>
      </c>
      <c r="C431" s="660">
        <f>SUMIF('IND AS entries 22-23'!B:B,'IND AS_TB18-19'!A431,'IND AS entries 22-23'!D:D)</f>
        <v>0</v>
      </c>
      <c r="D431" s="660">
        <f>SUMIF('IND AS entries 22-23'!B:B,'IND AS_TB18-19'!A431,'IND AS entries 22-23'!E:E)</f>
        <v>0</v>
      </c>
    </row>
    <row r="432" spans="1:4">
      <c r="A432" s="658">
        <v>201236</v>
      </c>
      <c r="B432" s="659" t="s">
        <v>1398</v>
      </c>
      <c r="C432" s="660">
        <f>SUMIF('IND AS entries 22-23'!B:B,'IND AS_TB18-19'!A432,'IND AS entries 22-23'!D:D)</f>
        <v>0</v>
      </c>
      <c r="D432" s="660">
        <f>SUMIF('IND AS entries 22-23'!B:B,'IND AS_TB18-19'!A432,'IND AS entries 22-23'!E:E)</f>
        <v>0</v>
      </c>
    </row>
    <row r="433" spans="1:4">
      <c r="A433" s="658">
        <v>201241</v>
      </c>
      <c r="B433" s="659" t="s">
        <v>1399</v>
      </c>
      <c r="C433" s="660">
        <f>SUMIF('IND AS entries 22-23'!B:B,'IND AS_TB18-19'!A433,'IND AS entries 22-23'!D:D)</f>
        <v>0</v>
      </c>
      <c r="D433" s="660">
        <f>SUMIF('IND AS entries 22-23'!B:B,'IND AS_TB18-19'!A433,'IND AS entries 22-23'!E:E)</f>
        <v>0</v>
      </c>
    </row>
    <row r="434" spans="1:4">
      <c r="A434" s="658">
        <v>201242</v>
      </c>
      <c r="B434" s="659" t="s">
        <v>1400</v>
      </c>
      <c r="C434" s="660">
        <f>SUMIF('IND AS entries 22-23'!B:B,'IND AS_TB18-19'!A434,'IND AS entries 22-23'!D:D)</f>
        <v>0</v>
      </c>
      <c r="D434" s="660">
        <f>SUMIF('IND AS entries 22-23'!B:B,'IND AS_TB18-19'!A434,'IND AS entries 22-23'!E:E)</f>
        <v>0</v>
      </c>
    </row>
    <row r="435" spans="1:4">
      <c r="A435" s="658">
        <v>201243</v>
      </c>
      <c r="B435" s="659" t="s">
        <v>1401</v>
      </c>
      <c r="C435" s="660">
        <f>SUMIF('IND AS entries 22-23'!B:B,'IND AS_TB18-19'!A435,'IND AS entries 22-23'!D:D)</f>
        <v>0</v>
      </c>
      <c r="D435" s="660">
        <f>SUMIF('IND AS entries 22-23'!B:B,'IND AS_TB18-19'!A435,'IND AS entries 22-23'!E:E)</f>
        <v>0</v>
      </c>
    </row>
    <row r="436" spans="1:4">
      <c r="A436" s="658">
        <v>201244</v>
      </c>
      <c r="B436" s="659" t="s">
        <v>1402</v>
      </c>
      <c r="C436" s="660">
        <f>SUMIF('IND AS entries 22-23'!B:B,'IND AS_TB18-19'!A436,'IND AS entries 22-23'!D:D)</f>
        <v>0</v>
      </c>
      <c r="D436" s="660">
        <f>SUMIF('IND AS entries 22-23'!B:B,'IND AS_TB18-19'!A436,'IND AS entries 22-23'!E:E)</f>
        <v>0</v>
      </c>
    </row>
    <row r="437" spans="1:4">
      <c r="A437" s="658">
        <v>202010</v>
      </c>
      <c r="B437" s="659" t="s">
        <v>617</v>
      </c>
      <c r="C437" s="660">
        <f>SUMIF('IND AS entries 22-23'!B:B,'IND AS_TB18-19'!A437,'IND AS entries 22-23'!D:D)</f>
        <v>0</v>
      </c>
      <c r="D437" s="660">
        <f>SUMIF('IND AS entries 22-23'!B:B,'IND AS_TB18-19'!A437,'IND AS entries 22-23'!E:E)</f>
        <v>0</v>
      </c>
    </row>
    <row r="438" spans="1:4">
      <c r="A438" s="658">
        <v>205010</v>
      </c>
      <c r="B438" s="659" t="s">
        <v>1403</v>
      </c>
      <c r="C438" s="660">
        <f>SUMIF('IND AS entries 22-23'!B:B,'IND AS_TB18-19'!A438,'IND AS entries 22-23'!D:D)</f>
        <v>0</v>
      </c>
      <c r="D438" s="660">
        <f>SUMIF('IND AS entries 22-23'!B:B,'IND AS_TB18-19'!A438,'IND AS entries 22-23'!E:E)</f>
        <v>0</v>
      </c>
    </row>
    <row r="439" spans="1:4">
      <c r="A439" s="658">
        <v>205011</v>
      </c>
      <c r="B439" s="659" t="s">
        <v>1404</v>
      </c>
      <c r="C439" s="660">
        <f>SUMIF('IND AS entries 22-23'!B:B,'IND AS_TB18-19'!A439,'IND AS entries 22-23'!D:D)</f>
        <v>0</v>
      </c>
      <c r="D439" s="660">
        <f>SUMIF('IND AS entries 22-23'!B:B,'IND AS_TB18-19'!A439,'IND AS entries 22-23'!E:E)</f>
        <v>0</v>
      </c>
    </row>
    <row r="440" spans="1:4">
      <c r="A440" s="658">
        <v>205012</v>
      </c>
      <c r="B440" s="661" t="s">
        <v>1405</v>
      </c>
      <c r="C440" s="660">
        <f>SUMIF('IND AS entries 22-23'!B:B,'IND AS_TB18-19'!A440,'IND AS entries 22-23'!D:D)</f>
        <v>0</v>
      </c>
      <c r="D440" s="660">
        <f>SUMIF('IND AS entries 22-23'!B:B,'IND AS_TB18-19'!A440,'IND AS entries 22-23'!E:E)</f>
        <v>0</v>
      </c>
    </row>
    <row r="441" spans="1:4">
      <c r="A441" s="658">
        <v>205014</v>
      </c>
      <c r="B441" s="661" t="s">
        <v>1406</v>
      </c>
      <c r="C441" s="660">
        <f>SUMIF('IND AS entries 22-23'!B:B,'IND AS_TB18-19'!A441,'IND AS entries 22-23'!D:D)</f>
        <v>0</v>
      </c>
      <c r="D441" s="660">
        <f>SUMIF('IND AS entries 22-23'!B:B,'IND AS_TB18-19'!A441,'IND AS entries 22-23'!E:E)</f>
        <v>0</v>
      </c>
    </row>
    <row r="442" spans="1:4">
      <c r="A442" s="658">
        <v>205015</v>
      </c>
      <c r="B442" s="659" t="s">
        <v>1407</v>
      </c>
      <c r="C442" s="660">
        <f>SUMIF('IND AS entries 22-23'!B:B,'IND AS_TB18-19'!A442,'IND AS entries 22-23'!D:D)</f>
        <v>0</v>
      </c>
      <c r="D442" s="660">
        <f>SUMIF('IND AS entries 22-23'!B:B,'IND AS_TB18-19'!A442,'IND AS entries 22-23'!E:E)</f>
        <v>0</v>
      </c>
    </row>
    <row r="443" spans="1:4">
      <c r="A443" s="658">
        <v>205020</v>
      </c>
      <c r="B443" s="659" t="s">
        <v>1408</v>
      </c>
      <c r="C443" s="660">
        <f>SUMIF('IND AS entries 22-23'!B:B,'IND AS_TB18-19'!A443,'IND AS entries 22-23'!D:D)</f>
        <v>0</v>
      </c>
      <c r="D443" s="660">
        <f>SUMIF('IND AS entries 22-23'!B:B,'IND AS_TB18-19'!A443,'IND AS entries 22-23'!E:E)</f>
        <v>0</v>
      </c>
    </row>
    <row r="444" spans="1:4">
      <c r="A444" s="658">
        <v>205030</v>
      </c>
      <c r="B444" s="659" t="s">
        <v>1409</v>
      </c>
      <c r="C444" s="660">
        <f>SUMIF('IND AS entries 22-23'!B:B,'IND AS_TB18-19'!A444,'IND AS entries 22-23'!D:D)</f>
        <v>0</v>
      </c>
      <c r="D444" s="660">
        <f>SUMIF('IND AS entries 22-23'!B:B,'IND AS_TB18-19'!A444,'IND AS entries 22-23'!E:E)</f>
        <v>0</v>
      </c>
    </row>
    <row r="445" spans="1:4">
      <c r="A445" s="658">
        <v>205032</v>
      </c>
      <c r="B445" s="659" t="s">
        <v>1410</v>
      </c>
      <c r="C445" s="660">
        <f>SUMIF('IND AS entries 22-23'!B:B,'IND AS_TB18-19'!A445,'IND AS entries 22-23'!D:D)</f>
        <v>0</v>
      </c>
      <c r="D445" s="660">
        <f>SUMIF('IND AS entries 22-23'!B:B,'IND AS_TB18-19'!A445,'IND AS entries 22-23'!E:E)</f>
        <v>0</v>
      </c>
    </row>
    <row r="446" spans="1:4">
      <c r="A446" s="658">
        <v>205040</v>
      </c>
      <c r="B446" s="659" t="s">
        <v>1411</v>
      </c>
      <c r="C446" s="660">
        <f>SUMIF('IND AS entries 22-23'!B:B,'IND AS_TB18-19'!A446,'IND AS entries 22-23'!D:D)</f>
        <v>0</v>
      </c>
      <c r="D446" s="660">
        <f>SUMIF('IND AS entries 22-23'!B:B,'IND AS_TB18-19'!A446,'IND AS entries 22-23'!E:E)</f>
        <v>0</v>
      </c>
    </row>
    <row r="447" spans="1:4">
      <c r="A447" s="658">
        <v>205041</v>
      </c>
      <c r="B447" s="659" t="s">
        <v>1412</v>
      </c>
      <c r="C447" s="660">
        <f>SUMIF('IND AS entries 22-23'!B:B,'IND AS_TB18-19'!A447,'IND AS entries 22-23'!D:D)</f>
        <v>0</v>
      </c>
      <c r="D447" s="660">
        <f>SUMIF('IND AS entries 22-23'!B:B,'IND AS_TB18-19'!A447,'IND AS entries 22-23'!E:E)</f>
        <v>0</v>
      </c>
    </row>
    <row r="448" spans="1:4">
      <c r="A448" s="658">
        <v>205042</v>
      </c>
      <c r="B448" s="659" t="s">
        <v>1413</v>
      </c>
      <c r="C448" s="660">
        <f>SUMIF('IND AS entries 22-23'!B:B,'IND AS_TB18-19'!A448,'IND AS entries 22-23'!D:D)</f>
        <v>0</v>
      </c>
      <c r="D448" s="660">
        <f>SUMIF('IND AS entries 22-23'!B:B,'IND AS_TB18-19'!A448,'IND AS entries 22-23'!E:E)</f>
        <v>0</v>
      </c>
    </row>
    <row r="449" spans="1:4">
      <c r="A449" s="658">
        <v>205043</v>
      </c>
      <c r="B449" s="659" t="s">
        <v>1414</v>
      </c>
      <c r="C449" s="660">
        <f>SUMIF('IND AS entries 22-23'!B:B,'IND AS_TB18-19'!A449,'IND AS entries 22-23'!D:D)</f>
        <v>0</v>
      </c>
      <c r="D449" s="660">
        <f>SUMIF('IND AS entries 22-23'!B:B,'IND AS_TB18-19'!A449,'IND AS entries 22-23'!E:E)</f>
        <v>0</v>
      </c>
    </row>
    <row r="450" spans="1:4">
      <c r="A450" s="658">
        <v>205046</v>
      </c>
      <c r="B450" s="659" t="s">
        <v>1415</v>
      </c>
      <c r="C450" s="660">
        <f>SUMIF('IND AS entries 22-23'!B:B,'IND AS_TB18-19'!A450,'IND AS entries 22-23'!D:D)</f>
        <v>0</v>
      </c>
      <c r="D450" s="660">
        <f>SUMIF('IND AS entries 22-23'!B:B,'IND AS_TB18-19'!A450,'IND AS entries 22-23'!E:E)</f>
        <v>0</v>
      </c>
    </row>
    <row r="451" spans="1:4">
      <c r="A451" s="658">
        <v>205047</v>
      </c>
      <c r="B451" s="659" t="s">
        <v>1416</v>
      </c>
      <c r="C451" s="660">
        <f>SUMIF('IND AS entries 22-23'!B:B,'IND AS_TB18-19'!A451,'IND AS entries 22-23'!D:D)</f>
        <v>0</v>
      </c>
      <c r="D451" s="660">
        <f>SUMIF('IND AS entries 22-23'!B:B,'IND AS_TB18-19'!A451,'IND AS entries 22-23'!E:E)</f>
        <v>0</v>
      </c>
    </row>
    <row r="452" spans="1:4">
      <c r="A452" s="658">
        <v>205048</v>
      </c>
      <c r="B452" s="659" t="s">
        <v>1417</v>
      </c>
      <c r="C452" s="660">
        <f>SUMIF('IND AS entries 22-23'!B:B,'IND AS_TB18-19'!A452,'IND AS entries 22-23'!D:D)</f>
        <v>0</v>
      </c>
      <c r="D452" s="660">
        <f>SUMIF('IND AS entries 22-23'!B:B,'IND AS_TB18-19'!A452,'IND AS entries 22-23'!E:E)</f>
        <v>0</v>
      </c>
    </row>
    <row r="453" spans="1:4">
      <c r="A453" s="658">
        <v>205080</v>
      </c>
      <c r="B453" s="659" t="s">
        <v>1418</v>
      </c>
      <c r="C453" s="660">
        <f>SUMIF('IND AS entries 22-23'!B:B,'IND AS_TB18-19'!A453,'IND AS entries 22-23'!D:D)</f>
        <v>0</v>
      </c>
      <c r="D453" s="660">
        <f>SUMIF('IND AS entries 22-23'!B:B,'IND AS_TB18-19'!A453,'IND AS entries 22-23'!E:E)</f>
        <v>0</v>
      </c>
    </row>
    <row r="454" spans="1:4">
      <c r="A454" s="658">
        <v>205085</v>
      </c>
      <c r="B454" s="659" t="s">
        <v>1419</v>
      </c>
      <c r="C454" s="660">
        <f>SUMIF('IND AS entries 22-23'!B:B,'IND AS_TB18-19'!A454,'IND AS entries 22-23'!D:D)</f>
        <v>0</v>
      </c>
      <c r="D454" s="660">
        <f>SUMIF('IND AS entries 22-23'!B:B,'IND AS_TB18-19'!A454,'IND AS entries 22-23'!E:E)</f>
        <v>0</v>
      </c>
    </row>
    <row r="455" spans="1:4">
      <c r="A455" s="658">
        <v>205087</v>
      </c>
      <c r="B455" s="659" t="s">
        <v>1420</v>
      </c>
      <c r="C455" s="660">
        <f>SUMIF('IND AS entries 22-23'!B:B,'IND AS_TB18-19'!A455,'IND AS entries 22-23'!D:D)</f>
        <v>0</v>
      </c>
      <c r="D455" s="660">
        <f>SUMIF('IND AS entries 22-23'!B:B,'IND AS_TB18-19'!A455,'IND AS entries 22-23'!E:E)</f>
        <v>0</v>
      </c>
    </row>
    <row r="456" spans="1:4">
      <c r="A456" s="658">
        <v>205090</v>
      </c>
      <c r="B456" s="659" t="s">
        <v>1421</v>
      </c>
      <c r="C456" s="660">
        <f>SUMIF('IND AS entries 22-23'!B:B,'IND AS_TB18-19'!A456,'IND AS entries 22-23'!D:D)</f>
        <v>0</v>
      </c>
      <c r="D456" s="660">
        <f>SUMIF('IND AS entries 22-23'!B:B,'IND AS_TB18-19'!A456,'IND AS entries 22-23'!E:E)</f>
        <v>0</v>
      </c>
    </row>
    <row r="457" spans="1:4">
      <c r="A457" s="658">
        <v>205091</v>
      </c>
      <c r="B457" s="659" t="s">
        <v>1422</v>
      </c>
      <c r="C457" s="660">
        <f>SUMIF('IND AS entries 22-23'!B:B,'IND AS_TB18-19'!A457,'IND AS entries 22-23'!D:D)</f>
        <v>0</v>
      </c>
      <c r="D457" s="660">
        <f>SUMIF('IND AS entries 22-23'!B:B,'IND AS_TB18-19'!A457,'IND AS entries 22-23'!E:E)</f>
        <v>0</v>
      </c>
    </row>
    <row r="458" spans="1:4">
      <c r="A458" s="658">
        <v>205092</v>
      </c>
      <c r="B458" s="659" t="s">
        <v>1423</v>
      </c>
      <c r="C458" s="660">
        <f>SUMIF('IND AS entries 22-23'!B:B,'IND AS_TB18-19'!A458,'IND AS entries 22-23'!D:D)</f>
        <v>0</v>
      </c>
      <c r="D458" s="660">
        <f>SUMIF('IND AS entries 22-23'!B:B,'IND AS_TB18-19'!A458,'IND AS entries 22-23'!E:E)</f>
        <v>0</v>
      </c>
    </row>
    <row r="459" spans="1:4">
      <c r="A459" s="658">
        <v>205095</v>
      </c>
      <c r="B459" s="659" t="s">
        <v>1424</v>
      </c>
      <c r="C459" s="660">
        <f>SUMIF('IND AS entries 22-23'!B:B,'IND AS_TB18-19'!A459,'IND AS entries 22-23'!D:D)</f>
        <v>0</v>
      </c>
      <c r="D459" s="660">
        <f>SUMIF('IND AS entries 22-23'!B:B,'IND AS_TB18-19'!A459,'IND AS entries 22-23'!E:E)</f>
        <v>0</v>
      </c>
    </row>
    <row r="460" spans="1:4">
      <c r="A460" s="658">
        <v>205101</v>
      </c>
      <c r="B460" s="659" t="s">
        <v>1425</v>
      </c>
      <c r="C460" s="660">
        <f>SUMIF('IND AS entries 22-23'!B:B,'IND AS_TB18-19'!A460,'IND AS entries 22-23'!D:D)</f>
        <v>0</v>
      </c>
      <c r="D460" s="660">
        <f>SUMIF('IND AS entries 22-23'!B:B,'IND AS_TB18-19'!A460,'IND AS entries 22-23'!E:E)</f>
        <v>0</v>
      </c>
    </row>
    <row r="461" spans="1:4">
      <c r="A461" s="658">
        <v>205102</v>
      </c>
      <c r="B461" s="659" t="s">
        <v>1426</v>
      </c>
      <c r="C461" s="660">
        <f>SUMIF('IND AS entries 22-23'!B:B,'IND AS_TB18-19'!A461,'IND AS entries 22-23'!D:D)</f>
        <v>0</v>
      </c>
      <c r="D461" s="660">
        <f>SUMIF('IND AS entries 22-23'!B:B,'IND AS_TB18-19'!A461,'IND AS entries 22-23'!E:E)</f>
        <v>0</v>
      </c>
    </row>
    <row r="462" spans="1:4">
      <c r="A462" s="658">
        <v>205103</v>
      </c>
      <c r="B462" s="659" t="s">
        <v>1427</v>
      </c>
      <c r="C462" s="660">
        <f>SUMIF('IND AS entries 22-23'!B:B,'IND AS_TB18-19'!A462,'IND AS entries 22-23'!D:D)</f>
        <v>0</v>
      </c>
      <c r="D462" s="660">
        <f>SUMIF('IND AS entries 22-23'!B:B,'IND AS_TB18-19'!A462,'IND AS entries 22-23'!E:E)</f>
        <v>0</v>
      </c>
    </row>
    <row r="463" spans="1:4">
      <c r="A463" s="658">
        <v>205104</v>
      </c>
      <c r="B463" s="659" t="s">
        <v>1428</v>
      </c>
      <c r="C463" s="660">
        <f>SUMIF('IND AS entries 22-23'!B:B,'IND AS_TB18-19'!A463,'IND AS entries 22-23'!D:D)</f>
        <v>0</v>
      </c>
      <c r="D463" s="660">
        <f>SUMIF('IND AS entries 22-23'!B:B,'IND AS_TB18-19'!A463,'IND AS entries 22-23'!E:E)</f>
        <v>0</v>
      </c>
    </row>
    <row r="464" spans="1:4">
      <c r="A464" s="658">
        <v>205105</v>
      </c>
      <c r="B464" s="659" t="s">
        <v>1429</v>
      </c>
      <c r="C464" s="660">
        <f>SUMIF('IND AS entries 22-23'!B:B,'IND AS_TB18-19'!A464,'IND AS entries 22-23'!D:D)</f>
        <v>0</v>
      </c>
      <c r="D464" s="660">
        <f>SUMIF('IND AS entries 22-23'!B:B,'IND AS_TB18-19'!A464,'IND AS entries 22-23'!E:E)</f>
        <v>0</v>
      </c>
    </row>
    <row r="465" spans="1:4">
      <c r="A465" s="658">
        <v>205106</v>
      </c>
      <c r="B465" s="659" t="s">
        <v>1430</v>
      </c>
      <c r="C465" s="660">
        <f>SUMIF('IND AS entries 22-23'!B:B,'IND AS_TB18-19'!A465,'IND AS entries 22-23'!D:D)</f>
        <v>0</v>
      </c>
      <c r="D465" s="660">
        <f>SUMIF('IND AS entries 22-23'!B:B,'IND AS_TB18-19'!A465,'IND AS entries 22-23'!E:E)</f>
        <v>0</v>
      </c>
    </row>
    <row r="466" spans="1:4">
      <c r="A466" s="658">
        <v>205107</v>
      </c>
      <c r="B466" s="659" t="s">
        <v>1431</v>
      </c>
      <c r="C466" s="660">
        <f>SUMIF('IND AS entries 22-23'!B:B,'IND AS_TB18-19'!A466,'IND AS entries 22-23'!D:D)</f>
        <v>0</v>
      </c>
      <c r="D466" s="660">
        <f>SUMIF('IND AS entries 22-23'!B:B,'IND AS_TB18-19'!A466,'IND AS entries 22-23'!E:E)</f>
        <v>0</v>
      </c>
    </row>
    <row r="467" spans="1:4">
      <c r="A467" s="658">
        <v>205108</v>
      </c>
      <c r="B467" s="659" t="s">
        <v>1432</v>
      </c>
      <c r="C467" s="660">
        <f>SUMIF('IND AS entries 22-23'!B:B,'IND AS_TB18-19'!A467,'IND AS entries 22-23'!D:D)</f>
        <v>0</v>
      </c>
      <c r="D467" s="660">
        <f>SUMIF('IND AS entries 22-23'!B:B,'IND AS_TB18-19'!A467,'IND AS entries 22-23'!E:E)</f>
        <v>0</v>
      </c>
    </row>
    <row r="468" spans="1:4">
      <c r="A468" s="658">
        <v>205109</v>
      </c>
      <c r="B468" s="659" t="s">
        <v>1433</v>
      </c>
      <c r="C468" s="660">
        <f>SUMIF('IND AS entries 22-23'!B:B,'IND AS_TB18-19'!A468,'IND AS entries 22-23'!D:D)</f>
        <v>0</v>
      </c>
      <c r="D468" s="660">
        <f>SUMIF('IND AS entries 22-23'!B:B,'IND AS_TB18-19'!A468,'IND AS entries 22-23'!E:E)</f>
        <v>0</v>
      </c>
    </row>
    <row r="469" spans="1:4">
      <c r="A469" s="658">
        <v>205110</v>
      </c>
      <c r="B469" s="659" t="s">
        <v>1434</v>
      </c>
      <c r="C469" s="660">
        <f>SUMIF('IND AS entries 22-23'!B:B,'IND AS_TB18-19'!A469,'IND AS entries 22-23'!D:D)</f>
        <v>0</v>
      </c>
      <c r="D469" s="660">
        <f>SUMIF('IND AS entries 22-23'!B:B,'IND AS_TB18-19'!A469,'IND AS entries 22-23'!E:E)</f>
        <v>0</v>
      </c>
    </row>
    <row r="470" spans="1:4">
      <c r="A470" s="658">
        <v>205111</v>
      </c>
      <c r="B470" s="659" t="s">
        <v>1435</v>
      </c>
      <c r="C470" s="660">
        <f>SUMIF('IND AS entries 22-23'!B:B,'IND AS_TB18-19'!A470,'IND AS entries 22-23'!D:D)</f>
        <v>0</v>
      </c>
      <c r="D470" s="660">
        <f>SUMIF('IND AS entries 22-23'!B:B,'IND AS_TB18-19'!A470,'IND AS entries 22-23'!E:E)</f>
        <v>0</v>
      </c>
    </row>
    <row r="471" spans="1:4">
      <c r="A471" s="658">
        <v>205112</v>
      </c>
      <c r="B471" s="659" t="s">
        <v>1436</v>
      </c>
      <c r="C471" s="660">
        <f>SUMIF('IND AS entries 22-23'!B:B,'IND AS_TB18-19'!A471,'IND AS entries 22-23'!D:D)</f>
        <v>0</v>
      </c>
      <c r="D471" s="660">
        <f>SUMIF('IND AS entries 22-23'!B:B,'IND AS_TB18-19'!A471,'IND AS entries 22-23'!E:E)</f>
        <v>0</v>
      </c>
    </row>
    <row r="472" spans="1:4">
      <c r="A472" s="658">
        <v>205113</v>
      </c>
      <c r="B472" s="659" t="s">
        <v>1437</v>
      </c>
      <c r="C472" s="660">
        <f>SUMIF('IND AS entries 22-23'!B:B,'IND AS_TB18-19'!A472,'IND AS entries 22-23'!D:D)</f>
        <v>0</v>
      </c>
      <c r="D472" s="660">
        <f>SUMIF('IND AS entries 22-23'!B:B,'IND AS_TB18-19'!A472,'IND AS entries 22-23'!E:E)</f>
        <v>0</v>
      </c>
    </row>
    <row r="473" spans="1:4">
      <c r="A473" s="658">
        <v>205114</v>
      </c>
      <c r="B473" s="659" t="s">
        <v>1438</v>
      </c>
      <c r="C473" s="660">
        <f>SUMIF('IND AS entries 22-23'!B:B,'IND AS_TB18-19'!A473,'IND AS entries 22-23'!D:D)</f>
        <v>0</v>
      </c>
      <c r="D473" s="660">
        <f>SUMIF('IND AS entries 22-23'!B:B,'IND AS_TB18-19'!A473,'IND AS entries 22-23'!E:E)</f>
        <v>0</v>
      </c>
    </row>
    <row r="474" spans="1:4">
      <c r="A474" s="658">
        <v>205115</v>
      </c>
      <c r="B474" s="659" t="s">
        <v>1439</v>
      </c>
      <c r="C474" s="660">
        <f>SUMIF('IND AS entries 22-23'!B:B,'IND AS_TB18-19'!A474,'IND AS entries 22-23'!D:D)</f>
        <v>0</v>
      </c>
      <c r="D474" s="660">
        <f>SUMIF('IND AS entries 22-23'!B:B,'IND AS_TB18-19'!A474,'IND AS entries 22-23'!E:E)</f>
        <v>0</v>
      </c>
    </row>
    <row r="475" spans="1:4">
      <c r="A475" s="658">
        <v>205116</v>
      </c>
      <c r="B475" s="659" t="s">
        <v>1440</v>
      </c>
      <c r="C475" s="660">
        <f>SUMIF('IND AS entries 22-23'!B:B,'IND AS_TB18-19'!A475,'IND AS entries 22-23'!D:D)</f>
        <v>0</v>
      </c>
      <c r="D475" s="660">
        <f>SUMIF('IND AS entries 22-23'!B:B,'IND AS_TB18-19'!A475,'IND AS entries 22-23'!E:E)</f>
        <v>0</v>
      </c>
    </row>
    <row r="476" spans="1:4">
      <c r="A476" s="658">
        <v>205119</v>
      </c>
      <c r="B476" s="659" t="s">
        <v>1441</v>
      </c>
      <c r="C476" s="660">
        <f>SUMIF('IND AS entries 22-23'!B:B,'IND AS_TB18-19'!A476,'IND AS entries 22-23'!D:D)</f>
        <v>0</v>
      </c>
      <c r="D476" s="660">
        <f>SUMIF('IND AS entries 22-23'!B:B,'IND AS_TB18-19'!A476,'IND AS entries 22-23'!E:E)</f>
        <v>0</v>
      </c>
    </row>
    <row r="477" spans="1:4">
      <c r="A477" s="658">
        <v>205120</v>
      </c>
      <c r="B477" s="661" t="s">
        <v>1442</v>
      </c>
      <c r="C477" s="660">
        <f>SUMIF('IND AS entries 22-23'!B:B,'IND AS_TB18-19'!A477,'IND AS entries 22-23'!D:D)</f>
        <v>0</v>
      </c>
      <c r="D477" s="660">
        <f>SUMIF('IND AS entries 22-23'!B:B,'IND AS_TB18-19'!A477,'IND AS entries 22-23'!E:E)</f>
        <v>0</v>
      </c>
    </row>
    <row r="478" spans="1:4">
      <c r="A478" s="658">
        <v>205121</v>
      </c>
      <c r="B478" s="659" t="s">
        <v>1443</v>
      </c>
      <c r="C478" s="660">
        <f>SUMIF('IND AS entries 22-23'!B:B,'IND AS_TB18-19'!A478,'IND AS entries 22-23'!D:D)</f>
        <v>0</v>
      </c>
      <c r="D478" s="660">
        <f>SUMIF('IND AS entries 22-23'!B:B,'IND AS_TB18-19'!A478,'IND AS entries 22-23'!E:E)</f>
        <v>0</v>
      </c>
    </row>
    <row r="479" spans="1:4">
      <c r="A479" s="658">
        <v>205122</v>
      </c>
      <c r="B479" s="659" t="s">
        <v>1444</v>
      </c>
      <c r="C479" s="660">
        <f>SUMIF('IND AS entries 22-23'!B:B,'IND AS_TB18-19'!A479,'IND AS entries 22-23'!D:D)</f>
        <v>0</v>
      </c>
      <c r="D479" s="660">
        <f>SUMIF('IND AS entries 22-23'!B:B,'IND AS_TB18-19'!A479,'IND AS entries 22-23'!E:E)</f>
        <v>0</v>
      </c>
    </row>
    <row r="480" spans="1:4">
      <c r="A480" s="658">
        <v>205123</v>
      </c>
      <c r="B480" s="659" t="s">
        <v>1445</v>
      </c>
      <c r="C480" s="660">
        <f>SUMIF('IND AS entries 22-23'!B:B,'IND AS_TB18-19'!A480,'IND AS entries 22-23'!D:D)</f>
        <v>0</v>
      </c>
      <c r="D480" s="660">
        <f>SUMIF('IND AS entries 22-23'!B:B,'IND AS_TB18-19'!A480,'IND AS entries 22-23'!E:E)</f>
        <v>0</v>
      </c>
    </row>
    <row r="481" spans="1:4">
      <c r="A481" s="658">
        <v>205124</v>
      </c>
      <c r="B481" s="659" t="s">
        <v>1446</v>
      </c>
      <c r="C481" s="660">
        <f>SUMIF('IND AS entries 22-23'!B:B,'IND AS_TB18-19'!A481,'IND AS entries 22-23'!D:D)</f>
        <v>0</v>
      </c>
      <c r="D481" s="660">
        <f>SUMIF('IND AS entries 22-23'!B:B,'IND AS_TB18-19'!A481,'IND AS entries 22-23'!E:E)</f>
        <v>0</v>
      </c>
    </row>
    <row r="482" spans="1:4">
      <c r="A482" s="658">
        <v>205130</v>
      </c>
      <c r="B482" s="659" t="s">
        <v>1448</v>
      </c>
      <c r="C482" s="660">
        <f>SUMIF('IND AS entries 22-23'!B:B,'IND AS_TB18-19'!A482,'IND AS entries 22-23'!D:D)</f>
        <v>0</v>
      </c>
      <c r="D482" s="660">
        <f>SUMIF('IND AS entries 22-23'!B:B,'IND AS_TB18-19'!A482,'IND AS entries 22-23'!E:E)</f>
        <v>0</v>
      </c>
    </row>
    <row r="483" spans="1:4">
      <c r="A483" s="658">
        <v>206010</v>
      </c>
      <c r="B483" s="659" t="s">
        <v>1451</v>
      </c>
      <c r="C483" s="660">
        <f>SUMIF('IND AS entries 22-23'!B:B,'IND AS_TB18-19'!A483,'IND AS entries 22-23'!D:D)</f>
        <v>0</v>
      </c>
      <c r="D483" s="660">
        <f>SUMIF('IND AS entries 22-23'!B:B,'IND AS_TB18-19'!A483,'IND AS entries 22-23'!E:E)</f>
        <v>0</v>
      </c>
    </row>
    <row r="484" spans="1:4">
      <c r="A484" s="658">
        <v>206020</v>
      </c>
      <c r="B484" s="659" t="s">
        <v>1452</v>
      </c>
      <c r="C484" s="660">
        <f>SUMIF('IND AS entries 22-23'!B:B,'IND AS_TB18-19'!A484,'IND AS entries 22-23'!D:D)</f>
        <v>0</v>
      </c>
      <c r="D484" s="660">
        <f>SUMIF('IND AS entries 22-23'!B:B,'IND AS_TB18-19'!A484,'IND AS entries 22-23'!E:E)</f>
        <v>0</v>
      </c>
    </row>
    <row r="485" spans="1:4">
      <c r="A485" s="658">
        <v>206023</v>
      </c>
      <c r="B485" s="659" t="s">
        <v>1453</v>
      </c>
      <c r="C485" s="660">
        <f>SUMIF('IND AS entries 22-23'!B:B,'IND AS_TB18-19'!A485,'IND AS entries 22-23'!D:D)</f>
        <v>0</v>
      </c>
      <c r="D485" s="660">
        <f>SUMIF('IND AS entries 22-23'!B:B,'IND AS_TB18-19'!A485,'IND AS entries 22-23'!E:E)</f>
        <v>0</v>
      </c>
    </row>
    <row r="486" spans="1:4">
      <c r="A486" s="658">
        <v>206026</v>
      </c>
      <c r="B486" s="659" t="s">
        <v>1454</v>
      </c>
      <c r="C486" s="660">
        <f>SUMIF('IND AS entries 22-23'!B:B,'IND AS_TB18-19'!A486,'IND AS entries 22-23'!D:D)</f>
        <v>0</v>
      </c>
      <c r="D486" s="660">
        <f>SUMIF('IND AS entries 22-23'!B:B,'IND AS_TB18-19'!A486,'IND AS entries 22-23'!E:E)</f>
        <v>0</v>
      </c>
    </row>
    <row r="487" spans="1:4">
      <c r="A487" s="658">
        <v>206033</v>
      </c>
      <c r="B487" s="659" t="s">
        <v>1455</v>
      </c>
      <c r="C487" s="660">
        <f>SUMIF('IND AS entries 22-23'!B:B,'IND AS_TB18-19'!A487,'IND AS entries 22-23'!D:D)</f>
        <v>0</v>
      </c>
      <c r="D487" s="660">
        <f>SUMIF('IND AS entries 22-23'!B:B,'IND AS_TB18-19'!A487,'IND AS entries 22-23'!E:E)</f>
        <v>0</v>
      </c>
    </row>
    <row r="488" spans="1:4">
      <c r="A488" s="658">
        <v>206034</v>
      </c>
      <c r="B488" s="659" t="s">
        <v>1456</v>
      </c>
      <c r="C488" s="660">
        <f>SUMIF('IND AS entries 22-23'!B:B,'IND AS_TB18-19'!A488,'IND AS entries 22-23'!D:D)</f>
        <v>0</v>
      </c>
      <c r="D488" s="660">
        <f>SUMIF('IND AS entries 22-23'!B:B,'IND AS_TB18-19'!A488,'IND AS entries 22-23'!E:E)</f>
        <v>0</v>
      </c>
    </row>
    <row r="489" spans="1:4">
      <c r="A489" s="658">
        <v>206030</v>
      </c>
      <c r="B489" s="659" t="s">
        <v>1457</v>
      </c>
      <c r="C489" s="660">
        <f>SUMIF('IND AS entries 22-23'!B:B,'IND AS_TB18-19'!A489,'IND AS entries 22-23'!D:D)</f>
        <v>0</v>
      </c>
      <c r="D489" s="660">
        <f>SUMIF('IND AS entries 22-23'!B:B,'IND AS_TB18-19'!A489,'IND AS entries 22-23'!E:E)</f>
        <v>0</v>
      </c>
    </row>
    <row r="490" spans="1:4">
      <c r="A490" s="658">
        <v>206035</v>
      </c>
      <c r="B490" s="659" t="s">
        <v>1458</v>
      </c>
      <c r="C490" s="660">
        <f>SUMIF('IND AS entries 22-23'!B:B,'IND AS_TB18-19'!A490,'IND AS entries 22-23'!D:D)</f>
        <v>0</v>
      </c>
      <c r="D490" s="660">
        <f>SUMIF('IND AS entries 22-23'!B:B,'IND AS_TB18-19'!A490,'IND AS entries 22-23'!E:E)</f>
        <v>0</v>
      </c>
    </row>
    <row r="491" spans="1:4">
      <c r="A491" s="658">
        <v>206036</v>
      </c>
      <c r="B491" s="661" t="s">
        <v>1459</v>
      </c>
      <c r="C491" s="660">
        <f>SUMIF('IND AS entries 22-23'!B:B,'IND AS_TB18-19'!A491,'IND AS entries 22-23'!D:D)</f>
        <v>0</v>
      </c>
      <c r="D491" s="660">
        <f>SUMIF('IND AS entries 22-23'!B:B,'IND AS_TB18-19'!A491,'IND AS entries 22-23'!E:E)</f>
        <v>0</v>
      </c>
    </row>
    <row r="492" spans="1:4">
      <c r="A492" s="658">
        <v>206037</v>
      </c>
      <c r="B492" s="659" t="s">
        <v>827</v>
      </c>
      <c r="C492" s="660">
        <f>SUMIF('IND AS entries 22-23'!B:B,'IND AS_TB18-19'!A492,'IND AS entries 22-23'!D:D)</f>
        <v>0</v>
      </c>
      <c r="D492" s="660">
        <f>SUMIF('IND AS entries 22-23'!B:B,'IND AS_TB18-19'!A492,'IND AS entries 22-23'!E:E)</f>
        <v>0</v>
      </c>
    </row>
    <row r="493" spans="1:4">
      <c r="A493" s="658">
        <v>206038</v>
      </c>
      <c r="B493" s="659" t="s">
        <v>1438</v>
      </c>
      <c r="C493" s="660">
        <f>SUMIF('IND AS entries 22-23'!B:B,'IND AS_TB18-19'!A493,'IND AS entries 22-23'!D:D)</f>
        <v>0</v>
      </c>
      <c r="D493" s="660">
        <f>SUMIF('IND AS entries 22-23'!B:B,'IND AS_TB18-19'!A493,'IND AS entries 22-23'!E:E)</f>
        <v>0</v>
      </c>
    </row>
    <row r="494" spans="1:4">
      <c r="A494" s="658">
        <v>206039</v>
      </c>
      <c r="B494" s="661" t="s">
        <v>1460</v>
      </c>
      <c r="C494" s="660">
        <f>SUMIF('IND AS entries 22-23'!B:B,'IND AS_TB18-19'!A494,'IND AS entries 22-23'!D:D)</f>
        <v>0</v>
      </c>
      <c r="D494" s="660">
        <f>SUMIF('IND AS entries 22-23'!B:B,'IND AS_TB18-19'!A494,'IND AS entries 22-23'!E:E)</f>
        <v>0</v>
      </c>
    </row>
    <row r="495" spans="1:4">
      <c r="A495" s="658">
        <v>206040</v>
      </c>
      <c r="B495" s="659" t="s">
        <v>1461</v>
      </c>
      <c r="C495" s="660">
        <f>SUMIF('IND AS entries 22-23'!B:B,'IND AS_TB18-19'!A495,'IND AS entries 22-23'!D:D)</f>
        <v>0</v>
      </c>
      <c r="D495" s="660">
        <f>SUMIF('IND AS entries 22-23'!B:B,'IND AS_TB18-19'!A495,'IND AS entries 22-23'!E:E)</f>
        <v>0</v>
      </c>
    </row>
    <row r="496" spans="1:4">
      <c r="A496" s="658">
        <v>206041</v>
      </c>
      <c r="B496" s="659" t="s">
        <v>1462</v>
      </c>
      <c r="C496" s="660">
        <f>SUMIF('IND AS entries 22-23'!B:B,'IND AS_TB18-19'!A496,'IND AS entries 22-23'!D:D)</f>
        <v>0</v>
      </c>
      <c r="D496" s="660">
        <f>SUMIF('IND AS entries 22-23'!B:B,'IND AS_TB18-19'!A496,'IND AS entries 22-23'!E:E)</f>
        <v>0</v>
      </c>
    </row>
    <row r="497" spans="1:4">
      <c r="A497" s="658">
        <v>206042</v>
      </c>
      <c r="B497" s="659" t="s">
        <v>1463</v>
      </c>
      <c r="C497" s="660">
        <f>SUMIF('IND AS entries 22-23'!B:B,'IND AS_TB18-19'!A497,'IND AS entries 22-23'!D:D)</f>
        <v>0</v>
      </c>
      <c r="D497" s="660">
        <f>SUMIF('IND AS entries 22-23'!B:B,'IND AS_TB18-19'!A497,'IND AS entries 22-23'!E:E)</f>
        <v>0</v>
      </c>
    </row>
    <row r="498" spans="1:4">
      <c r="A498" s="658">
        <v>206043</v>
      </c>
      <c r="B498" s="659" t="s">
        <v>1464</v>
      </c>
      <c r="C498" s="660">
        <f>SUMIF('IND AS entries 22-23'!B:B,'IND AS_TB18-19'!A498,'IND AS entries 22-23'!D:D)</f>
        <v>0</v>
      </c>
      <c r="D498" s="660">
        <f>SUMIF('IND AS entries 22-23'!B:B,'IND AS_TB18-19'!A498,'IND AS entries 22-23'!E:E)</f>
        <v>0</v>
      </c>
    </row>
    <row r="499" spans="1:4">
      <c r="A499" s="658">
        <v>206044</v>
      </c>
      <c r="B499" s="659" t="s">
        <v>1465</v>
      </c>
      <c r="C499" s="660">
        <f>SUMIF('IND AS entries 22-23'!B:B,'IND AS_TB18-19'!A499,'IND AS entries 22-23'!D:D)</f>
        <v>0</v>
      </c>
      <c r="D499" s="660">
        <f>SUMIF('IND AS entries 22-23'!B:B,'IND AS_TB18-19'!A499,'IND AS entries 22-23'!E:E)</f>
        <v>0</v>
      </c>
    </row>
    <row r="500" spans="1:4">
      <c r="A500" s="658">
        <v>206045</v>
      </c>
      <c r="B500" s="659" t="s">
        <v>618</v>
      </c>
      <c r="C500" s="660">
        <f>SUMIF('IND AS entries 22-23'!B:B,'IND AS_TB18-19'!A500,'IND AS entries 22-23'!D:D)</f>
        <v>0</v>
      </c>
      <c r="D500" s="660">
        <f>SUMIF('IND AS entries 22-23'!B:B,'IND AS_TB18-19'!A500,'IND AS entries 22-23'!E:E)</f>
        <v>0</v>
      </c>
    </row>
    <row r="501" spans="1:4">
      <c r="A501" s="658">
        <v>206046</v>
      </c>
      <c r="B501" s="659" t="s">
        <v>1466</v>
      </c>
      <c r="C501" s="660">
        <f>SUMIF('IND AS entries 22-23'!B:B,'IND AS_TB18-19'!A501,'IND AS entries 22-23'!D:D)</f>
        <v>0</v>
      </c>
      <c r="D501" s="660">
        <f>SUMIF('IND AS entries 22-23'!B:B,'IND AS_TB18-19'!A501,'IND AS entries 22-23'!E:E)</f>
        <v>0</v>
      </c>
    </row>
    <row r="502" spans="1:4">
      <c r="A502" s="658">
        <v>206047</v>
      </c>
      <c r="B502" s="659" t="s">
        <v>1467</v>
      </c>
      <c r="C502" s="660">
        <f>SUMIF('IND AS entries 22-23'!B:B,'IND AS_TB18-19'!A502,'IND AS entries 22-23'!D:D)</f>
        <v>0</v>
      </c>
      <c r="D502" s="660">
        <f>SUMIF('IND AS entries 22-23'!B:B,'IND AS_TB18-19'!A502,'IND AS entries 22-23'!E:E)</f>
        <v>0</v>
      </c>
    </row>
    <row r="503" spans="1:4">
      <c r="A503" s="658">
        <v>206048</v>
      </c>
      <c r="B503" s="659" t="s">
        <v>1468</v>
      </c>
      <c r="C503" s="660">
        <f>SUMIF('IND AS entries 22-23'!B:B,'IND AS_TB18-19'!A503,'IND AS entries 22-23'!D:D)</f>
        <v>0</v>
      </c>
      <c r="D503" s="660">
        <f>SUMIF('IND AS entries 22-23'!B:B,'IND AS_TB18-19'!A503,'IND AS entries 22-23'!E:E)</f>
        <v>0</v>
      </c>
    </row>
    <row r="504" spans="1:4">
      <c r="A504" s="658">
        <v>207010</v>
      </c>
      <c r="B504" s="659" t="s">
        <v>731</v>
      </c>
      <c r="C504" s="660">
        <f>SUMIF('IND AS entries 22-23'!B:B,'IND AS_TB18-19'!A504,'IND AS entries 22-23'!D:D)</f>
        <v>0</v>
      </c>
      <c r="D504" s="660">
        <f>SUMIF('IND AS entries 22-23'!B:B,'IND AS_TB18-19'!A504,'IND AS entries 22-23'!E:E)</f>
        <v>0</v>
      </c>
    </row>
    <row r="505" spans="1:4">
      <c r="A505" s="658">
        <v>210110</v>
      </c>
      <c r="B505" s="659" t="s">
        <v>1469</v>
      </c>
      <c r="C505" s="660">
        <f>SUMIF('IND AS entries 22-23'!B:B,'IND AS_TB18-19'!A505,'IND AS entries 22-23'!D:D)</f>
        <v>0</v>
      </c>
      <c r="D505" s="660">
        <f>SUMIF('IND AS entries 22-23'!B:B,'IND AS_TB18-19'!A505,'IND AS entries 22-23'!E:E)</f>
        <v>0</v>
      </c>
    </row>
    <row r="506" spans="1:4">
      <c r="A506" s="658">
        <v>210111</v>
      </c>
      <c r="B506" s="659" t="s">
        <v>1470</v>
      </c>
      <c r="C506" s="660">
        <f>SUMIF('IND AS entries 22-23'!B:B,'IND AS_TB18-19'!A506,'IND AS entries 22-23'!D:D)</f>
        <v>0</v>
      </c>
      <c r="D506" s="660">
        <f>SUMIF('IND AS entries 22-23'!B:B,'IND AS_TB18-19'!A506,'IND AS entries 22-23'!E:E)</f>
        <v>0</v>
      </c>
    </row>
    <row r="507" spans="1:4">
      <c r="A507" s="658">
        <v>210112</v>
      </c>
      <c r="B507" s="659" t="s">
        <v>1471</v>
      </c>
      <c r="C507" s="660">
        <f>SUMIF('IND AS entries 22-23'!B:B,'IND AS_TB18-19'!A507,'IND AS entries 22-23'!D:D)</f>
        <v>0</v>
      </c>
      <c r="D507" s="660">
        <f>SUMIF('IND AS entries 22-23'!B:B,'IND AS_TB18-19'!A507,'IND AS entries 22-23'!E:E)</f>
        <v>0</v>
      </c>
    </row>
    <row r="508" spans="1:4">
      <c r="A508" s="658">
        <v>210115</v>
      </c>
      <c r="B508" s="659" t="s">
        <v>1472</v>
      </c>
      <c r="C508" s="660">
        <f>SUMIF('IND AS entries 22-23'!B:B,'IND AS_TB18-19'!A508,'IND AS entries 22-23'!D:D)</f>
        <v>0</v>
      </c>
      <c r="D508" s="660">
        <f>SUMIF('IND AS entries 22-23'!B:B,'IND AS_TB18-19'!A508,'IND AS entries 22-23'!E:E)</f>
        <v>0</v>
      </c>
    </row>
    <row r="509" spans="1:4">
      <c r="A509" s="658">
        <v>210120</v>
      </c>
      <c r="B509" s="659" t="s">
        <v>1473</v>
      </c>
      <c r="C509" s="660">
        <f>SUMIF('IND AS entries 22-23'!B:B,'IND AS_TB18-19'!A509,'IND AS entries 22-23'!D:D)</f>
        <v>0</v>
      </c>
      <c r="D509" s="660">
        <f>SUMIF('IND AS entries 22-23'!B:B,'IND AS_TB18-19'!A509,'IND AS entries 22-23'!E:E)</f>
        <v>0</v>
      </c>
    </row>
    <row r="510" spans="1:4">
      <c r="A510" s="658">
        <v>210125</v>
      </c>
      <c r="B510" s="659" t="s">
        <v>1474</v>
      </c>
      <c r="C510" s="660">
        <f>SUMIF('IND AS entries 22-23'!B:B,'IND AS_TB18-19'!A510,'IND AS entries 22-23'!D:D)</f>
        <v>0</v>
      </c>
      <c r="D510" s="660">
        <f>SUMIF('IND AS entries 22-23'!B:B,'IND AS_TB18-19'!A510,'IND AS entries 22-23'!E:E)</f>
        <v>0</v>
      </c>
    </row>
    <row r="511" spans="1:4">
      <c r="A511" s="658">
        <v>210130</v>
      </c>
      <c r="B511" s="659" t="s">
        <v>1475</v>
      </c>
      <c r="C511" s="660">
        <f>SUMIF('IND AS entries 22-23'!B:B,'IND AS_TB18-19'!A511,'IND AS entries 22-23'!D:D)</f>
        <v>0</v>
      </c>
      <c r="D511" s="660">
        <f>SUMIF('IND AS entries 22-23'!B:B,'IND AS_TB18-19'!A511,'IND AS entries 22-23'!E:E)</f>
        <v>0</v>
      </c>
    </row>
    <row r="512" spans="1:4">
      <c r="A512" s="658">
        <v>210135</v>
      </c>
      <c r="B512" s="659" t="s">
        <v>1476</v>
      </c>
      <c r="C512" s="660">
        <f>SUMIF('IND AS entries 22-23'!B:B,'IND AS_TB18-19'!A512,'IND AS entries 22-23'!D:D)</f>
        <v>0</v>
      </c>
      <c r="D512" s="660">
        <f>SUMIF('IND AS entries 22-23'!B:B,'IND AS_TB18-19'!A512,'IND AS entries 22-23'!E:E)</f>
        <v>0</v>
      </c>
    </row>
    <row r="513" spans="1:4">
      <c r="A513" s="658">
        <v>210140</v>
      </c>
      <c r="B513" s="659" t="s">
        <v>1477</v>
      </c>
      <c r="C513" s="660">
        <f>SUMIF('IND AS entries 22-23'!B:B,'IND AS_TB18-19'!A513,'IND AS entries 22-23'!D:D)</f>
        <v>0</v>
      </c>
      <c r="D513" s="660">
        <f>SUMIF('IND AS entries 22-23'!B:B,'IND AS_TB18-19'!A513,'IND AS entries 22-23'!E:E)</f>
        <v>0</v>
      </c>
    </row>
    <row r="514" spans="1:4">
      <c r="A514" s="658">
        <v>210150</v>
      </c>
      <c r="B514" s="659" t="s">
        <v>1478</v>
      </c>
      <c r="C514" s="660">
        <f>SUMIF('IND AS entries 22-23'!B:B,'IND AS_TB18-19'!A514,'IND AS entries 22-23'!D:D)</f>
        <v>0</v>
      </c>
      <c r="D514" s="660">
        <f>SUMIF('IND AS entries 22-23'!B:B,'IND AS_TB18-19'!A514,'IND AS entries 22-23'!E:E)</f>
        <v>0</v>
      </c>
    </row>
    <row r="515" spans="1:4">
      <c r="A515" s="658">
        <v>210155</v>
      </c>
      <c r="B515" s="659" t="s">
        <v>1479</v>
      </c>
      <c r="C515" s="660">
        <f>SUMIF('IND AS entries 22-23'!B:B,'IND AS_TB18-19'!A515,'IND AS entries 22-23'!D:D)</f>
        <v>0</v>
      </c>
      <c r="D515" s="660">
        <f>SUMIF('IND AS entries 22-23'!B:B,'IND AS_TB18-19'!A515,'IND AS entries 22-23'!E:E)</f>
        <v>0</v>
      </c>
    </row>
    <row r="516" spans="1:4">
      <c r="A516" s="658">
        <v>210160</v>
      </c>
      <c r="B516" s="659" t="s">
        <v>1480</v>
      </c>
      <c r="C516" s="660">
        <f>SUMIF('IND AS entries 22-23'!B:B,'IND AS_TB18-19'!A516,'IND AS entries 22-23'!D:D)</f>
        <v>0</v>
      </c>
      <c r="D516" s="660">
        <f>SUMIF('IND AS entries 22-23'!B:B,'IND AS_TB18-19'!A516,'IND AS entries 22-23'!E:E)</f>
        <v>0</v>
      </c>
    </row>
    <row r="517" spans="1:4">
      <c r="A517" s="658">
        <v>210165</v>
      </c>
      <c r="B517" s="659" t="s">
        <v>1481</v>
      </c>
      <c r="C517" s="660">
        <f>SUMIF('IND AS entries 22-23'!B:B,'IND AS_TB18-19'!A517,'IND AS entries 22-23'!D:D)</f>
        <v>0</v>
      </c>
      <c r="D517" s="660">
        <f>SUMIF('IND AS entries 22-23'!B:B,'IND AS_TB18-19'!A517,'IND AS entries 22-23'!E:E)</f>
        <v>0</v>
      </c>
    </row>
    <row r="518" spans="1:4">
      <c r="A518" s="658">
        <v>210171</v>
      </c>
      <c r="B518" s="659" t="s">
        <v>1482</v>
      </c>
      <c r="C518" s="660">
        <f>SUMIF('IND AS entries 22-23'!B:B,'IND AS_TB18-19'!A518,'IND AS entries 22-23'!D:D)</f>
        <v>0</v>
      </c>
      <c r="D518" s="660">
        <f>SUMIF('IND AS entries 22-23'!B:B,'IND AS_TB18-19'!A518,'IND AS entries 22-23'!E:E)</f>
        <v>0</v>
      </c>
    </row>
    <row r="519" spans="1:4">
      <c r="A519" s="658">
        <v>210172</v>
      </c>
      <c r="B519" s="659" t="s">
        <v>1483</v>
      </c>
      <c r="C519" s="660">
        <f>SUMIF('IND AS entries 22-23'!B:B,'IND AS_TB18-19'!A519,'IND AS entries 22-23'!D:D)</f>
        <v>0</v>
      </c>
      <c r="D519" s="660">
        <f>SUMIF('IND AS entries 22-23'!B:B,'IND AS_TB18-19'!A519,'IND AS entries 22-23'!E:E)</f>
        <v>0</v>
      </c>
    </row>
    <row r="520" spans="1:4">
      <c r="A520" s="658">
        <v>210173</v>
      </c>
      <c r="B520" s="659" t="s">
        <v>1484</v>
      </c>
      <c r="C520" s="660">
        <f>SUMIF('IND AS entries 22-23'!B:B,'IND AS_TB18-19'!A520,'IND AS entries 22-23'!D:D)</f>
        <v>0</v>
      </c>
      <c r="D520" s="660">
        <f>SUMIF('IND AS entries 22-23'!B:B,'IND AS_TB18-19'!A520,'IND AS entries 22-23'!E:E)</f>
        <v>0</v>
      </c>
    </row>
    <row r="521" spans="1:4">
      <c r="A521" s="658">
        <v>210181</v>
      </c>
      <c r="B521" s="659" t="s">
        <v>1485</v>
      </c>
      <c r="C521" s="660">
        <f>SUMIF('IND AS entries 22-23'!B:B,'IND AS_TB18-19'!A521,'IND AS entries 22-23'!D:D)</f>
        <v>0</v>
      </c>
      <c r="D521" s="660">
        <f>SUMIF('IND AS entries 22-23'!B:B,'IND AS_TB18-19'!A521,'IND AS entries 22-23'!E:E)</f>
        <v>0</v>
      </c>
    </row>
    <row r="522" spans="1:4">
      <c r="A522" s="658">
        <v>210182</v>
      </c>
      <c r="B522" s="659" t="s">
        <v>1486</v>
      </c>
      <c r="C522" s="660">
        <f>SUMIF('IND AS entries 22-23'!B:B,'IND AS_TB18-19'!A522,'IND AS entries 22-23'!D:D)</f>
        <v>0</v>
      </c>
      <c r="D522" s="660">
        <f>SUMIF('IND AS entries 22-23'!B:B,'IND AS_TB18-19'!A522,'IND AS entries 22-23'!E:E)</f>
        <v>0</v>
      </c>
    </row>
    <row r="523" spans="1:4">
      <c r="A523" s="658">
        <v>210183</v>
      </c>
      <c r="B523" s="659" t="s">
        <v>1487</v>
      </c>
      <c r="C523" s="660">
        <f>SUMIF('IND AS entries 22-23'!B:B,'IND AS_TB18-19'!A523,'IND AS entries 22-23'!D:D)</f>
        <v>0</v>
      </c>
      <c r="D523" s="660">
        <f>SUMIF('IND AS entries 22-23'!B:B,'IND AS_TB18-19'!A523,'IND AS entries 22-23'!E:E)</f>
        <v>0</v>
      </c>
    </row>
    <row r="524" spans="1:4">
      <c r="A524" s="658">
        <v>210185</v>
      </c>
      <c r="B524" s="659" t="s">
        <v>1488</v>
      </c>
      <c r="C524" s="660">
        <f>SUMIF('IND AS entries 22-23'!B:B,'IND AS_TB18-19'!A524,'IND AS entries 22-23'!D:D)</f>
        <v>0</v>
      </c>
      <c r="D524" s="660">
        <f>SUMIF('IND AS entries 22-23'!B:B,'IND AS_TB18-19'!A524,'IND AS entries 22-23'!E:E)</f>
        <v>0</v>
      </c>
    </row>
    <row r="525" spans="1:4">
      <c r="A525" s="658">
        <v>220010</v>
      </c>
      <c r="B525" s="659" t="s">
        <v>1490</v>
      </c>
      <c r="C525" s="660">
        <f>SUMIF('IND AS entries 22-23'!B:B,'IND AS_TB18-19'!A525,'IND AS entries 22-23'!D:D)</f>
        <v>0</v>
      </c>
      <c r="D525" s="660">
        <f>SUMIF('IND AS entries 22-23'!B:B,'IND AS_TB18-19'!A525,'IND AS entries 22-23'!E:E)</f>
        <v>0</v>
      </c>
    </row>
    <row r="526" spans="1:4">
      <c r="A526" s="658">
        <v>220020</v>
      </c>
      <c r="B526" s="659" t="s">
        <v>1491</v>
      </c>
      <c r="C526" s="660">
        <f>SUMIF('IND AS entries 22-23'!B:B,'IND AS_TB18-19'!A526,'IND AS entries 22-23'!D:D)</f>
        <v>0</v>
      </c>
      <c r="D526" s="660">
        <f>SUMIF('IND AS entries 22-23'!B:B,'IND AS_TB18-19'!A526,'IND AS entries 22-23'!E:E)</f>
        <v>0</v>
      </c>
    </row>
    <row r="527" spans="1:4">
      <c r="A527" s="658">
        <v>220021</v>
      </c>
      <c r="B527" s="659" t="s">
        <v>1492</v>
      </c>
      <c r="C527" s="660">
        <f>SUMIF('IND AS entries 22-23'!B:B,'IND AS_TB18-19'!A527,'IND AS entries 22-23'!D:D)</f>
        <v>0</v>
      </c>
      <c r="D527" s="660">
        <f>SUMIF('IND AS entries 22-23'!B:B,'IND AS_TB18-19'!A527,'IND AS entries 22-23'!E:E)</f>
        <v>0</v>
      </c>
    </row>
    <row r="528" spans="1:4">
      <c r="A528" s="658">
        <v>220022</v>
      </c>
      <c r="B528" s="661" t="s">
        <v>1493</v>
      </c>
      <c r="C528" s="660">
        <f>SUMIF('IND AS entries 22-23'!B:B,'IND AS_TB18-19'!A528,'IND AS entries 22-23'!D:D)</f>
        <v>0</v>
      </c>
      <c r="D528" s="660">
        <f>SUMIF('IND AS entries 22-23'!B:B,'IND AS_TB18-19'!A528,'IND AS entries 22-23'!E:E)</f>
        <v>0</v>
      </c>
    </row>
    <row r="529" spans="1:4">
      <c r="A529" s="658">
        <v>220030</v>
      </c>
      <c r="B529" s="659" t="s">
        <v>1494</v>
      </c>
      <c r="C529" s="660">
        <f>SUMIF('IND AS entries 22-23'!B:B,'IND AS_TB18-19'!A529,'IND AS entries 22-23'!D:D)</f>
        <v>0</v>
      </c>
      <c r="D529" s="660">
        <f>SUMIF('IND AS entries 22-23'!B:B,'IND AS_TB18-19'!A529,'IND AS entries 22-23'!E:E)</f>
        <v>0</v>
      </c>
    </row>
    <row r="530" spans="1:4">
      <c r="A530" s="658">
        <v>230002</v>
      </c>
      <c r="B530" s="659" t="s">
        <v>1495</v>
      </c>
      <c r="C530" s="660">
        <f>SUMIF('IND AS entries 22-23'!B:B,'IND AS_TB18-19'!A530,'IND AS entries 22-23'!D:D)</f>
        <v>0</v>
      </c>
      <c r="D530" s="660">
        <f>SUMIF('IND AS entries 22-23'!B:B,'IND AS_TB18-19'!A530,'IND AS entries 22-23'!E:E)</f>
        <v>0</v>
      </c>
    </row>
    <row r="531" spans="1:4">
      <c r="A531" s="658">
        <v>230003</v>
      </c>
      <c r="B531" s="659" t="s">
        <v>1496</v>
      </c>
      <c r="C531" s="660">
        <f>SUMIF('IND AS entries 22-23'!B:B,'IND AS_TB18-19'!A531,'IND AS entries 22-23'!D:D)</f>
        <v>0</v>
      </c>
      <c r="D531" s="660">
        <f>SUMIF('IND AS entries 22-23'!B:B,'IND AS_TB18-19'!A531,'IND AS entries 22-23'!E:E)</f>
        <v>0</v>
      </c>
    </row>
    <row r="532" spans="1:4">
      <c r="A532" s="658">
        <v>230004</v>
      </c>
      <c r="B532" s="659" t="s">
        <v>1497</v>
      </c>
      <c r="C532" s="660">
        <f>SUMIF('IND AS entries 22-23'!B:B,'IND AS_TB18-19'!A532,'IND AS entries 22-23'!D:D)</f>
        <v>0</v>
      </c>
      <c r="D532" s="660">
        <f>SUMIF('IND AS entries 22-23'!B:B,'IND AS_TB18-19'!A532,'IND AS entries 22-23'!E:E)</f>
        <v>0</v>
      </c>
    </row>
    <row r="533" spans="1:4">
      <c r="A533" s="658">
        <v>230005</v>
      </c>
      <c r="B533" s="659" t="s">
        <v>1498</v>
      </c>
      <c r="C533" s="660">
        <f>SUMIF('IND AS entries 22-23'!B:B,'IND AS_TB18-19'!A533,'IND AS entries 22-23'!D:D)</f>
        <v>0</v>
      </c>
      <c r="D533" s="660">
        <f>SUMIF('IND AS entries 22-23'!B:B,'IND AS_TB18-19'!A533,'IND AS entries 22-23'!E:E)</f>
        <v>0</v>
      </c>
    </row>
    <row r="534" spans="1:4">
      <c r="A534" s="658">
        <v>240230</v>
      </c>
      <c r="B534" s="659" t="s">
        <v>1499</v>
      </c>
      <c r="C534" s="660">
        <f>SUMIF('IND AS entries 22-23'!B:B,'IND AS_TB18-19'!A534,'IND AS entries 22-23'!D:D)</f>
        <v>0</v>
      </c>
      <c r="D534" s="660">
        <f>SUMIF('IND AS entries 22-23'!B:B,'IND AS_TB18-19'!A534,'IND AS entries 22-23'!E:E)</f>
        <v>0</v>
      </c>
    </row>
    <row r="535" spans="1:4">
      <c r="A535" s="658">
        <v>240235</v>
      </c>
      <c r="B535" s="659" t="s">
        <v>1500</v>
      </c>
      <c r="C535" s="660">
        <f>SUMIF('IND AS entries 22-23'!B:B,'IND AS_TB18-19'!A535,'IND AS entries 22-23'!D:D)</f>
        <v>0</v>
      </c>
      <c r="D535" s="660">
        <f>SUMIF('IND AS entries 22-23'!B:B,'IND AS_TB18-19'!A535,'IND AS entries 22-23'!E:E)</f>
        <v>0</v>
      </c>
    </row>
    <row r="536" spans="1:4">
      <c r="A536" s="658">
        <v>300010</v>
      </c>
      <c r="B536" s="659" t="s">
        <v>1501</v>
      </c>
      <c r="C536" s="660">
        <f>SUMIF('IND AS entries 22-23'!B:B,'IND AS_TB18-19'!A536,'IND AS entries 22-23'!D:D)</f>
        <v>0</v>
      </c>
      <c r="D536" s="660">
        <f>SUMIF('IND AS entries 22-23'!B:B,'IND AS_TB18-19'!A536,'IND AS entries 22-23'!E:E)</f>
        <v>0</v>
      </c>
    </row>
    <row r="537" spans="1:4">
      <c r="A537" s="658">
        <v>300110</v>
      </c>
      <c r="B537" s="659" t="s">
        <v>1502</v>
      </c>
      <c r="C537" s="660">
        <f>SUMIF('IND AS entries 22-23'!B:B,'IND AS_TB18-19'!A537,'IND AS entries 22-23'!D:D)</f>
        <v>0</v>
      </c>
      <c r="D537" s="660">
        <f>SUMIF('IND AS entries 22-23'!B:B,'IND AS_TB18-19'!A537,'IND AS entries 22-23'!E:E)</f>
        <v>0</v>
      </c>
    </row>
    <row r="538" spans="1:4">
      <c r="A538" s="658">
        <v>300115</v>
      </c>
      <c r="B538" s="659" t="s">
        <v>1503</v>
      </c>
      <c r="C538" s="660">
        <f>SUMIF('IND AS entries 22-23'!B:B,'IND AS_TB18-19'!A538,'IND AS entries 22-23'!D:D)</f>
        <v>0</v>
      </c>
      <c r="D538" s="660">
        <f>SUMIF('IND AS entries 22-23'!B:B,'IND AS_TB18-19'!A538,'IND AS entries 22-23'!E:E)</f>
        <v>0</v>
      </c>
    </row>
    <row r="539" spans="1:4">
      <c r="A539" s="658">
        <v>300120</v>
      </c>
      <c r="B539" s="659" t="s">
        <v>1504</v>
      </c>
      <c r="C539" s="660">
        <f>SUMIF('IND AS entries 22-23'!B:B,'IND AS_TB18-19'!A539,'IND AS entries 22-23'!D:D)</f>
        <v>0</v>
      </c>
      <c r="D539" s="660">
        <f>SUMIF('IND AS entries 22-23'!B:B,'IND AS_TB18-19'!A539,'IND AS entries 22-23'!E:E)</f>
        <v>0</v>
      </c>
    </row>
    <row r="540" spans="1:4">
      <c r="A540" s="658">
        <v>301001</v>
      </c>
      <c r="B540" s="659" t="s">
        <v>699</v>
      </c>
      <c r="C540" s="660">
        <f>SUMIF('IND AS entries 22-23'!B:B,'IND AS_TB18-19'!A540,'IND AS entries 22-23'!D:D)</f>
        <v>0</v>
      </c>
      <c r="D540" s="660">
        <f>SUMIF('IND AS entries 22-23'!B:B,'IND AS_TB18-19'!A540,'IND AS entries 22-23'!E:E)</f>
        <v>0</v>
      </c>
    </row>
    <row r="541" spans="1:4">
      <c r="A541" s="658">
        <v>301002</v>
      </c>
      <c r="B541" s="659" t="s">
        <v>1505</v>
      </c>
      <c r="C541" s="660">
        <f>SUMIF('IND AS entries 22-23'!B:B,'IND AS_TB18-19'!A541,'IND AS entries 22-23'!D:D)</f>
        <v>0</v>
      </c>
      <c r="D541" s="660">
        <f>SUMIF('IND AS entries 22-23'!B:B,'IND AS_TB18-19'!A541,'IND AS entries 22-23'!E:E)</f>
        <v>0</v>
      </c>
    </row>
    <row r="542" spans="1:4">
      <c r="A542" s="658">
        <v>300210</v>
      </c>
      <c r="B542" s="659" t="s">
        <v>1507</v>
      </c>
      <c r="C542" s="660">
        <f>SUMIF('IND AS entries 22-23'!B:B,'IND AS_TB18-19'!A542,'IND AS entries 22-23'!D:D)</f>
        <v>0</v>
      </c>
      <c r="D542" s="660">
        <f>SUMIF('IND AS entries 22-23'!B:B,'IND AS_TB18-19'!A542,'IND AS entries 22-23'!E:E)</f>
        <v>0</v>
      </c>
    </row>
    <row r="543" spans="1:4">
      <c r="A543" s="658">
        <v>300211</v>
      </c>
      <c r="B543" s="659" t="s">
        <v>1508</v>
      </c>
      <c r="C543" s="660">
        <f>SUMIF('IND AS entries 22-23'!B:B,'IND AS_TB18-19'!A543,'IND AS entries 22-23'!D:D)</f>
        <v>0</v>
      </c>
      <c r="D543" s="660">
        <f>SUMIF('IND AS entries 22-23'!B:B,'IND AS_TB18-19'!A543,'IND AS entries 22-23'!E:E)</f>
        <v>0</v>
      </c>
    </row>
    <row r="544" spans="1:4">
      <c r="A544" s="663">
        <v>301003</v>
      </c>
      <c r="B544" s="664" t="s">
        <v>704</v>
      </c>
      <c r="C544" s="660">
        <f>SUMIF('IND AS entries 22-23'!B:B,'IND AS_TB18-19'!A544,'IND AS entries 22-23'!D:D)</f>
        <v>0</v>
      </c>
      <c r="D544" s="660">
        <f>SUMIF('IND AS entries 22-23'!B:B,'IND AS_TB18-19'!A544,'IND AS entries 22-23'!E:E)</f>
        <v>0</v>
      </c>
    </row>
    <row r="545" spans="1:4">
      <c r="A545" s="658">
        <v>301004</v>
      </c>
      <c r="B545" s="659" t="s">
        <v>1509</v>
      </c>
      <c r="C545" s="660">
        <f>SUMIF('IND AS entries 22-23'!B:B,'IND AS_TB18-19'!A545,'IND AS entries 22-23'!D:D)</f>
        <v>0</v>
      </c>
      <c r="D545" s="660">
        <f>SUMIF('IND AS entries 22-23'!B:B,'IND AS_TB18-19'!A545,'IND AS entries 22-23'!E:E)</f>
        <v>0</v>
      </c>
    </row>
    <row r="546" spans="1:4">
      <c r="A546" s="658">
        <v>301005</v>
      </c>
      <c r="B546" s="659" t="s">
        <v>1510</v>
      </c>
      <c r="C546" s="660">
        <f>SUMIF('IND AS entries 22-23'!B:B,'IND AS_TB18-19'!A546,'IND AS entries 22-23'!D:D)</f>
        <v>0</v>
      </c>
      <c r="D546" s="660">
        <f>SUMIF('IND AS entries 22-23'!B:B,'IND AS_TB18-19'!A546,'IND AS entries 22-23'!E:E)</f>
        <v>0</v>
      </c>
    </row>
    <row r="547" spans="1:4">
      <c r="A547" s="658">
        <v>101005</v>
      </c>
      <c r="B547" s="659" t="s">
        <v>1511</v>
      </c>
      <c r="C547" s="660">
        <f>SUMIF('IND AS entries 22-23'!B:B,'IND AS_TB18-19'!A547,'IND AS entries 22-23'!D:D)</f>
        <v>0</v>
      </c>
      <c r="D547" s="660">
        <f>SUMIF('IND AS entries 22-23'!B:B,'IND AS_TB18-19'!A547,'IND AS entries 22-23'!E:E)</f>
        <v>0</v>
      </c>
    </row>
    <row r="548" spans="1:4">
      <c r="A548" s="658">
        <v>101015</v>
      </c>
      <c r="B548" s="659" t="s">
        <v>1512</v>
      </c>
      <c r="C548" s="660">
        <f>SUMIF('IND AS entries 22-23'!B:B,'IND AS_TB18-19'!A548,'IND AS entries 22-23'!D:D)</f>
        <v>0</v>
      </c>
      <c r="D548" s="660">
        <f>SUMIF('IND AS entries 22-23'!B:B,'IND AS_TB18-19'!A548,'IND AS entries 22-23'!E:E)</f>
        <v>0</v>
      </c>
    </row>
    <row r="549" spans="1:4">
      <c r="A549" s="658">
        <v>101010</v>
      </c>
      <c r="B549" s="659" t="s">
        <v>1512</v>
      </c>
      <c r="C549" s="660">
        <f>SUMIF('IND AS entries 22-23'!B:B,'IND AS_TB18-19'!A549,'IND AS entries 22-23'!D:D)</f>
        <v>0</v>
      </c>
      <c r="D549" s="660">
        <f>SUMIF('IND AS entries 22-23'!B:B,'IND AS_TB18-19'!A549,'IND AS entries 22-23'!E:E)</f>
        <v>0</v>
      </c>
    </row>
    <row r="550" spans="1:4">
      <c r="A550" s="658">
        <v>101070</v>
      </c>
      <c r="B550" s="659" t="s">
        <v>1513</v>
      </c>
      <c r="C550" s="660">
        <f>SUMIF('IND AS entries 22-23'!B:B,'IND AS_TB18-19'!A550,'IND AS entries 22-23'!D:D)</f>
        <v>0</v>
      </c>
      <c r="D550" s="660">
        <f>SUMIF('IND AS entries 22-23'!B:B,'IND AS_TB18-19'!A550,'IND AS entries 22-23'!E:E)</f>
        <v>0</v>
      </c>
    </row>
    <row r="551" spans="1:4">
      <c r="A551" s="658">
        <v>101075</v>
      </c>
      <c r="B551" s="659" t="s">
        <v>1513</v>
      </c>
      <c r="C551" s="660">
        <f>SUMIF('IND AS entries 22-23'!B:B,'IND AS_TB18-19'!A551,'IND AS entries 22-23'!D:D)</f>
        <v>0</v>
      </c>
      <c r="D551" s="660">
        <f>SUMIF('IND AS entries 22-23'!B:B,'IND AS_TB18-19'!A551,'IND AS entries 22-23'!E:E)</f>
        <v>0</v>
      </c>
    </row>
    <row r="552" spans="1:4">
      <c r="A552" s="658">
        <v>101300</v>
      </c>
      <c r="B552" s="659" t="s">
        <v>1514</v>
      </c>
      <c r="C552" s="660">
        <f>SUMIF('IND AS entries 22-23'!B:B,'IND AS_TB18-19'!A552,'IND AS entries 22-23'!D:D)</f>
        <v>0</v>
      </c>
      <c r="D552" s="660">
        <f>SUMIF('IND AS entries 22-23'!B:B,'IND AS_TB18-19'!A552,'IND AS entries 22-23'!E:E)</f>
        <v>0</v>
      </c>
    </row>
    <row r="553" spans="1:4">
      <c r="A553" s="658">
        <v>101355</v>
      </c>
      <c r="B553" s="659" t="s">
        <v>1515</v>
      </c>
      <c r="C553" s="660">
        <f>SUMIF('IND AS entries 22-23'!B:B,'IND AS_TB18-19'!A553,'IND AS entries 22-23'!D:D)</f>
        <v>0</v>
      </c>
      <c r="D553" s="660">
        <f>SUMIF('IND AS entries 22-23'!B:B,'IND AS_TB18-19'!A553,'IND AS entries 22-23'!E:E)</f>
        <v>0</v>
      </c>
    </row>
    <row r="554" spans="1:4">
      <c r="A554" s="658">
        <v>101350</v>
      </c>
      <c r="B554" s="659" t="s">
        <v>1515</v>
      </c>
      <c r="C554" s="660">
        <f>SUMIF('IND AS entries 22-23'!B:B,'IND AS_TB18-19'!A554,'IND AS entries 22-23'!D:D)</f>
        <v>0</v>
      </c>
      <c r="D554" s="660">
        <f>SUMIF('IND AS entries 22-23'!B:B,'IND AS_TB18-19'!A554,'IND AS entries 22-23'!E:E)</f>
        <v>0</v>
      </c>
    </row>
    <row r="555" spans="1:4">
      <c r="A555" s="658">
        <v>101362</v>
      </c>
      <c r="B555" s="659" t="s">
        <v>1516</v>
      </c>
      <c r="C555" s="660">
        <f>SUMIF('IND AS entries 22-23'!B:B,'IND AS_TB18-19'!A555,'IND AS entries 22-23'!D:D)</f>
        <v>0</v>
      </c>
      <c r="D555" s="660">
        <f>SUMIF('IND AS entries 22-23'!B:B,'IND AS_TB18-19'!A555,'IND AS entries 22-23'!E:E)</f>
        <v>0</v>
      </c>
    </row>
    <row r="556" spans="1:4">
      <c r="A556" s="658">
        <v>101840</v>
      </c>
      <c r="B556" s="659" t="s">
        <v>1517</v>
      </c>
      <c r="C556" s="660">
        <f>SUMIF('IND AS entries 22-23'!B:B,'IND AS_TB18-19'!A556,'IND AS entries 22-23'!D:D)</f>
        <v>0</v>
      </c>
      <c r="D556" s="660">
        <f>SUMIF('IND AS entries 22-23'!B:B,'IND AS_TB18-19'!A556,'IND AS entries 22-23'!E:E)</f>
        <v>0</v>
      </c>
    </row>
    <row r="557" spans="1:4">
      <c r="A557" s="658">
        <v>101845</v>
      </c>
      <c r="B557" s="659" t="s">
        <v>1517</v>
      </c>
      <c r="C557" s="660">
        <f>SUMIF('IND AS entries 22-23'!B:B,'IND AS_TB18-19'!A557,'IND AS entries 22-23'!D:D)</f>
        <v>0</v>
      </c>
      <c r="D557" s="660">
        <f>SUMIF('IND AS entries 22-23'!B:B,'IND AS_TB18-19'!A557,'IND AS entries 22-23'!E:E)</f>
        <v>0</v>
      </c>
    </row>
    <row r="558" spans="1:4">
      <c r="A558" s="658">
        <v>101847</v>
      </c>
      <c r="B558" s="659" t="s">
        <v>1518</v>
      </c>
      <c r="C558" s="660">
        <f>SUMIF('IND AS entries 22-23'!B:B,'IND AS_TB18-19'!A558,'IND AS entries 22-23'!D:D)</f>
        <v>0</v>
      </c>
      <c r="D558" s="660">
        <f>SUMIF('IND AS entries 22-23'!B:B,'IND AS_TB18-19'!A558,'IND AS entries 22-23'!E:E)</f>
        <v>0</v>
      </c>
    </row>
    <row r="559" spans="1:4">
      <c r="A559" s="658">
        <v>101846</v>
      </c>
      <c r="B559" s="659" t="s">
        <v>1518</v>
      </c>
      <c r="C559" s="660">
        <f>SUMIF('IND AS entries 22-23'!B:B,'IND AS_TB18-19'!A559,'IND AS entries 22-23'!D:D)</f>
        <v>0</v>
      </c>
      <c r="D559" s="660">
        <f>SUMIF('IND AS entries 22-23'!B:B,'IND AS_TB18-19'!A559,'IND AS entries 22-23'!E:E)</f>
        <v>0</v>
      </c>
    </row>
    <row r="560" spans="1:4">
      <c r="A560" s="658">
        <v>110545</v>
      </c>
      <c r="B560" s="659" t="s">
        <v>1519</v>
      </c>
      <c r="C560" s="660">
        <f>SUMIF('IND AS entries 22-23'!B:B,'IND AS_TB18-19'!A560,'IND AS entries 22-23'!D:D)</f>
        <v>0</v>
      </c>
      <c r="D560" s="660">
        <f>SUMIF('IND AS entries 22-23'!B:B,'IND AS_TB18-19'!A560,'IND AS entries 22-23'!E:E)</f>
        <v>0</v>
      </c>
    </row>
    <row r="561" spans="1:4">
      <c r="A561" s="658">
        <v>101781</v>
      </c>
      <c r="B561" s="659" t="s">
        <v>1519</v>
      </c>
      <c r="C561" s="660">
        <f>SUMIF('IND AS entries 22-23'!B:B,'IND AS_TB18-19'!A561,'IND AS entries 22-23'!D:D)</f>
        <v>0</v>
      </c>
      <c r="D561" s="660">
        <f>SUMIF('IND AS entries 22-23'!B:B,'IND AS_TB18-19'!A561,'IND AS entries 22-23'!E:E)</f>
        <v>0</v>
      </c>
    </row>
    <row r="562" spans="1:4">
      <c r="A562" s="658">
        <v>200050</v>
      </c>
      <c r="B562" s="659" t="s">
        <v>1520</v>
      </c>
      <c r="C562" s="660">
        <f>SUMIF('IND AS entries 22-23'!B:B,'IND AS_TB18-19'!A562,'IND AS entries 22-23'!D:D)</f>
        <v>0</v>
      </c>
      <c r="D562" s="660">
        <f>SUMIF('IND AS entries 22-23'!B:B,'IND AS_TB18-19'!A562,'IND AS entries 22-23'!E:E)</f>
        <v>0</v>
      </c>
    </row>
    <row r="563" spans="1:4">
      <c r="A563" s="658">
        <v>200040</v>
      </c>
      <c r="B563" s="659" t="s">
        <v>1520</v>
      </c>
      <c r="C563" s="660">
        <f>SUMIF('IND AS entries 22-23'!B:B,'IND AS_TB18-19'!A563,'IND AS entries 22-23'!D:D)</f>
        <v>0</v>
      </c>
      <c r="D563" s="660">
        <f>SUMIF('IND AS entries 22-23'!B:B,'IND AS_TB18-19'!A563,'IND AS entries 22-23'!E:E)</f>
        <v>0</v>
      </c>
    </row>
    <row r="564" spans="1:4">
      <c r="A564" s="658">
        <v>201095</v>
      </c>
      <c r="B564" s="659" t="s">
        <v>1521</v>
      </c>
      <c r="C564" s="660">
        <f>SUMIF('IND AS entries 22-23'!B:B,'IND AS_TB18-19'!A564,'IND AS entries 22-23'!D:D)</f>
        <v>0</v>
      </c>
      <c r="D564" s="660">
        <f>SUMIF('IND AS entries 22-23'!B:B,'IND AS_TB18-19'!A564,'IND AS entries 22-23'!E:E)</f>
        <v>0</v>
      </c>
    </row>
    <row r="565" spans="1:4">
      <c r="A565" s="658">
        <v>205035</v>
      </c>
      <c r="B565" s="659" t="s">
        <v>1522</v>
      </c>
      <c r="C565" s="660">
        <f>SUMIF('IND AS entries 22-23'!B:B,'IND AS_TB18-19'!A565,'IND AS entries 22-23'!D:D)</f>
        <v>0</v>
      </c>
      <c r="D565" s="660">
        <f>SUMIF('IND AS entries 22-23'!B:B,'IND AS_TB18-19'!A565,'IND AS entries 22-23'!E:E)</f>
        <v>0</v>
      </c>
    </row>
    <row r="566" spans="1:4">
      <c r="A566" s="658">
        <v>205055</v>
      </c>
      <c r="B566" s="659" t="s">
        <v>1523</v>
      </c>
      <c r="C566" s="660">
        <f>SUMIF('IND AS entries 22-23'!B:B,'IND AS_TB18-19'!A566,'IND AS entries 22-23'!D:D)</f>
        <v>0</v>
      </c>
      <c r="D566" s="660">
        <f>SUMIF('IND AS entries 22-23'!B:B,'IND AS_TB18-19'!A566,'IND AS entries 22-23'!E:E)</f>
        <v>0</v>
      </c>
    </row>
    <row r="567" spans="1:4">
      <c r="A567" s="658">
        <v>205065</v>
      </c>
      <c r="B567" s="659" t="s">
        <v>1524</v>
      </c>
      <c r="C567" s="660">
        <f>SUMIF('IND AS entries 22-23'!B:B,'IND AS_TB18-19'!A567,'IND AS entries 22-23'!D:D)</f>
        <v>0</v>
      </c>
      <c r="D567" s="660">
        <f>SUMIF('IND AS entries 22-23'!B:B,'IND AS_TB18-19'!A567,'IND AS entries 22-23'!E:E)</f>
        <v>0</v>
      </c>
    </row>
    <row r="568" spans="1:4">
      <c r="A568" s="658">
        <v>205096</v>
      </c>
      <c r="B568" s="659" t="s">
        <v>1524</v>
      </c>
      <c r="C568" s="660">
        <f>SUMIF('IND AS entries 22-23'!B:B,'IND AS_TB18-19'!A568,'IND AS entries 22-23'!D:D)</f>
        <v>0</v>
      </c>
      <c r="D568" s="660">
        <f>SUMIF('IND AS entries 22-23'!B:B,'IND AS_TB18-19'!A568,'IND AS entries 22-23'!E:E)</f>
        <v>0</v>
      </c>
    </row>
    <row r="569" spans="1:4">
      <c r="A569" s="658">
        <v>205097</v>
      </c>
      <c r="B569" s="659" t="s">
        <v>1521</v>
      </c>
      <c r="C569" s="660">
        <f>SUMIF('IND AS entries 22-23'!B:B,'IND AS_TB18-19'!A569,'IND AS entries 22-23'!D:D)</f>
        <v>0</v>
      </c>
      <c r="D569" s="660">
        <f>SUMIF('IND AS entries 22-23'!B:B,'IND AS_TB18-19'!A569,'IND AS entries 22-23'!E:E)</f>
        <v>0</v>
      </c>
    </row>
    <row r="570" spans="1:4">
      <c r="A570" s="658">
        <v>205098</v>
      </c>
      <c r="B570" s="659" t="s">
        <v>1523</v>
      </c>
      <c r="C570" s="660">
        <f>SUMIF('IND AS entries 22-23'!B:B,'IND AS_TB18-19'!A570,'IND AS entries 22-23'!D:D)</f>
        <v>0</v>
      </c>
      <c r="D570" s="660">
        <f>SUMIF('IND AS entries 22-23'!B:B,'IND AS_TB18-19'!A570,'IND AS entries 22-23'!E:E)</f>
        <v>0</v>
      </c>
    </row>
    <row r="571" spans="1:4">
      <c r="A571" s="658">
        <v>301007</v>
      </c>
      <c r="B571" s="659" t="s">
        <v>1526</v>
      </c>
      <c r="C571" s="660">
        <f>SUMIF('IND AS entries 22-23'!B:B,'IND AS_TB18-19'!A571,'IND AS entries 22-23'!D:D)</f>
        <v>0</v>
      </c>
      <c r="D571" s="660">
        <f>SUMIF('IND AS entries 22-23'!B:B,'IND AS_TB18-19'!A571,'IND AS entries 22-23'!E:E)</f>
        <v>0</v>
      </c>
    </row>
    <row r="572" spans="1:4">
      <c r="A572" s="658">
        <v>301008</v>
      </c>
      <c r="B572" s="659" t="s">
        <v>707</v>
      </c>
      <c r="C572" s="660">
        <f>SUMIF('IND AS entries 22-23'!B:B,'IND AS_TB18-19'!A572,'IND AS entries 22-23'!D:D)</f>
        <v>0</v>
      </c>
      <c r="D572" s="660">
        <f>SUMIF('IND AS entries 22-23'!B:B,'IND AS_TB18-19'!A572,'IND AS entries 22-23'!E:E)</f>
        <v>0</v>
      </c>
    </row>
    <row r="573" spans="1:4">
      <c r="A573" s="665">
        <v>710101</v>
      </c>
      <c r="B573" s="665" t="s">
        <v>1800</v>
      </c>
      <c r="C573" s="666">
        <f>SUMIF('IND AS entries 22-23'!B:B,'IND AS_TB18-19'!A573,'IND AS entries 22-23'!D:D)</f>
        <v>0</v>
      </c>
      <c r="D573" s="660">
        <f>SUMIF('IND AS entries 22-23'!B:B,'IND AS_TB18-19'!A573,'IND AS entries 22-23'!E:E)</f>
        <v>0</v>
      </c>
    </row>
    <row r="574" spans="1:4">
      <c r="A574" s="658">
        <v>888913</v>
      </c>
      <c r="B574" s="659" t="s">
        <v>1527</v>
      </c>
      <c r="C574" s="660">
        <f>SUMIF('IND AS entries 22-23'!B:B,'IND AS_TB18-19'!A574,'IND AS entries 22-23'!D:D)</f>
        <v>0</v>
      </c>
      <c r="D574" s="660">
        <f>SUMIF('IND AS entries 22-23'!B:B,'IND AS_TB18-19'!A574,'IND AS entries 22-23'!E:E)</f>
        <v>0</v>
      </c>
    </row>
    <row r="575" spans="1:4">
      <c r="A575" s="658">
        <v>888914</v>
      </c>
      <c r="B575" s="659" t="s">
        <v>1527</v>
      </c>
      <c r="C575" s="660">
        <f>SUMIF('IND AS entries 22-23'!B:B,'IND AS_TB18-19'!A575,'IND AS entries 22-23'!D:D)</f>
        <v>0</v>
      </c>
      <c r="D575" s="660">
        <f>SUMIF('IND AS entries 22-23'!B:B,'IND AS_TB18-19'!A575,'IND AS entries 22-23'!E:E)</f>
        <v>0</v>
      </c>
    </row>
    <row r="576" spans="1:4">
      <c r="A576" s="658">
        <v>100512</v>
      </c>
      <c r="B576" s="659" t="s">
        <v>1528</v>
      </c>
      <c r="C576" s="660">
        <f>SUMIF('IND AS entries 22-23'!B:B,'IND AS_TB18-19'!A576,'IND AS entries 22-23'!D:D)</f>
        <v>0</v>
      </c>
      <c r="D576" s="660">
        <f>SUMIF('IND AS entries 22-23'!B:B,'IND AS_TB18-19'!A576,'IND AS entries 22-23'!E:E)</f>
        <v>0</v>
      </c>
    </row>
    <row r="577" spans="1:4">
      <c r="A577" s="658">
        <v>100544</v>
      </c>
      <c r="B577" s="659" t="s">
        <v>1529</v>
      </c>
      <c r="C577" s="660">
        <f>SUMIF('IND AS entries 22-23'!B:B,'IND AS_TB18-19'!A577,'IND AS entries 22-23'!D:D)</f>
        <v>0</v>
      </c>
      <c r="D577" s="660">
        <f>SUMIF('IND AS entries 22-23'!B:B,'IND AS_TB18-19'!A577,'IND AS entries 22-23'!E:E)</f>
        <v>0</v>
      </c>
    </row>
    <row r="578" spans="1:4">
      <c r="A578" s="658">
        <v>110511</v>
      </c>
      <c r="B578" s="659" t="s">
        <v>1530</v>
      </c>
      <c r="C578" s="660">
        <f>SUMIF('IND AS entries 22-23'!B:B,'IND AS_TB18-19'!A578,'IND AS entries 22-23'!D:D)</f>
        <v>0</v>
      </c>
      <c r="D578" s="660">
        <f>SUMIF('IND AS entries 22-23'!B:B,'IND AS_TB18-19'!A578,'IND AS entries 22-23'!E:E)</f>
        <v>0</v>
      </c>
    </row>
    <row r="579" spans="1:4">
      <c r="A579" s="658">
        <v>110596</v>
      </c>
      <c r="B579" s="659" t="s">
        <v>1531</v>
      </c>
      <c r="C579" s="660">
        <f>SUMIF('IND AS entries 22-23'!B:B,'IND AS_TB18-19'!A579,'IND AS entries 22-23'!D:D)</f>
        <v>0</v>
      </c>
      <c r="D579" s="660">
        <f>SUMIF('IND AS entries 22-23'!B:B,'IND AS_TB18-19'!A579,'IND AS entries 22-23'!E:E)</f>
        <v>0</v>
      </c>
    </row>
    <row r="580" spans="1:4">
      <c r="A580" s="658"/>
      <c r="B580" s="659"/>
      <c r="C580" s="660"/>
      <c r="D580" s="660"/>
    </row>
    <row r="581" spans="1:4">
      <c r="A581" s="658">
        <v>400010</v>
      </c>
      <c r="B581" s="659" t="s">
        <v>1536</v>
      </c>
      <c r="C581" s="660">
        <f>SUMIF('IND AS entries 22-23'!B:B,'IND AS_TB18-19'!A581,'IND AS entries 22-23'!D:D)</f>
        <v>0</v>
      </c>
      <c r="D581" s="660">
        <f>SUMIF('IND AS entries 22-23'!B:B,'IND AS_TB18-19'!A581,'IND AS entries 22-23'!E:E)</f>
        <v>0</v>
      </c>
    </row>
    <row r="582" spans="1:4">
      <c r="A582" s="658">
        <v>400020</v>
      </c>
      <c r="B582" s="659" t="s">
        <v>1537</v>
      </c>
      <c r="C582" s="660">
        <f>SUMIF('IND AS entries 22-23'!B:B,'IND AS_TB18-19'!A582,'IND AS entries 22-23'!D:D)</f>
        <v>0</v>
      </c>
      <c r="D582" s="660">
        <f>SUMIF('IND AS entries 22-23'!B:B,'IND AS_TB18-19'!A582,'IND AS entries 22-23'!E:E)</f>
        <v>0</v>
      </c>
    </row>
    <row r="583" spans="1:4">
      <c r="A583" s="658">
        <v>400021</v>
      </c>
      <c r="B583" s="659" t="s">
        <v>1538</v>
      </c>
      <c r="C583" s="660">
        <f>SUMIF('IND AS entries 22-23'!B:B,'IND AS_TB18-19'!A583,'IND AS entries 22-23'!D:D)</f>
        <v>0</v>
      </c>
      <c r="D583" s="660">
        <f>SUMIF('IND AS entries 22-23'!B:B,'IND AS_TB18-19'!A583,'IND AS entries 22-23'!E:E)</f>
        <v>0</v>
      </c>
    </row>
    <row r="584" spans="1:4">
      <c r="A584" s="658">
        <v>400030</v>
      </c>
      <c r="B584" s="659" t="s">
        <v>1539</v>
      </c>
      <c r="C584" s="660">
        <f>SUMIF('IND AS entries 22-23'!B:B,'IND AS_TB18-19'!A584,'IND AS entries 22-23'!D:D)</f>
        <v>0</v>
      </c>
      <c r="D584" s="660">
        <f>SUMIF('IND AS entries 22-23'!B:B,'IND AS_TB18-19'!A584,'IND AS entries 22-23'!E:E)</f>
        <v>0</v>
      </c>
    </row>
    <row r="585" spans="1:4">
      <c r="A585" s="658">
        <v>400040</v>
      </c>
      <c r="B585" s="659" t="s">
        <v>1540</v>
      </c>
      <c r="C585" s="660">
        <f>SUMIF('IND AS entries 22-23'!B:B,'IND AS_TB18-19'!A585,'IND AS entries 22-23'!D:D)</f>
        <v>0</v>
      </c>
      <c r="D585" s="660">
        <f>SUMIF('IND AS entries 22-23'!B:B,'IND AS_TB18-19'!A585,'IND AS entries 22-23'!E:E)</f>
        <v>0</v>
      </c>
    </row>
    <row r="586" spans="1:4">
      <c r="A586" s="658">
        <v>400050</v>
      </c>
      <c r="B586" s="659" t="s">
        <v>1541</v>
      </c>
      <c r="C586" s="660">
        <f>SUMIF('IND AS entries 22-23'!B:B,'IND AS_TB18-19'!A586,'IND AS entries 22-23'!D:D)</f>
        <v>0</v>
      </c>
      <c r="D586" s="660">
        <f>SUMIF('IND AS entries 22-23'!B:B,'IND AS_TB18-19'!A586,'IND AS entries 22-23'!E:E)</f>
        <v>0</v>
      </c>
    </row>
    <row r="587" spans="1:4">
      <c r="A587" s="658">
        <v>400060</v>
      </c>
      <c r="B587" s="659" t="s">
        <v>1542</v>
      </c>
      <c r="C587" s="660">
        <f>SUMIF('IND AS entries 22-23'!B:B,'IND AS_TB18-19'!A587,'IND AS entries 22-23'!D:D)</f>
        <v>0</v>
      </c>
      <c r="D587" s="660">
        <f>SUMIF('IND AS entries 22-23'!B:B,'IND AS_TB18-19'!A587,'IND AS entries 22-23'!E:E)</f>
        <v>0</v>
      </c>
    </row>
    <row r="588" spans="1:4">
      <c r="A588" s="658">
        <v>400061</v>
      </c>
      <c r="B588" s="659" t="s">
        <v>1543</v>
      </c>
      <c r="C588" s="660">
        <f>SUMIF('IND AS entries 22-23'!B:B,'IND AS_TB18-19'!A588,'IND AS entries 22-23'!D:D)</f>
        <v>0</v>
      </c>
      <c r="D588" s="660">
        <f>SUMIF('IND AS entries 22-23'!B:B,'IND AS_TB18-19'!A588,'IND AS entries 22-23'!E:E)</f>
        <v>0</v>
      </c>
    </row>
    <row r="589" spans="1:4">
      <c r="A589" s="658">
        <v>400070</v>
      </c>
      <c r="B589" s="659" t="s">
        <v>766</v>
      </c>
      <c r="C589" s="660">
        <f>SUMIF('IND AS entries 22-23'!B:B,'IND AS_TB18-19'!A589,'IND AS entries 22-23'!D:D)</f>
        <v>0</v>
      </c>
      <c r="D589" s="660">
        <f>SUMIF('IND AS entries 22-23'!B:B,'IND AS_TB18-19'!A589,'IND AS entries 22-23'!E:E)</f>
        <v>0</v>
      </c>
    </row>
    <row r="590" spans="1:4">
      <c r="A590" s="658">
        <v>400071</v>
      </c>
      <c r="B590" s="659" t="s">
        <v>1544</v>
      </c>
      <c r="C590" s="660">
        <f>SUMIF('IND AS entries 22-23'!B:B,'IND AS_TB18-19'!A590,'IND AS entries 22-23'!D:D)</f>
        <v>0</v>
      </c>
      <c r="D590" s="660">
        <f>SUMIF('IND AS entries 22-23'!B:B,'IND AS_TB18-19'!A590,'IND AS entries 22-23'!E:E)</f>
        <v>0</v>
      </c>
    </row>
    <row r="591" spans="1:4">
      <c r="A591" s="658">
        <v>400073</v>
      </c>
      <c r="B591" s="659" t="s">
        <v>1546</v>
      </c>
      <c r="C591" s="660">
        <f>SUMIF('IND AS entries 22-23'!B:B,'IND AS_TB18-19'!A591,'IND AS entries 22-23'!D:D)</f>
        <v>0</v>
      </c>
      <c r="D591" s="660">
        <f>SUMIF('IND AS entries 22-23'!B:B,'IND AS_TB18-19'!A591,'IND AS entries 22-23'!E:E)</f>
        <v>0</v>
      </c>
    </row>
    <row r="592" spans="1:4">
      <c r="A592" s="658">
        <v>400074</v>
      </c>
      <c r="B592" s="659" t="s">
        <v>1547</v>
      </c>
      <c r="C592" s="660">
        <f>SUMIF('IND AS entries 22-23'!B:B,'IND AS_TB18-19'!A592,'IND AS entries 22-23'!D:D)</f>
        <v>0</v>
      </c>
      <c r="D592" s="660">
        <f>SUMIF('IND AS entries 22-23'!B:B,'IND AS_TB18-19'!A592,'IND AS entries 22-23'!E:E)</f>
        <v>0</v>
      </c>
    </row>
    <row r="593" spans="1:4">
      <c r="A593" s="658">
        <v>400075</v>
      </c>
      <c r="B593" s="659" t="s">
        <v>1548</v>
      </c>
      <c r="C593" s="660">
        <f>SUMIF('IND AS entries 22-23'!B:B,'IND AS_TB18-19'!A593,'IND AS entries 22-23'!D:D)</f>
        <v>0</v>
      </c>
      <c r="D593" s="660">
        <f>SUMIF('IND AS entries 22-23'!B:B,'IND AS_TB18-19'!A593,'IND AS entries 22-23'!E:E)</f>
        <v>0</v>
      </c>
    </row>
    <row r="594" spans="1:4">
      <c r="A594" s="658">
        <v>400110</v>
      </c>
      <c r="B594" s="659" t="s">
        <v>1549</v>
      </c>
      <c r="C594" s="660">
        <f>SUMIF('IND AS entries 22-23'!B:B,'IND AS_TB18-19'!A594,'IND AS entries 22-23'!D:D)</f>
        <v>0</v>
      </c>
      <c r="D594" s="660">
        <f>SUMIF('IND AS entries 22-23'!B:B,'IND AS_TB18-19'!A594,'IND AS entries 22-23'!E:E)</f>
        <v>0</v>
      </c>
    </row>
    <row r="595" spans="1:4">
      <c r="A595" s="658">
        <v>400130</v>
      </c>
      <c r="B595" s="659" t="s">
        <v>1550</v>
      </c>
      <c r="C595" s="660">
        <f>SUMIF('IND AS entries 22-23'!B:B,'IND AS_TB18-19'!A595,'IND AS entries 22-23'!D:D)</f>
        <v>0</v>
      </c>
      <c r="D595" s="660">
        <f>SUMIF('IND AS entries 22-23'!B:B,'IND AS_TB18-19'!A595,'IND AS entries 22-23'!E:E)</f>
        <v>0</v>
      </c>
    </row>
    <row r="596" spans="1:4">
      <c r="A596" s="658">
        <v>400140</v>
      </c>
      <c r="B596" s="659" t="s">
        <v>1551</v>
      </c>
      <c r="C596" s="660">
        <f>SUMIF('IND AS entries 22-23'!B:B,'IND AS_TB18-19'!A596,'IND AS entries 22-23'!D:D)</f>
        <v>0</v>
      </c>
      <c r="D596" s="660">
        <f>SUMIF('IND AS entries 22-23'!B:B,'IND AS_TB18-19'!A596,'IND AS entries 22-23'!E:E)</f>
        <v>0</v>
      </c>
    </row>
    <row r="597" spans="1:4">
      <c r="A597" s="658">
        <v>400141</v>
      </c>
      <c r="B597" s="659" t="s">
        <v>1552</v>
      </c>
      <c r="C597" s="660">
        <f>SUMIF('IND AS entries 22-23'!B:B,'IND AS_TB18-19'!A597,'IND AS entries 22-23'!D:D)</f>
        <v>0</v>
      </c>
      <c r="D597" s="660">
        <f>SUMIF('IND AS entries 22-23'!B:B,'IND AS_TB18-19'!A597,'IND AS entries 22-23'!E:E)</f>
        <v>0</v>
      </c>
    </row>
    <row r="598" spans="1:4">
      <c r="A598" s="658">
        <v>500010</v>
      </c>
      <c r="B598" s="659" t="s">
        <v>1553</v>
      </c>
      <c r="C598" s="660">
        <f>SUMIF('IND AS entries 22-23'!B:B,'IND AS_TB18-19'!A598,'IND AS entries 22-23'!D:D)</f>
        <v>0</v>
      </c>
      <c r="D598" s="660">
        <f>SUMIF('IND AS entries 22-23'!B:B,'IND AS_TB18-19'!A598,'IND AS entries 22-23'!E:E)</f>
        <v>0</v>
      </c>
    </row>
    <row r="599" spans="1:4">
      <c r="A599" s="658">
        <v>500015</v>
      </c>
      <c r="B599" s="659" t="s">
        <v>1554</v>
      </c>
      <c r="C599" s="660">
        <f>SUMIF('IND AS entries 22-23'!B:B,'IND AS_TB18-19'!A599,'IND AS entries 22-23'!D:D)</f>
        <v>0</v>
      </c>
      <c r="D599" s="660">
        <f>SUMIF('IND AS entries 22-23'!B:B,'IND AS_TB18-19'!A599,'IND AS entries 22-23'!E:E)</f>
        <v>0</v>
      </c>
    </row>
    <row r="600" spans="1:4">
      <c r="A600" s="658">
        <v>500020</v>
      </c>
      <c r="B600" s="659" t="s">
        <v>1555</v>
      </c>
      <c r="C600" s="660">
        <f>SUMIF('IND AS entries 22-23'!B:B,'IND AS_TB18-19'!A600,'IND AS entries 22-23'!D:D)</f>
        <v>0</v>
      </c>
      <c r="D600" s="660">
        <f>SUMIF('IND AS entries 22-23'!B:B,'IND AS_TB18-19'!A600,'IND AS entries 22-23'!E:E)</f>
        <v>0</v>
      </c>
    </row>
    <row r="601" spans="1:4">
      <c r="A601" s="658">
        <v>500025</v>
      </c>
      <c r="B601" s="659" t="s">
        <v>1556</v>
      </c>
      <c r="C601" s="660">
        <f>SUMIF('IND AS entries 22-23'!B:B,'IND AS_TB18-19'!A601,'IND AS entries 22-23'!D:D)</f>
        <v>0</v>
      </c>
      <c r="D601" s="660">
        <f>SUMIF('IND AS entries 22-23'!B:B,'IND AS_TB18-19'!A601,'IND AS entries 22-23'!E:E)</f>
        <v>0</v>
      </c>
    </row>
    <row r="602" spans="1:4">
      <c r="A602" s="658">
        <v>500026</v>
      </c>
      <c r="B602" s="659" t="s">
        <v>1557</v>
      </c>
      <c r="C602" s="660">
        <f>SUMIF('IND AS entries 22-23'!B:B,'IND AS_TB18-19'!A602,'IND AS entries 22-23'!D:D)</f>
        <v>0</v>
      </c>
      <c r="D602" s="660">
        <f>SUMIF('IND AS entries 22-23'!B:B,'IND AS_TB18-19'!A602,'IND AS entries 22-23'!E:E)</f>
        <v>0</v>
      </c>
    </row>
    <row r="603" spans="1:4">
      <c r="A603" s="658">
        <v>500030</v>
      </c>
      <c r="B603" s="659" t="s">
        <v>1558</v>
      </c>
      <c r="C603" s="660">
        <f>SUMIF('IND AS entries 22-23'!B:B,'IND AS_TB18-19'!A603,'IND AS entries 22-23'!D:D)</f>
        <v>0</v>
      </c>
      <c r="D603" s="660">
        <f>SUMIF('IND AS entries 22-23'!B:B,'IND AS_TB18-19'!A603,'IND AS entries 22-23'!E:E)</f>
        <v>0</v>
      </c>
    </row>
    <row r="604" spans="1:4">
      <c r="A604" s="658">
        <v>500035</v>
      </c>
      <c r="B604" s="659" t="s">
        <v>1559</v>
      </c>
      <c r="C604" s="660">
        <f>SUMIF('IND AS entries 22-23'!B:B,'IND AS_TB18-19'!A604,'IND AS entries 22-23'!D:D)</f>
        <v>0</v>
      </c>
      <c r="D604" s="660">
        <f>SUMIF('IND AS entries 22-23'!B:B,'IND AS_TB18-19'!A604,'IND AS entries 22-23'!E:E)</f>
        <v>0</v>
      </c>
    </row>
    <row r="605" spans="1:4">
      <c r="A605" s="658">
        <v>500036</v>
      </c>
      <c r="B605" s="659" t="s">
        <v>1560</v>
      </c>
      <c r="C605" s="660">
        <f>SUMIF('IND AS entries 22-23'!B:B,'IND AS_TB18-19'!A605,'IND AS entries 22-23'!D:D)</f>
        <v>0</v>
      </c>
      <c r="D605" s="660">
        <f>SUMIF('IND AS entries 22-23'!B:B,'IND AS_TB18-19'!A605,'IND AS entries 22-23'!E:E)</f>
        <v>0</v>
      </c>
    </row>
    <row r="606" spans="1:4">
      <c r="A606" s="658">
        <v>500040</v>
      </c>
      <c r="B606" s="659" t="s">
        <v>1561</v>
      </c>
      <c r="C606" s="660">
        <f>SUMIF('IND AS entries 22-23'!B:B,'IND AS_TB18-19'!A606,'IND AS entries 22-23'!D:D)</f>
        <v>0</v>
      </c>
      <c r="D606" s="660">
        <f>SUMIF('IND AS entries 22-23'!B:B,'IND AS_TB18-19'!A606,'IND AS entries 22-23'!E:E)</f>
        <v>0</v>
      </c>
    </row>
    <row r="607" spans="1:4">
      <c r="A607" s="658">
        <v>500060</v>
      </c>
      <c r="B607" s="659" t="s">
        <v>1562</v>
      </c>
      <c r="C607" s="660">
        <f>SUMIF('IND AS entries 22-23'!B:B,'IND AS_TB18-19'!A607,'IND AS entries 22-23'!D:D)</f>
        <v>0</v>
      </c>
      <c r="D607" s="660">
        <f>SUMIF('IND AS entries 22-23'!B:B,'IND AS_TB18-19'!A607,'IND AS entries 22-23'!E:E)</f>
        <v>0</v>
      </c>
    </row>
    <row r="608" spans="1:4">
      <c r="A608" s="658">
        <v>500065</v>
      </c>
      <c r="B608" s="659" t="s">
        <v>1563</v>
      </c>
      <c r="C608" s="660">
        <f>SUMIF('IND AS entries 22-23'!B:B,'IND AS_TB18-19'!A608,'IND AS entries 22-23'!D:D)</f>
        <v>0</v>
      </c>
      <c r="D608" s="660">
        <f>SUMIF('IND AS entries 22-23'!B:B,'IND AS_TB18-19'!A608,'IND AS entries 22-23'!E:E)</f>
        <v>0</v>
      </c>
    </row>
    <row r="609" spans="1:4">
      <c r="A609" s="658">
        <v>500071</v>
      </c>
      <c r="B609" s="659" t="s">
        <v>1564</v>
      </c>
      <c r="C609" s="660">
        <f>SUMIF('IND AS entries 22-23'!B:B,'IND AS_TB18-19'!A609,'IND AS entries 22-23'!D:D)</f>
        <v>0</v>
      </c>
      <c r="D609" s="660">
        <f>SUMIF('IND AS entries 22-23'!B:B,'IND AS_TB18-19'!A609,'IND AS entries 22-23'!E:E)</f>
        <v>0</v>
      </c>
    </row>
    <row r="610" spans="1:4">
      <c r="A610" s="658">
        <v>500072</v>
      </c>
      <c r="B610" s="659" t="s">
        <v>1565</v>
      </c>
      <c r="C610" s="660">
        <f>SUMIF('IND AS entries 22-23'!B:B,'IND AS_TB18-19'!A610,'IND AS entries 22-23'!D:D)</f>
        <v>0</v>
      </c>
      <c r="D610" s="660">
        <f>SUMIF('IND AS entries 22-23'!B:B,'IND AS_TB18-19'!A610,'IND AS entries 22-23'!E:E)</f>
        <v>0</v>
      </c>
    </row>
    <row r="611" spans="1:4">
      <c r="A611" s="658">
        <v>500073</v>
      </c>
      <c r="B611" s="659" t="s">
        <v>1566</v>
      </c>
      <c r="C611" s="660">
        <f>SUMIF('IND AS entries 22-23'!B:B,'IND AS_TB18-19'!A611,'IND AS entries 22-23'!D:D)</f>
        <v>0</v>
      </c>
      <c r="D611" s="660">
        <f>SUMIF('IND AS entries 22-23'!B:B,'IND AS_TB18-19'!A611,'IND AS entries 22-23'!E:E)</f>
        <v>0</v>
      </c>
    </row>
    <row r="612" spans="1:4">
      <c r="A612" s="658">
        <v>500074</v>
      </c>
      <c r="B612" s="659" t="s">
        <v>1567</v>
      </c>
      <c r="C612" s="660">
        <f>SUMIF('IND AS entries 22-23'!B:B,'IND AS_TB18-19'!A612,'IND AS entries 22-23'!D:D)</f>
        <v>0</v>
      </c>
      <c r="D612" s="660">
        <f>SUMIF('IND AS entries 22-23'!B:B,'IND AS_TB18-19'!A612,'IND AS entries 22-23'!E:E)</f>
        <v>0</v>
      </c>
    </row>
    <row r="613" spans="1:4">
      <c r="A613" s="658">
        <v>500075</v>
      </c>
      <c r="B613" s="659" t="s">
        <v>1568</v>
      </c>
      <c r="C613" s="660">
        <f>SUMIF('IND AS entries 22-23'!B:B,'IND AS_TB18-19'!A613,'IND AS entries 22-23'!D:D)</f>
        <v>0</v>
      </c>
      <c r="D613" s="660">
        <f>SUMIF('IND AS entries 22-23'!B:B,'IND AS_TB18-19'!A613,'IND AS entries 22-23'!E:E)</f>
        <v>0</v>
      </c>
    </row>
    <row r="614" spans="1:4">
      <c r="A614" s="658">
        <v>500076</v>
      </c>
      <c r="B614" s="659" t="s">
        <v>1569</v>
      </c>
      <c r="C614" s="660">
        <f>SUMIF('IND AS entries 22-23'!B:B,'IND AS_TB18-19'!A614,'IND AS entries 22-23'!D:D)</f>
        <v>0</v>
      </c>
      <c r="D614" s="660">
        <f>SUMIF('IND AS entries 22-23'!B:B,'IND AS_TB18-19'!A614,'IND AS entries 22-23'!E:E)</f>
        <v>0</v>
      </c>
    </row>
    <row r="615" spans="1:4">
      <c r="A615" s="658">
        <v>500077</v>
      </c>
      <c r="B615" s="659" t="s">
        <v>1570</v>
      </c>
      <c r="C615" s="660">
        <f>SUMIF('IND AS entries 22-23'!B:B,'IND AS_TB18-19'!A615,'IND AS entries 22-23'!D:D)</f>
        <v>0</v>
      </c>
      <c r="D615" s="660">
        <f>SUMIF('IND AS entries 22-23'!B:B,'IND AS_TB18-19'!A615,'IND AS entries 22-23'!E:E)</f>
        <v>0</v>
      </c>
    </row>
    <row r="616" spans="1:4">
      <c r="A616" s="658">
        <v>500078</v>
      </c>
      <c r="B616" s="659" t="s">
        <v>1571</v>
      </c>
      <c r="C616" s="660">
        <f>SUMIF('IND AS entries 22-23'!B:B,'IND AS_TB18-19'!A616,'IND AS entries 22-23'!D:D)</f>
        <v>0</v>
      </c>
      <c r="D616" s="660">
        <f>SUMIF('IND AS entries 22-23'!B:B,'IND AS_TB18-19'!A616,'IND AS entries 22-23'!E:E)</f>
        <v>0</v>
      </c>
    </row>
    <row r="617" spans="1:4">
      <c r="A617" s="658">
        <v>500079</v>
      </c>
      <c r="B617" s="659" t="s">
        <v>1572</v>
      </c>
      <c r="C617" s="660">
        <f>SUMIF('IND AS entries 22-23'!B:B,'IND AS_TB18-19'!A617,'IND AS entries 22-23'!D:D)</f>
        <v>0</v>
      </c>
      <c r="D617" s="660">
        <f>SUMIF('IND AS entries 22-23'!B:B,'IND AS_TB18-19'!A617,'IND AS entries 22-23'!E:E)</f>
        <v>0</v>
      </c>
    </row>
    <row r="618" spans="1:4">
      <c r="A618" s="658">
        <v>500080</v>
      </c>
      <c r="B618" s="659" t="s">
        <v>1573</v>
      </c>
      <c r="C618" s="660">
        <f>SUMIF('IND AS entries 22-23'!B:B,'IND AS_TB18-19'!A618,'IND AS entries 22-23'!D:D)</f>
        <v>0</v>
      </c>
      <c r="D618" s="660">
        <f>SUMIF('IND AS entries 22-23'!B:B,'IND AS_TB18-19'!A618,'IND AS entries 22-23'!E:E)</f>
        <v>0</v>
      </c>
    </row>
    <row r="619" spans="1:4">
      <c r="A619" s="658">
        <v>500081</v>
      </c>
      <c r="B619" s="659" t="s">
        <v>1574</v>
      </c>
      <c r="C619" s="660">
        <f>SUMIF('IND AS entries 22-23'!B:B,'IND AS_TB18-19'!A619,'IND AS entries 22-23'!D:D)</f>
        <v>0</v>
      </c>
      <c r="D619" s="660">
        <f>SUMIF('IND AS entries 22-23'!B:B,'IND AS_TB18-19'!A619,'IND AS entries 22-23'!E:E)</f>
        <v>0</v>
      </c>
    </row>
    <row r="620" spans="1:4">
      <c r="A620" s="658">
        <v>500082</v>
      </c>
      <c r="B620" s="659" t="s">
        <v>1575</v>
      </c>
      <c r="C620" s="660">
        <f>SUMIF('IND AS entries 22-23'!B:B,'IND AS_TB18-19'!A620,'IND AS entries 22-23'!D:D)</f>
        <v>0</v>
      </c>
      <c r="D620" s="660">
        <f>SUMIF('IND AS entries 22-23'!B:B,'IND AS_TB18-19'!A620,'IND AS entries 22-23'!E:E)</f>
        <v>0</v>
      </c>
    </row>
    <row r="621" spans="1:4">
      <c r="A621" s="658">
        <v>500083</v>
      </c>
      <c r="B621" s="659" t="s">
        <v>1576</v>
      </c>
      <c r="C621" s="660">
        <f>SUMIF('IND AS entries 22-23'!B:B,'IND AS_TB18-19'!A621,'IND AS entries 22-23'!D:D)</f>
        <v>0</v>
      </c>
      <c r="D621" s="660">
        <f>SUMIF('IND AS entries 22-23'!B:B,'IND AS_TB18-19'!A621,'IND AS entries 22-23'!E:E)</f>
        <v>0</v>
      </c>
    </row>
    <row r="622" spans="1:4">
      <c r="A622" s="658">
        <v>500084</v>
      </c>
      <c r="B622" s="659" t="s">
        <v>1577</v>
      </c>
      <c r="C622" s="660">
        <f>SUMIF('IND AS entries 22-23'!B:B,'IND AS_TB18-19'!A622,'IND AS entries 22-23'!D:D)</f>
        <v>0</v>
      </c>
      <c r="D622" s="660">
        <f>SUMIF('IND AS entries 22-23'!B:B,'IND AS_TB18-19'!A622,'IND AS entries 22-23'!E:E)</f>
        <v>0</v>
      </c>
    </row>
    <row r="623" spans="1:4">
      <c r="A623" s="658">
        <v>500085</v>
      </c>
      <c r="B623" s="659" t="s">
        <v>1578</v>
      </c>
      <c r="C623" s="660">
        <f>SUMIF('IND AS entries 22-23'!B:B,'IND AS_TB18-19'!A623,'IND AS entries 22-23'!D:D)</f>
        <v>0</v>
      </c>
      <c r="D623" s="660">
        <f>SUMIF('IND AS entries 22-23'!B:B,'IND AS_TB18-19'!A623,'IND AS entries 22-23'!E:E)</f>
        <v>0</v>
      </c>
    </row>
    <row r="624" spans="1:4">
      <c r="A624" s="658">
        <v>500086</v>
      </c>
      <c r="B624" s="659" t="s">
        <v>1579</v>
      </c>
      <c r="C624" s="660">
        <f>SUMIF('IND AS entries 22-23'!B:B,'IND AS_TB18-19'!A624,'IND AS entries 22-23'!D:D)</f>
        <v>0</v>
      </c>
      <c r="D624" s="660">
        <f>SUMIF('IND AS entries 22-23'!B:B,'IND AS_TB18-19'!A624,'IND AS entries 22-23'!E:E)</f>
        <v>0</v>
      </c>
    </row>
    <row r="625" spans="1:4">
      <c r="A625" s="658">
        <v>500087</v>
      </c>
      <c r="B625" s="659" t="s">
        <v>1580</v>
      </c>
      <c r="C625" s="660">
        <f>SUMIF('IND AS entries 22-23'!B:B,'IND AS_TB18-19'!A625,'IND AS entries 22-23'!D:D)</f>
        <v>0</v>
      </c>
      <c r="D625" s="660">
        <f>SUMIF('IND AS entries 22-23'!B:B,'IND AS_TB18-19'!A625,'IND AS entries 22-23'!E:E)</f>
        <v>0</v>
      </c>
    </row>
    <row r="626" spans="1:4">
      <c r="A626" s="658">
        <v>500088</v>
      </c>
      <c r="B626" s="659" t="s">
        <v>1581</v>
      </c>
      <c r="C626" s="660">
        <f>SUMIF('IND AS entries 22-23'!B:B,'IND AS_TB18-19'!A626,'IND AS entries 22-23'!D:D)</f>
        <v>0</v>
      </c>
      <c r="D626" s="660">
        <f>SUMIF('IND AS entries 22-23'!B:B,'IND AS_TB18-19'!A626,'IND AS entries 22-23'!E:E)</f>
        <v>0</v>
      </c>
    </row>
    <row r="627" spans="1:4">
      <c r="A627" s="658">
        <v>500089</v>
      </c>
      <c r="B627" s="659" t="s">
        <v>1582</v>
      </c>
      <c r="C627" s="660">
        <f>SUMIF('IND AS entries 22-23'!B:B,'IND AS_TB18-19'!A627,'IND AS entries 22-23'!D:D)</f>
        <v>0</v>
      </c>
      <c r="D627" s="660">
        <f>SUMIF('IND AS entries 22-23'!B:B,'IND AS_TB18-19'!A627,'IND AS entries 22-23'!E:E)</f>
        <v>0</v>
      </c>
    </row>
    <row r="628" spans="1:4">
      <c r="A628" s="658">
        <v>500090</v>
      </c>
      <c r="B628" s="659" t="s">
        <v>1583</v>
      </c>
      <c r="C628" s="660">
        <f>SUMIF('IND AS entries 22-23'!B:B,'IND AS_TB18-19'!A628,'IND AS entries 22-23'!D:D)</f>
        <v>0</v>
      </c>
      <c r="D628" s="660">
        <f>SUMIF('IND AS entries 22-23'!B:B,'IND AS_TB18-19'!A628,'IND AS entries 22-23'!E:E)</f>
        <v>0</v>
      </c>
    </row>
    <row r="629" spans="1:4">
      <c r="A629" s="658">
        <v>500091</v>
      </c>
      <c r="B629" s="659" t="s">
        <v>1584</v>
      </c>
      <c r="C629" s="660">
        <f>SUMIF('IND AS entries 22-23'!B:B,'IND AS_TB18-19'!A629,'IND AS entries 22-23'!D:D)</f>
        <v>0</v>
      </c>
      <c r="D629" s="660">
        <f>SUMIF('IND AS entries 22-23'!B:B,'IND AS_TB18-19'!A629,'IND AS entries 22-23'!E:E)</f>
        <v>0</v>
      </c>
    </row>
    <row r="630" spans="1:4">
      <c r="A630" s="658">
        <v>500092</v>
      </c>
      <c r="B630" s="659" t="s">
        <v>1585</v>
      </c>
      <c r="C630" s="660">
        <f>SUMIF('IND AS entries 22-23'!B:B,'IND AS_TB18-19'!A630,'IND AS entries 22-23'!D:D)</f>
        <v>0</v>
      </c>
      <c r="D630" s="660">
        <f>SUMIF('IND AS entries 22-23'!B:B,'IND AS_TB18-19'!A630,'IND AS entries 22-23'!E:E)</f>
        <v>0</v>
      </c>
    </row>
    <row r="631" spans="1:4">
      <c r="A631" s="658">
        <v>500093</v>
      </c>
      <c r="B631" s="659" t="s">
        <v>1586</v>
      </c>
      <c r="C631" s="660">
        <f>SUMIF('IND AS entries 22-23'!B:B,'IND AS_TB18-19'!A631,'IND AS entries 22-23'!D:D)</f>
        <v>0</v>
      </c>
      <c r="D631" s="660">
        <f>SUMIF('IND AS entries 22-23'!B:B,'IND AS_TB18-19'!A631,'IND AS entries 22-23'!E:E)</f>
        <v>0</v>
      </c>
    </row>
    <row r="632" spans="1:4">
      <c r="A632" s="658">
        <v>500094</v>
      </c>
      <c r="B632" s="659" t="s">
        <v>1587</v>
      </c>
      <c r="C632" s="660">
        <f>SUMIF('IND AS entries 22-23'!B:B,'IND AS_TB18-19'!A632,'IND AS entries 22-23'!D:D)</f>
        <v>0</v>
      </c>
      <c r="D632" s="660">
        <f>SUMIF('IND AS entries 22-23'!B:B,'IND AS_TB18-19'!A632,'IND AS entries 22-23'!E:E)</f>
        <v>0</v>
      </c>
    </row>
    <row r="633" spans="1:4">
      <c r="A633" s="658">
        <v>500100</v>
      </c>
      <c r="B633" s="659" t="s">
        <v>1588</v>
      </c>
      <c r="C633" s="660">
        <f>SUMIF('IND AS entries 22-23'!B:B,'IND AS_TB18-19'!A633,'IND AS entries 22-23'!D:D)</f>
        <v>0</v>
      </c>
      <c r="D633" s="660">
        <f>SUMIF('IND AS entries 22-23'!B:B,'IND AS_TB18-19'!A633,'IND AS entries 22-23'!E:E)</f>
        <v>0</v>
      </c>
    </row>
    <row r="634" spans="1:4">
      <c r="A634" s="658">
        <v>500101</v>
      </c>
      <c r="B634" s="659" t="s">
        <v>1589</v>
      </c>
      <c r="C634" s="660">
        <f>SUMIF('IND AS entries 22-23'!B:B,'IND AS_TB18-19'!A634,'IND AS entries 22-23'!D:D)</f>
        <v>0</v>
      </c>
      <c r="D634" s="660">
        <f>SUMIF('IND AS entries 22-23'!B:B,'IND AS_TB18-19'!A634,'IND AS entries 22-23'!E:E)</f>
        <v>0</v>
      </c>
    </row>
    <row r="635" spans="1:4">
      <c r="A635" s="658">
        <v>500102</v>
      </c>
      <c r="B635" s="659" t="s">
        <v>1590</v>
      </c>
      <c r="C635" s="660">
        <f>SUMIF('IND AS entries 22-23'!B:B,'IND AS_TB18-19'!A635,'IND AS entries 22-23'!D:D)</f>
        <v>0</v>
      </c>
      <c r="D635" s="660">
        <f>SUMIF('IND AS entries 22-23'!B:B,'IND AS_TB18-19'!A635,'IND AS entries 22-23'!E:E)</f>
        <v>0</v>
      </c>
    </row>
    <row r="636" spans="1:4">
      <c r="A636" s="658">
        <v>500103</v>
      </c>
      <c r="B636" s="659" t="s">
        <v>1591</v>
      </c>
      <c r="C636" s="660">
        <f>SUMIF('IND AS entries 22-23'!B:B,'IND AS_TB18-19'!A636,'IND AS entries 22-23'!D:D)</f>
        <v>0</v>
      </c>
      <c r="D636" s="660">
        <f>SUMIF('IND AS entries 22-23'!B:B,'IND AS_TB18-19'!A636,'IND AS entries 22-23'!E:E)</f>
        <v>0</v>
      </c>
    </row>
    <row r="637" spans="1:4">
      <c r="A637" s="658">
        <v>500104</v>
      </c>
      <c r="B637" s="659" t="s">
        <v>1592</v>
      </c>
      <c r="C637" s="660">
        <f>SUMIF('IND AS entries 22-23'!B:B,'IND AS_TB18-19'!A637,'IND AS entries 22-23'!D:D)</f>
        <v>0</v>
      </c>
      <c r="D637" s="660">
        <f>SUMIF('IND AS entries 22-23'!B:B,'IND AS_TB18-19'!A637,'IND AS entries 22-23'!E:E)</f>
        <v>0</v>
      </c>
    </row>
    <row r="638" spans="1:4">
      <c r="A638" s="658">
        <v>500105</v>
      </c>
      <c r="B638" s="659" t="s">
        <v>1593</v>
      </c>
      <c r="C638" s="660">
        <f>SUMIF('IND AS entries 22-23'!B:B,'IND AS_TB18-19'!A638,'IND AS entries 22-23'!D:D)</f>
        <v>0</v>
      </c>
      <c r="D638" s="660">
        <f>SUMIF('IND AS entries 22-23'!B:B,'IND AS_TB18-19'!A638,'IND AS entries 22-23'!E:E)</f>
        <v>0</v>
      </c>
    </row>
    <row r="639" spans="1:4">
      <c r="A639" s="658">
        <v>500106</v>
      </c>
      <c r="B639" s="659" t="s">
        <v>1594</v>
      </c>
      <c r="C639" s="660">
        <f>SUMIF('IND AS entries 22-23'!B:B,'IND AS_TB18-19'!A639,'IND AS entries 22-23'!D:D)</f>
        <v>0</v>
      </c>
      <c r="D639" s="660">
        <f>SUMIF('IND AS entries 22-23'!B:B,'IND AS_TB18-19'!A639,'IND AS entries 22-23'!E:E)</f>
        <v>0</v>
      </c>
    </row>
    <row r="640" spans="1:4">
      <c r="A640" s="658">
        <v>500107</v>
      </c>
      <c r="B640" s="659" t="s">
        <v>1595</v>
      </c>
      <c r="C640" s="660">
        <f>SUMIF('IND AS entries 22-23'!B:B,'IND AS_TB18-19'!A640,'IND AS entries 22-23'!D:D)</f>
        <v>0</v>
      </c>
      <c r="D640" s="660">
        <f>SUMIF('IND AS entries 22-23'!B:B,'IND AS_TB18-19'!A640,'IND AS entries 22-23'!E:E)</f>
        <v>0</v>
      </c>
    </row>
    <row r="641" spans="1:4">
      <c r="A641" s="658">
        <v>500108</v>
      </c>
      <c r="B641" s="659" t="s">
        <v>1596</v>
      </c>
      <c r="C641" s="660">
        <f>SUMIF('IND AS entries 22-23'!B:B,'IND AS_TB18-19'!A641,'IND AS entries 22-23'!D:D)</f>
        <v>0</v>
      </c>
      <c r="D641" s="660">
        <f>SUMIF('IND AS entries 22-23'!B:B,'IND AS_TB18-19'!A641,'IND AS entries 22-23'!E:E)</f>
        <v>0</v>
      </c>
    </row>
    <row r="642" spans="1:4">
      <c r="A642" s="658">
        <v>500109</v>
      </c>
      <c r="B642" s="659" t="s">
        <v>1597</v>
      </c>
      <c r="C642" s="660">
        <f>SUMIF('IND AS entries 22-23'!B:B,'IND AS_TB18-19'!A642,'IND AS entries 22-23'!D:D)</f>
        <v>0</v>
      </c>
      <c r="D642" s="660">
        <f>SUMIF('IND AS entries 22-23'!B:B,'IND AS_TB18-19'!A642,'IND AS entries 22-23'!E:E)</f>
        <v>0</v>
      </c>
    </row>
    <row r="643" spans="1:4">
      <c r="A643" s="658">
        <v>500110</v>
      </c>
      <c r="B643" s="659" t="s">
        <v>1598</v>
      </c>
      <c r="C643" s="660">
        <f>SUMIF('IND AS entries 22-23'!B:B,'IND AS_TB18-19'!A643,'IND AS entries 22-23'!D:D)</f>
        <v>0</v>
      </c>
      <c r="D643" s="660">
        <f>SUMIF('IND AS entries 22-23'!B:B,'IND AS_TB18-19'!A643,'IND AS entries 22-23'!E:E)</f>
        <v>0</v>
      </c>
    </row>
    <row r="644" spans="1:4">
      <c r="A644" s="658">
        <v>500111</v>
      </c>
      <c r="B644" s="659" t="s">
        <v>1599</v>
      </c>
      <c r="C644" s="660">
        <f>SUMIF('IND AS entries 22-23'!B:B,'IND AS_TB18-19'!A644,'IND AS entries 22-23'!D:D)</f>
        <v>0</v>
      </c>
      <c r="D644" s="660">
        <f>SUMIF('IND AS entries 22-23'!B:B,'IND AS_TB18-19'!A644,'IND AS entries 22-23'!E:E)</f>
        <v>0</v>
      </c>
    </row>
    <row r="645" spans="1:4">
      <c r="A645" s="658">
        <v>500114</v>
      </c>
      <c r="B645" s="659" t="s">
        <v>1374</v>
      </c>
      <c r="C645" s="660">
        <f>SUMIF('IND AS entries 22-23'!B:B,'IND AS_TB18-19'!A645,'IND AS entries 22-23'!D:D)</f>
        <v>0</v>
      </c>
      <c r="D645" s="660">
        <f>SUMIF('IND AS entries 22-23'!B:B,'IND AS_TB18-19'!A645,'IND AS entries 22-23'!E:E)</f>
        <v>0</v>
      </c>
    </row>
    <row r="646" spans="1:4">
      <c r="A646" s="658">
        <v>500115</v>
      </c>
      <c r="B646" s="659" t="s">
        <v>1600</v>
      </c>
      <c r="C646" s="660">
        <f>SUMIF('IND AS entries 22-23'!B:B,'IND AS_TB18-19'!A646,'IND AS entries 22-23'!D:D)</f>
        <v>0</v>
      </c>
      <c r="D646" s="660">
        <f>SUMIF('IND AS entries 22-23'!B:B,'IND AS_TB18-19'!A646,'IND AS entries 22-23'!E:E)</f>
        <v>0</v>
      </c>
    </row>
    <row r="647" spans="1:4">
      <c r="A647" s="658">
        <v>500117</v>
      </c>
      <c r="B647" s="659" t="s">
        <v>1601</v>
      </c>
      <c r="C647" s="660">
        <f>SUMIF('IND AS entries 22-23'!B:B,'IND AS_TB18-19'!A647,'IND AS entries 22-23'!D:D)</f>
        <v>0</v>
      </c>
      <c r="D647" s="660">
        <f>SUMIF('IND AS entries 22-23'!B:B,'IND AS_TB18-19'!A647,'IND AS entries 22-23'!E:E)</f>
        <v>0</v>
      </c>
    </row>
    <row r="648" spans="1:4">
      <c r="A648" s="658">
        <v>500123</v>
      </c>
      <c r="B648" s="659" t="s">
        <v>1602</v>
      </c>
      <c r="C648" s="660">
        <f>SUMIF('IND AS entries 22-23'!B:B,'IND AS_TB18-19'!A648,'IND AS entries 22-23'!D:D)</f>
        <v>0</v>
      </c>
      <c r="D648" s="660">
        <f>SUMIF('IND AS entries 22-23'!B:B,'IND AS_TB18-19'!A648,'IND AS entries 22-23'!E:E)</f>
        <v>0</v>
      </c>
    </row>
    <row r="649" spans="1:4">
      <c r="A649" s="658">
        <v>501110</v>
      </c>
      <c r="B649" s="659" t="s">
        <v>1603</v>
      </c>
      <c r="C649" s="660">
        <f>SUMIF('IND AS entries 22-23'!B:B,'IND AS_TB18-19'!A649,'IND AS entries 22-23'!D:D)</f>
        <v>0</v>
      </c>
      <c r="D649" s="660">
        <f>SUMIF('IND AS entries 22-23'!B:B,'IND AS_TB18-19'!A649,'IND AS entries 22-23'!E:E)</f>
        <v>0</v>
      </c>
    </row>
    <row r="650" spans="1:4">
      <c r="A650" s="658">
        <v>501111</v>
      </c>
      <c r="B650" s="659" t="s">
        <v>1604</v>
      </c>
      <c r="C650" s="660">
        <f>SUMIF('IND AS entries 22-23'!B:B,'IND AS_TB18-19'!A650,'IND AS entries 22-23'!D:D)</f>
        <v>0</v>
      </c>
      <c r="D650" s="660">
        <f>SUMIF('IND AS entries 22-23'!B:B,'IND AS_TB18-19'!A650,'IND AS entries 22-23'!E:E)</f>
        <v>0</v>
      </c>
    </row>
    <row r="651" spans="1:4">
      <c r="A651" s="658">
        <v>501115</v>
      </c>
      <c r="B651" s="659" t="s">
        <v>1605</v>
      </c>
      <c r="C651" s="660">
        <f>SUMIF('IND AS entries 22-23'!B:B,'IND AS_TB18-19'!A651,'IND AS entries 22-23'!D:D)</f>
        <v>0</v>
      </c>
      <c r="D651" s="660">
        <f>SUMIF('IND AS entries 22-23'!B:B,'IND AS_TB18-19'!A651,'IND AS entries 22-23'!E:E)</f>
        <v>0</v>
      </c>
    </row>
    <row r="652" spans="1:4">
      <c r="A652" s="658">
        <v>501116</v>
      </c>
      <c r="B652" s="659" t="s">
        <v>1606</v>
      </c>
      <c r="C652" s="660">
        <f>SUMIF('IND AS entries 22-23'!B:B,'IND AS_TB18-19'!A652,'IND AS entries 22-23'!D:D)</f>
        <v>0</v>
      </c>
      <c r="D652" s="660">
        <f>SUMIF('IND AS entries 22-23'!B:B,'IND AS_TB18-19'!A652,'IND AS entries 22-23'!E:E)</f>
        <v>0</v>
      </c>
    </row>
    <row r="653" spans="1:4">
      <c r="A653" s="658">
        <v>501117</v>
      </c>
      <c r="B653" s="659" t="s">
        <v>1607</v>
      </c>
      <c r="C653" s="660">
        <f>SUMIF('IND AS entries 22-23'!B:B,'IND AS_TB18-19'!A653,'IND AS entries 22-23'!D:D)</f>
        <v>0</v>
      </c>
      <c r="D653" s="660">
        <f>SUMIF('IND AS entries 22-23'!B:B,'IND AS_TB18-19'!A653,'IND AS entries 22-23'!E:E)</f>
        <v>0</v>
      </c>
    </row>
    <row r="654" spans="1:4">
      <c r="A654" s="658">
        <v>501120</v>
      </c>
      <c r="B654" s="659" t="s">
        <v>1608</v>
      </c>
      <c r="C654" s="660">
        <f>SUMIF('IND AS entries 22-23'!B:B,'IND AS_TB18-19'!A654,'IND AS entries 22-23'!D:D)</f>
        <v>0</v>
      </c>
      <c r="D654" s="660">
        <f>SUMIF('IND AS entries 22-23'!B:B,'IND AS_TB18-19'!A654,'IND AS entries 22-23'!E:E)</f>
        <v>0</v>
      </c>
    </row>
    <row r="655" spans="1:4">
      <c r="A655" s="658">
        <v>501125</v>
      </c>
      <c r="B655" s="659" t="s">
        <v>1609</v>
      </c>
      <c r="C655" s="660">
        <f>SUMIF('IND AS entries 22-23'!B:B,'IND AS_TB18-19'!A655,'IND AS entries 22-23'!D:D)</f>
        <v>0</v>
      </c>
      <c r="D655" s="660">
        <f>SUMIF('IND AS entries 22-23'!B:B,'IND AS_TB18-19'!A655,'IND AS entries 22-23'!E:E)</f>
        <v>0</v>
      </c>
    </row>
    <row r="656" spans="1:4">
      <c r="A656" s="658">
        <v>501130</v>
      </c>
      <c r="B656" s="659" t="s">
        <v>1610</v>
      </c>
      <c r="C656" s="660">
        <f>SUMIF('IND AS entries 22-23'!B:B,'IND AS_TB18-19'!A656,'IND AS entries 22-23'!D:D)</f>
        <v>0</v>
      </c>
      <c r="D656" s="660">
        <f>SUMIF('IND AS entries 22-23'!B:B,'IND AS_TB18-19'!A656,'IND AS entries 22-23'!E:E)</f>
        <v>0</v>
      </c>
    </row>
    <row r="657" spans="1:4">
      <c r="A657" s="658">
        <v>501132</v>
      </c>
      <c r="B657" s="659" t="s">
        <v>1611</v>
      </c>
      <c r="C657" s="660">
        <f>SUMIF('IND AS entries 22-23'!B:B,'IND AS_TB18-19'!A657,'IND AS entries 22-23'!D:D)</f>
        <v>0</v>
      </c>
      <c r="D657" s="660">
        <f>SUMIF('IND AS entries 22-23'!B:B,'IND AS_TB18-19'!A657,'IND AS entries 22-23'!E:E)</f>
        <v>0</v>
      </c>
    </row>
    <row r="658" spans="1:4">
      <c r="A658" s="658">
        <v>501135</v>
      </c>
      <c r="B658" s="659" t="s">
        <v>1612</v>
      </c>
      <c r="C658" s="660">
        <f>SUMIF('IND AS entries 22-23'!B:B,'IND AS_TB18-19'!A658,'IND AS entries 22-23'!D:D)</f>
        <v>0</v>
      </c>
      <c r="D658" s="660">
        <f>SUMIF('IND AS entries 22-23'!B:B,'IND AS_TB18-19'!A658,'IND AS entries 22-23'!E:E)</f>
        <v>0</v>
      </c>
    </row>
    <row r="659" spans="1:4">
      <c r="A659" s="658">
        <v>501140</v>
      </c>
      <c r="B659" s="659" t="s">
        <v>1613</v>
      </c>
      <c r="C659" s="660">
        <f>SUMIF('IND AS entries 22-23'!B:B,'IND AS_TB18-19'!A659,'IND AS entries 22-23'!D:D)</f>
        <v>0</v>
      </c>
      <c r="D659" s="660">
        <f>SUMIF('IND AS entries 22-23'!B:B,'IND AS_TB18-19'!A659,'IND AS entries 22-23'!E:E)</f>
        <v>0</v>
      </c>
    </row>
    <row r="660" spans="1:4">
      <c r="A660" s="658">
        <v>501141</v>
      </c>
      <c r="B660" s="659" t="s">
        <v>1614</v>
      </c>
      <c r="C660" s="660">
        <f>SUMIF('IND AS entries 22-23'!B:B,'IND AS_TB18-19'!A660,'IND AS entries 22-23'!D:D)</f>
        <v>0</v>
      </c>
      <c r="D660" s="660">
        <f>SUMIF('IND AS entries 22-23'!B:B,'IND AS_TB18-19'!A660,'IND AS entries 22-23'!E:E)</f>
        <v>0</v>
      </c>
    </row>
    <row r="661" spans="1:4">
      <c r="A661" s="658">
        <v>501142</v>
      </c>
      <c r="B661" s="659" t="s">
        <v>1615</v>
      </c>
      <c r="C661" s="660">
        <f>SUMIF('IND AS entries 22-23'!B:B,'IND AS_TB18-19'!A661,'IND AS entries 22-23'!D:D)</f>
        <v>0</v>
      </c>
      <c r="D661" s="660">
        <f>SUMIF('IND AS entries 22-23'!B:B,'IND AS_TB18-19'!A661,'IND AS entries 22-23'!E:E)</f>
        <v>0</v>
      </c>
    </row>
    <row r="662" spans="1:4">
      <c r="A662" s="658">
        <v>501143</v>
      </c>
      <c r="B662" s="659" t="s">
        <v>1616</v>
      </c>
      <c r="C662" s="660">
        <f>SUMIF('IND AS entries 22-23'!B:B,'IND AS_TB18-19'!A662,'IND AS entries 22-23'!D:D)</f>
        <v>0</v>
      </c>
      <c r="D662" s="660">
        <f>SUMIF('IND AS entries 22-23'!B:B,'IND AS_TB18-19'!A662,'IND AS entries 22-23'!E:E)</f>
        <v>0</v>
      </c>
    </row>
    <row r="663" spans="1:4">
      <c r="A663" s="658">
        <v>501144</v>
      </c>
      <c r="B663" s="659" t="s">
        <v>1617</v>
      </c>
      <c r="C663" s="660">
        <f>SUMIF('IND AS entries 22-23'!B:B,'IND AS_TB18-19'!A663,'IND AS entries 22-23'!D:D)</f>
        <v>0</v>
      </c>
      <c r="D663" s="660">
        <f>SUMIF('IND AS entries 22-23'!B:B,'IND AS_TB18-19'!A663,'IND AS entries 22-23'!E:E)</f>
        <v>0</v>
      </c>
    </row>
    <row r="664" spans="1:4">
      <c r="A664" s="658">
        <v>501145</v>
      </c>
      <c r="B664" s="659" t="s">
        <v>1618</v>
      </c>
      <c r="C664" s="660">
        <f>SUMIF('IND AS entries 22-23'!B:B,'IND AS_TB18-19'!A664,'IND AS entries 22-23'!D:D)</f>
        <v>0</v>
      </c>
      <c r="D664" s="660">
        <f>SUMIF('IND AS entries 22-23'!B:B,'IND AS_TB18-19'!A664,'IND AS entries 22-23'!E:E)</f>
        <v>0</v>
      </c>
    </row>
    <row r="665" spans="1:4">
      <c r="A665" s="658">
        <v>501146</v>
      </c>
      <c r="B665" s="659" t="s">
        <v>1619</v>
      </c>
      <c r="C665" s="660">
        <f>SUMIF('IND AS entries 22-23'!B:B,'IND AS_TB18-19'!A665,'IND AS entries 22-23'!D:D)</f>
        <v>0</v>
      </c>
      <c r="D665" s="660">
        <f>SUMIF('IND AS entries 22-23'!B:B,'IND AS_TB18-19'!A665,'IND AS entries 22-23'!E:E)</f>
        <v>0</v>
      </c>
    </row>
    <row r="666" spans="1:4">
      <c r="A666" s="658">
        <v>501153</v>
      </c>
      <c r="B666" s="659" t="s">
        <v>1620</v>
      </c>
      <c r="C666" s="660">
        <f>SUMIF('IND AS entries 22-23'!B:B,'IND AS_TB18-19'!A666,'IND AS entries 22-23'!D:D)</f>
        <v>0</v>
      </c>
      <c r="D666" s="660">
        <f>SUMIF('IND AS entries 22-23'!B:B,'IND AS_TB18-19'!A666,'IND AS entries 22-23'!E:E)</f>
        <v>0</v>
      </c>
    </row>
    <row r="667" spans="1:4">
      <c r="A667" s="658">
        <v>501310</v>
      </c>
      <c r="B667" s="659" t="s">
        <v>797</v>
      </c>
      <c r="C667" s="660">
        <f>SUMIF('IND AS entries 22-23'!B:B,'IND AS_TB18-19'!A667,'IND AS entries 22-23'!D:D)</f>
        <v>0</v>
      </c>
      <c r="D667" s="660">
        <f>SUMIF('IND AS entries 22-23'!B:B,'IND AS_TB18-19'!A667,'IND AS entries 22-23'!E:E)</f>
        <v>0</v>
      </c>
    </row>
    <row r="668" spans="1:4">
      <c r="A668" s="658">
        <v>501311</v>
      </c>
      <c r="B668" s="659" t="s">
        <v>1621</v>
      </c>
      <c r="C668" s="660">
        <f>SUMIF('IND AS entries 22-23'!B:B,'IND AS_TB18-19'!A668,'IND AS entries 22-23'!D:D)</f>
        <v>0</v>
      </c>
      <c r="D668" s="660">
        <f>SUMIF('IND AS entries 22-23'!B:B,'IND AS_TB18-19'!A668,'IND AS entries 22-23'!E:E)</f>
        <v>0</v>
      </c>
    </row>
    <row r="669" spans="1:4">
      <c r="A669" s="658">
        <v>501315</v>
      </c>
      <c r="B669" s="659" t="s">
        <v>1622</v>
      </c>
      <c r="C669" s="660">
        <f>SUMIF('IND AS entries 22-23'!B:B,'IND AS_TB18-19'!A669,'IND AS entries 22-23'!D:D)</f>
        <v>0</v>
      </c>
      <c r="D669" s="660">
        <f>SUMIF('IND AS entries 22-23'!B:B,'IND AS_TB18-19'!A669,'IND AS entries 22-23'!E:E)</f>
        <v>0</v>
      </c>
    </row>
    <row r="670" spans="1:4">
      <c r="A670" s="658">
        <v>501320</v>
      </c>
      <c r="B670" s="659" t="s">
        <v>1623</v>
      </c>
      <c r="C670" s="660">
        <f>SUMIF('IND AS entries 22-23'!B:B,'IND AS_TB18-19'!A670,'IND AS entries 22-23'!D:D)</f>
        <v>0</v>
      </c>
      <c r="D670" s="660">
        <f>SUMIF('IND AS entries 22-23'!B:B,'IND AS_TB18-19'!A670,'IND AS entries 22-23'!E:E)</f>
        <v>0</v>
      </c>
    </row>
    <row r="671" spans="1:4">
      <c r="A671" s="658">
        <v>501321</v>
      </c>
      <c r="B671" s="659" t="s">
        <v>1624</v>
      </c>
      <c r="C671" s="660">
        <f>SUMIF('IND AS entries 22-23'!B:B,'IND AS_TB18-19'!A671,'IND AS entries 22-23'!D:D)</f>
        <v>0</v>
      </c>
      <c r="D671" s="660">
        <f>SUMIF('IND AS entries 22-23'!B:B,'IND AS_TB18-19'!A671,'IND AS entries 22-23'!E:E)</f>
        <v>0</v>
      </c>
    </row>
    <row r="672" spans="1:4">
      <c r="A672" s="658">
        <v>501322</v>
      </c>
      <c r="B672" s="659" t="s">
        <v>1625</v>
      </c>
      <c r="C672" s="660">
        <f>SUMIF('IND AS entries 22-23'!B:B,'IND AS_TB18-19'!A672,'IND AS entries 22-23'!D:D)</f>
        <v>0</v>
      </c>
      <c r="D672" s="660">
        <f>SUMIF('IND AS entries 22-23'!B:B,'IND AS_TB18-19'!A672,'IND AS entries 22-23'!E:E)</f>
        <v>0</v>
      </c>
    </row>
    <row r="673" spans="1:4">
      <c r="A673" s="658">
        <v>501324</v>
      </c>
      <c r="B673" s="659" t="s">
        <v>798</v>
      </c>
      <c r="C673" s="660">
        <f>SUMIF('IND AS entries 22-23'!B:B,'IND AS_TB18-19'!A673,'IND AS entries 22-23'!D:D)</f>
        <v>0</v>
      </c>
      <c r="D673" s="660">
        <f>SUMIF('IND AS entries 22-23'!B:B,'IND AS_TB18-19'!A673,'IND AS entries 22-23'!E:E)</f>
        <v>0</v>
      </c>
    </row>
    <row r="674" spans="1:4">
      <c r="A674" s="658">
        <v>501329</v>
      </c>
      <c r="B674" s="659" t="s">
        <v>1626</v>
      </c>
      <c r="C674" s="660">
        <f>SUMIF('IND AS entries 22-23'!B:B,'IND AS_TB18-19'!A674,'IND AS entries 22-23'!D:D)</f>
        <v>0</v>
      </c>
      <c r="D674" s="660">
        <f>SUMIF('IND AS entries 22-23'!B:B,'IND AS_TB18-19'!A674,'IND AS entries 22-23'!E:E)</f>
        <v>0</v>
      </c>
    </row>
    <row r="675" spans="1:4">
      <c r="A675" s="658">
        <v>501330</v>
      </c>
      <c r="B675" s="659" t="s">
        <v>1627</v>
      </c>
      <c r="C675" s="660">
        <f>SUMIF('IND AS entries 22-23'!B:B,'IND AS_TB18-19'!A675,'IND AS entries 22-23'!D:D)</f>
        <v>0</v>
      </c>
      <c r="D675" s="660">
        <f>SUMIF('IND AS entries 22-23'!B:B,'IND AS_TB18-19'!A675,'IND AS entries 22-23'!E:E)</f>
        <v>0</v>
      </c>
    </row>
    <row r="676" spans="1:4">
      <c r="A676" s="658">
        <v>501410</v>
      </c>
      <c r="B676" s="659" t="s">
        <v>1628</v>
      </c>
      <c r="C676" s="660">
        <f>SUMIF('IND AS entries 22-23'!B:B,'IND AS_TB18-19'!A676,'IND AS entries 22-23'!D:D)</f>
        <v>0</v>
      </c>
      <c r="D676" s="660">
        <f>SUMIF('IND AS entries 22-23'!B:B,'IND AS_TB18-19'!A676,'IND AS entries 22-23'!E:E)</f>
        <v>0</v>
      </c>
    </row>
    <row r="677" spans="1:4">
      <c r="A677" s="658">
        <v>501420</v>
      </c>
      <c r="B677" s="659" t="s">
        <v>1629</v>
      </c>
      <c r="C677" s="660">
        <f>SUMIF('IND AS entries 22-23'!B:B,'IND AS_TB18-19'!A677,'IND AS entries 22-23'!D:D)</f>
        <v>0</v>
      </c>
      <c r="D677" s="660">
        <f>SUMIF('IND AS entries 22-23'!B:B,'IND AS_TB18-19'!A677,'IND AS entries 22-23'!E:E)</f>
        <v>0</v>
      </c>
    </row>
    <row r="678" spans="1:4">
      <c r="A678" s="658">
        <v>501510</v>
      </c>
      <c r="B678" s="659" t="s">
        <v>1630</v>
      </c>
      <c r="C678" s="660">
        <f>SUMIF('IND AS entries 22-23'!B:B,'IND AS_TB18-19'!A678,'IND AS entries 22-23'!D:D)</f>
        <v>0</v>
      </c>
      <c r="D678" s="660">
        <f>SUMIF('IND AS entries 22-23'!B:B,'IND AS_TB18-19'!A678,'IND AS entries 22-23'!E:E)</f>
        <v>0</v>
      </c>
    </row>
    <row r="679" spans="1:4">
      <c r="A679" s="658">
        <v>501515</v>
      </c>
      <c r="B679" s="659" t="s">
        <v>1631</v>
      </c>
      <c r="C679" s="660">
        <f>SUMIF('IND AS entries 22-23'!B:B,'IND AS_TB18-19'!A679,'IND AS entries 22-23'!D:D)</f>
        <v>0</v>
      </c>
      <c r="D679" s="660">
        <f>SUMIF('IND AS entries 22-23'!B:B,'IND AS_TB18-19'!A679,'IND AS entries 22-23'!E:E)</f>
        <v>0</v>
      </c>
    </row>
    <row r="680" spans="1:4">
      <c r="A680" s="658">
        <v>501516</v>
      </c>
      <c r="B680" s="659" t="s">
        <v>1632</v>
      </c>
      <c r="C680" s="660">
        <f>SUMIF('IND AS entries 22-23'!B:B,'IND AS_TB18-19'!A680,'IND AS entries 22-23'!D:D)</f>
        <v>0</v>
      </c>
      <c r="D680" s="660">
        <f>SUMIF('IND AS entries 22-23'!B:B,'IND AS_TB18-19'!A680,'IND AS entries 22-23'!E:E)</f>
        <v>0</v>
      </c>
    </row>
    <row r="681" spans="1:4">
      <c r="A681" s="658">
        <v>501520</v>
      </c>
      <c r="B681" s="659" t="s">
        <v>1633</v>
      </c>
      <c r="C681" s="660">
        <f>SUMIF('IND AS entries 22-23'!B:B,'IND AS_TB18-19'!A681,'IND AS entries 22-23'!D:D)</f>
        <v>0</v>
      </c>
      <c r="D681" s="660">
        <f>SUMIF('IND AS entries 22-23'!B:B,'IND AS_TB18-19'!A681,'IND AS entries 22-23'!E:E)</f>
        <v>0</v>
      </c>
    </row>
    <row r="682" spans="1:4">
      <c r="A682" s="658">
        <v>501590</v>
      </c>
      <c r="B682" s="659" t="s">
        <v>1634</v>
      </c>
      <c r="C682" s="660">
        <f>SUMIF('IND AS entries 22-23'!B:B,'IND AS_TB18-19'!A682,'IND AS entries 22-23'!D:D)</f>
        <v>0</v>
      </c>
      <c r="D682" s="660">
        <f>SUMIF('IND AS entries 22-23'!B:B,'IND AS_TB18-19'!A682,'IND AS entries 22-23'!E:E)</f>
        <v>0</v>
      </c>
    </row>
    <row r="683" spans="1:4">
      <c r="A683" s="658">
        <v>501610</v>
      </c>
      <c r="B683" s="659" t="s">
        <v>1635</v>
      </c>
      <c r="C683" s="660">
        <f>SUMIF('IND AS entries 22-23'!B:B,'IND AS_TB18-19'!A683,'IND AS entries 22-23'!D:D)</f>
        <v>0</v>
      </c>
      <c r="D683" s="660">
        <f>SUMIF('IND AS entries 22-23'!B:B,'IND AS_TB18-19'!A683,'IND AS entries 22-23'!E:E)</f>
        <v>0</v>
      </c>
    </row>
    <row r="684" spans="1:4">
      <c r="A684" s="658">
        <v>501655</v>
      </c>
      <c r="B684" s="659" t="s">
        <v>1636</v>
      </c>
      <c r="C684" s="660">
        <f>SUMIF('IND AS entries 22-23'!B:B,'IND AS_TB18-19'!A684,'IND AS entries 22-23'!D:D)</f>
        <v>0</v>
      </c>
      <c r="D684" s="660">
        <f>SUMIF('IND AS entries 22-23'!B:B,'IND AS_TB18-19'!A684,'IND AS entries 22-23'!E:E)</f>
        <v>0</v>
      </c>
    </row>
    <row r="685" spans="1:4">
      <c r="A685" s="658">
        <v>501660</v>
      </c>
      <c r="B685" s="659" t="s">
        <v>1637</v>
      </c>
      <c r="C685" s="660">
        <f>SUMIF('IND AS entries 22-23'!B:B,'IND AS_TB18-19'!A685,'IND AS entries 22-23'!D:D)</f>
        <v>0</v>
      </c>
      <c r="D685" s="660">
        <f>SUMIF('IND AS entries 22-23'!B:B,'IND AS_TB18-19'!A685,'IND AS entries 22-23'!E:E)</f>
        <v>0</v>
      </c>
    </row>
    <row r="686" spans="1:4">
      <c r="A686" s="658">
        <v>501661</v>
      </c>
      <c r="B686" s="659" t="s">
        <v>1638</v>
      </c>
      <c r="C686" s="660">
        <f>SUMIF('IND AS entries 22-23'!B:B,'IND AS_TB18-19'!A686,'IND AS entries 22-23'!D:D)</f>
        <v>0</v>
      </c>
      <c r="D686" s="660">
        <f>SUMIF('IND AS entries 22-23'!B:B,'IND AS_TB18-19'!A686,'IND AS entries 22-23'!E:E)</f>
        <v>0</v>
      </c>
    </row>
    <row r="687" spans="1:4">
      <c r="A687" s="658">
        <v>501710</v>
      </c>
      <c r="B687" s="659" t="s">
        <v>1639</v>
      </c>
      <c r="C687" s="660">
        <f>SUMIF('IND AS entries 22-23'!B:B,'IND AS_TB18-19'!A687,'IND AS entries 22-23'!D:D)</f>
        <v>0</v>
      </c>
      <c r="D687" s="660">
        <f>SUMIF('IND AS entries 22-23'!B:B,'IND AS_TB18-19'!A687,'IND AS entries 22-23'!E:E)</f>
        <v>0</v>
      </c>
    </row>
    <row r="688" spans="1:4">
      <c r="A688" s="658">
        <v>501715</v>
      </c>
      <c r="B688" s="659" t="s">
        <v>1640</v>
      </c>
      <c r="C688" s="660">
        <f>SUMIF('IND AS entries 22-23'!B:B,'IND AS_TB18-19'!A688,'IND AS entries 22-23'!D:D)</f>
        <v>0</v>
      </c>
      <c r="D688" s="660">
        <f>SUMIF('IND AS entries 22-23'!B:B,'IND AS_TB18-19'!A688,'IND AS entries 22-23'!E:E)</f>
        <v>0</v>
      </c>
    </row>
    <row r="689" spans="1:4">
      <c r="A689" s="658">
        <v>501720</v>
      </c>
      <c r="B689" s="659" t="s">
        <v>1641</v>
      </c>
      <c r="C689" s="660">
        <f>SUMIF('IND AS entries 22-23'!B:B,'IND AS_TB18-19'!A689,'IND AS entries 22-23'!D:D)</f>
        <v>0</v>
      </c>
      <c r="D689" s="660">
        <f>SUMIF('IND AS entries 22-23'!B:B,'IND AS_TB18-19'!A689,'IND AS entries 22-23'!E:E)</f>
        <v>0</v>
      </c>
    </row>
    <row r="690" spans="1:4">
      <c r="A690" s="658">
        <v>501725</v>
      </c>
      <c r="B690" s="659" t="s">
        <v>1642</v>
      </c>
      <c r="C690" s="660">
        <f>SUMIF('IND AS entries 22-23'!B:B,'IND AS_TB18-19'!A690,'IND AS entries 22-23'!D:D)</f>
        <v>0</v>
      </c>
      <c r="D690" s="660">
        <f>SUMIF('IND AS entries 22-23'!B:B,'IND AS_TB18-19'!A690,'IND AS entries 22-23'!E:E)</f>
        <v>0</v>
      </c>
    </row>
    <row r="691" spans="1:4">
      <c r="A691" s="658">
        <v>501730</v>
      </c>
      <c r="B691" s="659" t="s">
        <v>1643</v>
      </c>
      <c r="C691" s="660">
        <f>SUMIF('IND AS entries 22-23'!B:B,'IND AS_TB18-19'!A691,'IND AS entries 22-23'!D:D)</f>
        <v>0</v>
      </c>
      <c r="D691" s="660">
        <f>SUMIF('IND AS entries 22-23'!B:B,'IND AS_TB18-19'!A691,'IND AS entries 22-23'!E:E)</f>
        <v>0</v>
      </c>
    </row>
    <row r="692" spans="1:4">
      <c r="A692" s="658">
        <v>501732</v>
      </c>
      <c r="B692" s="659" t="s">
        <v>1644</v>
      </c>
      <c r="C692" s="660">
        <f>SUMIF('IND AS entries 22-23'!B:B,'IND AS_TB18-19'!A692,'IND AS entries 22-23'!D:D)</f>
        <v>0</v>
      </c>
      <c r="D692" s="660">
        <f>SUMIF('IND AS entries 22-23'!B:B,'IND AS_TB18-19'!A692,'IND AS entries 22-23'!E:E)</f>
        <v>0</v>
      </c>
    </row>
    <row r="693" spans="1:4">
      <c r="A693" s="658">
        <v>501735</v>
      </c>
      <c r="B693" s="659" t="s">
        <v>1645</v>
      </c>
      <c r="C693" s="660">
        <f>SUMIF('IND AS entries 22-23'!B:B,'IND AS_TB18-19'!A693,'IND AS entries 22-23'!D:D)</f>
        <v>0</v>
      </c>
      <c r="D693" s="660">
        <f>SUMIF('IND AS entries 22-23'!B:B,'IND AS_TB18-19'!A693,'IND AS entries 22-23'!E:E)</f>
        <v>0</v>
      </c>
    </row>
    <row r="694" spans="1:4">
      <c r="A694" s="658">
        <v>501740</v>
      </c>
      <c r="B694" s="659" t="s">
        <v>1646</v>
      </c>
      <c r="C694" s="660">
        <f>SUMIF('IND AS entries 22-23'!B:B,'IND AS_TB18-19'!A694,'IND AS entries 22-23'!D:D)</f>
        <v>0</v>
      </c>
      <c r="D694" s="660">
        <f>SUMIF('IND AS entries 22-23'!B:B,'IND AS_TB18-19'!A694,'IND AS entries 22-23'!E:E)</f>
        <v>0</v>
      </c>
    </row>
    <row r="695" spans="1:4">
      <c r="A695" s="658">
        <v>501745</v>
      </c>
      <c r="B695" s="659" t="s">
        <v>1647</v>
      </c>
      <c r="C695" s="660">
        <f>SUMIF('IND AS entries 22-23'!B:B,'IND AS_TB18-19'!A695,'IND AS entries 22-23'!D:D)</f>
        <v>0</v>
      </c>
      <c r="D695" s="660">
        <f>SUMIF('IND AS entries 22-23'!B:B,'IND AS_TB18-19'!A695,'IND AS entries 22-23'!E:E)</f>
        <v>0</v>
      </c>
    </row>
    <row r="696" spans="1:4">
      <c r="A696" s="658">
        <v>501801</v>
      </c>
      <c r="B696" s="659" t="s">
        <v>1648</v>
      </c>
      <c r="C696" s="660">
        <f>SUMIF('IND AS entries 22-23'!B:B,'IND AS_TB18-19'!A696,'IND AS entries 22-23'!D:D)</f>
        <v>0</v>
      </c>
      <c r="D696" s="660">
        <f>SUMIF('IND AS entries 22-23'!B:B,'IND AS_TB18-19'!A696,'IND AS entries 22-23'!E:E)</f>
        <v>0</v>
      </c>
    </row>
    <row r="697" spans="1:4">
      <c r="A697" s="658">
        <v>501802</v>
      </c>
      <c r="B697" s="659" t="s">
        <v>1649</v>
      </c>
      <c r="C697" s="660">
        <f>SUMIF('IND AS entries 22-23'!B:B,'IND AS_TB18-19'!A697,'IND AS entries 22-23'!D:D)</f>
        <v>0</v>
      </c>
      <c r="D697" s="660">
        <f>SUMIF('IND AS entries 22-23'!B:B,'IND AS_TB18-19'!A697,'IND AS entries 22-23'!E:E)</f>
        <v>0</v>
      </c>
    </row>
    <row r="698" spans="1:4">
      <c r="A698" s="658">
        <v>501803</v>
      </c>
      <c r="B698" s="659" t="s">
        <v>1650</v>
      </c>
      <c r="C698" s="660">
        <f>SUMIF('IND AS entries 22-23'!B:B,'IND AS_TB18-19'!A698,'IND AS entries 22-23'!D:D)</f>
        <v>0</v>
      </c>
      <c r="D698" s="660">
        <f>SUMIF('IND AS entries 22-23'!B:B,'IND AS_TB18-19'!A698,'IND AS entries 22-23'!E:E)</f>
        <v>0</v>
      </c>
    </row>
    <row r="699" spans="1:4">
      <c r="A699" s="658">
        <v>501901</v>
      </c>
      <c r="B699" s="659" t="s">
        <v>1651</v>
      </c>
      <c r="C699" s="660">
        <f>SUMIF('IND AS entries 22-23'!B:B,'IND AS_TB18-19'!A699,'IND AS entries 22-23'!D:D)</f>
        <v>0</v>
      </c>
      <c r="D699" s="660">
        <f>SUMIF('IND AS entries 22-23'!B:B,'IND AS_TB18-19'!A699,'IND AS entries 22-23'!E:E)</f>
        <v>0</v>
      </c>
    </row>
    <row r="700" spans="1:4">
      <c r="A700" s="658">
        <v>501902</v>
      </c>
      <c r="B700" s="659" t="s">
        <v>1652</v>
      </c>
      <c r="C700" s="660">
        <f>SUMIF('IND AS entries 22-23'!B:B,'IND AS_TB18-19'!A700,'IND AS entries 22-23'!D:D)</f>
        <v>0</v>
      </c>
      <c r="D700" s="660">
        <f>SUMIF('IND AS entries 22-23'!B:B,'IND AS_TB18-19'!A700,'IND AS entries 22-23'!E:E)</f>
        <v>0</v>
      </c>
    </row>
    <row r="701" spans="1:4">
      <c r="A701" s="658">
        <v>501903</v>
      </c>
      <c r="B701" s="659" t="s">
        <v>1653</v>
      </c>
      <c r="C701" s="660">
        <f>SUMIF('IND AS entries 22-23'!B:B,'IND AS_TB18-19'!A701,'IND AS entries 22-23'!D:D)</f>
        <v>0</v>
      </c>
      <c r="D701" s="660">
        <f>SUMIF('IND AS entries 22-23'!B:B,'IND AS_TB18-19'!A701,'IND AS entries 22-23'!E:E)</f>
        <v>0</v>
      </c>
    </row>
    <row r="702" spans="1:4">
      <c r="A702" s="658">
        <v>501904</v>
      </c>
      <c r="B702" s="659" t="s">
        <v>1654</v>
      </c>
      <c r="C702" s="660">
        <f>SUMIF('IND AS entries 22-23'!B:B,'IND AS_TB18-19'!A702,'IND AS entries 22-23'!D:D)</f>
        <v>0</v>
      </c>
      <c r="D702" s="660">
        <f>SUMIF('IND AS entries 22-23'!B:B,'IND AS_TB18-19'!A702,'IND AS entries 22-23'!E:E)</f>
        <v>0</v>
      </c>
    </row>
    <row r="703" spans="1:4">
      <c r="A703" s="658">
        <v>501905</v>
      </c>
      <c r="B703" s="659" t="s">
        <v>1655</v>
      </c>
      <c r="C703" s="660">
        <f>SUMIF('IND AS entries 22-23'!B:B,'IND AS_TB18-19'!A703,'IND AS entries 22-23'!D:D)</f>
        <v>0</v>
      </c>
      <c r="D703" s="660">
        <f>SUMIF('IND AS entries 22-23'!B:B,'IND AS_TB18-19'!A703,'IND AS entries 22-23'!E:E)</f>
        <v>0</v>
      </c>
    </row>
    <row r="704" spans="1:4">
      <c r="A704" s="658">
        <v>501906</v>
      </c>
      <c r="B704" s="659" t="s">
        <v>1656</v>
      </c>
      <c r="C704" s="660">
        <f>SUMIF('IND AS entries 22-23'!B:B,'IND AS_TB18-19'!A704,'IND AS entries 22-23'!D:D)</f>
        <v>0</v>
      </c>
      <c r="D704" s="660">
        <f>SUMIF('IND AS entries 22-23'!B:B,'IND AS_TB18-19'!A704,'IND AS entries 22-23'!E:E)</f>
        <v>0</v>
      </c>
    </row>
    <row r="705" spans="1:4">
      <c r="A705" s="658">
        <v>501907</v>
      </c>
      <c r="B705" s="659" t="s">
        <v>1657</v>
      </c>
      <c r="C705" s="660">
        <f>SUMIF('IND AS entries 22-23'!B:B,'IND AS_TB18-19'!A705,'IND AS entries 22-23'!D:D)</f>
        <v>0</v>
      </c>
      <c r="D705" s="660">
        <f>SUMIF('IND AS entries 22-23'!B:B,'IND AS_TB18-19'!A705,'IND AS entries 22-23'!E:E)</f>
        <v>0</v>
      </c>
    </row>
    <row r="706" spans="1:4">
      <c r="A706" s="658">
        <v>501908</v>
      </c>
      <c r="B706" s="659" t="s">
        <v>1658</v>
      </c>
      <c r="C706" s="660">
        <f>SUMIF('IND AS entries 22-23'!B:B,'IND AS_TB18-19'!A706,'IND AS entries 22-23'!D:D)</f>
        <v>0</v>
      </c>
      <c r="D706" s="660">
        <f>SUMIF('IND AS entries 22-23'!B:B,'IND AS_TB18-19'!A706,'IND AS entries 22-23'!E:E)</f>
        <v>0</v>
      </c>
    </row>
    <row r="707" spans="1:4">
      <c r="A707" s="658">
        <v>501911</v>
      </c>
      <c r="B707" s="659" t="s">
        <v>1659</v>
      </c>
      <c r="C707" s="660">
        <f>SUMIF('IND AS entries 22-23'!B:B,'IND AS_TB18-19'!A707,'IND AS entries 22-23'!D:D)</f>
        <v>0</v>
      </c>
      <c r="D707" s="660">
        <f>SUMIF('IND AS entries 22-23'!B:B,'IND AS_TB18-19'!A707,'IND AS entries 22-23'!E:E)</f>
        <v>0</v>
      </c>
    </row>
    <row r="708" spans="1:4">
      <c r="A708" s="658">
        <v>501912</v>
      </c>
      <c r="B708" s="659" t="s">
        <v>1660</v>
      </c>
      <c r="C708" s="660">
        <f>SUMIF('IND AS entries 22-23'!B:B,'IND AS_TB18-19'!A708,'IND AS entries 22-23'!D:D)</f>
        <v>0</v>
      </c>
      <c r="D708" s="660">
        <f>SUMIF('IND AS entries 22-23'!B:B,'IND AS_TB18-19'!A708,'IND AS entries 22-23'!E:E)</f>
        <v>0</v>
      </c>
    </row>
    <row r="709" spans="1:4">
      <c r="A709" s="658">
        <v>501913</v>
      </c>
      <c r="B709" s="659" t="s">
        <v>1661</v>
      </c>
      <c r="C709" s="660">
        <f>SUMIF('IND AS entries 22-23'!B:B,'IND AS_TB18-19'!A709,'IND AS entries 22-23'!D:D)</f>
        <v>0</v>
      </c>
      <c r="D709" s="660">
        <f>SUMIF('IND AS entries 22-23'!B:B,'IND AS_TB18-19'!A709,'IND AS entries 22-23'!E:E)</f>
        <v>0</v>
      </c>
    </row>
    <row r="710" spans="1:4">
      <c r="A710" s="658">
        <v>501914</v>
      </c>
      <c r="B710" s="659" t="s">
        <v>1662</v>
      </c>
      <c r="C710" s="660">
        <f>SUMIF('IND AS entries 22-23'!B:B,'IND AS_TB18-19'!A710,'IND AS entries 22-23'!D:D)</f>
        <v>0</v>
      </c>
      <c r="D710" s="660">
        <f>SUMIF('IND AS entries 22-23'!B:B,'IND AS_TB18-19'!A710,'IND AS entries 22-23'!E:E)</f>
        <v>0</v>
      </c>
    </row>
    <row r="711" spans="1:4">
      <c r="A711" s="658">
        <v>501915</v>
      </c>
      <c r="B711" s="659" t="s">
        <v>1663</v>
      </c>
      <c r="C711" s="660">
        <f>SUMIF('IND AS entries 22-23'!B:B,'IND AS_TB18-19'!A711,'IND AS entries 22-23'!D:D)</f>
        <v>0</v>
      </c>
      <c r="D711" s="660">
        <f>SUMIF('IND AS entries 22-23'!B:B,'IND AS_TB18-19'!A711,'IND AS entries 22-23'!E:E)</f>
        <v>0</v>
      </c>
    </row>
    <row r="712" spans="1:4">
      <c r="A712" s="658">
        <v>501916</v>
      </c>
      <c r="B712" s="659" t="s">
        <v>1664</v>
      </c>
      <c r="C712" s="660">
        <f>SUMIF('IND AS entries 22-23'!B:B,'IND AS_TB18-19'!A712,'IND AS entries 22-23'!D:D)</f>
        <v>0</v>
      </c>
      <c r="D712" s="660">
        <f>SUMIF('IND AS entries 22-23'!B:B,'IND AS_TB18-19'!A712,'IND AS entries 22-23'!E:E)</f>
        <v>0</v>
      </c>
    </row>
    <row r="713" spans="1:4">
      <c r="A713" s="658">
        <v>501917</v>
      </c>
      <c r="B713" s="659" t="s">
        <v>1665</v>
      </c>
      <c r="C713" s="660">
        <f>SUMIF('IND AS entries 22-23'!B:B,'IND AS_TB18-19'!A713,'IND AS entries 22-23'!D:D)</f>
        <v>0</v>
      </c>
      <c r="D713" s="660">
        <f>SUMIF('IND AS entries 22-23'!B:B,'IND AS_TB18-19'!A713,'IND AS entries 22-23'!E:E)</f>
        <v>0</v>
      </c>
    </row>
    <row r="714" spans="1:4">
      <c r="A714" s="658">
        <v>501921</v>
      </c>
      <c r="B714" s="659" t="s">
        <v>1666</v>
      </c>
      <c r="C714" s="660">
        <f>SUMIF('IND AS entries 22-23'!B:B,'IND AS_TB18-19'!A714,'IND AS entries 22-23'!D:D)</f>
        <v>0</v>
      </c>
      <c r="D714" s="660">
        <f>SUMIF('IND AS entries 22-23'!B:B,'IND AS_TB18-19'!A714,'IND AS entries 22-23'!E:E)</f>
        <v>0</v>
      </c>
    </row>
    <row r="715" spans="1:4">
      <c r="A715" s="658">
        <v>501922</v>
      </c>
      <c r="B715" s="659" t="s">
        <v>1667</v>
      </c>
      <c r="C715" s="660">
        <f>SUMIF('IND AS entries 22-23'!B:B,'IND AS_TB18-19'!A715,'IND AS entries 22-23'!D:D)</f>
        <v>0</v>
      </c>
      <c r="D715" s="660">
        <f>SUMIF('IND AS entries 22-23'!B:B,'IND AS_TB18-19'!A715,'IND AS entries 22-23'!E:E)</f>
        <v>0</v>
      </c>
    </row>
    <row r="716" spans="1:4">
      <c r="A716" s="658">
        <v>501923</v>
      </c>
      <c r="B716" s="659" t="s">
        <v>1668</v>
      </c>
      <c r="C716" s="660">
        <f>SUMIF('IND AS entries 22-23'!B:B,'IND AS_TB18-19'!A716,'IND AS entries 22-23'!D:D)</f>
        <v>0</v>
      </c>
      <c r="D716" s="660">
        <f>SUMIF('IND AS entries 22-23'!B:B,'IND AS_TB18-19'!A716,'IND AS entries 22-23'!E:E)</f>
        <v>0</v>
      </c>
    </row>
    <row r="717" spans="1:4">
      <c r="A717" s="658">
        <v>501924</v>
      </c>
      <c r="B717" s="659" t="s">
        <v>1669</v>
      </c>
      <c r="C717" s="660">
        <f>SUMIF('IND AS entries 22-23'!B:B,'IND AS_TB18-19'!A717,'IND AS entries 22-23'!D:D)</f>
        <v>0</v>
      </c>
      <c r="D717" s="660">
        <f>SUMIF('IND AS entries 22-23'!B:B,'IND AS_TB18-19'!A717,'IND AS entries 22-23'!E:E)</f>
        <v>0</v>
      </c>
    </row>
    <row r="718" spans="1:4">
      <c r="A718" s="658">
        <v>501925</v>
      </c>
      <c r="B718" s="659" t="s">
        <v>1670</v>
      </c>
      <c r="C718" s="660">
        <f>SUMIF('IND AS entries 22-23'!B:B,'IND AS_TB18-19'!A718,'IND AS entries 22-23'!D:D)</f>
        <v>0</v>
      </c>
      <c r="D718" s="660">
        <f>SUMIF('IND AS entries 22-23'!B:B,'IND AS_TB18-19'!A718,'IND AS entries 22-23'!E:E)</f>
        <v>0</v>
      </c>
    </row>
    <row r="719" spans="1:4">
      <c r="A719" s="658">
        <v>501926</v>
      </c>
      <c r="B719" s="659" t="s">
        <v>1671</v>
      </c>
      <c r="C719" s="660">
        <f>SUMIF('IND AS entries 22-23'!B:B,'IND AS_TB18-19'!A719,'IND AS entries 22-23'!D:D)</f>
        <v>0</v>
      </c>
      <c r="D719" s="660">
        <f>SUMIF('IND AS entries 22-23'!B:B,'IND AS_TB18-19'!A719,'IND AS entries 22-23'!E:E)</f>
        <v>0</v>
      </c>
    </row>
    <row r="720" spans="1:4">
      <c r="A720" s="658">
        <v>501927</v>
      </c>
      <c r="B720" s="659" t="s">
        <v>1672</v>
      </c>
      <c r="C720" s="660">
        <f>SUMIF('IND AS entries 22-23'!B:B,'IND AS_TB18-19'!A720,'IND AS entries 22-23'!D:D)</f>
        <v>0</v>
      </c>
      <c r="D720" s="660">
        <f>SUMIF('IND AS entries 22-23'!B:B,'IND AS_TB18-19'!A720,'IND AS entries 22-23'!E:E)</f>
        <v>0</v>
      </c>
    </row>
    <row r="721" spans="1:4">
      <c r="A721" s="658">
        <v>501931</v>
      </c>
      <c r="B721" s="659" t="s">
        <v>1673</v>
      </c>
      <c r="C721" s="660">
        <f>SUMIF('IND AS entries 22-23'!B:B,'IND AS_TB18-19'!A721,'IND AS entries 22-23'!D:D)</f>
        <v>0</v>
      </c>
      <c r="D721" s="660">
        <f>SUMIF('IND AS entries 22-23'!B:B,'IND AS_TB18-19'!A721,'IND AS entries 22-23'!E:E)</f>
        <v>0</v>
      </c>
    </row>
    <row r="722" spans="1:4">
      <c r="A722" s="658">
        <v>501932</v>
      </c>
      <c r="B722" s="659" t="s">
        <v>1674</v>
      </c>
      <c r="C722" s="660">
        <f>SUMIF('IND AS entries 22-23'!B:B,'IND AS_TB18-19'!A722,'IND AS entries 22-23'!D:D)</f>
        <v>0</v>
      </c>
      <c r="D722" s="660">
        <f>SUMIF('IND AS entries 22-23'!B:B,'IND AS_TB18-19'!A722,'IND AS entries 22-23'!E:E)</f>
        <v>0</v>
      </c>
    </row>
    <row r="723" spans="1:4">
      <c r="A723" s="658">
        <v>501933</v>
      </c>
      <c r="B723" s="659" t="s">
        <v>1675</v>
      </c>
      <c r="C723" s="660">
        <f>SUMIF('IND AS entries 22-23'!B:B,'IND AS_TB18-19'!A723,'IND AS entries 22-23'!D:D)</f>
        <v>0</v>
      </c>
      <c r="D723" s="660">
        <f>SUMIF('IND AS entries 22-23'!B:B,'IND AS_TB18-19'!A723,'IND AS entries 22-23'!E:E)</f>
        <v>0</v>
      </c>
    </row>
    <row r="724" spans="1:4">
      <c r="A724" s="658">
        <v>501934</v>
      </c>
      <c r="B724" s="659" t="s">
        <v>1676</v>
      </c>
      <c r="C724" s="660">
        <f>SUMIF('IND AS entries 22-23'!B:B,'IND AS_TB18-19'!A724,'IND AS entries 22-23'!D:D)</f>
        <v>0</v>
      </c>
      <c r="D724" s="660">
        <f>SUMIF('IND AS entries 22-23'!B:B,'IND AS_TB18-19'!A724,'IND AS entries 22-23'!E:E)</f>
        <v>0</v>
      </c>
    </row>
    <row r="725" spans="1:4">
      <c r="A725" s="658">
        <v>501935</v>
      </c>
      <c r="B725" s="659" t="s">
        <v>1677</v>
      </c>
      <c r="C725" s="660">
        <f>SUMIF('IND AS entries 22-23'!B:B,'IND AS_TB18-19'!A725,'IND AS entries 22-23'!D:D)</f>
        <v>0</v>
      </c>
      <c r="D725" s="660">
        <f>SUMIF('IND AS entries 22-23'!B:B,'IND AS_TB18-19'!A725,'IND AS entries 22-23'!E:E)</f>
        <v>0</v>
      </c>
    </row>
    <row r="726" spans="1:4">
      <c r="A726" s="658">
        <v>501937</v>
      </c>
      <c r="B726" s="659" t="s">
        <v>1678</v>
      </c>
      <c r="C726" s="660">
        <f>SUMIF('IND AS entries 22-23'!B:B,'IND AS_TB18-19'!A726,'IND AS entries 22-23'!D:D)</f>
        <v>0</v>
      </c>
      <c r="D726" s="660">
        <f>SUMIF('IND AS entries 22-23'!B:B,'IND AS_TB18-19'!A726,'IND AS entries 22-23'!E:E)</f>
        <v>0</v>
      </c>
    </row>
    <row r="727" spans="1:4">
      <c r="A727" s="658">
        <v>501941</v>
      </c>
      <c r="B727" s="659" t="s">
        <v>1679</v>
      </c>
      <c r="C727" s="660">
        <f>SUMIF('IND AS entries 22-23'!B:B,'IND AS_TB18-19'!A727,'IND AS entries 22-23'!D:D)</f>
        <v>0</v>
      </c>
      <c r="D727" s="660">
        <f>SUMIF('IND AS entries 22-23'!B:B,'IND AS_TB18-19'!A727,'IND AS entries 22-23'!E:E)</f>
        <v>0</v>
      </c>
    </row>
    <row r="728" spans="1:4">
      <c r="A728" s="658">
        <v>501942</v>
      </c>
      <c r="B728" s="659" t="s">
        <v>1680</v>
      </c>
      <c r="C728" s="660">
        <f>SUMIF('IND AS entries 22-23'!B:B,'IND AS_TB18-19'!A728,'IND AS entries 22-23'!D:D)</f>
        <v>0</v>
      </c>
      <c r="D728" s="660">
        <f>SUMIF('IND AS entries 22-23'!B:B,'IND AS_TB18-19'!A728,'IND AS entries 22-23'!E:E)</f>
        <v>0</v>
      </c>
    </row>
    <row r="729" spans="1:4">
      <c r="A729" s="658">
        <v>501943</v>
      </c>
      <c r="B729" s="659" t="s">
        <v>1681</v>
      </c>
      <c r="C729" s="660">
        <f>SUMIF('IND AS entries 22-23'!B:B,'IND AS_TB18-19'!A729,'IND AS entries 22-23'!D:D)</f>
        <v>0</v>
      </c>
      <c r="D729" s="660">
        <f>SUMIF('IND AS entries 22-23'!B:B,'IND AS_TB18-19'!A729,'IND AS entries 22-23'!E:E)</f>
        <v>0</v>
      </c>
    </row>
    <row r="730" spans="1:4">
      <c r="A730" s="658">
        <v>501944</v>
      </c>
      <c r="B730" s="659" t="s">
        <v>1682</v>
      </c>
      <c r="C730" s="660">
        <f>SUMIF('IND AS entries 22-23'!B:B,'IND AS_TB18-19'!A730,'IND AS entries 22-23'!D:D)</f>
        <v>0</v>
      </c>
      <c r="D730" s="660">
        <f>SUMIF('IND AS entries 22-23'!B:B,'IND AS_TB18-19'!A730,'IND AS entries 22-23'!E:E)</f>
        <v>0</v>
      </c>
    </row>
    <row r="731" spans="1:4">
      <c r="A731" s="658">
        <v>501945</v>
      </c>
      <c r="B731" s="659" t="s">
        <v>1683</v>
      </c>
      <c r="C731" s="660">
        <f>SUMIF('IND AS entries 22-23'!B:B,'IND AS_TB18-19'!A731,'IND AS entries 22-23'!D:D)</f>
        <v>0</v>
      </c>
      <c r="D731" s="660">
        <f>SUMIF('IND AS entries 22-23'!B:B,'IND AS_TB18-19'!A731,'IND AS entries 22-23'!E:E)</f>
        <v>0</v>
      </c>
    </row>
    <row r="732" spans="1:4">
      <c r="A732" s="658">
        <v>501946</v>
      </c>
      <c r="B732" s="659" t="s">
        <v>1684</v>
      </c>
      <c r="C732" s="660">
        <f>SUMIF('IND AS entries 22-23'!B:B,'IND AS_TB18-19'!A732,'IND AS entries 22-23'!D:D)</f>
        <v>0</v>
      </c>
      <c r="D732" s="660">
        <f>SUMIF('IND AS entries 22-23'!B:B,'IND AS_TB18-19'!A732,'IND AS entries 22-23'!E:E)</f>
        <v>0</v>
      </c>
    </row>
    <row r="733" spans="1:4">
      <c r="A733" s="658">
        <v>501948</v>
      </c>
      <c r="B733" s="659" t="s">
        <v>1685</v>
      </c>
      <c r="C733" s="660">
        <f>SUMIF('IND AS entries 22-23'!B:B,'IND AS_TB18-19'!A733,'IND AS entries 22-23'!D:D)</f>
        <v>0</v>
      </c>
      <c r="D733" s="660">
        <f>SUMIF('IND AS entries 22-23'!B:B,'IND AS_TB18-19'!A733,'IND AS entries 22-23'!E:E)</f>
        <v>0</v>
      </c>
    </row>
    <row r="734" spans="1:4">
      <c r="A734" s="658">
        <v>502010</v>
      </c>
      <c r="B734" s="659" t="s">
        <v>1686</v>
      </c>
      <c r="C734" s="660">
        <f>SUMIF('IND AS entries 22-23'!B:B,'IND AS_TB18-19'!A734,'IND AS entries 22-23'!D:D)</f>
        <v>0</v>
      </c>
      <c r="D734" s="660">
        <f>SUMIF('IND AS entries 22-23'!B:B,'IND AS_TB18-19'!A734,'IND AS entries 22-23'!E:E)</f>
        <v>0</v>
      </c>
    </row>
    <row r="735" spans="1:4">
      <c r="A735" s="658">
        <v>502020</v>
      </c>
      <c r="B735" s="659" t="s">
        <v>1687</v>
      </c>
      <c r="C735" s="660">
        <f>SUMIF('IND AS entries 22-23'!B:B,'IND AS_TB18-19'!A735,'IND AS entries 22-23'!D:D)</f>
        <v>0</v>
      </c>
      <c r="D735" s="660">
        <f>SUMIF('IND AS entries 22-23'!B:B,'IND AS_TB18-19'!A735,'IND AS entries 22-23'!E:E)</f>
        <v>0</v>
      </c>
    </row>
    <row r="736" spans="1:4">
      <c r="A736" s="658">
        <v>502025</v>
      </c>
      <c r="B736" s="659" t="s">
        <v>1688</v>
      </c>
      <c r="C736" s="660">
        <f>SUMIF('IND AS entries 22-23'!B:B,'IND AS_TB18-19'!A736,'IND AS entries 22-23'!D:D)</f>
        <v>0</v>
      </c>
      <c r="D736" s="660">
        <f>SUMIF('IND AS entries 22-23'!B:B,'IND AS_TB18-19'!A736,'IND AS entries 22-23'!E:E)</f>
        <v>0</v>
      </c>
    </row>
    <row r="737" spans="1:4">
      <c r="A737" s="658">
        <v>502050</v>
      </c>
      <c r="B737" s="659" t="s">
        <v>1689</v>
      </c>
      <c r="C737" s="660">
        <f>SUMIF('IND AS entries 22-23'!B:B,'IND AS_TB18-19'!A737,'IND AS entries 22-23'!D:D)</f>
        <v>0</v>
      </c>
      <c r="D737" s="660">
        <f>SUMIF('IND AS entries 22-23'!B:B,'IND AS_TB18-19'!A737,'IND AS entries 22-23'!E:E)</f>
        <v>0</v>
      </c>
    </row>
    <row r="738" spans="1:4">
      <c r="A738" s="658">
        <v>502051</v>
      </c>
      <c r="B738" s="659" t="s">
        <v>1690</v>
      </c>
      <c r="C738" s="660">
        <f>SUMIF('IND AS entries 22-23'!B:B,'IND AS_TB18-19'!A738,'IND AS entries 22-23'!D:D)</f>
        <v>0</v>
      </c>
      <c r="D738" s="660">
        <f>SUMIF('IND AS entries 22-23'!B:B,'IND AS_TB18-19'!A738,'IND AS entries 22-23'!E:E)</f>
        <v>0</v>
      </c>
    </row>
    <row r="739" spans="1:4">
      <c r="A739" s="658">
        <v>502110</v>
      </c>
      <c r="B739" s="659" t="s">
        <v>1691</v>
      </c>
      <c r="C739" s="660">
        <f>SUMIF('IND AS entries 22-23'!B:B,'IND AS_TB18-19'!A739,'IND AS entries 22-23'!D:D)</f>
        <v>0</v>
      </c>
      <c r="D739" s="660">
        <f>SUMIF('IND AS entries 22-23'!B:B,'IND AS_TB18-19'!A739,'IND AS entries 22-23'!E:E)</f>
        <v>0</v>
      </c>
    </row>
    <row r="740" spans="1:4">
      <c r="A740" s="658">
        <v>502120</v>
      </c>
      <c r="B740" s="659" t="s">
        <v>1692</v>
      </c>
      <c r="C740" s="660">
        <f>SUMIF('IND AS entries 22-23'!B:B,'IND AS_TB18-19'!A740,'IND AS entries 22-23'!D:D)</f>
        <v>0</v>
      </c>
      <c r="D740" s="660">
        <f>SUMIF('IND AS entries 22-23'!B:B,'IND AS_TB18-19'!A740,'IND AS entries 22-23'!E:E)</f>
        <v>0</v>
      </c>
    </row>
    <row r="741" spans="1:4">
      <c r="A741" s="658">
        <v>502121</v>
      </c>
      <c r="B741" s="659" t="s">
        <v>1693</v>
      </c>
      <c r="C741" s="660">
        <f>SUMIF('IND AS entries 22-23'!B:B,'IND AS_TB18-19'!A741,'IND AS entries 22-23'!D:D)</f>
        <v>0</v>
      </c>
      <c r="D741" s="660">
        <f>SUMIF('IND AS entries 22-23'!B:B,'IND AS_TB18-19'!A741,'IND AS entries 22-23'!E:E)</f>
        <v>0</v>
      </c>
    </row>
    <row r="742" spans="1:4">
      <c r="A742" s="658">
        <v>502129</v>
      </c>
      <c r="B742" s="659" t="s">
        <v>1694</v>
      </c>
      <c r="C742" s="660">
        <f>SUMIF('IND AS entries 22-23'!B:B,'IND AS_TB18-19'!A742,'IND AS entries 22-23'!D:D)</f>
        <v>0</v>
      </c>
      <c r="D742" s="660">
        <f>SUMIF('IND AS entries 22-23'!B:B,'IND AS_TB18-19'!A742,'IND AS entries 22-23'!E:E)</f>
        <v>0</v>
      </c>
    </row>
    <row r="743" spans="1:4">
      <c r="A743" s="658">
        <v>502112</v>
      </c>
      <c r="B743" s="659" t="s">
        <v>1695</v>
      </c>
      <c r="C743" s="660">
        <f>SUMIF('IND AS entries 22-23'!B:B,'IND AS_TB18-19'!A743,'IND AS entries 22-23'!D:D)</f>
        <v>0</v>
      </c>
      <c r="D743" s="660"/>
    </row>
    <row r="744" spans="1:4">
      <c r="A744" s="658">
        <v>502130</v>
      </c>
      <c r="B744" s="659" t="s">
        <v>1696</v>
      </c>
      <c r="C744" s="660">
        <f>SUMIF('IND AS entries 22-23'!B:B,'IND AS_TB18-19'!A744,'IND AS entries 22-23'!D:D)</f>
        <v>0</v>
      </c>
      <c r="D744" s="660">
        <f>SUMIF('IND AS entries 22-23'!B:B,'IND AS_TB18-19'!A744,'IND AS entries 22-23'!E:E)</f>
        <v>0</v>
      </c>
    </row>
    <row r="745" spans="1:4">
      <c r="A745" s="658">
        <v>502146</v>
      </c>
      <c r="B745" s="659" t="s">
        <v>1697</v>
      </c>
      <c r="C745" s="660">
        <f>SUMIF('IND AS entries 22-23'!B:B,'IND AS_TB18-19'!A745,'IND AS entries 22-23'!D:D)</f>
        <v>0</v>
      </c>
      <c r="D745" s="660">
        <f>SUMIF('IND AS entries 22-23'!B:B,'IND AS_TB18-19'!A745,'IND AS entries 22-23'!E:E)</f>
        <v>0</v>
      </c>
    </row>
    <row r="746" spans="1:4">
      <c r="A746" s="658">
        <v>502150</v>
      </c>
      <c r="B746" s="659" t="s">
        <v>1698</v>
      </c>
      <c r="C746" s="660">
        <f>SUMIF('IND AS entries 22-23'!B:B,'IND AS_TB18-19'!A746,'IND AS entries 22-23'!D:D)</f>
        <v>0</v>
      </c>
      <c r="D746" s="660">
        <f>SUMIF('IND AS entries 22-23'!B:B,'IND AS_TB18-19'!A746,'IND AS entries 22-23'!E:E)</f>
        <v>0</v>
      </c>
    </row>
    <row r="747" spans="1:4">
      <c r="A747" s="658">
        <v>502170</v>
      </c>
      <c r="B747" s="659" t="s">
        <v>1699</v>
      </c>
      <c r="C747" s="660">
        <f>SUMIF('IND AS entries 22-23'!B:B,'IND AS_TB18-19'!A747,'IND AS entries 22-23'!D:D)</f>
        <v>0</v>
      </c>
      <c r="D747" s="660">
        <f>SUMIF('IND AS entries 22-23'!B:B,'IND AS_TB18-19'!A747,'IND AS entries 22-23'!E:E)</f>
        <v>0</v>
      </c>
    </row>
    <row r="748" spans="1:4">
      <c r="A748" s="658">
        <v>502171</v>
      </c>
      <c r="B748" s="659" t="s">
        <v>1700</v>
      </c>
      <c r="C748" s="660">
        <f>SUMIF('IND AS entries 22-23'!B:B,'IND AS_TB18-19'!A748,'IND AS entries 22-23'!D:D)</f>
        <v>0</v>
      </c>
      <c r="D748" s="660">
        <f>SUMIF('IND AS entries 22-23'!B:B,'IND AS_TB18-19'!A748,'IND AS entries 22-23'!E:E)</f>
        <v>0</v>
      </c>
    </row>
    <row r="749" spans="1:4">
      <c r="A749" s="658">
        <v>502172</v>
      </c>
      <c r="B749" s="659" t="s">
        <v>1701</v>
      </c>
      <c r="C749" s="660">
        <f>SUMIF('IND AS entries 22-23'!B:B,'IND AS_TB18-19'!A749,'IND AS entries 22-23'!D:D)</f>
        <v>0</v>
      </c>
      <c r="D749" s="660">
        <f>SUMIF('IND AS entries 22-23'!B:B,'IND AS_TB18-19'!A749,'IND AS entries 22-23'!E:E)</f>
        <v>0</v>
      </c>
    </row>
    <row r="750" spans="1:4">
      <c r="A750" s="658">
        <v>502173</v>
      </c>
      <c r="B750" s="659" t="s">
        <v>1702</v>
      </c>
      <c r="C750" s="660">
        <f>SUMIF('IND AS entries 22-23'!B:B,'IND AS_TB18-19'!A750,'IND AS entries 22-23'!D:D)</f>
        <v>0</v>
      </c>
      <c r="D750" s="660">
        <f>SUMIF('IND AS entries 22-23'!B:B,'IND AS_TB18-19'!A750,'IND AS entries 22-23'!E:E)</f>
        <v>0</v>
      </c>
    </row>
    <row r="751" spans="1:4">
      <c r="A751" s="658">
        <v>503015</v>
      </c>
      <c r="B751" s="659" t="s">
        <v>1703</v>
      </c>
      <c r="C751" s="660">
        <f>SUMIF('IND AS entries 22-23'!B:B,'IND AS_TB18-19'!A751,'IND AS entries 22-23'!D:D)</f>
        <v>0</v>
      </c>
      <c r="D751" s="660">
        <f>SUMIF('IND AS entries 22-23'!B:B,'IND AS_TB18-19'!A751,'IND AS entries 22-23'!E:E)</f>
        <v>0</v>
      </c>
    </row>
    <row r="752" spans="1:4">
      <c r="A752" s="658">
        <v>503020</v>
      </c>
      <c r="B752" s="659" t="s">
        <v>1704</v>
      </c>
      <c r="C752" s="660">
        <f>SUMIF('IND AS entries 22-23'!B:B,'IND AS_TB18-19'!A752,'IND AS entries 22-23'!D:D)</f>
        <v>0</v>
      </c>
      <c r="D752" s="660">
        <f>SUMIF('IND AS entries 22-23'!B:B,'IND AS_TB18-19'!A752,'IND AS entries 22-23'!E:E)</f>
        <v>0</v>
      </c>
    </row>
    <row r="753" spans="1:4">
      <c r="A753" s="658">
        <v>503021</v>
      </c>
      <c r="B753" s="659" t="s">
        <v>1705</v>
      </c>
      <c r="C753" s="660">
        <f>SUMIF('IND AS entries 22-23'!B:B,'IND AS_TB18-19'!A753,'IND AS entries 22-23'!D:D)</f>
        <v>0</v>
      </c>
      <c r="D753" s="660">
        <f>SUMIF('IND AS entries 22-23'!B:B,'IND AS_TB18-19'!A753,'IND AS entries 22-23'!E:E)</f>
        <v>0</v>
      </c>
    </row>
    <row r="754" spans="1:4">
      <c r="A754" s="658">
        <v>503022</v>
      </c>
      <c r="B754" s="659" t="s">
        <v>1706</v>
      </c>
      <c r="C754" s="660">
        <f>SUMIF('IND AS entries 22-23'!B:B,'IND AS_TB18-19'!A754,'IND AS entries 22-23'!D:D)</f>
        <v>0</v>
      </c>
      <c r="D754" s="660">
        <f>SUMIF('IND AS entries 22-23'!B:B,'IND AS_TB18-19'!A754,'IND AS entries 22-23'!E:E)</f>
        <v>0</v>
      </c>
    </row>
    <row r="755" spans="1:4">
      <c r="A755" s="658">
        <v>503025</v>
      </c>
      <c r="B755" s="659" t="s">
        <v>1707</v>
      </c>
      <c r="C755" s="660">
        <f>SUMIF('IND AS entries 22-23'!B:B,'IND AS_TB18-19'!A755,'IND AS entries 22-23'!D:D)</f>
        <v>0</v>
      </c>
      <c r="D755" s="660">
        <f>SUMIF('IND AS entries 22-23'!B:B,'IND AS_TB18-19'!A755,'IND AS entries 22-23'!E:E)</f>
        <v>0</v>
      </c>
    </row>
    <row r="756" spans="1:4">
      <c r="A756" s="658">
        <v>503030</v>
      </c>
      <c r="B756" s="659" t="s">
        <v>1708</v>
      </c>
      <c r="C756" s="660">
        <f>SUMIF('IND AS entries 22-23'!B:B,'IND AS_TB18-19'!A756,'IND AS entries 22-23'!D:D)</f>
        <v>0</v>
      </c>
      <c r="D756" s="660">
        <f>SUMIF('IND AS entries 22-23'!B:B,'IND AS_TB18-19'!A756,'IND AS entries 22-23'!E:E)</f>
        <v>0</v>
      </c>
    </row>
    <row r="757" spans="1:4">
      <c r="A757" s="658">
        <v>503040</v>
      </c>
      <c r="B757" s="659" t="s">
        <v>1709</v>
      </c>
      <c r="C757" s="660">
        <f>SUMIF('IND AS entries 22-23'!B:B,'IND AS_TB18-19'!A757,'IND AS entries 22-23'!D:D)</f>
        <v>0</v>
      </c>
      <c r="D757" s="660">
        <f>SUMIF('IND AS entries 22-23'!B:B,'IND AS_TB18-19'!A757,'IND AS entries 22-23'!E:E)</f>
        <v>0</v>
      </c>
    </row>
    <row r="758" spans="1:4">
      <c r="A758" s="658">
        <v>503041</v>
      </c>
      <c r="B758" s="659" t="s">
        <v>1710</v>
      </c>
      <c r="C758" s="660">
        <f>SUMIF('IND AS entries 22-23'!B:B,'IND AS_TB18-19'!A758,'IND AS entries 22-23'!D:D)</f>
        <v>0</v>
      </c>
      <c r="D758" s="660">
        <f>SUMIF('IND AS entries 22-23'!B:B,'IND AS_TB18-19'!A758,'IND AS entries 22-23'!E:E)</f>
        <v>0</v>
      </c>
    </row>
    <row r="759" spans="1:4">
      <c r="A759" s="658">
        <v>503042</v>
      </c>
      <c r="B759" s="659" t="s">
        <v>1711</v>
      </c>
      <c r="C759" s="660">
        <f>SUMIF('IND AS entries 22-23'!B:B,'IND AS_TB18-19'!A759,'IND AS entries 22-23'!D:D)</f>
        <v>0</v>
      </c>
      <c r="D759" s="660">
        <f>SUMIF('IND AS entries 22-23'!B:B,'IND AS_TB18-19'!A759,'IND AS entries 22-23'!E:E)</f>
        <v>0</v>
      </c>
    </row>
    <row r="760" spans="1:4">
      <c r="A760" s="658">
        <v>503045</v>
      </c>
      <c r="B760" s="659" t="s">
        <v>1712</v>
      </c>
      <c r="C760" s="660">
        <f>SUMIF('IND AS entries 22-23'!B:B,'IND AS_TB18-19'!A760,'IND AS entries 22-23'!D:D)</f>
        <v>0</v>
      </c>
      <c r="D760" s="660">
        <f>SUMIF('IND AS entries 22-23'!B:B,'IND AS_TB18-19'!A760,'IND AS entries 22-23'!E:E)</f>
        <v>0</v>
      </c>
    </row>
    <row r="761" spans="1:4">
      <c r="A761" s="658">
        <v>503046</v>
      </c>
      <c r="B761" s="659" t="s">
        <v>1713</v>
      </c>
      <c r="C761" s="660">
        <f>SUMIF('IND AS entries 22-23'!B:B,'IND AS_TB18-19'!A761,'IND AS entries 22-23'!D:D)</f>
        <v>0</v>
      </c>
      <c r="D761" s="660">
        <f>SUMIF('IND AS entries 22-23'!B:B,'IND AS_TB18-19'!A761,'IND AS entries 22-23'!E:E)</f>
        <v>0</v>
      </c>
    </row>
    <row r="762" spans="1:4">
      <c r="A762" s="658">
        <v>503047</v>
      </c>
      <c r="B762" s="659" t="s">
        <v>1714</v>
      </c>
      <c r="C762" s="660">
        <f>SUMIF('IND AS entries 22-23'!B:B,'IND AS_TB18-19'!A762,'IND AS entries 22-23'!D:D)</f>
        <v>0</v>
      </c>
      <c r="D762" s="660">
        <f>SUMIF('IND AS entries 22-23'!B:B,'IND AS_TB18-19'!A762,'IND AS entries 22-23'!E:E)</f>
        <v>0</v>
      </c>
    </row>
    <row r="763" spans="1:4">
      <c r="A763" s="658">
        <v>503048</v>
      </c>
      <c r="B763" s="659" t="s">
        <v>1715</v>
      </c>
      <c r="C763" s="660">
        <f>SUMIF('IND AS entries 22-23'!B:B,'IND AS_TB18-19'!A763,'IND AS entries 22-23'!D:D)</f>
        <v>0</v>
      </c>
      <c r="D763" s="660">
        <f>SUMIF('IND AS entries 22-23'!B:B,'IND AS_TB18-19'!A763,'IND AS entries 22-23'!E:E)</f>
        <v>0</v>
      </c>
    </row>
    <row r="764" spans="1:4">
      <c r="A764" s="658">
        <v>503049</v>
      </c>
      <c r="B764" s="659" t="s">
        <v>1716</v>
      </c>
      <c r="C764" s="660">
        <f>SUMIF('IND AS entries 22-23'!B:B,'IND AS_TB18-19'!A764,'IND AS entries 22-23'!D:D)</f>
        <v>0</v>
      </c>
      <c r="D764" s="660">
        <f>SUMIF('IND AS entries 22-23'!B:B,'IND AS_TB18-19'!A764,'IND AS entries 22-23'!E:E)</f>
        <v>0</v>
      </c>
    </row>
    <row r="765" spans="1:4">
      <c r="A765" s="658">
        <v>503050</v>
      </c>
      <c r="B765" s="659" t="s">
        <v>1717</v>
      </c>
      <c r="C765" s="660">
        <f>SUMIF('IND AS entries 22-23'!B:B,'IND AS_TB18-19'!A765,'IND AS entries 22-23'!D:D)</f>
        <v>0</v>
      </c>
      <c r="D765" s="660">
        <f>SUMIF('IND AS entries 22-23'!B:B,'IND AS_TB18-19'!A765,'IND AS entries 22-23'!E:E)</f>
        <v>0</v>
      </c>
    </row>
    <row r="766" spans="1:4">
      <c r="A766" s="658">
        <v>503055</v>
      </c>
      <c r="B766" s="659" t="s">
        <v>1718</v>
      </c>
      <c r="C766" s="660">
        <f>SUMIF('IND AS entries 22-23'!B:B,'IND AS_TB18-19'!A766,'IND AS entries 22-23'!D:D)</f>
        <v>0</v>
      </c>
      <c r="D766" s="660">
        <f>SUMIF('IND AS entries 22-23'!B:B,'IND AS_TB18-19'!A766,'IND AS entries 22-23'!E:E)</f>
        <v>0</v>
      </c>
    </row>
    <row r="767" spans="1:4">
      <c r="A767" s="658">
        <v>503060</v>
      </c>
      <c r="B767" s="659" t="s">
        <v>1719</v>
      </c>
      <c r="C767" s="660">
        <f>SUMIF('IND AS entries 22-23'!B:B,'IND AS_TB18-19'!A767,'IND AS entries 22-23'!D:D)</f>
        <v>0</v>
      </c>
      <c r="D767" s="660">
        <f>SUMIF('IND AS entries 22-23'!B:B,'IND AS_TB18-19'!A767,'IND AS entries 22-23'!E:E)</f>
        <v>0</v>
      </c>
    </row>
    <row r="768" spans="1:4">
      <c r="A768" s="658">
        <v>503061</v>
      </c>
      <c r="B768" s="659" t="s">
        <v>1720</v>
      </c>
      <c r="C768" s="660">
        <f>SUMIF('IND AS entries 22-23'!B:B,'IND AS_TB18-19'!A768,'IND AS entries 22-23'!D:D)</f>
        <v>0</v>
      </c>
      <c r="D768" s="660">
        <f>SUMIF('IND AS entries 22-23'!B:B,'IND AS_TB18-19'!A768,'IND AS entries 22-23'!E:E)</f>
        <v>0</v>
      </c>
    </row>
    <row r="769" spans="1:4">
      <c r="A769" s="658">
        <v>503062</v>
      </c>
      <c r="B769" s="659" t="s">
        <v>1721</v>
      </c>
      <c r="C769" s="660">
        <f>SUMIF('IND AS entries 22-23'!B:B,'IND AS_TB18-19'!A769,'IND AS entries 22-23'!D:D)</f>
        <v>0</v>
      </c>
      <c r="D769" s="660">
        <f>SUMIF('IND AS entries 22-23'!B:B,'IND AS_TB18-19'!A769,'IND AS entries 22-23'!E:E)</f>
        <v>0</v>
      </c>
    </row>
    <row r="770" spans="1:4">
      <c r="A770" s="658">
        <v>503063</v>
      </c>
      <c r="B770" s="659" t="s">
        <v>1722</v>
      </c>
      <c r="C770" s="660">
        <f>SUMIF('IND AS entries 22-23'!B:B,'IND AS_TB18-19'!A770,'IND AS entries 22-23'!D:D)</f>
        <v>0</v>
      </c>
      <c r="D770" s="660">
        <f>SUMIF('IND AS entries 22-23'!B:B,'IND AS_TB18-19'!A770,'IND AS entries 22-23'!E:E)</f>
        <v>0</v>
      </c>
    </row>
    <row r="771" spans="1:4">
      <c r="A771" s="658">
        <v>503065</v>
      </c>
      <c r="B771" s="659" t="s">
        <v>1723</v>
      </c>
      <c r="C771" s="660">
        <f>SUMIF('IND AS entries 22-23'!B:B,'IND AS_TB18-19'!A771,'IND AS entries 22-23'!D:D)</f>
        <v>0</v>
      </c>
      <c r="D771" s="660">
        <f>SUMIF('IND AS entries 22-23'!B:B,'IND AS_TB18-19'!A771,'IND AS entries 22-23'!E:E)</f>
        <v>0</v>
      </c>
    </row>
    <row r="772" spans="1:4">
      <c r="A772" s="658">
        <v>503070</v>
      </c>
      <c r="B772" s="659" t="s">
        <v>1724</v>
      </c>
      <c r="C772" s="660">
        <f>SUMIF('IND AS entries 22-23'!B:B,'IND AS_TB18-19'!A772,'IND AS entries 22-23'!D:D)</f>
        <v>0</v>
      </c>
      <c r="D772" s="660">
        <f>SUMIF('IND AS entries 22-23'!B:B,'IND AS_TB18-19'!A772,'IND AS entries 22-23'!E:E)</f>
        <v>0</v>
      </c>
    </row>
    <row r="773" spans="1:4">
      <c r="A773" s="658">
        <v>503075</v>
      </c>
      <c r="B773" s="659" t="s">
        <v>1725</v>
      </c>
      <c r="C773" s="660">
        <f>SUMIF('IND AS entries 22-23'!B:B,'IND AS_TB18-19'!A773,'IND AS entries 22-23'!D:D)</f>
        <v>0</v>
      </c>
      <c r="D773" s="660">
        <f>SUMIF('IND AS entries 22-23'!B:B,'IND AS_TB18-19'!A773,'IND AS entries 22-23'!E:E)</f>
        <v>0</v>
      </c>
    </row>
    <row r="774" spans="1:4">
      <c r="A774" s="658">
        <v>503080</v>
      </c>
      <c r="B774" s="659" t="s">
        <v>1726</v>
      </c>
      <c r="C774" s="660">
        <f>SUMIF('IND AS entries 22-23'!B:B,'IND AS_TB18-19'!A774,'IND AS entries 22-23'!D:D)</f>
        <v>0</v>
      </c>
      <c r="D774" s="660">
        <f>SUMIF('IND AS entries 22-23'!B:B,'IND AS_TB18-19'!A774,'IND AS entries 22-23'!E:E)</f>
        <v>0</v>
      </c>
    </row>
    <row r="775" spans="1:4">
      <c r="A775" s="658">
        <v>503081</v>
      </c>
      <c r="B775" s="659" t="s">
        <v>1727</v>
      </c>
      <c r="C775" s="660">
        <f>SUMIF('IND AS entries 22-23'!B:B,'IND AS_TB18-19'!A775,'IND AS entries 22-23'!D:D)</f>
        <v>0</v>
      </c>
      <c r="D775" s="660">
        <f>SUMIF('IND AS entries 22-23'!B:B,'IND AS_TB18-19'!A775,'IND AS entries 22-23'!E:E)</f>
        <v>0</v>
      </c>
    </row>
    <row r="776" spans="1:4">
      <c r="A776" s="658">
        <v>503082</v>
      </c>
      <c r="B776" s="659" t="s">
        <v>1728</v>
      </c>
      <c r="C776" s="660">
        <f>SUMIF('IND AS entries 22-23'!B:B,'IND AS_TB18-19'!A776,'IND AS entries 22-23'!D:D)</f>
        <v>0</v>
      </c>
      <c r="D776" s="660">
        <f>SUMIF('IND AS entries 22-23'!B:B,'IND AS_TB18-19'!A776,'IND AS entries 22-23'!E:E)</f>
        <v>0</v>
      </c>
    </row>
    <row r="777" spans="1:4">
      <c r="A777" s="658">
        <v>503084</v>
      </c>
      <c r="B777" s="659" t="s">
        <v>1729</v>
      </c>
      <c r="C777" s="660">
        <f>SUMIF('IND AS entries 22-23'!B:B,'IND AS_TB18-19'!A777,'IND AS entries 22-23'!D:D)</f>
        <v>0</v>
      </c>
      <c r="D777" s="660">
        <f>SUMIF('IND AS entries 22-23'!B:B,'IND AS_TB18-19'!A777,'IND AS entries 22-23'!E:E)</f>
        <v>0</v>
      </c>
    </row>
    <row r="778" spans="1:4">
      <c r="A778" s="658">
        <v>503085</v>
      </c>
      <c r="B778" s="659" t="s">
        <v>1730</v>
      </c>
      <c r="C778" s="660">
        <f>SUMIF('IND AS entries 22-23'!B:B,'IND AS_TB18-19'!A778,'IND AS entries 22-23'!D:D)</f>
        <v>0</v>
      </c>
      <c r="D778" s="660">
        <f>SUMIF('IND AS entries 22-23'!B:B,'IND AS_TB18-19'!A778,'IND AS entries 22-23'!E:E)</f>
        <v>0</v>
      </c>
    </row>
    <row r="779" spans="1:4">
      <c r="A779" s="658">
        <v>503086</v>
      </c>
      <c r="B779" s="659" t="s">
        <v>1731</v>
      </c>
      <c r="C779" s="660">
        <f>SUMIF('IND AS entries 22-23'!B:B,'IND AS_TB18-19'!A779,'IND AS entries 22-23'!D:D)</f>
        <v>0</v>
      </c>
      <c r="D779" s="660">
        <f>SUMIF('IND AS entries 22-23'!B:B,'IND AS_TB18-19'!A779,'IND AS entries 22-23'!E:E)</f>
        <v>0</v>
      </c>
    </row>
    <row r="780" spans="1:4">
      <c r="A780" s="658">
        <v>503087</v>
      </c>
      <c r="B780" s="659" t="s">
        <v>1732</v>
      </c>
      <c r="C780" s="660">
        <f>SUMIF('IND AS entries 22-23'!B:B,'IND AS_TB18-19'!A780,'IND AS entries 22-23'!D:D)</f>
        <v>0</v>
      </c>
      <c r="D780" s="660">
        <f>SUMIF('IND AS entries 22-23'!B:B,'IND AS_TB18-19'!A780,'IND AS entries 22-23'!E:E)</f>
        <v>0</v>
      </c>
    </row>
    <row r="781" spans="1:4">
      <c r="A781" s="658">
        <v>503088</v>
      </c>
      <c r="B781" s="659" t="s">
        <v>1733</v>
      </c>
      <c r="C781" s="660">
        <f>SUMIF('IND AS entries 22-23'!B:B,'IND AS_TB18-19'!A781,'IND AS entries 22-23'!D:D)</f>
        <v>0</v>
      </c>
      <c r="D781" s="660">
        <f>SUMIF('IND AS entries 22-23'!B:B,'IND AS_TB18-19'!A781,'IND AS entries 22-23'!E:E)</f>
        <v>0</v>
      </c>
    </row>
    <row r="782" spans="1:4">
      <c r="A782" s="658">
        <v>503089</v>
      </c>
      <c r="B782" s="659" t="s">
        <v>1734</v>
      </c>
      <c r="C782" s="660">
        <f>SUMIF('IND AS entries 22-23'!B:B,'IND AS_TB18-19'!A782,'IND AS entries 22-23'!D:D)</f>
        <v>0</v>
      </c>
      <c r="D782" s="660">
        <f>SUMIF('IND AS entries 22-23'!B:B,'IND AS_TB18-19'!A782,'IND AS entries 22-23'!E:E)</f>
        <v>0</v>
      </c>
    </row>
    <row r="783" spans="1:4">
      <c r="A783" s="658">
        <v>503090</v>
      </c>
      <c r="B783" s="659" t="s">
        <v>1735</v>
      </c>
      <c r="C783" s="660">
        <f>SUMIF('IND AS entries 22-23'!B:B,'IND AS_TB18-19'!A783,'IND AS entries 22-23'!D:D)</f>
        <v>0</v>
      </c>
      <c r="D783" s="660">
        <f>SUMIF('IND AS entries 22-23'!B:B,'IND AS_TB18-19'!A783,'IND AS entries 22-23'!E:E)</f>
        <v>0</v>
      </c>
    </row>
    <row r="784" spans="1:4">
      <c r="A784" s="658">
        <v>503095</v>
      </c>
      <c r="B784" s="659" t="s">
        <v>1736</v>
      </c>
      <c r="C784" s="660">
        <f>SUMIF('IND AS entries 22-23'!B:B,'IND AS_TB18-19'!A784,'IND AS entries 22-23'!D:D)</f>
        <v>0</v>
      </c>
      <c r="D784" s="660">
        <f>SUMIF('IND AS entries 22-23'!B:B,'IND AS_TB18-19'!A784,'IND AS entries 22-23'!E:E)</f>
        <v>0</v>
      </c>
    </row>
    <row r="785" spans="1:4">
      <c r="A785" s="658">
        <v>503096</v>
      </c>
      <c r="B785" s="659" t="s">
        <v>1737</v>
      </c>
      <c r="C785" s="660">
        <f>SUMIF('IND AS entries 22-23'!B:B,'IND AS_TB18-19'!A785,'IND AS entries 22-23'!D:D)</f>
        <v>0</v>
      </c>
      <c r="D785" s="660">
        <f>SUMIF('IND AS entries 22-23'!B:B,'IND AS_TB18-19'!A785,'IND AS entries 22-23'!E:E)</f>
        <v>0</v>
      </c>
    </row>
    <row r="786" spans="1:4">
      <c r="A786" s="658">
        <v>503097</v>
      </c>
      <c r="B786" s="659" t="s">
        <v>1738</v>
      </c>
      <c r="C786" s="660">
        <f>SUMIF('IND AS entries 22-23'!B:B,'IND AS_TB18-19'!A786,'IND AS entries 22-23'!D:D)</f>
        <v>0</v>
      </c>
      <c r="D786" s="660">
        <f>SUMIF('IND AS entries 22-23'!B:B,'IND AS_TB18-19'!A786,'IND AS entries 22-23'!E:E)</f>
        <v>0</v>
      </c>
    </row>
    <row r="787" spans="1:4">
      <c r="A787" s="658">
        <v>503098</v>
      </c>
      <c r="B787" s="659" t="s">
        <v>1739</v>
      </c>
      <c r="C787" s="660">
        <f>SUMIF('IND AS entries 22-23'!B:B,'IND AS_TB18-19'!A787,'IND AS entries 22-23'!D:D)</f>
        <v>0</v>
      </c>
      <c r="D787" s="660">
        <f>SUMIF('IND AS entries 22-23'!B:B,'IND AS_TB18-19'!A787,'IND AS entries 22-23'!E:E)</f>
        <v>0</v>
      </c>
    </row>
    <row r="788" spans="1:4">
      <c r="A788" s="658">
        <v>503099</v>
      </c>
      <c r="B788" s="659" t="s">
        <v>1740</v>
      </c>
      <c r="C788" s="660">
        <f>SUMIF('IND AS entries 22-23'!B:B,'IND AS_TB18-19'!A788,'IND AS entries 22-23'!D:D)</f>
        <v>0</v>
      </c>
      <c r="D788" s="660">
        <f>SUMIF('IND AS entries 22-23'!B:B,'IND AS_TB18-19'!A788,'IND AS entries 22-23'!E:E)</f>
        <v>0</v>
      </c>
    </row>
    <row r="789" spans="1:4">
      <c r="A789" s="658">
        <v>503100</v>
      </c>
      <c r="B789" s="659" t="s">
        <v>1741</v>
      </c>
      <c r="C789" s="660">
        <f>SUMIF('IND AS entries 22-23'!B:B,'IND AS_TB18-19'!A789,'IND AS entries 22-23'!D:D)</f>
        <v>0</v>
      </c>
      <c r="D789" s="660">
        <f>SUMIF('IND AS entries 22-23'!B:B,'IND AS_TB18-19'!A789,'IND AS entries 22-23'!E:E)</f>
        <v>0</v>
      </c>
    </row>
    <row r="790" spans="1:4">
      <c r="A790" s="658">
        <v>503101</v>
      </c>
      <c r="B790" s="659" t="s">
        <v>1742</v>
      </c>
      <c r="C790" s="660">
        <f>SUMIF('IND AS entries 22-23'!B:B,'IND AS_TB18-19'!A790,'IND AS entries 22-23'!D:D)</f>
        <v>0</v>
      </c>
      <c r="D790" s="660">
        <f>SUMIF('IND AS entries 22-23'!B:B,'IND AS_TB18-19'!A790,'IND AS entries 22-23'!E:E)</f>
        <v>0</v>
      </c>
    </row>
    <row r="791" spans="1:4">
      <c r="A791" s="658">
        <v>503102</v>
      </c>
      <c r="B791" s="659" t="s">
        <v>1743</v>
      </c>
      <c r="C791" s="660">
        <f>SUMIF('IND AS entries 22-23'!B:B,'IND AS_TB18-19'!A791,'IND AS entries 22-23'!D:D)</f>
        <v>0</v>
      </c>
      <c r="D791" s="660">
        <f>SUMIF('IND AS entries 22-23'!B:B,'IND AS_TB18-19'!A791,'IND AS entries 22-23'!E:E)</f>
        <v>0</v>
      </c>
    </row>
    <row r="792" spans="1:4">
      <c r="A792" s="658">
        <v>504010</v>
      </c>
      <c r="B792" s="659" t="s">
        <v>1746</v>
      </c>
      <c r="C792" s="660">
        <f>SUMIF('IND AS entries 22-23'!B:B,'IND AS_TB18-19'!A792,'IND AS entries 22-23'!D:D)</f>
        <v>0</v>
      </c>
      <c r="D792" s="660">
        <f>SUMIF('IND AS entries 22-23'!B:B,'IND AS_TB18-19'!A792,'IND AS entries 22-23'!E:E)</f>
        <v>0</v>
      </c>
    </row>
    <row r="793" spans="1:4">
      <c r="A793" s="658">
        <v>504015</v>
      </c>
      <c r="B793" s="659" t="s">
        <v>1747</v>
      </c>
      <c r="C793" s="660">
        <f>SUMIF('IND AS entries 22-23'!B:B,'IND AS_TB18-19'!A793,'IND AS entries 22-23'!D:D)</f>
        <v>0</v>
      </c>
      <c r="D793" s="660">
        <f>SUMIF('IND AS entries 22-23'!B:B,'IND AS_TB18-19'!A793,'IND AS entries 22-23'!E:E)</f>
        <v>0</v>
      </c>
    </row>
    <row r="794" spans="1:4">
      <c r="A794" s="658">
        <v>504016</v>
      </c>
      <c r="B794" s="659" t="s">
        <v>1748</v>
      </c>
      <c r="C794" s="660">
        <f>SUMIF('IND AS entries 22-23'!B:B,'IND AS_TB18-19'!A794,'IND AS entries 22-23'!D:D)</f>
        <v>0</v>
      </c>
      <c r="D794" s="660">
        <f>SUMIF('IND AS entries 22-23'!B:B,'IND AS_TB18-19'!A794,'IND AS entries 22-23'!E:E)</f>
        <v>0</v>
      </c>
    </row>
    <row r="795" spans="1:4">
      <c r="A795" s="658">
        <v>504018</v>
      </c>
      <c r="B795" s="659" t="s">
        <v>1611</v>
      </c>
      <c r="C795" s="660">
        <f>SUMIF('IND AS entries 22-23'!B:B,'IND AS_TB18-19'!A795,'IND AS entries 22-23'!D:D)</f>
        <v>0</v>
      </c>
      <c r="D795" s="660">
        <f>SUMIF('IND AS entries 22-23'!B:B,'IND AS_TB18-19'!A795,'IND AS entries 22-23'!E:E)</f>
        <v>0</v>
      </c>
    </row>
    <row r="796" spans="1:4">
      <c r="A796" s="658">
        <v>504020</v>
      </c>
      <c r="B796" s="659" t="s">
        <v>1749</v>
      </c>
      <c r="C796" s="660">
        <f>SUMIF('IND AS entries 22-23'!B:B,'IND AS_TB18-19'!A796,'IND AS entries 22-23'!D:D)</f>
        <v>0</v>
      </c>
      <c r="D796" s="660">
        <f>SUMIF('IND AS entries 22-23'!B:B,'IND AS_TB18-19'!A796,'IND AS entries 22-23'!E:E)</f>
        <v>0</v>
      </c>
    </row>
    <row r="797" spans="1:4">
      <c r="A797" s="658">
        <v>504025</v>
      </c>
      <c r="B797" s="659" t="s">
        <v>1750</v>
      </c>
      <c r="C797" s="660">
        <f>SUMIF('IND AS entries 22-23'!B:B,'IND AS_TB18-19'!A797,'IND AS entries 22-23'!D:D)</f>
        <v>0</v>
      </c>
      <c r="D797" s="660">
        <f>SUMIF('IND AS entries 22-23'!B:B,'IND AS_TB18-19'!A797,'IND AS entries 22-23'!E:E)</f>
        <v>0</v>
      </c>
    </row>
    <row r="798" spans="1:4">
      <c r="A798" s="658">
        <v>504030</v>
      </c>
      <c r="B798" s="659" t="s">
        <v>1751</v>
      </c>
      <c r="C798" s="660">
        <f>SUMIF('IND AS entries 22-23'!B:B,'IND AS_TB18-19'!A798,'IND AS entries 22-23'!D:D)</f>
        <v>0</v>
      </c>
      <c r="D798" s="660">
        <f>SUMIF('IND AS entries 22-23'!B:B,'IND AS_TB18-19'!A798,'IND AS entries 22-23'!E:E)</f>
        <v>0</v>
      </c>
    </row>
    <row r="799" spans="1:4">
      <c r="A799" s="658">
        <v>504035</v>
      </c>
      <c r="B799" s="659" t="s">
        <v>1752</v>
      </c>
      <c r="C799" s="660">
        <f>SUMIF('IND AS entries 22-23'!B:B,'IND AS_TB18-19'!A799,'IND AS entries 22-23'!D:D)</f>
        <v>0</v>
      </c>
      <c r="D799" s="660">
        <f>SUMIF('IND AS entries 22-23'!B:B,'IND AS_TB18-19'!A799,'IND AS entries 22-23'!E:E)</f>
        <v>0</v>
      </c>
    </row>
    <row r="800" spans="1:4">
      <c r="A800" s="658">
        <v>504040</v>
      </c>
      <c r="B800" s="659" t="s">
        <v>1753</v>
      </c>
      <c r="C800" s="660">
        <f>SUMIF('IND AS entries 22-23'!B:B,'IND AS_TB18-19'!A800,'IND AS entries 22-23'!D:D)</f>
        <v>0</v>
      </c>
      <c r="D800" s="660">
        <f>SUMIF('IND AS entries 22-23'!B:B,'IND AS_TB18-19'!A800,'IND AS entries 22-23'!E:E)</f>
        <v>0</v>
      </c>
    </row>
    <row r="801" spans="1:4">
      <c r="A801" s="658">
        <v>504042</v>
      </c>
      <c r="B801" s="659" t="s">
        <v>1754</v>
      </c>
      <c r="C801" s="660">
        <f>SUMIF('IND AS entries 22-23'!B:B,'IND AS_TB18-19'!A801,'IND AS entries 22-23'!D:D)</f>
        <v>0</v>
      </c>
      <c r="D801" s="660">
        <f>SUMIF('IND AS entries 22-23'!B:B,'IND AS_TB18-19'!A801,'IND AS entries 22-23'!E:E)</f>
        <v>0</v>
      </c>
    </row>
    <row r="802" spans="1:4">
      <c r="A802" s="658">
        <v>504044</v>
      </c>
      <c r="B802" s="659" t="s">
        <v>1755</v>
      </c>
      <c r="C802" s="660">
        <f>SUMIF('IND AS entries 22-23'!B:B,'IND AS_TB18-19'!A802,'IND AS entries 22-23'!D:D)</f>
        <v>0</v>
      </c>
      <c r="D802" s="660">
        <f>SUMIF('IND AS entries 22-23'!B:B,'IND AS_TB18-19'!A802,'IND AS entries 22-23'!E:E)</f>
        <v>0</v>
      </c>
    </row>
    <row r="803" spans="1:4">
      <c r="A803" s="658">
        <v>504045</v>
      </c>
      <c r="B803" s="659" t="s">
        <v>1756</v>
      </c>
      <c r="C803" s="660">
        <f>SUMIF('IND AS entries 22-23'!B:B,'IND AS_TB18-19'!A803,'IND AS entries 22-23'!D:D)</f>
        <v>0</v>
      </c>
      <c r="D803" s="660">
        <f>SUMIF('IND AS entries 22-23'!B:B,'IND AS_TB18-19'!A803,'IND AS entries 22-23'!E:E)</f>
        <v>0</v>
      </c>
    </row>
    <row r="804" spans="1:4">
      <c r="A804" s="658">
        <v>504046</v>
      </c>
      <c r="B804" s="659" t="s">
        <v>1757</v>
      </c>
      <c r="C804" s="660">
        <f>SUMIF('IND AS entries 22-23'!B:B,'IND AS_TB18-19'!A804,'IND AS entries 22-23'!D:D)</f>
        <v>0</v>
      </c>
      <c r="D804" s="660">
        <f>SUMIF('IND AS entries 22-23'!B:B,'IND AS_TB18-19'!A804,'IND AS entries 22-23'!E:E)</f>
        <v>0</v>
      </c>
    </row>
    <row r="805" spans="1:4">
      <c r="A805" s="658">
        <v>504048</v>
      </c>
      <c r="B805" s="659" t="s">
        <v>1758</v>
      </c>
      <c r="C805" s="660">
        <f>SUMIF('IND AS entries 22-23'!B:B,'IND AS_TB18-19'!A805,'IND AS entries 22-23'!D:D)</f>
        <v>0</v>
      </c>
      <c r="D805" s="660">
        <f>SUMIF('IND AS entries 22-23'!B:B,'IND AS_TB18-19'!A805,'IND AS entries 22-23'!E:E)</f>
        <v>0</v>
      </c>
    </row>
    <row r="806" spans="1:4">
      <c r="A806" s="658">
        <v>504052</v>
      </c>
      <c r="B806" s="659" t="s">
        <v>1759</v>
      </c>
      <c r="C806" s="660">
        <f>SUMIF('IND AS entries 22-23'!B:B,'IND AS_TB18-19'!A806,'IND AS entries 22-23'!D:D)</f>
        <v>0</v>
      </c>
      <c r="D806" s="660">
        <f>SUMIF('IND AS entries 22-23'!B:B,'IND AS_TB18-19'!A806,'IND AS entries 22-23'!E:E)</f>
        <v>0</v>
      </c>
    </row>
    <row r="807" spans="1:4">
      <c r="A807" s="658">
        <v>504060</v>
      </c>
      <c r="B807" s="659" t="s">
        <v>1760</v>
      </c>
      <c r="C807" s="660">
        <f>SUMIF('IND AS entries 22-23'!B:B,'IND AS_TB18-19'!A807,'IND AS entries 22-23'!D:D)</f>
        <v>0</v>
      </c>
      <c r="D807" s="660">
        <f>SUMIF('IND AS entries 22-23'!B:B,'IND AS_TB18-19'!A807,'IND AS entries 22-23'!E:E)</f>
        <v>0</v>
      </c>
    </row>
    <row r="808" spans="1:4">
      <c r="A808" s="658">
        <v>504090</v>
      </c>
      <c r="B808" s="659" t="s">
        <v>1761</v>
      </c>
      <c r="C808" s="660">
        <f>SUMIF('IND AS entries 22-23'!B:B,'IND AS_TB18-19'!A808,'IND AS entries 22-23'!D:D)</f>
        <v>0</v>
      </c>
      <c r="D808" s="660">
        <f>SUMIF('IND AS entries 22-23'!B:B,'IND AS_TB18-19'!A808,'IND AS entries 22-23'!E:E)</f>
        <v>0</v>
      </c>
    </row>
    <row r="809" spans="1:4">
      <c r="A809" s="658">
        <v>505010</v>
      </c>
      <c r="B809" s="659" t="s">
        <v>1762</v>
      </c>
      <c r="C809" s="660">
        <f>SUMIF('IND AS entries 22-23'!B:B,'IND AS_TB18-19'!A809,'IND AS entries 22-23'!D:D)</f>
        <v>0</v>
      </c>
      <c r="D809" s="660">
        <f>SUMIF('IND AS entries 22-23'!B:B,'IND AS_TB18-19'!A809,'IND AS entries 22-23'!E:E)</f>
        <v>0</v>
      </c>
    </row>
    <row r="810" spans="1:4">
      <c r="A810" s="658">
        <v>505011</v>
      </c>
      <c r="B810" s="659" t="s">
        <v>1763</v>
      </c>
      <c r="C810" s="660">
        <f>SUMIF('IND AS entries 22-23'!B:B,'IND AS_TB18-19'!A810,'IND AS entries 22-23'!D:D)</f>
        <v>0</v>
      </c>
      <c r="D810" s="660">
        <f>SUMIF('IND AS entries 22-23'!B:B,'IND AS_TB18-19'!A810,'IND AS entries 22-23'!E:E)</f>
        <v>0</v>
      </c>
    </row>
    <row r="811" spans="1:4">
      <c r="A811" s="658">
        <v>505012</v>
      </c>
      <c r="B811" s="659" t="s">
        <v>1764</v>
      </c>
      <c r="C811" s="660">
        <f>SUMIF('IND AS entries 22-23'!B:B,'IND AS_TB18-19'!A811,'IND AS entries 22-23'!D:D)</f>
        <v>0</v>
      </c>
      <c r="D811" s="660">
        <f>SUMIF('IND AS entries 22-23'!B:B,'IND AS_TB18-19'!A811,'IND AS entries 22-23'!E:E)</f>
        <v>0</v>
      </c>
    </row>
    <row r="812" spans="1:4">
      <c r="A812" s="658">
        <v>505013</v>
      </c>
      <c r="B812" s="659" t="s">
        <v>1765</v>
      </c>
      <c r="C812" s="660">
        <f>SUMIF('IND AS entries 22-23'!B:B,'IND AS_TB18-19'!A812,'IND AS entries 22-23'!D:D)</f>
        <v>0</v>
      </c>
      <c r="D812" s="660">
        <f>SUMIF('IND AS entries 22-23'!B:B,'IND AS_TB18-19'!A812,'IND AS entries 22-23'!E:E)</f>
        <v>0</v>
      </c>
    </row>
    <row r="813" spans="1:4">
      <c r="A813" s="658">
        <v>505015</v>
      </c>
      <c r="B813" s="659" t="s">
        <v>1766</v>
      </c>
      <c r="C813" s="660">
        <f>SUMIF('IND AS entries 22-23'!B:B,'IND AS_TB18-19'!A813,'IND AS entries 22-23'!D:D)</f>
        <v>0</v>
      </c>
      <c r="D813" s="660">
        <f>SUMIF('IND AS entries 22-23'!B:B,'IND AS_TB18-19'!A813,'IND AS entries 22-23'!E:E)</f>
        <v>0</v>
      </c>
    </row>
    <row r="814" spans="1:4">
      <c r="A814" s="658">
        <v>505019</v>
      </c>
      <c r="B814" s="661" t="s">
        <v>1767</v>
      </c>
      <c r="C814" s="660">
        <f>SUMIF('IND AS entries 22-23'!B:B,'IND AS_TB18-19'!A814,'IND AS entries 22-23'!D:D)</f>
        <v>0</v>
      </c>
      <c r="D814" s="660">
        <f>SUMIF('IND AS entries 22-23'!B:B,'IND AS_TB18-19'!A814,'IND AS entries 22-23'!E:E)</f>
        <v>0</v>
      </c>
    </row>
    <row r="815" spans="1:4">
      <c r="A815" s="658">
        <v>505020</v>
      </c>
      <c r="B815" s="659" t="s">
        <v>1768</v>
      </c>
      <c r="C815" s="660">
        <f>SUMIF('IND AS entries 22-23'!B:B,'IND AS_TB18-19'!A815,'IND AS entries 22-23'!D:D)</f>
        <v>0</v>
      </c>
      <c r="D815" s="660">
        <f>SUMIF('IND AS entries 22-23'!B:B,'IND AS_TB18-19'!A815,'IND AS entries 22-23'!E:E)</f>
        <v>0</v>
      </c>
    </row>
    <row r="816" spans="1:4">
      <c r="A816" s="658">
        <v>505025</v>
      </c>
      <c r="B816" s="659" t="s">
        <v>1769</v>
      </c>
      <c r="C816" s="660">
        <f>SUMIF('IND AS entries 22-23'!B:B,'IND AS_TB18-19'!A816,'IND AS entries 22-23'!D:D)</f>
        <v>0</v>
      </c>
      <c r="D816" s="660">
        <f>SUMIF('IND AS entries 22-23'!B:B,'IND AS_TB18-19'!A816,'IND AS entries 22-23'!E:E)</f>
        <v>0</v>
      </c>
    </row>
    <row r="817" spans="1:4">
      <c r="A817" s="658">
        <v>505026</v>
      </c>
      <c r="B817" s="659" t="s">
        <v>1770</v>
      </c>
      <c r="C817" s="660">
        <f>SUMIF('IND AS entries 22-23'!B:B,'IND AS_TB18-19'!A817,'IND AS entries 22-23'!D:D)</f>
        <v>0</v>
      </c>
      <c r="D817" s="660">
        <f>SUMIF('IND AS entries 22-23'!B:B,'IND AS_TB18-19'!A817,'IND AS entries 22-23'!E:E)</f>
        <v>0</v>
      </c>
    </row>
    <row r="818" spans="1:4">
      <c r="A818" s="658">
        <v>505027</v>
      </c>
      <c r="B818" s="659" t="s">
        <v>1771</v>
      </c>
      <c r="C818" s="660">
        <f>SUMIF('IND AS entries 22-23'!B:B,'IND AS_TB18-19'!A818,'IND AS entries 22-23'!D:D)</f>
        <v>0</v>
      </c>
      <c r="D818" s="660">
        <f>SUMIF('IND AS entries 22-23'!B:B,'IND AS_TB18-19'!A818,'IND AS entries 22-23'!E:E)</f>
        <v>0</v>
      </c>
    </row>
    <row r="819" spans="1:4">
      <c r="A819" s="658">
        <v>505028</v>
      </c>
      <c r="B819" s="659" t="s">
        <v>1772</v>
      </c>
      <c r="C819" s="660">
        <f>SUMIF('IND AS entries 22-23'!B:B,'IND AS_TB18-19'!A819,'IND AS entries 22-23'!D:D)</f>
        <v>0</v>
      </c>
      <c r="D819" s="660">
        <f>SUMIF('IND AS entries 22-23'!B:B,'IND AS_TB18-19'!A819,'IND AS entries 22-23'!E:E)</f>
        <v>0</v>
      </c>
    </row>
    <row r="820" spans="1:4">
      <c r="A820" s="658">
        <v>505029</v>
      </c>
      <c r="B820" s="659" t="s">
        <v>1773</v>
      </c>
      <c r="C820" s="660">
        <f>SUMIF('IND AS entries 22-23'!B:B,'IND AS_TB18-19'!A820,'IND AS entries 22-23'!D:D)</f>
        <v>0</v>
      </c>
      <c r="D820" s="660">
        <f>SUMIF('IND AS entries 22-23'!B:B,'IND AS_TB18-19'!A820,'IND AS entries 22-23'!E:E)</f>
        <v>0</v>
      </c>
    </row>
    <row r="821" spans="1:4">
      <c r="A821" s="658">
        <v>505030</v>
      </c>
      <c r="B821" s="659" t="s">
        <v>1774</v>
      </c>
      <c r="C821" s="660">
        <f>SUMIF('IND AS entries 22-23'!B:B,'IND AS_TB18-19'!A821,'IND AS entries 22-23'!D:D)</f>
        <v>0</v>
      </c>
      <c r="D821" s="660">
        <f>SUMIF('IND AS entries 22-23'!B:B,'IND AS_TB18-19'!A821,'IND AS entries 22-23'!E:E)</f>
        <v>0</v>
      </c>
    </row>
    <row r="822" spans="1:4">
      <c r="A822" s="658">
        <v>505031</v>
      </c>
      <c r="B822" s="659" t="s">
        <v>1775</v>
      </c>
      <c r="C822" s="660">
        <f>SUMIF('IND AS entries 22-23'!B:B,'IND AS_TB18-19'!A822,'IND AS entries 22-23'!D:D)</f>
        <v>0</v>
      </c>
      <c r="D822" s="660">
        <f>SUMIF('IND AS entries 22-23'!B:B,'IND AS_TB18-19'!A822,'IND AS entries 22-23'!E:E)</f>
        <v>0</v>
      </c>
    </row>
    <row r="823" spans="1:4">
      <c r="A823" s="658">
        <v>505035</v>
      </c>
      <c r="B823" s="659" t="s">
        <v>1777</v>
      </c>
      <c r="C823" s="660">
        <f>SUMIF('IND AS entries 22-23'!B:B,'IND AS_TB18-19'!A823,'IND AS entries 22-23'!D:D)</f>
        <v>0</v>
      </c>
      <c r="D823" s="660">
        <f>SUMIF('IND AS entries 22-23'!B:B,'IND AS_TB18-19'!A823,'IND AS entries 22-23'!E:E)</f>
        <v>0</v>
      </c>
    </row>
    <row r="824" spans="1:4">
      <c r="A824" s="658">
        <v>505040</v>
      </c>
      <c r="B824" s="659" t="s">
        <v>1778</v>
      </c>
      <c r="C824" s="660">
        <f>SUMIF('IND AS entries 22-23'!B:B,'IND AS_TB18-19'!A824,'IND AS entries 22-23'!D:D)</f>
        <v>0</v>
      </c>
      <c r="D824" s="660">
        <f>SUMIF('IND AS entries 22-23'!B:B,'IND AS_TB18-19'!A824,'IND AS entries 22-23'!E:E)</f>
        <v>0</v>
      </c>
    </row>
    <row r="825" spans="1:4">
      <c r="A825" s="658">
        <v>505043</v>
      </c>
      <c r="B825" s="661" t="s">
        <v>1779</v>
      </c>
      <c r="C825" s="660">
        <f>SUMIF('IND AS entries 22-23'!B:B,'IND AS_TB18-19'!A825,'IND AS entries 22-23'!D:D)</f>
        <v>0</v>
      </c>
      <c r="D825" s="660">
        <f>SUMIF('IND AS entries 22-23'!B:B,'IND AS_TB18-19'!A825,'IND AS entries 22-23'!E:E)</f>
        <v>0</v>
      </c>
    </row>
    <row r="826" spans="1:4">
      <c r="A826" s="658">
        <v>601010</v>
      </c>
      <c r="B826" s="659" t="s">
        <v>1780</v>
      </c>
      <c r="C826" s="660">
        <f>SUMIF('IND AS entries 22-23'!B:B,'IND AS_TB18-19'!A826,'IND AS entries 22-23'!D:D)</f>
        <v>0</v>
      </c>
      <c r="D826" s="660">
        <f>SUMIF('IND AS entries 22-23'!B:B,'IND AS_TB18-19'!A826,'IND AS entries 22-23'!E:E)</f>
        <v>0</v>
      </c>
    </row>
    <row r="827" spans="1:4">
      <c r="A827" s="658">
        <v>601011</v>
      </c>
      <c r="B827" s="659" t="s">
        <v>1781</v>
      </c>
      <c r="C827" s="660">
        <f>SUMIF('IND AS entries 22-23'!B:B,'IND AS_TB18-19'!A827,'IND AS entries 22-23'!D:D)</f>
        <v>0</v>
      </c>
      <c r="D827" s="660">
        <f>SUMIF('IND AS entries 22-23'!B:B,'IND AS_TB18-19'!A827,'IND AS entries 22-23'!E:E)</f>
        <v>0</v>
      </c>
    </row>
    <row r="828" spans="1:4">
      <c r="A828" s="658">
        <v>601012</v>
      </c>
      <c r="B828" s="659" t="s">
        <v>781</v>
      </c>
      <c r="C828" s="660">
        <f>SUMIF('IND AS entries 22-23'!B:B,'IND AS_TB18-19'!A828,'IND AS entries 22-23'!D:D)</f>
        <v>0</v>
      </c>
      <c r="D828" s="660">
        <f>SUMIF('IND AS entries 22-23'!B:B,'IND AS_TB18-19'!A828,'IND AS entries 22-23'!E:E)</f>
        <v>0</v>
      </c>
    </row>
    <row r="829" spans="1:4">
      <c r="A829" s="658">
        <v>601013</v>
      </c>
      <c r="B829" s="659" t="s">
        <v>1782</v>
      </c>
      <c r="C829" s="660">
        <f>SUMIF('IND AS entries 22-23'!B:B,'IND AS_TB18-19'!A829,'IND AS entries 22-23'!D:D)</f>
        <v>0</v>
      </c>
      <c r="D829" s="660">
        <f>SUMIF('IND AS entries 22-23'!B:B,'IND AS_TB18-19'!A829,'IND AS entries 22-23'!E:E)</f>
        <v>0</v>
      </c>
    </row>
    <row r="830" spans="1:4">
      <c r="A830" s="658">
        <v>601033</v>
      </c>
      <c r="B830" s="659" t="s">
        <v>1784</v>
      </c>
      <c r="C830" s="660">
        <f>SUMIF('IND AS entries 22-23'!B:B,'IND AS_TB18-19'!A830,'IND AS entries 22-23'!D:D)</f>
        <v>0</v>
      </c>
      <c r="D830" s="660">
        <f>SUMIF('IND AS entries 22-23'!B:B,'IND AS_TB18-19'!A830,'IND AS entries 22-23'!E:E)</f>
        <v>0</v>
      </c>
    </row>
    <row r="831" spans="1:4">
      <c r="A831" s="658">
        <v>601032</v>
      </c>
      <c r="B831" s="659" t="s">
        <v>1783</v>
      </c>
      <c r="C831" s="660">
        <f>SUMIF('IND AS entries 22-23'!B:B,'IND AS_TB18-19'!A831,'IND AS entries 22-23'!D:D)</f>
        <v>0</v>
      </c>
      <c r="D831" s="660">
        <f>SUMIF('IND AS entries 22-23'!B:B,'IND AS_TB18-19'!A831,'IND AS entries 22-23'!E:E)</f>
        <v>0</v>
      </c>
    </row>
    <row r="832" spans="1:4">
      <c r="A832" s="658">
        <v>601014</v>
      </c>
      <c r="B832" s="659" t="s">
        <v>786</v>
      </c>
      <c r="C832" s="660">
        <f>SUMIF('IND AS entries 22-23'!B:B,'IND AS_TB18-19'!A832,'IND AS entries 22-23'!D:D)</f>
        <v>0</v>
      </c>
      <c r="D832" s="660">
        <f>SUMIF('IND AS entries 22-23'!B:B,'IND AS_TB18-19'!A832,'IND AS entries 22-23'!E:E)</f>
        <v>0</v>
      </c>
    </row>
    <row r="833" spans="1:4">
      <c r="A833" s="658">
        <v>601015</v>
      </c>
      <c r="B833" s="659" t="s">
        <v>1785</v>
      </c>
      <c r="C833" s="660">
        <f>SUMIF('IND AS entries 22-23'!B:B,'IND AS_TB18-19'!A833,'IND AS entries 22-23'!D:D)</f>
        <v>0</v>
      </c>
      <c r="D833" s="660">
        <f>SUMIF('IND AS entries 22-23'!B:B,'IND AS_TB18-19'!A833,'IND AS entries 22-23'!E:E)</f>
        <v>0</v>
      </c>
    </row>
    <row r="834" spans="1:4">
      <c r="A834" s="658">
        <v>601016</v>
      </c>
      <c r="B834" s="659" t="s">
        <v>1786</v>
      </c>
      <c r="C834" s="660">
        <f>SUMIF('IND AS entries 22-23'!B:B,'IND AS_TB18-19'!A834,'IND AS entries 22-23'!D:D)</f>
        <v>0</v>
      </c>
      <c r="D834" s="660">
        <f>SUMIF('IND AS entries 22-23'!B:B,'IND AS_TB18-19'!A834,'IND AS entries 22-23'!E:E)</f>
        <v>0</v>
      </c>
    </row>
    <row r="835" spans="1:4">
      <c r="A835" s="658">
        <v>601017</v>
      </c>
      <c r="B835" s="659" t="s">
        <v>1787</v>
      </c>
      <c r="C835" s="660">
        <f>SUMIF('IND AS entries 22-23'!B:B,'IND AS_TB18-19'!A835,'IND AS entries 22-23'!D:D)</f>
        <v>0</v>
      </c>
      <c r="D835" s="660">
        <f>SUMIF('IND AS entries 22-23'!B:B,'IND AS_TB18-19'!A835,'IND AS entries 22-23'!E:E)</f>
        <v>0</v>
      </c>
    </row>
    <row r="836" spans="1:4">
      <c r="A836" s="658">
        <v>601018</v>
      </c>
      <c r="B836" s="659" t="s">
        <v>1788</v>
      </c>
      <c r="C836" s="660">
        <f>SUMIF('IND AS entries 22-23'!B:B,'IND AS_TB18-19'!A836,'IND AS entries 22-23'!D:D)</f>
        <v>0</v>
      </c>
      <c r="D836" s="660">
        <f>SUMIF('IND AS entries 22-23'!B:B,'IND AS_TB18-19'!A836,'IND AS entries 22-23'!E:E)</f>
        <v>0</v>
      </c>
    </row>
    <row r="837" spans="1:4">
      <c r="A837" s="658">
        <v>601019</v>
      </c>
      <c r="B837" s="659" t="s">
        <v>1789</v>
      </c>
      <c r="C837" s="660">
        <f>SUMIF('IND AS entries 22-23'!B:B,'IND AS_TB18-19'!A837,'IND AS entries 22-23'!D:D)</f>
        <v>0</v>
      </c>
      <c r="D837" s="660">
        <f>SUMIF('IND AS entries 22-23'!B:B,'IND AS_TB18-19'!A837,'IND AS entries 22-23'!E:E)</f>
        <v>0</v>
      </c>
    </row>
    <row r="838" spans="1:4">
      <c r="A838" s="658">
        <v>601020</v>
      </c>
      <c r="B838" s="661" t="s">
        <v>736</v>
      </c>
      <c r="C838" s="660">
        <f>SUMIF('IND AS entries 22-23'!B:B,'IND AS_TB18-19'!A838,'IND AS entries 22-23'!D:D)</f>
        <v>0</v>
      </c>
      <c r="D838" s="660">
        <f>SUMIF('IND AS entries 22-23'!B:B,'IND AS_TB18-19'!A838,'IND AS entries 22-23'!E:E)</f>
        <v>0</v>
      </c>
    </row>
    <row r="839" spans="1:4">
      <c r="A839" s="658">
        <v>601090</v>
      </c>
      <c r="B839" s="659" t="s">
        <v>1790</v>
      </c>
      <c r="C839" s="660">
        <f>SUMIF('IND AS entries 22-23'!B:B,'IND AS_TB18-19'!A839,'IND AS entries 22-23'!D:D)</f>
        <v>0</v>
      </c>
      <c r="D839" s="660">
        <f>SUMIF('IND AS entries 22-23'!B:B,'IND AS_TB18-19'!A839,'IND AS entries 22-23'!E:E)</f>
        <v>0</v>
      </c>
    </row>
    <row r="840" spans="1:4">
      <c r="A840" s="658">
        <v>800010</v>
      </c>
      <c r="B840" s="659" t="s">
        <v>816</v>
      </c>
      <c r="C840" s="660">
        <f>SUMIF('IND AS entries 22-23'!B:B,'IND AS_TB18-19'!A840,'IND AS entries 22-23'!D:D)</f>
        <v>0</v>
      </c>
      <c r="D840" s="660">
        <f>SUMIF('IND AS entries 22-23'!B:B,'IND AS_TB18-19'!A840,'IND AS entries 22-23'!E:E)</f>
        <v>0</v>
      </c>
    </row>
    <row r="841" spans="1:4">
      <c r="A841" s="658">
        <v>800011</v>
      </c>
      <c r="B841" s="659" t="s">
        <v>817</v>
      </c>
      <c r="C841" s="660">
        <f>SUMIF('IND AS entries 22-23'!B:B,'IND AS_TB18-19'!A841,'IND AS entries 22-23'!D:D)</f>
        <v>0</v>
      </c>
      <c r="D841" s="660">
        <f>SUMIF('IND AS entries 22-23'!B:B,'IND AS_TB18-19'!A841,'IND AS entries 22-23'!E:E)</f>
        <v>0</v>
      </c>
    </row>
    <row r="842" spans="1:4">
      <c r="A842" s="658">
        <v>800015</v>
      </c>
      <c r="B842" s="659" t="s">
        <v>818</v>
      </c>
      <c r="C842" s="660">
        <f>SUMIF('IND AS entries 22-23'!B:B,'IND AS_TB18-19'!A842,'IND AS entries 22-23'!D:D)</f>
        <v>0</v>
      </c>
      <c r="D842" s="660">
        <f>SUMIF('IND AS entries 22-23'!B:B,'IND AS_TB18-19'!A842,'IND AS entries 22-23'!E:E)</f>
        <v>0</v>
      </c>
    </row>
    <row r="843" spans="1:4">
      <c r="A843" s="658">
        <v>800016</v>
      </c>
      <c r="B843" s="659" t="s">
        <v>819</v>
      </c>
      <c r="C843" s="660">
        <f>SUMIF('IND AS entries 22-23'!B:B,'IND AS_TB18-19'!A843,'IND AS entries 22-23'!D:D)</f>
        <v>0</v>
      </c>
      <c r="D843" s="660">
        <f>SUMIF('IND AS entries 22-23'!B:B,'IND AS_TB18-19'!A843,'IND AS entries 22-23'!E:E)</f>
        <v>0</v>
      </c>
    </row>
    <row r="844" spans="1:4">
      <c r="A844" s="658">
        <v>800020</v>
      </c>
      <c r="B844" s="659" t="s">
        <v>822</v>
      </c>
      <c r="C844" s="660">
        <f>SUMIF('IND AS entries 22-23'!B:B,'IND AS_TB18-19'!A844,'IND AS entries 22-23'!D:D)</f>
        <v>0</v>
      </c>
      <c r="D844" s="660">
        <f>SUMIF('IND AS entries 22-23'!B:B,'IND AS_TB18-19'!A844,'IND AS entries 22-23'!E:E)</f>
        <v>0</v>
      </c>
    </row>
    <row r="845" spans="1:4">
      <c r="A845" s="658">
        <v>800021</v>
      </c>
      <c r="B845" s="659" t="s">
        <v>733</v>
      </c>
      <c r="C845" s="660">
        <f>SUMIF('IND AS entries 22-23'!B:B,'IND AS_TB18-19'!A845,'IND AS entries 22-23'!D:D)</f>
        <v>0</v>
      </c>
      <c r="D845" s="660">
        <f>SUMIF('IND AS entries 22-23'!B:B,'IND AS_TB18-19'!A845,'IND AS entries 22-23'!E:E)</f>
        <v>0</v>
      </c>
    </row>
    <row r="846" spans="1:4">
      <c r="A846" s="658">
        <v>800022</v>
      </c>
      <c r="B846" s="659" t="s">
        <v>732</v>
      </c>
      <c r="C846" s="660">
        <f>SUMIF('IND AS entries 22-23'!B:B,'IND AS_TB18-19'!A846,'IND AS entries 22-23'!D:D)</f>
        <v>0</v>
      </c>
      <c r="D846" s="660">
        <f>SUMIF('IND AS entries 22-23'!B:B,'IND AS_TB18-19'!A846,'IND AS entries 22-23'!E:E)</f>
        <v>0</v>
      </c>
    </row>
    <row r="847" spans="1:4">
      <c r="A847" s="658">
        <v>800023</v>
      </c>
      <c r="B847" s="661" t="s">
        <v>820</v>
      </c>
      <c r="C847" s="660">
        <f>SUMIF('IND AS entries 22-23'!B:B,'IND AS_TB18-19'!A847,'IND AS entries 22-23'!D:D)</f>
        <v>0</v>
      </c>
      <c r="D847" s="660">
        <f>SUMIF('IND AS entries 22-23'!B:B,'IND AS_TB18-19'!A847,'IND AS entries 22-23'!E:E)</f>
        <v>0</v>
      </c>
    </row>
    <row r="848" spans="1:4">
      <c r="A848" s="658">
        <v>800024</v>
      </c>
      <c r="B848" s="661" t="s">
        <v>821</v>
      </c>
      <c r="C848" s="660">
        <f>SUMIF('IND AS entries 22-23'!B:B,'IND AS_TB18-19'!A848,'IND AS entries 22-23'!D:D)</f>
        <v>0</v>
      </c>
      <c r="D848" s="660">
        <f>SUMIF('IND AS entries 22-23'!B:B,'IND AS_TB18-19'!A848,'IND AS entries 22-23'!E:E)</f>
        <v>0</v>
      </c>
    </row>
    <row r="849" spans="1:4">
      <c r="A849" s="658">
        <v>800030</v>
      </c>
      <c r="B849" s="659" t="s">
        <v>1792</v>
      </c>
      <c r="C849" s="660">
        <f>SUMIF('IND AS entries 22-23'!B:B,'IND AS_TB18-19'!A849,'IND AS entries 22-23'!D:D)</f>
        <v>0</v>
      </c>
      <c r="D849" s="660">
        <f>SUMIF('IND AS entries 22-23'!B:B,'IND AS_TB18-19'!A849,'IND AS entries 22-23'!E:E)</f>
        <v>0</v>
      </c>
    </row>
    <row r="850" spans="1:4">
      <c r="A850" s="658">
        <v>800033</v>
      </c>
      <c r="B850" s="659" t="s">
        <v>1793</v>
      </c>
      <c r="C850" s="660">
        <f>SUMIF('IND AS entries 22-23'!B:B,'IND AS_TB18-19'!A850,'IND AS entries 22-23'!D:D)</f>
        <v>0</v>
      </c>
      <c r="D850" s="660">
        <f>SUMIF('IND AS entries 22-23'!B:B,'IND AS_TB18-19'!A850,'IND AS entries 22-23'!E:E)</f>
        <v>0</v>
      </c>
    </row>
    <row r="851" spans="1:4">
      <c r="A851" s="667"/>
      <c r="B851" s="668" t="s">
        <v>173</v>
      </c>
      <c r="C851" s="669">
        <f>SUM(C5:C850)</f>
        <v>0</v>
      </c>
      <c r="D851" s="669">
        <f>SUM(D5:D850)</f>
        <v>0</v>
      </c>
    </row>
    <row r="853" spans="1:4">
      <c r="D853" s="670">
        <f>C851-D851</f>
        <v>0</v>
      </c>
    </row>
    <row r="854" spans="1:4">
      <c r="C854" s="671">
        <f>SUM(C581:C850)</f>
        <v>0</v>
      </c>
      <c r="D854" s="671">
        <f>SUM(D581:D850)</f>
        <v>0</v>
      </c>
    </row>
    <row r="855" spans="1:4">
      <c r="C855" s="671">
        <f>C854-D854</f>
        <v>0</v>
      </c>
      <c r="D855" s="67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41</vt:i4>
      </vt:variant>
      <vt:variant>
        <vt:lpstr>Excel 4.0 Macros</vt:lpstr>
      </vt:variant>
      <vt:variant>
        <vt:i4>1</vt:i4>
      </vt:variant>
      <vt:variant>
        <vt:lpstr>Named Ranges</vt:lpstr>
      </vt:variant>
      <vt:variant>
        <vt:i4>31</vt:i4>
      </vt:variant>
    </vt:vector>
  </HeadingPairs>
  <TitlesOfParts>
    <vt:vector size="73" baseType="lpstr">
      <vt:lpstr>Master</vt:lpstr>
      <vt:lpstr>Cover page</vt:lpstr>
      <vt:lpstr>Index</vt:lpstr>
      <vt:lpstr>Restatement</vt:lpstr>
      <vt:lpstr>BS</vt:lpstr>
      <vt:lpstr>Sheet1</vt:lpstr>
      <vt:lpstr>BS Gr</vt:lpstr>
      <vt:lpstr>PL</vt:lpstr>
      <vt:lpstr>PL Gr</vt:lpstr>
      <vt:lpstr>Sch - PL</vt:lpstr>
      <vt:lpstr>Sch - BS</vt:lpstr>
      <vt:lpstr>TB for financial</vt:lpstr>
      <vt:lpstr>CF</vt:lpstr>
      <vt:lpstr>Significant Accounting Poli New</vt:lpstr>
      <vt:lpstr>CF Working</vt:lpstr>
      <vt:lpstr>Statement of Equity </vt:lpstr>
      <vt:lpstr>Signi Acc Policy New</vt:lpstr>
      <vt:lpstr>3-4</vt:lpstr>
      <vt:lpstr>5-9</vt:lpstr>
      <vt:lpstr>Note 8 - Current Investment</vt:lpstr>
      <vt:lpstr>10-17</vt:lpstr>
      <vt:lpstr>18-26</vt:lpstr>
      <vt:lpstr>Note 27 Segment Reporting</vt:lpstr>
      <vt:lpstr>Notes 28-35</vt:lpstr>
      <vt:lpstr>Ratio Working</vt:lpstr>
      <vt:lpstr>Entries 24-25</vt:lpstr>
      <vt:lpstr>Entries' 23-24</vt:lpstr>
      <vt:lpstr>IND AS entries 24-25</vt:lpstr>
      <vt:lpstr>IND AS entries 23-24</vt:lpstr>
      <vt:lpstr>Rev Entries in FY 23-24</vt:lpstr>
      <vt:lpstr>Entries' 22-23</vt:lpstr>
      <vt:lpstr>People Soft to Nessie to IRIS</vt:lpstr>
      <vt:lpstr>OCI</vt:lpstr>
      <vt:lpstr>Sch - FA</vt:lpstr>
      <vt:lpstr>FA Working 21-22</vt:lpstr>
      <vt:lpstr>FA Working_20-21</vt:lpstr>
      <vt:lpstr>TB Download</vt:lpstr>
      <vt:lpstr>SAP TB</vt:lpstr>
      <vt:lpstr>BSPL Grouping</vt:lpstr>
      <vt:lpstr>IND AS entries 22-23</vt:lpstr>
      <vt:lpstr>IND AS_TB18-19</vt:lpstr>
      <vt:lpstr>Macro1</vt:lpstr>
      <vt:lpstr>'10-17'!Print_Area</vt:lpstr>
      <vt:lpstr>'18-26'!Print_Area</vt:lpstr>
      <vt:lpstr>'3-4'!Print_Area</vt:lpstr>
      <vt:lpstr>'5-9'!Print_Area</vt:lpstr>
      <vt:lpstr>BS!Print_Area</vt:lpstr>
      <vt:lpstr>CF!Print_Area</vt:lpstr>
      <vt:lpstr>'Cover page'!Print_Area</vt:lpstr>
      <vt:lpstr>Index!Print_Area</vt:lpstr>
      <vt:lpstr>'Note 27 Segment Reporting'!Print_Area</vt:lpstr>
      <vt:lpstr>'Note 8 - Current Investment'!Print_Area</vt:lpstr>
      <vt:lpstr>'Notes 28-35'!Print_Area</vt:lpstr>
      <vt:lpstr>PL!Print_Area</vt:lpstr>
      <vt:lpstr>'Sch - BS'!Print_Area</vt:lpstr>
      <vt:lpstr>'Sch - FA'!Print_Area</vt:lpstr>
      <vt:lpstr>'Sch - PL'!Print_Area</vt:lpstr>
      <vt:lpstr>'Signi Acc Policy New'!Print_Area</vt:lpstr>
      <vt:lpstr>'Significant Accounting Poli New'!Print_Area</vt:lpstr>
      <vt:lpstr>'Statement of Equity '!Print_Area</vt:lpstr>
      <vt:lpstr>'10-17'!Print_Titles</vt:lpstr>
      <vt:lpstr>'18-26'!Print_Titles</vt:lpstr>
      <vt:lpstr>'3-4'!Print_Titles</vt:lpstr>
      <vt:lpstr>'5-9'!Print_Titles</vt:lpstr>
      <vt:lpstr>'BS Gr'!Print_Titles</vt:lpstr>
      <vt:lpstr>'Note 27 Segment Reporting'!Print_Titles</vt:lpstr>
      <vt:lpstr>'Notes 28-35'!Print_Titles</vt:lpstr>
      <vt:lpstr>'PL Gr'!Print_Titles</vt:lpstr>
      <vt:lpstr>'Sch - BS'!Print_Titles</vt:lpstr>
      <vt:lpstr>'Sch - PL'!Print_Titles</vt:lpstr>
      <vt:lpstr>'Signi Acc Policy New'!Print_Titles</vt:lpstr>
      <vt:lpstr>'Significant Accounting Poli New'!Print_Titles</vt:lpstr>
      <vt:lpstr>'TB Download'!Print_Titles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Khare, Rohit</dc:creator>
  <cp:lastModifiedBy>SHUBH SHRIVASTAVA</cp:lastModifiedBy>
  <cp:lastPrinted>2024-10-25T07:30:44Z</cp:lastPrinted>
  <dcterms:created xsi:type="dcterms:W3CDTF">2019-03-19T06:12:02Z</dcterms:created>
  <dcterms:modified xsi:type="dcterms:W3CDTF">2026-06-10T06:00:44Z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e463cba9-5f6c-478d-9329-7b2295e4e8ed_Enabled">
    <vt:lpwstr>true</vt:lpwstr>
  </property>
  <property fmtid="{D5CDD505-2E9C-101B-9397-08002B2CF9AE}" pid="5" name="MSIP_Label_e463cba9-5f6c-478d-9329-7b2295e4e8ed_SetDate">
    <vt:lpwstr>2021-03-17T10:22:52Z</vt:lpwstr>
  </property>
  <property fmtid="{D5CDD505-2E9C-101B-9397-08002B2CF9AE}" pid="6" name="MSIP_Label_e463cba9-5f6c-478d-9329-7b2295e4e8ed_Method">
    <vt:lpwstr>Standard</vt:lpwstr>
  </property>
  <property fmtid="{D5CDD505-2E9C-101B-9397-08002B2CF9AE}" pid="7" name="MSIP_Label_e463cba9-5f6c-478d-9329-7b2295e4e8ed_Name">
    <vt:lpwstr>All Employees_2</vt:lpwstr>
  </property>
  <property fmtid="{D5CDD505-2E9C-101B-9397-08002B2CF9AE}" pid="8" name="MSIP_Label_e463cba9-5f6c-478d-9329-7b2295e4e8ed_SiteId">
    <vt:lpwstr>33440fc6-b7c7-412c-bb73-0e70b0198d5a</vt:lpwstr>
  </property>
  <property fmtid="{D5CDD505-2E9C-101B-9397-08002B2CF9AE}" pid="9" name="MSIP_Label_e463cba9-5f6c-478d-9329-7b2295e4e8ed_ActionId">
    <vt:lpwstr>220a6d04-bfca-43be-a857-978d0e71f49b</vt:lpwstr>
  </property>
  <property fmtid="{D5CDD505-2E9C-101B-9397-08002B2CF9AE}" pid="10" name="MSIP_Label_e463cba9-5f6c-478d-9329-7b2295e4e8ed_ContentBits">
    <vt:lpwstr>0</vt:lpwstr>
  </property>
  <property fmtid="{D5CDD505-2E9C-101B-9397-08002B2CF9AE}" pid="11" name="MSIP_Label_ecb69475-382c-4c7a-b21d-8ca64eeef1bd_Enabled">
    <vt:lpwstr>true</vt:lpwstr>
  </property>
  <property fmtid="{D5CDD505-2E9C-101B-9397-08002B2CF9AE}" pid="12" name="MSIP_Label_ecb69475-382c-4c7a-b21d-8ca64eeef1bd_SetDate">
    <vt:lpwstr>2024-02-19T04:37:12Z</vt:lpwstr>
  </property>
  <property fmtid="{D5CDD505-2E9C-101B-9397-08002B2CF9AE}" pid="13" name="MSIP_Label_ecb69475-382c-4c7a-b21d-8ca64eeef1bd_Method">
    <vt:lpwstr>Standard</vt:lpwstr>
  </property>
  <property fmtid="{D5CDD505-2E9C-101B-9397-08002B2CF9AE}" pid="14" name="MSIP_Label_ecb69475-382c-4c7a-b21d-8ca64eeef1bd_Name">
    <vt:lpwstr>Eviden For Internal Use - All Employees</vt:lpwstr>
  </property>
  <property fmtid="{D5CDD505-2E9C-101B-9397-08002B2CF9AE}" pid="15" name="MSIP_Label_ecb69475-382c-4c7a-b21d-8ca64eeef1bd_SiteId">
    <vt:lpwstr>7d1c7785-2d8a-437d-b842-1ed5d8fbe00a</vt:lpwstr>
  </property>
  <property fmtid="{D5CDD505-2E9C-101B-9397-08002B2CF9AE}" pid="16" name="MSIP_Label_ecb69475-382c-4c7a-b21d-8ca64eeef1bd_ActionId">
    <vt:lpwstr>242f41fa-2501-4dfa-a611-961618f2687c</vt:lpwstr>
  </property>
  <property fmtid="{D5CDD505-2E9C-101B-9397-08002B2CF9AE}" pid="17" name="MSIP_Label_ecb69475-382c-4c7a-b21d-8ca64eeef1bd_ContentBits">
    <vt:lpwstr>0</vt:lpwstr>
  </property>
  <property fmtid="{D5CDD505-2E9C-101B-9397-08002B2CF9AE}" pid="18" name="MSIP_Label_506d4b6f-0317-4b96-bd62-f6d252391bda_Enabled">
    <vt:lpwstr>true</vt:lpwstr>
  </property>
  <property fmtid="{D5CDD505-2E9C-101B-9397-08002B2CF9AE}" pid="19" name="MSIP_Label_506d4b6f-0317-4b96-bd62-f6d252391bda_SetDate">
    <vt:lpwstr>2026-05-22T13:51:54Z</vt:lpwstr>
  </property>
  <property fmtid="{D5CDD505-2E9C-101B-9397-08002B2CF9AE}" pid="20" name="MSIP_Label_506d4b6f-0317-4b96-bd62-f6d252391bda_Method">
    <vt:lpwstr>Standard</vt:lpwstr>
  </property>
  <property fmtid="{D5CDD505-2E9C-101B-9397-08002B2CF9AE}" pid="21" name="MSIP_Label_506d4b6f-0317-4b96-bd62-f6d252391bda_Name">
    <vt:lpwstr>General</vt:lpwstr>
  </property>
  <property fmtid="{D5CDD505-2E9C-101B-9397-08002B2CF9AE}" pid="22" name="MSIP_Label_506d4b6f-0317-4b96-bd62-f6d252391bda_SiteId">
    <vt:lpwstr>05b5fe2e-db2c-48e5-bfd8-778b75cb0f8e</vt:lpwstr>
  </property>
  <property fmtid="{D5CDD505-2E9C-101B-9397-08002B2CF9AE}" pid="23" name="MSIP_Label_506d4b6f-0317-4b96-bd62-f6d252391bda_ActionId">
    <vt:lpwstr>ec68ebd5-47d7-41fa-bc9d-c8a40472c9b0</vt:lpwstr>
  </property>
  <property fmtid="{D5CDD505-2E9C-101B-9397-08002B2CF9AE}" pid="24" name="MSIP_Label_506d4b6f-0317-4b96-bd62-f6d252391bda_ContentBits">
    <vt:lpwstr>0</vt:lpwstr>
  </property>
  <property fmtid="{D5CDD505-2E9C-101B-9397-08002B2CF9AE}" pid="25" name="MSIP_Label_506d4b6f-0317-4b96-bd62-f6d252391bda_Tag">
    <vt:lpwstr>10, 3, 0, 1</vt:lpwstr>
  </property>
</Properties>
</file>